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3.xml" ContentType="application/vnd.openxmlformats-officedocument.drawingml.chart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rauedu-my.sharepoint.com/personal/martinl7_my_erau_edu/Documents/AE 435 Project/"/>
    </mc:Choice>
  </mc:AlternateContent>
  <xr:revisionPtr revIDLastSave="1792" documentId="13_ncr:1_{1633BB6C-3A05-4BF8-9B30-3A366965EFE0}" xr6:coauthVersionLast="47" xr6:coauthVersionMax="47" xr10:uidLastSave="{5633649D-8BE8-43A8-90BC-7FA935125BE0}"/>
  <bookViews>
    <workbookView xWindow="18990" yWindow="-16320" windowWidth="29040" windowHeight="15720" tabRatio="833" firstSheet="12" activeTab="15" xr2:uid="{AFB1BA49-0DFF-4E10-9BDA-A66F95B5F18C}"/>
  </bookViews>
  <sheets>
    <sheet name="ATMOS" sheetId="33" r:id="rId1"/>
    <sheet name="FLIGHTPERF" sheetId="34" r:id="rId2"/>
    <sheet name="Service Ceiling" sheetId="35" r:id="rId3"/>
    <sheet name="ABS Ceiling" sheetId="36" r:id="rId4"/>
    <sheet name="FLIGHTPERF Maneuver" sheetId="37" r:id="rId5"/>
    <sheet name="FLIGHTPERF Cruise" sheetId="38" r:id="rId6"/>
    <sheet name="FLIGHTPERF Climb" sheetId="39" r:id="rId7"/>
    <sheet name="FLIGHTPERF Descent" sheetId="56" r:id="rId8"/>
    <sheet name="Constraint Plot" sheetId="40" r:id="rId9"/>
    <sheet name="OPENV" sheetId="41" r:id="rId10"/>
    <sheet name="CRZCL" sheetId="27" r:id="rId11"/>
    <sheet name="MISSION" sheetId="43" r:id="rId12"/>
    <sheet name="MISSION (2)" sheetId="55" r:id="rId13"/>
    <sheet name="channeling my inner formatting" sheetId="58" r:id="rId14"/>
    <sheet name="Calculated Thrust Lapse" sheetId="54" r:id="rId15"/>
    <sheet name="Design Table" sheetId="57" r:id="rId16"/>
    <sheet name="ESTPERF" sheetId="26" r:id="rId17"/>
    <sheet name="TOLDG" sheetId="42" r:id="rId18"/>
    <sheet name="WF CP" sheetId="15" r:id="rId19"/>
    <sheet name="THERMO" sheetId="16" r:id="rId20"/>
    <sheet name="QCURVES" sheetId="17" r:id="rId21"/>
    <sheet name="TURBEFF" sheetId="19" r:id="rId22"/>
    <sheet name="REFDATA" sheetId="13" r:id="rId23"/>
    <sheet name="CYCLEEX" sheetId="20" r:id="rId24"/>
    <sheet name="Sheet1" sheetId="48" r:id="rId25"/>
    <sheet name="Inputs" sheetId="51" r:id="rId26"/>
    <sheet name="Cycle" sheetId="52" r:id="rId27"/>
    <sheet name="MIXER" sheetId="29" r:id="rId28"/>
    <sheet name="OPLINE" sheetId="25" r:id="rId29"/>
    <sheet name="Sheet2" sheetId="53" r:id="rId30"/>
    <sheet name="DIFF" sheetId="32" r:id="rId31"/>
    <sheet name="AUX" sheetId="30" r:id="rId32"/>
  </sheets>
  <functionGroups builtInGroupCount="19"/>
  <definedNames>
    <definedName name="_xleta.FIND" hidden="1" xlm="1">#NAME?</definedName>
    <definedName name="_xleta.GAMMA" hidden="1" xlm="1">#NAME?</definedName>
    <definedName name="_xleta.LOOKUP" hidden="1" xlm="1">#NAME?</definedName>
    <definedName name="_xleta.N" hidden="1" xlm="1">#NAME?</definedName>
    <definedName name="_xleta.POWER" hidden="1" xlm="1">#NAME?</definedName>
    <definedName name="_xleta.SUM" hidden="1" xlm="1">#NAME?</definedName>
  </definedNames>
  <calcPr calcId="191028" calcCompleted="0"/>
  <extLst>
    <ext xmlns:x14="http://schemas.microsoft.com/office/spreadsheetml/2009/9/main" uri="{8193D73E-4604-4355-AFF4-8A2333D13BE4}">
      <x14:definedNames>
        <x14:definedName name="burn">
          <x14:argumentDescriptions count="4">
            <x14:argumentDescription index="0">Outlet total temperature T2 in K.</x14:argumentDescription>
            <x14:argumentDescription index="1">Inlet total temperature T1 in K.</x14:argumentDescription>
            <x14:argumentDescription index="2">Lower heating value LHV in J/kg.</x14:argumentDescription>
            <x14:argumentDescription index="3">Combustor efficiency combEff in (0,1].</x14:argumentDescription>
          </x14:argumentDescriptions>
        </x14:definedName>
        <x14:definedName name="cp">
          <x14:argumentDescriptions count="2">
            <x14:argumentDescription index="0">Temperature T in K.</x14:argumentDescription>
            <x14:argumentDescription index="1">Fuel–air ratio FAR (mf/m_air), dimensionless.</x14:argumentDescription>
          </x14:argumentDescriptions>
        </x14:definedName>
        <x14:definedName name="ht">
          <x14:argumentDescriptions count="2">
            <x14:argumentDescription index="0">Temperature T in K.</x14:argumentDescription>
            <x14:argumentDescription index="1">Fuel–air ratio FAR (mf/m_air), dimensionless.</x14:argumentDescription>
          </x14:argumentDescriptions>
        </x14:definedName>
        <x14:definedName name="MNfromPTPS">
          <x14:argumentDescriptions count="3">
            <x14:argumentDescription index="0">Total-to-static pressure ratio Pt/Ps.</x14:argumentDescription>
            <x14:argumentDescription index="1">Ratio of specific heats gamma = cp/cv.</x14:argumentDescription>
            <x14:argumentDescription index="2">Subsonic flag: 1 for subsonic, 0 for supersonic solution.</x14:argumentDescription>
          </x14:argumentDescriptions>
        </x14:definedName>
        <x14:definedName name="MNfromQ">
          <x14:argumentDescriptions count="6">
            <x14:argumentDescription index="0">Mass flow W in kg/s.</x14:argumentDescription>
            <x14:argumentDescription index="1">Total pressure Pt in Pa.</x14:argumentDescription>
            <x14:argumentDescription index="2">Total temperature Tt in K.</x14:argumentDescription>
            <x14:argumentDescription index="3">Flow area A in m^2.</x14:argumentDescription>
            <x14:argumentDescription index="4">Ratio of specific heats gamma.</x14:argumentDescription>
            <x14:argumentDescription index="5">Gas constant R in J/kg-K.</x14:argumentDescription>
          </x14:argumentDescriptions>
        </x14:definedName>
        <x14:definedName name="PtProc">
          <x14:argumentDescriptions count="5">
            <x14:argumentDescription index="0">Inlet total temperature Tt1 in K.</x14:argumentDescription>
            <x14:argumentDescription index="1">Inlet total pressure Pt1 in Pa.</x14:argumentDescription>
            <x14:argumentDescription index="2">Outlet total temperature Tt2 in K.</x14:argumentDescription>
            <x14:argumentDescription index="3">Fuel–air ratio FAR (mf/m_air).</x14:argumentDescription>
            <x14:argumentDescription index="4">Polytropic efficiency eta_poly.</x14:argumentDescription>
          </x14:argumentDescriptions>
        </x14:definedName>
        <x14:definedName name="Rgas">
          <x14:argumentDescriptions count="1">
            <x14:argumentDescription index="0">Fuel–air ratio FAR (mf/m_air), dimensionless.</x14:argumentDescription>
          </x14:argumentDescriptions>
        </x14:definedName>
        <x14:definedName name="TfromH">
          <x14:argumentDescriptions count="4">
            <x14:argumentDescription index="0">Target enthalpy h_target in kJ/kg.</x14:argumentDescription>
            <x14:argumentDescription index="1">Fuel–air ratio FAR (mf/m_air).</x14:argumentDescription>
            <x14:argumentDescription index="2">Upper bound on temperature Thi in K.</x14:argumentDescription>
            <x14:argumentDescription index="3">Lower bound on temperature Tlo in K.</x14:argumentDescription>
          </x14:argumentDescriptions>
        </x14:definedName>
        <x14:definedName name="TtProc">
          <x14:argumentDescriptions count="5">
            <x14:argumentDescription index="0">Inlet total temperature Tt1 in K.</x14:argumentDescription>
            <x14:argumentDescription index="1">Inlet total pressure Pt1 in Pa.</x14:argumentDescription>
            <x14:argumentDescription index="2">Outlet total pressure Pt2 in Pa.</x14:argumentDescription>
            <x14:argumentDescription index="3">Fuel–air ratio FAR (mf/m_air).</x14:argumentDescription>
            <x14:argumentDescription index="4">Polytropic efficiency eta_poly (0.9–1.0).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57" l="1"/>
  <c r="P29" i="57"/>
  <c r="Q29" i="57"/>
  <c r="R29" i="57"/>
  <c r="S29" i="57"/>
  <c r="T29" i="57"/>
  <c r="N29" i="57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H26" i="55"/>
  <c r="J5" i="55"/>
  <c r="D59" i="55"/>
  <c r="D60" i="55"/>
  <c r="D61" i="55"/>
  <c r="D62" i="55"/>
  <c r="D63" i="55"/>
  <c r="D64" i="55"/>
  <c r="D69" i="55"/>
  <c r="D65" i="55"/>
  <c r="D66" i="55"/>
  <c r="D67" i="55"/>
  <c r="D68" i="55"/>
  <c r="D70" i="55"/>
  <c r="D71" i="55"/>
  <c r="D72" i="55"/>
  <c r="D73" i="55"/>
  <c r="C58" i="55"/>
  <c r="C59" i="55" s="1"/>
  <c r="C60" i="55" s="1"/>
  <c r="C61" i="55" s="1"/>
  <c r="C62" i="55" s="1"/>
  <c r="C63" i="55" s="1"/>
  <c r="C64" i="55" s="1"/>
  <c r="C65" i="55" s="1"/>
  <c r="C66" i="55" s="1"/>
  <c r="C67" i="55" s="1"/>
  <c r="C68" i="55" s="1"/>
  <c r="C69" i="55" s="1"/>
  <c r="C70" i="55" s="1"/>
  <c r="C71" i="55" s="1"/>
  <c r="C72" i="55" s="1"/>
  <c r="C73" i="55" s="1"/>
  <c r="D58" i="55"/>
  <c r="N7" i="53"/>
  <c r="M7" i="53"/>
  <c r="L7" i="53"/>
  <c r="K7" i="53"/>
  <c r="N11" i="43"/>
  <c r="H8" i="56"/>
  <c r="E8" i="35"/>
  <c r="A10" i="54"/>
  <c r="B15" i="54" s="1"/>
  <c r="C15" i="54" s="1"/>
  <c r="C16" i="54"/>
  <c r="B16" i="56"/>
  <c r="B17" i="56" s="1"/>
  <c r="C15" i="56"/>
  <c r="D15" i="56" s="1"/>
  <c r="G11" i="56"/>
  <c r="C11" i="56"/>
  <c r="D11" i="56" s="1"/>
  <c r="B11" i="56"/>
  <c r="K8" i="56"/>
  <c r="B11" i="39"/>
  <c r="C5" i="54"/>
  <c r="D5" i="54"/>
  <c r="E5" i="54"/>
  <c r="F5" i="54"/>
  <c r="G5" i="54"/>
  <c r="H5" i="54"/>
  <c r="I5" i="54"/>
  <c r="J5" i="54"/>
  <c r="K5" i="54"/>
  <c r="L5" i="54"/>
  <c r="M5" i="54"/>
  <c r="N5" i="54"/>
  <c r="O5" i="54"/>
  <c r="P5" i="54"/>
  <c r="Q5" i="54"/>
  <c r="B5" i="54"/>
  <c r="M3" i="54"/>
  <c r="N3" i="54"/>
  <c r="O3" i="54"/>
  <c r="P3" i="54"/>
  <c r="Q3" i="54"/>
  <c r="T7" i="55"/>
  <c r="T8" i="55" s="1"/>
  <c r="R10" i="55"/>
  <c r="R7" i="55" s="1"/>
  <c r="R8" i="55" s="1"/>
  <c r="H16" i="55"/>
  <c r="H17" i="55"/>
  <c r="H18" i="55"/>
  <c r="H22" i="55"/>
  <c r="H23" i="55"/>
  <c r="I3" i="54"/>
  <c r="J3" i="54"/>
  <c r="K3" i="54"/>
  <c r="L3" i="54"/>
  <c r="B12" i="54"/>
  <c r="C12" i="54" s="1"/>
  <c r="B13" i="54"/>
  <c r="C13" i="54" s="1"/>
  <c r="B16" i="54"/>
  <c r="H3" i="54"/>
  <c r="C3" i="54"/>
  <c r="D3" i="54"/>
  <c r="E3" i="54"/>
  <c r="F3" i="54"/>
  <c r="G3" i="54"/>
  <c r="B3" i="54"/>
  <c r="F8" i="33" a="1"/>
  <c r="F8" i="33" s="1"/>
  <c r="F9" i="33" a="1"/>
  <c r="F9" i="33" s="1"/>
  <c r="F10" i="33" a="1"/>
  <c r="F10" i="33" s="1"/>
  <c r="F11" i="33" a="1"/>
  <c r="F11" i="33" s="1"/>
  <c r="F12" i="33" a="1"/>
  <c r="F12" i="33" s="1"/>
  <c r="F13" i="33" a="1"/>
  <c r="F13" i="33" s="1"/>
  <c r="F14" i="33" a="1"/>
  <c r="F14" i="33" s="1"/>
  <c r="F15" i="33" a="1"/>
  <c r="F15" i="33" s="1"/>
  <c r="F16" i="33" a="1"/>
  <c r="F16" i="33" s="1"/>
  <c r="F17" i="33" a="1"/>
  <c r="F17" i="33" s="1"/>
  <c r="F18" i="33" a="1"/>
  <c r="F18" i="33" s="1"/>
  <c r="F19" i="33" a="1"/>
  <c r="F19" i="33" s="1"/>
  <c r="F7" i="33" a="1"/>
  <c r="F7" i="33" s="1"/>
  <c r="B10" i="52"/>
  <c r="C50" i="52"/>
  <c r="F6" i="43"/>
  <c r="H6" i="43" s="1"/>
  <c r="D6" i="52"/>
  <c r="G25" i="20"/>
  <c r="E57" i="52"/>
  <c r="D57" i="52"/>
  <c r="F57" i="52"/>
  <c r="C57" i="52"/>
  <c r="B62" i="51"/>
  <c r="U7" i="52"/>
  <c r="V7" i="52"/>
  <c r="C12" i="52"/>
  <c r="T12" i="52"/>
  <c r="S12" i="52"/>
  <c r="L12" i="52"/>
  <c r="M12" i="52" s="1"/>
  <c r="N12" i="52" s="1"/>
  <c r="O12" i="52" s="1"/>
  <c r="F12" i="52"/>
  <c r="I12" i="52" s="1"/>
  <c r="E12" i="52"/>
  <c r="D12" i="52"/>
  <c r="B12" i="52"/>
  <c r="L10" i="52"/>
  <c r="T8" i="52"/>
  <c r="K8" i="52"/>
  <c r="J8" i="52"/>
  <c r="I8" i="52"/>
  <c r="F8" i="52"/>
  <c r="E8" i="52"/>
  <c r="D8" i="52"/>
  <c r="C8" i="52"/>
  <c r="B8" i="52"/>
  <c r="T7" i="52"/>
  <c r="S7" i="52"/>
  <c r="R7" i="52"/>
  <c r="O7" i="52"/>
  <c r="N7" i="52"/>
  <c r="M7" i="52"/>
  <c r="L7" i="52"/>
  <c r="K7" i="52"/>
  <c r="I7" i="52"/>
  <c r="F7" i="52"/>
  <c r="E7" i="52"/>
  <c r="D7" i="52"/>
  <c r="C7" i="52"/>
  <c r="B7" i="52"/>
  <c r="C49" i="51"/>
  <c r="B9" i="52"/>
  <c r="C48" i="51"/>
  <c r="C13" i="48"/>
  <c r="G12" i="48"/>
  <c r="G27" i="48"/>
  <c r="G28" i="48"/>
  <c r="Y17" i="48"/>
  <c r="AB31" i="48"/>
  <c r="AC31" i="48"/>
  <c r="V31" i="48"/>
  <c r="W31" i="48"/>
  <c r="X31" i="48"/>
  <c r="Y31" i="48"/>
  <c r="Z31" i="48"/>
  <c r="AA31" i="48"/>
  <c r="Q31" i="48"/>
  <c r="Q19" i="48"/>
  <c r="R31" i="48"/>
  <c r="S31" i="48"/>
  <c r="T31" i="48"/>
  <c r="U31" i="48"/>
  <c r="I33" i="48"/>
  <c r="J33" i="48"/>
  <c r="K33" i="48"/>
  <c r="L33" i="48"/>
  <c r="M33" i="48"/>
  <c r="O33" i="48"/>
  <c r="P33" i="48"/>
  <c r="H33" i="48"/>
  <c r="G33" i="48"/>
  <c r="G31" i="48"/>
  <c r="C51" i="48"/>
  <c r="C5" i="48"/>
  <c r="G17" i="48"/>
  <c r="G22" i="48"/>
  <c r="G18" i="48"/>
  <c r="G19" i="48"/>
  <c r="G25" i="48"/>
  <c r="H17" i="48"/>
  <c r="H31" i="48"/>
  <c r="P17" i="48"/>
  <c r="P31" i="48"/>
  <c r="P19" i="48"/>
  <c r="O17" i="48"/>
  <c r="O31" i="48"/>
  <c r="O19" i="48"/>
  <c r="M17" i="48"/>
  <c r="M31" i="48"/>
  <c r="M19" i="48"/>
  <c r="L17" i="48"/>
  <c r="L31" i="48"/>
  <c r="L19" i="48"/>
  <c r="K17" i="48"/>
  <c r="K31" i="48"/>
  <c r="K19" i="48"/>
  <c r="J17" i="48"/>
  <c r="J31" i="48"/>
  <c r="J19" i="48"/>
  <c r="I17" i="48"/>
  <c r="I31" i="48"/>
  <c r="D57" i="20"/>
  <c r="D17" i="20"/>
  <c r="D7" i="20"/>
  <c r="M13" i="20" a="1"/>
  <c r="M13" i="20" s="1"/>
  <c r="F26" i="43"/>
  <c r="H26" i="43"/>
  <c r="G25" i="43"/>
  <c r="F25" i="43"/>
  <c r="H25" i="43"/>
  <c r="H24" i="43"/>
  <c r="F24" i="43"/>
  <c r="H23" i="43"/>
  <c r="H22" i="43"/>
  <c r="F21" i="43"/>
  <c r="H21" i="43"/>
  <c r="F20" i="43"/>
  <c r="H20" i="43"/>
  <c r="F19" i="43"/>
  <c r="H19" i="43"/>
  <c r="H18" i="43"/>
  <c r="H17" i="43"/>
  <c r="H16" i="43"/>
  <c r="F15" i="43"/>
  <c r="H15" i="43"/>
  <c r="F14" i="43"/>
  <c r="H14" i="43"/>
  <c r="F13" i="43"/>
  <c r="H13" i="43"/>
  <c r="F12" i="43"/>
  <c r="H12" i="43"/>
  <c r="F11" i="43"/>
  <c r="H11" i="43"/>
  <c r="R10" i="43"/>
  <c r="F10" i="43"/>
  <c r="H10" i="43"/>
  <c r="M10" i="43" s="1"/>
  <c r="O10" i="43" s="1"/>
  <c r="F9" i="43"/>
  <c r="H9" i="43"/>
  <c r="F8" i="43"/>
  <c r="H8" i="43"/>
  <c r="T7" i="43"/>
  <c r="T8" i="43"/>
  <c r="S7" i="43"/>
  <c r="S8" i="43"/>
  <c r="R7" i="43"/>
  <c r="R8" i="43"/>
  <c r="F7" i="43"/>
  <c r="H7" i="43"/>
  <c r="G5" i="43"/>
  <c r="F5" i="43"/>
  <c r="H5" i="43"/>
  <c r="F30" i="42"/>
  <c r="F31" i="42"/>
  <c r="G29" i="42"/>
  <c r="H12" i="42"/>
  <c r="G12" i="42"/>
  <c r="G8" i="42"/>
  <c r="H8" i="42"/>
  <c r="G13" i="42" s="1"/>
  <c r="G6" i="42"/>
  <c r="H6" i="42"/>
  <c r="G4" i="42"/>
  <c r="G7" i="42" s="1"/>
  <c r="H7" i="42" s="1"/>
  <c r="U319" i="41"/>
  <c r="U320" i="41"/>
  <c r="U321" i="41"/>
  <c r="U322" i="41"/>
  <c r="U323" i="41"/>
  <c r="U324" i="41"/>
  <c r="U325" i="41"/>
  <c r="U326" i="41"/>
  <c r="U327" i="41"/>
  <c r="U328" i="41"/>
  <c r="U329" i="41"/>
  <c r="U330" i="41"/>
  <c r="U331" i="41"/>
  <c r="U332" i="41"/>
  <c r="U318" i="41"/>
  <c r="E318" i="41"/>
  <c r="E319" i="41"/>
  <c r="E320" i="41"/>
  <c r="E321" i="41"/>
  <c r="E322" i="41"/>
  <c r="E323" i="41"/>
  <c r="E324" i="41"/>
  <c r="E325" i="41"/>
  <c r="E326" i="41"/>
  <c r="E327" i="41"/>
  <c r="E328" i="41"/>
  <c r="E329" i="41"/>
  <c r="E330" i="41"/>
  <c r="E331" i="41"/>
  <c r="E332" i="41"/>
  <c r="E316" i="41"/>
  <c r="E317" i="41"/>
  <c r="U315" i="41"/>
  <c r="U316" i="41"/>
  <c r="U317" i="41"/>
  <c r="E315" i="41"/>
  <c r="U314" i="41"/>
  <c r="E314" i="41"/>
  <c r="U307" i="41"/>
  <c r="E304" i="41"/>
  <c r="E305" i="41"/>
  <c r="E306" i="41"/>
  <c r="E307" i="41"/>
  <c r="U298" i="41"/>
  <c r="U299" i="41"/>
  <c r="U300" i="41"/>
  <c r="U301" i="41"/>
  <c r="U302" i="41"/>
  <c r="U303" i="41"/>
  <c r="U304" i="41"/>
  <c r="U305" i="41"/>
  <c r="U306" i="41"/>
  <c r="U297" i="41"/>
  <c r="U296" i="41"/>
  <c r="U291" i="41"/>
  <c r="U292" i="41"/>
  <c r="U293" i="41"/>
  <c r="U294" i="41"/>
  <c r="U295" i="41"/>
  <c r="U290" i="41"/>
  <c r="U289" i="41"/>
  <c r="E289" i="41"/>
  <c r="E290" i="41"/>
  <c r="E291" i="41"/>
  <c r="E292" i="41"/>
  <c r="E293" i="41"/>
  <c r="E294" i="41"/>
  <c r="E295" i="41"/>
  <c r="E296" i="41"/>
  <c r="E297" i="41"/>
  <c r="E298" i="41"/>
  <c r="E299" i="41"/>
  <c r="E300" i="41"/>
  <c r="E301" i="41"/>
  <c r="E302" i="41"/>
  <c r="E303" i="41"/>
  <c r="AM279" i="41"/>
  <c r="H279" i="41"/>
  <c r="AM278" i="41"/>
  <c r="H278" i="41"/>
  <c r="AM277" i="41"/>
  <c r="H277" i="41"/>
  <c r="AM276" i="41"/>
  <c r="H276" i="41"/>
  <c r="AM275" i="41"/>
  <c r="H275" i="41"/>
  <c r="AM274" i="41"/>
  <c r="H274" i="41"/>
  <c r="AM273" i="41"/>
  <c r="H273" i="41"/>
  <c r="AM272" i="41"/>
  <c r="H272" i="41"/>
  <c r="AM271" i="41"/>
  <c r="H271" i="41"/>
  <c r="AM270" i="41"/>
  <c r="H270" i="41"/>
  <c r="AM269" i="41"/>
  <c r="H269" i="41"/>
  <c r="AM268" i="41"/>
  <c r="H268" i="41"/>
  <c r="AM267" i="41"/>
  <c r="H267" i="41"/>
  <c r="AM266" i="41"/>
  <c r="H266" i="41"/>
  <c r="AM265" i="41"/>
  <c r="H265" i="41"/>
  <c r="AM264" i="41"/>
  <c r="H264" i="41"/>
  <c r="AM263" i="41"/>
  <c r="H263" i="41"/>
  <c r="AM262" i="41"/>
  <c r="H262" i="41"/>
  <c r="AM261" i="41"/>
  <c r="AL261" i="41"/>
  <c r="H261" i="41"/>
  <c r="D261" i="41"/>
  <c r="AP260" i="41"/>
  <c r="AO260" i="41"/>
  <c r="AM260" i="41"/>
  <c r="AL260" i="41"/>
  <c r="AC260" i="41"/>
  <c r="P260" i="41"/>
  <c r="O260" i="41"/>
  <c r="H260" i="41"/>
  <c r="AP259" i="41"/>
  <c r="AO259" i="41"/>
  <c r="AM259" i="41"/>
  <c r="AL259" i="41"/>
  <c r="AC259" i="41"/>
  <c r="P259" i="41"/>
  <c r="O259" i="41"/>
  <c r="H259" i="41"/>
  <c r="AM258" i="41"/>
  <c r="H258" i="41"/>
  <c r="AM257" i="41"/>
  <c r="H257" i="41"/>
  <c r="AM256" i="41"/>
  <c r="H256" i="41"/>
  <c r="AM255" i="41"/>
  <c r="H255" i="41"/>
  <c r="AM254" i="41"/>
  <c r="H254" i="41"/>
  <c r="AM253" i="41"/>
  <c r="H253" i="41"/>
  <c r="AM252" i="41"/>
  <c r="H252" i="41"/>
  <c r="AM251" i="41"/>
  <c r="H251" i="41"/>
  <c r="AM250" i="41"/>
  <c r="H250" i="41"/>
  <c r="AM249" i="41"/>
  <c r="H249" i="41"/>
  <c r="AM248" i="41"/>
  <c r="H248" i="41"/>
  <c r="AM247" i="41"/>
  <c r="H247" i="41"/>
  <c r="AM246" i="41"/>
  <c r="H246" i="41"/>
  <c r="AM245" i="41"/>
  <c r="H245" i="41"/>
  <c r="AM244" i="41"/>
  <c r="H244" i="41"/>
  <c r="AM243" i="41"/>
  <c r="H243" i="41"/>
  <c r="AM242" i="41"/>
  <c r="H242" i="41"/>
  <c r="E242" i="41" a="1"/>
  <c r="E242" i="41"/>
  <c r="AM241" i="41"/>
  <c r="H241" i="41"/>
  <c r="AM240" i="41"/>
  <c r="AC240" i="41"/>
  <c r="O240" i="41"/>
  <c r="P240" i="41"/>
  <c r="H240" i="41"/>
  <c r="D240" i="41"/>
  <c r="AP239" i="41"/>
  <c r="AO239" i="41"/>
  <c r="AM239" i="41"/>
  <c r="AL239" i="41"/>
  <c r="AC239" i="41"/>
  <c r="O239" i="41"/>
  <c r="P239" i="41"/>
  <c r="H239" i="41"/>
  <c r="AP238" i="41"/>
  <c r="AO238" i="41"/>
  <c r="AM238" i="41"/>
  <c r="AL238" i="41"/>
  <c r="AC238" i="41"/>
  <c r="O238" i="41"/>
  <c r="P238" i="41"/>
  <c r="H238" i="41"/>
  <c r="AM237" i="41"/>
  <c r="H237" i="41"/>
  <c r="AM236" i="41"/>
  <c r="H236" i="41"/>
  <c r="AM235" i="41"/>
  <c r="H235" i="41"/>
  <c r="AM234" i="41"/>
  <c r="H234" i="41"/>
  <c r="AM233" i="41"/>
  <c r="H233" i="41"/>
  <c r="AM232" i="41"/>
  <c r="H232" i="41"/>
  <c r="AM231" i="41"/>
  <c r="H231" i="41"/>
  <c r="AM230" i="41"/>
  <c r="H230" i="41"/>
  <c r="AM229" i="41"/>
  <c r="H229" i="41"/>
  <c r="AM228" i="41"/>
  <c r="H228" i="41"/>
  <c r="AM227" i="41"/>
  <c r="H227" i="41"/>
  <c r="AM226" i="41"/>
  <c r="H226" i="41"/>
  <c r="AM225" i="41"/>
  <c r="H225" i="41"/>
  <c r="AM224" i="41"/>
  <c r="H224" i="41"/>
  <c r="AM223" i="41"/>
  <c r="H223" i="41"/>
  <c r="AM222" i="41"/>
  <c r="H222" i="41"/>
  <c r="AM221" i="41"/>
  <c r="H221" i="41"/>
  <c r="AM220" i="41"/>
  <c r="H220" i="41"/>
  <c r="AM219" i="41"/>
  <c r="AL219" i="41"/>
  <c r="O219" i="41"/>
  <c r="P219" i="41"/>
  <c r="H219" i="41"/>
  <c r="D219" i="41"/>
  <c r="AO219" i="41"/>
  <c r="AP218" i="41"/>
  <c r="AO218" i="41"/>
  <c r="AM218" i="41"/>
  <c r="AL218" i="41"/>
  <c r="AC218" i="41"/>
  <c r="O218" i="41"/>
  <c r="P218" i="41"/>
  <c r="H218" i="41"/>
  <c r="AP217" i="41"/>
  <c r="AO217" i="41"/>
  <c r="AM217" i="41"/>
  <c r="AL217" i="41"/>
  <c r="AC217" i="41"/>
  <c r="O217" i="41"/>
  <c r="P217" i="41"/>
  <c r="H217" i="41"/>
  <c r="AM216" i="41"/>
  <c r="H216" i="41"/>
  <c r="AM215" i="41"/>
  <c r="H215" i="41"/>
  <c r="AM214" i="41"/>
  <c r="H214" i="41"/>
  <c r="AM213" i="41"/>
  <c r="H213" i="41"/>
  <c r="AM212" i="41"/>
  <c r="H212" i="41"/>
  <c r="AM211" i="41"/>
  <c r="H211" i="41"/>
  <c r="AM210" i="41"/>
  <c r="H210" i="41"/>
  <c r="AM209" i="41"/>
  <c r="H209" i="41"/>
  <c r="AM208" i="41"/>
  <c r="H208" i="41"/>
  <c r="AM207" i="41"/>
  <c r="H207" i="41"/>
  <c r="AM206" i="41"/>
  <c r="H206" i="41"/>
  <c r="AM205" i="41"/>
  <c r="H205" i="41"/>
  <c r="AM204" i="41"/>
  <c r="H204" i="41"/>
  <c r="F204" i="41" a="1"/>
  <c r="F204" i="41"/>
  <c r="E204" i="41" a="1"/>
  <c r="E204" i="41"/>
  <c r="AM203" i="41"/>
  <c r="H203" i="41"/>
  <c r="AM202" i="41"/>
  <c r="H202" i="41"/>
  <c r="AM201" i="41"/>
  <c r="H201" i="41"/>
  <c r="AM200" i="41"/>
  <c r="H200" i="41"/>
  <c r="AM199" i="41"/>
  <c r="AC199" i="41"/>
  <c r="H199" i="41"/>
  <c r="D199" i="41"/>
  <c r="AP198" i="41"/>
  <c r="AO198" i="41"/>
  <c r="AM198" i="41"/>
  <c r="AC198" i="41"/>
  <c r="H198" i="41"/>
  <c r="D198" i="41"/>
  <c r="AP197" i="41"/>
  <c r="AO197" i="41"/>
  <c r="AM197" i="41"/>
  <c r="AL197" i="41"/>
  <c r="AC197" i="41"/>
  <c r="P197" i="41"/>
  <c r="O197" i="41"/>
  <c r="H197" i="41"/>
  <c r="AP196" i="41"/>
  <c r="AO196" i="41"/>
  <c r="AM196" i="41"/>
  <c r="AL196" i="41"/>
  <c r="AC196" i="41"/>
  <c r="O196" i="41"/>
  <c r="P196" i="41"/>
  <c r="H196" i="41"/>
  <c r="AM195" i="41"/>
  <c r="H195" i="41"/>
  <c r="AM194" i="41"/>
  <c r="H194" i="41"/>
  <c r="AM193" i="41"/>
  <c r="H193" i="41"/>
  <c r="AM192" i="41"/>
  <c r="H192" i="41"/>
  <c r="AM191" i="41"/>
  <c r="H191" i="41"/>
  <c r="AM190" i="41"/>
  <c r="H190" i="41"/>
  <c r="AM189" i="41"/>
  <c r="H189" i="41"/>
  <c r="AM188" i="41"/>
  <c r="H188" i="41"/>
  <c r="AM187" i="41"/>
  <c r="H187" i="41"/>
  <c r="AM186" i="41"/>
  <c r="H186" i="41"/>
  <c r="AM185" i="41"/>
  <c r="H185" i="41"/>
  <c r="AM184" i="41"/>
  <c r="H184" i="41"/>
  <c r="AM183" i="41"/>
  <c r="H183" i="41"/>
  <c r="AM182" i="41"/>
  <c r="H182" i="41"/>
  <c r="AM181" i="41"/>
  <c r="H181" i="41"/>
  <c r="AM180" i="41"/>
  <c r="H180" i="41"/>
  <c r="AM179" i="41"/>
  <c r="H179" i="41"/>
  <c r="AM178" i="41"/>
  <c r="H178" i="41"/>
  <c r="AM177" i="41"/>
  <c r="H177" i="41"/>
  <c r="D177" i="41"/>
  <c r="AP176" i="41"/>
  <c r="AO176" i="41"/>
  <c r="AM176" i="41"/>
  <c r="AL176" i="41"/>
  <c r="AC176" i="41"/>
  <c r="P176" i="41"/>
  <c r="O176" i="41"/>
  <c r="H176" i="41"/>
  <c r="AP175" i="41"/>
  <c r="AO175" i="41"/>
  <c r="AM175" i="41"/>
  <c r="AL175" i="41"/>
  <c r="AC175" i="41"/>
  <c r="O175" i="41"/>
  <c r="P175" i="41"/>
  <c r="H175" i="41"/>
  <c r="AM174" i="41"/>
  <c r="H174" i="41"/>
  <c r="AM173" i="41"/>
  <c r="H173" i="41"/>
  <c r="AM172" i="41"/>
  <c r="H172" i="41"/>
  <c r="AM171" i="41"/>
  <c r="H171" i="41"/>
  <c r="AM170" i="41"/>
  <c r="H170" i="41"/>
  <c r="AM169" i="41"/>
  <c r="H169" i="41"/>
  <c r="AM168" i="41"/>
  <c r="H168" i="41"/>
  <c r="AM167" i="41"/>
  <c r="H167" i="41"/>
  <c r="AM166" i="41"/>
  <c r="H166" i="41"/>
  <c r="AM165" i="41"/>
  <c r="H165" i="41"/>
  <c r="AM164" i="41"/>
  <c r="H164" i="41"/>
  <c r="AM163" i="41"/>
  <c r="H163" i="41"/>
  <c r="E163" i="41" a="1"/>
  <c r="E163" i="41"/>
  <c r="AM162" i="41"/>
  <c r="H162" i="41"/>
  <c r="AM161" i="41"/>
  <c r="H161" i="41"/>
  <c r="AM160" i="41"/>
  <c r="H160" i="41"/>
  <c r="AM159" i="41"/>
  <c r="H159" i="41"/>
  <c r="F159" i="41" a="1"/>
  <c r="F159" i="41"/>
  <c r="AM158" i="41"/>
  <c r="H158" i="41"/>
  <c r="AM157" i="41"/>
  <c r="H157" i="41"/>
  <c r="D157" i="41"/>
  <c r="AP156" i="41"/>
  <c r="AO156" i="41"/>
  <c r="AM156" i="41"/>
  <c r="AL156" i="41"/>
  <c r="AC156" i="41"/>
  <c r="H156" i="41"/>
  <c r="D156" i="41"/>
  <c r="O156" i="41"/>
  <c r="P156" i="41"/>
  <c r="AP155" i="41"/>
  <c r="AO155" i="41"/>
  <c r="AM155" i="41"/>
  <c r="AL155" i="41"/>
  <c r="AC155" i="41"/>
  <c r="O155" i="41"/>
  <c r="P155" i="41"/>
  <c r="H155" i="41"/>
  <c r="AP154" i="41"/>
  <c r="AO154" i="41"/>
  <c r="AM154" i="41"/>
  <c r="AL154" i="41"/>
  <c r="AC154" i="41"/>
  <c r="O154" i="41"/>
  <c r="P154" i="41"/>
  <c r="H154" i="41"/>
  <c r="AM153" i="41"/>
  <c r="H153" i="41"/>
  <c r="AM152" i="41"/>
  <c r="H152" i="41"/>
  <c r="AM151" i="41"/>
  <c r="H151" i="41"/>
  <c r="AM150" i="41"/>
  <c r="H150" i="41"/>
  <c r="AM149" i="41"/>
  <c r="H149" i="41"/>
  <c r="AM148" i="41"/>
  <c r="H148" i="41"/>
  <c r="AM147" i="41"/>
  <c r="H147" i="41"/>
  <c r="AM146" i="41"/>
  <c r="H146" i="41"/>
  <c r="AM145" i="41"/>
  <c r="H145" i="41"/>
  <c r="F145" i="41" a="1"/>
  <c r="F145" i="41"/>
  <c r="E145" i="41" a="1"/>
  <c r="E145" i="41"/>
  <c r="AM144" i="41"/>
  <c r="H144" i="41"/>
  <c r="AM143" i="41"/>
  <c r="H143" i="41"/>
  <c r="AM142" i="41"/>
  <c r="H142" i="41"/>
  <c r="AM141" i="41"/>
  <c r="H141" i="41"/>
  <c r="AM140" i="41"/>
  <c r="H140" i="41"/>
  <c r="AM139" i="41"/>
  <c r="H139" i="41"/>
  <c r="AM138" i="41"/>
  <c r="H138" i="41"/>
  <c r="AM137" i="41"/>
  <c r="H137" i="41"/>
  <c r="AM136" i="41"/>
  <c r="H136" i="41"/>
  <c r="D136" i="41"/>
  <c r="AP135" i="41"/>
  <c r="AM135" i="41"/>
  <c r="AL135" i="41"/>
  <c r="H135" i="41"/>
  <c r="D135" i="41"/>
  <c r="AP134" i="41"/>
  <c r="AO134" i="41"/>
  <c r="AM134" i="41"/>
  <c r="AL134" i="41"/>
  <c r="AC134" i="41"/>
  <c r="P134" i="41"/>
  <c r="O134" i="41"/>
  <c r="H134" i="41"/>
  <c r="E134" i="41" a="1"/>
  <c r="E134" i="41"/>
  <c r="AP133" i="41"/>
  <c r="AO133" i="41"/>
  <c r="AM133" i="41"/>
  <c r="AL133" i="41"/>
  <c r="AC133" i="41"/>
  <c r="O133" i="41"/>
  <c r="P133" i="41"/>
  <c r="H133" i="41"/>
  <c r="AM132" i="41"/>
  <c r="H132" i="41"/>
  <c r="AM131" i="41"/>
  <c r="H131" i="41"/>
  <c r="AM130" i="41"/>
  <c r="H130" i="41"/>
  <c r="AM129" i="41"/>
  <c r="H129" i="41"/>
  <c r="AM128" i="41"/>
  <c r="H128" i="41"/>
  <c r="AM127" i="41"/>
  <c r="H127" i="41"/>
  <c r="AM126" i="41"/>
  <c r="H126" i="41"/>
  <c r="AM125" i="41"/>
  <c r="H125" i="41"/>
  <c r="AM124" i="41"/>
  <c r="H124" i="41"/>
  <c r="AM123" i="41"/>
  <c r="H123" i="41"/>
  <c r="AM122" i="41"/>
  <c r="H122" i="41"/>
  <c r="AM121" i="41"/>
  <c r="H121" i="41"/>
  <c r="F121" i="41" a="1"/>
  <c r="F121" i="41"/>
  <c r="AM120" i="41"/>
  <c r="H120" i="41"/>
  <c r="AM119" i="41"/>
  <c r="H119" i="41"/>
  <c r="AM118" i="41"/>
  <c r="H118" i="41"/>
  <c r="AM117" i="41"/>
  <c r="H117" i="41"/>
  <c r="AM116" i="41"/>
  <c r="H116" i="41"/>
  <c r="AM115" i="41"/>
  <c r="H115" i="41"/>
  <c r="AM114" i="41"/>
  <c r="H114" i="41"/>
  <c r="D114" i="41"/>
  <c r="AP113" i="41"/>
  <c r="AO113" i="41"/>
  <c r="AM113" i="41"/>
  <c r="AL113" i="41"/>
  <c r="AC113" i="41"/>
  <c r="P113" i="41"/>
  <c r="O113" i="41"/>
  <c r="H113" i="41"/>
  <c r="AP112" i="41"/>
  <c r="AO112" i="41"/>
  <c r="AM112" i="41"/>
  <c r="AL112" i="41"/>
  <c r="AC112" i="41"/>
  <c r="O112" i="41"/>
  <c r="P112" i="41"/>
  <c r="H112" i="41"/>
  <c r="AM111" i="41"/>
  <c r="H111" i="41"/>
  <c r="AM110" i="41"/>
  <c r="H110" i="41"/>
  <c r="AM109" i="41"/>
  <c r="H109" i="41"/>
  <c r="AM108" i="41"/>
  <c r="H108" i="41"/>
  <c r="AM107" i="41"/>
  <c r="H107" i="41"/>
  <c r="AM106" i="41"/>
  <c r="H106" i="41"/>
  <c r="AM105" i="41"/>
  <c r="H105" i="41"/>
  <c r="AM104" i="41"/>
  <c r="H104" i="41"/>
  <c r="AM103" i="41"/>
  <c r="H103" i="41"/>
  <c r="AM102" i="41"/>
  <c r="H102" i="41"/>
  <c r="AM101" i="41"/>
  <c r="H101" i="41"/>
  <c r="E101" i="41" a="1"/>
  <c r="E101" i="41"/>
  <c r="AM100" i="41"/>
  <c r="H100" i="41"/>
  <c r="AM99" i="41"/>
  <c r="H99" i="41"/>
  <c r="F99" i="41" a="1"/>
  <c r="F99" i="41"/>
  <c r="AM98" i="41"/>
  <c r="H98" i="41"/>
  <c r="AM97" i="41"/>
  <c r="H97" i="41"/>
  <c r="AM96" i="41"/>
  <c r="H96" i="41"/>
  <c r="F96" i="41" a="1"/>
  <c r="F96" i="41"/>
  <c r="AM95" i="41"/>
  <c r="H95" i="41"/>
  <c r="AM94" i="41"/>
  <c r="H94" i="41"/>
  <c r="AP93" i="41"/>
  <c r="AO93" i="41"/>
  <c r="AM93" i="41"/>
  <c r="O93" i="41"/>
  <c r="P93" i="41"/>
  <c r="H93" i="41"/>
  <c r="D93" i="41"/>
  <c r="AP92" i="41"/>
  <c r="AO92" i="41"/>
  <c r="AM92" i="41"/>
  <c r="AL92" i="41"/>
  <c r="AC92" i="41"/>
  <c r="O92" i="41"/>
  <c r="P92" i="41"/>
  <c r="H92" i="41"/>
  <c r="AP91" i="41"/>
  <c r="AO91" i="41"/>
  <c r="AM91" i="41"/>
  <c r="AL91" i="41"/>
  <c r="AC91" i="41"/>
  <c r="O91" i="41"/>
  <c r="P91" i="41"/>
  <c r="H91" i="41"/>
  <c r="AM90" i="41"/>
  <c r="H90" i="41"/>
  <c r="AM89" i="41"/>
  <c r="H89" i="41"/>
  <c r="AM88" i="41"/>
  <c r="H88" i="41"/>
  <c r="AM87" i="41"/>
  <c r="H87" i="41"/>
  <c r="AM86" i="41"/>
  <c r="H86" i="41"/>
  <c r="AM85" i="41"/>
  <c r="H85" i="41"/>
  <c r="AM84" i="41"/>
  <c r="H84" i="41"/>
  <c r="F84" i="41" a="1"/>
  <c r="F84" i="41"/>
  <c r="AM83" i="41"/>
  <c r="H83" i="41"/>
  <c r="AM82" i="41"/>
  <c r="H82" i="41"/>
  <c r="AM81" i="41"/>
  <c r="H81" i="41"/>
  <c r="AM80" i="41"/>
  <c r="H80" i="41"/>
  <c r="AM79" i="41"/>
  <c r="H79" i="41"/>
  <c r="AM78" i="41"/>
  <c r="H78" i="41"/>
  <c r="AM77" i="41"/>
  <c r="H77" i="41"/>
  <c r="F77" i="41" a="1"/>
  <c r="F77" i="41"/>
  <c r="AM76" i="41"/>
  <c r="H76" i="41"/>
  <c r="AM75" i="41"/>
  <c r="H75" i="41"/>
  <c r="F75" i="41" a="1"/>
  <c r="F75" i="41"/>
  <c r="AM74" i="41"/>
  <c r="H74" i="41"/>
  <c r="AM73" i="41"/>
  <c r="H73" i="41"/>
  <c r="AP72" i="41"/>
  <c r="AO72" i="41"/>
  <c r="AM72" i="41"/>
  <c r="O72" i="41"/>
  <c r="P72" i="41"/>
  <c r="H72" i="41"/>
  <c r="D72" i="41"/>
  <c r="AP71" i="41"/>
  <c r="AO71" i="41"/>
  <c r="AM71" i="41"/>
  <c r="AL71" i="41"/>
  <c r="AC71" i="41"/>
  <c r="P71" i="41"/>
  <c r="O71" i="41"/>
  <c r="H71" i="41"/>
  <c r="AP70" i="41"/>
  <c r="AO70" i="41"/>
  <c r="AM70" i="41"/>
  <c r="AL70" i="41"/>
  <c r="AC70" i="41"/>
  <c r="O70" i="41"/>
  <c r="P70" i="41"/>
  <c r="H70" i="41"/>
  <c r="AM69" i="41"/>
  <c r="H69" i="41"/>
  <c r="AM68" i="41"/>
  <c r="H68" i="41"/>
  <c r="AM67" i="41"/>
  <c r="H67" i="41"/>
  <c r="AM66" i="41"/>
  <c r="H66" i="41"/>
  <c r="AM65" i="41"/>
  <c r="H65" i="41"/>
  <c r="AM64" i="41"/>
  <c r="H64" i="41"/>
  <c r="AM63" i="41"/>
  <c r="H63" i="41"/>
  <c r="AM62" i="41"/>
  <c r="H62" i="41"/>
  <c r="AM61" i="41"/>
  <c r="H61" i="41"/>
  <c r="F61" i="41" a="1"/>
  <c r="F61" i="41"/>
  <c r="AM60" i="41"/>
  <c r="H60" i="41"/>
  <c r="AM59" i="41"/>
  <c r="H59" i="41"/>
  <c r="AM58" i="41"/>
  <c r="H58" i="41"/>
  <c r="AM57" i="41"/>
  <c r="H57" i="41"/>
  <c r="AM56" i="41"/>
  <c r="H56" i="41"/>
  <c r="AM55" i="41"/>
  <c r="H55" i="41"/>
  <c r="AM54" i="41"/>
  <c r="H54" i="41"/>
  <c r="F54" i="41" a="1"/>
  <c r="F54" i="41"/>
  <c r="AT53" i="41"/>
  <c r="AP53" i="41"/>
  <c r="AO53" i="41"/>
  <c r="AM53" i="41"/>
  <c r="H53" i="41"/>
  <c r="D53" i="41"/>
  <c r="AT52" i="41"/>
  <c r="AM52" i="41"/>
  <c r="AC52" i="41"/>
  <c r="O52" i="41"/>
  <c r="P52" i="41"/>
  <c r="H52" i="41"/>
  <c r="D52" i="41"/>
  <c r="AP52" i="41"/>
  <c r="AT51" i="41"/>
  <c r="AP51" i="41"/>
  <c r="AO51" i="41"/>
  <c r="AM51" i="41"/>
  <c r="AL51" i="41"/>
  <c r="AC51" i="41"/>
  <c r="O51" i="41"/>
  <c r="P51" i="41"/>
  <c r="H51" i="41"/>
  <c r="D51" i="41"/>
  <c r="AT50" i="41"/>
  <c r="AP50" i="41"/>
  <c r="AO50" i="41"/>
  <c r="AM50" i="41"/>
  <c r="AL50" i="41"/>
  <c r="AC50" i="41"/>
  <c r="O50" i="41"/>
  <c r="P50" i="41"/>
  <c r="H50" i="41"/>
  <c r="AT49" i="41"/>
  <c r="AP49" i="41"/>
  <c r="AO49" i="41"/>
  <c r="AM49" i="41"/>
  <c r="AL49" i="41"/>
  <c r="AC49" i="41"/>
  <c r="P49" i="41"/>
  <c r="O49" i="41"/>
  <c r="H49" i="41"/>
  <c r="AT48" i="41"/>
  <c r="AM48" i="41"/>
  <c r="H48" i="41"/>
  <c r="AT47" i="41"/>
  <c r="E248" i="41" a="1"/>
  <c r="E248" i="41"/>
  <c r="AM47" i="41"/>
  <c r="H47" i="41"/>
  <c r="E47" i="41" a="1"/>
  <c r="E47" i="41"/>
  <c r="AT46" i="41"/>
  <c r="AM46" i="41"/>
  <c r="H46" i="41"/>
  <c r="AT45" i="41"/>
  <c r="AM45" i="41"/>
  <c r="H45" i="41"/>
  <c r="AT44" i="41"/>
  <c r="AM44" i="41"/>
  <c r="H44" i="41"/>
  <c r="AT43" i="41"/>
  <c r="AM43" i="41"/>
  <c r="H43" i="41"/>
  <c r="AT42" i="41"/>
  <c r="AM42" i="41"/>
  <c r="H42" i="41"/>
  <c r="AT41" i="41"/>
  <c r="AM41" i="41"/>
  <c r="H41" i="41"/>
  <c r="AT40" i="41"/>
  <c r="AM40" i="41"/>
  <c r="H40" i="41"/>
  <c r="AT39" i="41"/>
  <c r="AM39" i="41"/>
  <c r="H39" i="41"/>
  <c r="AT38" i="41"/>
  <c r="AM38" i="41"/>
  <c r="H38" i="41"/>
  <c r="AT37" i="41"/>
  <c r="AM37" i="41"/>
  <c r="H37" i="41"/>
  <c r="AT36" i="41"/>
  <c r="F206" i="41" a="1"/>
  <c r="F206" i="41"/>
  <c r="AM36" i="41"/>
  <c r="H36" i="41"/>
  <c r="AT35" i="41"/>
  <c r="AM35" i="41"/>
  <c r="H35" i="41"/>
  <c r="AT34" i="41"/>
  <c r="AM34" i="41"/>
  <c r="H34" i="41"/>
  <c r="AT33" i="41"/>
  <c r="AM33" i="41"/>
  <c r="H33" i="41"/>
  <c r="AT32" i="41"/>
  <c r="F193" i="41" a="1"/>
  <c r="F193" i="41"/>
  <c r="AM32" i="41"/>
  <c r="H32" i="41"/>
  <c r="AT31" i="41"/>
  <c r="AP31" i="41"/>
  <c r="AO31" i="41"/>
  <c r="AM31" i="41"/>
  <c r="H31" i="41"/>
  <c r="D31" i="41"/>
  <c r="AT30" i="41"/>
  <c r="F163" i="41" a="1"/>
  <c r="F163" i="41"/>
  <c r="AP30" i="41"/>
  <c r="AO30" i="41"/>
  <c r="AM30" i="41"/>
  <c r="AL30" i="41"/>
  <c r="H30" i="41"/>
  <c r="D30" i="41"/>
  <c r="AC30" i="41"/>
  <c r="AT29" i="41"/>
  <c r="F168" i="41" a="1"/>
  <c r="F168" i="41"/>
  <c r="AP29" i="41"/>
  <c r="AO29" i="41"/>
  <c r="AM29" i="41"/>
  <c r="AL29" i="41"/>
  <c r="AC29" i="41"/>
  <c r="P29" i="41"/>
  <c r="O29" i="41"/>
  <c r="H29" i="41"/>
  <c r="AT28" i="41"/>
  <c r="F171" i="41" a="1"/>
  <c r="F171" i="41"/>
  <c r="AP28" i="41"/>
  <c r="AO28" i="41"/>
  <c r="AM28" i="41"/>
  <c r="AL28" i="41"/>
  <c r="AC28" i="41"/>
  <c r="P28" i="41"/>
  <c r="O28" i="41"/>
  <c r="H28" i="41"/>
  <c r="AT27" i="41"/>
  <c r="AM27" i="41"/>
  <c r="H27" i="41"/>
  <c r="AT26" i="41"/>
  <c r="AM26" i="41"/>
  <c r="H26" i="41"/>
  <c r="AT25" i="41"/>
  <c r="AM25" i="41"/>
  <c r="H25" i="41"/>
  <c r="AT24" i="41"/>
  <c r="AM24" i="41"/>
  <c r="H24" i="41"/>
  <c r="E24" i="41" a="1"/>
  <c r="E24" i="41"/>
  <c r="AT23" i="41"/>
  <c r="AM23" i="41"/>
  <c r="H23" i="41"/>
  <c r="AT22" i="41"/>
  <c r="AM22" i="41"/>
  <c r="H22" i="41"/>
  <c r="AT21" i="41"/>
  <c r="AM21" i="41"/>
  <c r="H21" i="41"/>
  <c r="AT20" i="41"/>
  <c r="AM20" i="41"/>
  <c r="H20" i="41"/>
  <c r="AT19" i="41"/>
  <c r="AM19" i="41"/>
  <c r="H19" i="41"/>
  <c r="AT18" i="41"/>
  <c r="AM18" i="41"/>
  <c r="H18" i="41"/>
  <c r="AT17" i="41"/>
  <c r="AM17" i="41"/>
  <c r="H17" i="41"/>
  <c r="AT16" i="41"/>
  <c r="AM16" i="41"/>
  <c r="H16" i="41"/>
  <c r="AT15" i="41"/>
  <c r="F115" i="41" a="1"/>
  <c r="F115" i="41"/>
  <c r="AM15" i="41"/>
  <c r="H15" i="41"/>
  <c r="AT14" i="41"/>
  <c r="AM14" i="41"/>
  <c r="H14" i="41"/>
  <c r="AT13" i="41"/>
  <c r="AN13" i="41"/>
  <c r="AN14" i="41"/>
  <c r="AN15" i="41"/>
  <c r="AN16" i="41"/>
  <c r="AN17" i="41"/>
  <c r="AN18" i="41"/>
  <c r="AN19" i="41"/>
  <c r="AN20" i="41"/>
  <c r="AN21" i="41"/>
  <c r="AN22" i="41"/>
  <c r="AN23" i="41"/>
  <c r="AN24" i="41"/>
  <c r="AN25" i="41"/>
  <c r="AN26" i="41"/>
  <c r="AN27" i="41"/>
  <c r="AN28" i="41"/>
  <c r="AN29" i="41"/>
  <c r="AN30" i="41"/>
  <c r="AN31" i="41"/>
  <c r="AN32" i="41"/>
  <c r="AN33" i="41"/>
  <c r="AN34" i="41"/>
  <c r="AN35" i="41"/>
  <c r="AN36" i="41"/>
  <c r="AN37" i="41"/>
  <c r="AN38" i="41"/>
  <c r="AN39" i="41"/>
  <c r="AN40" i="41"/>
  <c r="AN41" i="41"/>
  <c r="AN42" i="41"/>
  <c r="AN43" i="41"/>
  <c r="AN44" i="41"/>
  <c r="AN45" i="41"/>
  <c r="AN46" i="41"/>
  <c r="AN47" i="41"/>
  <c r="AN48" i="41"/>
  <c r="AN49" i="41"/>
  <c r="AN50" i="41"/>
  <c r="AN51" i="41"/>
  <c r="AN52" i="41"/>
  <c r="AN53" i="41"/>
  <c r="AN54" i="41"/>
  <c r="AN55" i="41"/>
  <c r="AN56" i="41"/>
  <c r="AN57" i="41"/>
  <c r="AN58" i="41"/>
  <c r="AN59" i="41"/>
  <c r="AN60" i="41"/>
  <c r="AN61" i="41"/>
  <c r="AN62" i="41"/>
  <c r="AN63" i="41"/>
  <c r="AN64" i="41"/>
  <c r="AN65" i="41"/>
  <c r="AN66" i="41"/>
  <c r="AN67" i="41"/>
  <c r="AN68" i="41"/>
  <c r="AN69" i="41"/>
  <c r="AN70" i="41"/>
  <c r="AN71" i="41"/>
  <c r="AN72" i="41"/>
  <c r="AN73" i="41"/>
  <c r="AN74" i="41"/>
  <c r="AN75" i="41"/>
  <c r="AN76" i="41"/>
  <c r="AN77" i="41"/>
  <c r="AN78" i="41"/>
  <c r="AN79" i="41"/>
  <c r="AN80" i="41"/>
  <c r="AN81" i="41"/>
  <c r="AN82" i="41"/>
  <c r="AN83" i="41"/>
  <c r="AN84" i="41"/>
  <c r="AN85" i="41"/>
  <c r="AN86" i="41"/>
  <c r="AN87" i="41"/>
  <c r="AN88" i="41"/>
  <c r="AN89" i="41"/>
  <c r="AN90" i="41"/>
  <c r="AN91" i="41"/>
  <c r="AN92" i="41"/>
  <c r="AN93" i="41"/>
  <c r="AN94" i="41"/>
  <c r="AN95" i="41"/>
  <c r="AN96" i="41"/>
  <c r="AN97" i="41"/>
  <c r="AN98" i="41"/>
  <c r="AN99" i="41"/>
  <c r="AN100" i="41"/>
  <c r="AN101" i="41"/>
  <c r="AN102" i="41"/>
  <c r="AN103" i="41"/>
  <c r="AN104" i="41"/>
  <c r="AN105" i="41"/>
  <c r="AN106" i="41"/>
  <c r="AN107" i="41"/>
  <c r="AN108" i="41"/>
  <c r="AN109" i="41"/>
  <c r="AN110" i="41"/>
  <c r="AN111" i="41"/>
  <c r="AN112" i="41"/>
  <c r="AN113" i="41"/>
  <c r="AN114" i="41"/>
  <c r="AN115" i="41"/>
  <c r="AN116" i="41"/>
  <c r="AN117" i="41"/>
  <c r="AN118" i="41"/>
  <c r="AN119" i="41"/>
  <c r="AN120" i="41"/>
  <c r="AN121" i="41"/>
  <c r="AN122" i="41"/>
  <c r="AN123" i="41"/>
  <c r="AN124" i="41"/>
  <c r="AN125" i="41"/>
  <c r="AN126" i="41"/>
  <c r="AN127" i="41"/>
  <c r="AN128" i="41"/>
  <c r="AN129" i="41"/>
  <c r="AN130" i="41"/>
  <c r="AN131" i="41"/>
  <c r="AN132" i="41"/>
  <c r="AN133" i="41"/>
  <c r="AN134" i="41"/>
  <c r="AN135" i="41"/>
  <c r="AN136" i="41"/>
  <c r="AN137" i="41"/>
  <c r="AN138" i="41"/>
  <c r="AN139" i="41"/>
  <c r="AN140" i="41"/>
  <c r="AN141" i="41"/>
  <c r="AN142" i="41"/>
  <c r="AN143" i="41"/>
  <c r="AN144" i="41"/>
  <c r="AN145" i="41"/>
  <c r="AN146" i="41"/>
  <c r="AN147" i="41"/>
  <c r="AN148" i="41"/>
  <c r="AN149" i="41"/>
  <c r="AN150" i="41"/>
  <c r="AN151" i="41"/>
  <c r="AN152" i="41"/>
  <c r="AN153" i="41"/>
  <c r="AN154" i="41"/>
  <c r="AN155" i="41"/>
  <c r="AN156" i="41"/>
  <c r="AN157" i="41"/>
  <c r="AN158" i="41"/>
  <c r="AN159" i="41"/>
  <c r="AN160" i="41"/>
  <c r="AN161" i="41"/>
  <c r="AN162" i="41"/>
  <c r="AN163" i="41"/>
  <c r="AN164" i="41"/>
  <c r="AN165" i="41"/>
  <c r="AN166" i="41"/>
  <c r="AN167" i="41"/>
  <c r="AN168" i="41"/>
  <c r="AN169" i="41"/>
  <c r="AN170" i="41"/>
  <c r="AN171" i="41"/>
  <c r="AN172" i="41"/>
  <c r="AN173" i="41"/>
  <c r="AN174" i="41"/>
  <c r="AN175" i="41"/>
  <c r="AN176" i="41"/>
  <c r="AN177" i="41"/>
  <c r="AN178" i="41"/>
  <c r="AN179" i="41"/>
  <c r="AN180" i="41"/>
  <c r="AN181" i="41"/>
  <c r="AN182" i="41"/>
  <c r="AN183" i="41"/>
  <c r="AN184" i="41"/>
  <c r="AN185" i="41"/>
  <c r="AN186" i="41"/>
  <c r="AN187" i="41"/>
  <c r="AN188" i="41"/>
  <c r="AN189" i="41"/>
  <c r="AN190" i="41"/>
  <c r="AN191" i="41"/>
  <c r="AN192" i="41"/>
  <c r="AN193" i="41"/>
  <c r="AN194" i="41"/>
  <c r="AN195" i="41"/>
  <c r="AN196" i="41"/>
  <c r="AN197" i="41"/>
  <c r="AN198" i="41"/>
  <c r="AN199" i="41"/>
  <c r="AN200" i="41"/>
  <c r="AN201" i="41"/>
  <c r="AN202" i="41"/>
  <c r="AN203" i="41"/>
  <c r="AN204" i="41"/>
  <c r="AN205" i="41"/>
  <c r="AN206" i="41"/>
  <c r="AN207" i="41"/>
  <c r="AN208" i="41"/>
  <c r="AN209" i="41"/>
  <c r="AN210" i="41"/>
  <c r="AN211" i="41"/>
  <c r="AN212" i="41"/>
  <c r="AN213" i="41"/>
  <c r="AN214" i="41"/>
  <c r="AN215" i="41"/>
  <c r="AN216" i="41"/>
  <c r="AN217" i="41"/>
  <c r="AN218" i="41"/>
  <c r="AN219" i="41"/>
  <c r="AN220" i="41"/>
  <c r="AN221" i="41"/>
  <c r="AN222" i="41"/>
  <c r="AN223" i="41"/>
  <c r="AN224" i="41"/>
  <c r="AN225" i="41"/>
  <c r="AN226" i="41"/>
  <c r="AN227" i="41"/>
  <c r="AN228" i="41"/>
  <c r="AN229" i="41"/>
  <c r="AN230" i="41"/>
  <c r="AN231" i="41"/>
  <c r="AN232" i="41"/>
  <c r="AN233" i="41"/>
  <c r="AN234" i="41"/>
  <c r="AN235" i="41"/>
  <c r="AN236" i="41"/>
  <c r="AN237" i="41"/>
  <c r="AN238" i="41"/>
  <c r="AN239" i="41"/>
  <c r="AN240" i="41"/>
  <c r="AN241" i="41"/>
  <c r="AN242" i="41"/>
  <c r="AN243" i="41"/>
  <c r="AN244" i="41"/>
  <c r="AN245" i="41"/>
  <c r="AN246" i="41"/>
  <c r="AN247" i="41"/>
  <c r="AN248" i="41"/>
  <c r="AN249" i="41"/>
  <c r="AN250" i="41"/>
  <c r="AN251" i="41"/>
  <c r="AN252" i="41"/>
  <c r="AN253" i="41"/>
  <c r="AN254" i="41"/>
  <c r="AN255" i="41"/>
  <c r="AN256" i="41"/>
  <c r="AN257" i="41"/>
  <c r="AN258" i="41"/>
  <c r="AN259" i="41"/>
  <c r="AN260" i="41"/>
  <c r="AN261" i="41"/>
  <c r="AN262" i="41"/>
  <c r="AN263" i="41"/>
  <c r="AN264" i="41"/>
  <c r="AN265" i="41"/>
  <c r="AN266" i="41"/>
  <c r="AN267" i="41"/>
  <c r="AN268" i="41"/>
  <c r="AN269" i="41"/>
  <c r="AN270" i="41"/>
  <c r="AN271" i="41"/>
  <c r="AN272" i="41"/>
  <c r="AN273" i="41"/>
  <c r="AN274" i="41"/>
  <c r="AN275" i="41"/>
  <c r="AN276" i="41"/>
  <c r="AN277" i="41"/>
  <c r="AN278" i="41"/>
  <c r="AN279" i="41"/>
  <c r="AM13" i="41"/>
  <c r="H13" i="41"/>
  <c r="AT12" i="41"/>
  <c r="AN12" i="41"/>
  <c r="AM12" i="41"/>
  <c r="H12" i="41"/>
  <c r="E12" i="41" a="1"/>
  <c r="E12" i="41"/>
  <c r="AT11" i="41"/>
  <c r="F33" i="41" a="1"/>
  <c r="F33" i="41"/>
  <c r="AM11" i="41"/>
  <c r="H11" i="41"/>
  <c r="AT10" i="41"/>
  <c r="AN10" i="41"/>
  <c r="AN11" i="41"/>
  <c r="AM10" i="41"/>
  <c r="H10" i="41"/>
  <c r="AT9" i="41"/>
  <c r="AP9" i="41"/>
  <c r="AO9" i="41"/>
  <c r="AN9" i="41"/>
  <c r="AM9" i="41"/>
  <c r="AL9" i="41"/>
  <c r="H9" i="41"/>
  <c r="D9" i="41"/>
  <c r="AT8" i="41"/>
  <c r="AP8" i="41"/>
  <c r="AO8" i="41"/>
  <c r="AN8" i="41"/>
  <c r="AM8" i="41"/>
  <c r="AL8" i="41"/>
  <c r="AC8" i="41"/>
  <c r="O8" i="41"/>
  <c r="P8" i="41"/>
  <c r="H8" i="41"/>
  <c r="AT7" i="41"/>
  <c r="AP7" i="41"/>
  <c r="AO7" i="41"/>
  <c r="AM7" i="41"/>
  <c r="AL7" i="41"/>
  <c r="AC7" i="41"/>
  <c r="P7" i="41"/>
  <c r="O7" i="41"/>
  <c r="H7" i="41"/>
  <c r="AT6" i="41"/>
  <c r="AT5" i="41"/>
  <c r="AT4" i="41"/>
  <c r="J3" i="41"/>
  <c r="B16" i="39"/>
  <c r="B17" i="39"/>
  <c r="C15" i="39"/>
  <c r="D15" i="39"/>
  <c r="G11" i="39"/>
  <c r="D11" i="39"/>
  <c r="F11" i="39" s="1"/>
  <c r="C11" i="39"/>
  <c r="K8" i="39"/>
  <c r="B20" i="38"/>
  <c r="B21" i="38"/>
  <c r="B17" i="38"/>
  <c r="B18" i="38"/>
  <c r="B19" i="38"/>
  <c r="C19" i="38"/>
  <c r="D19" i="38"/>
  <c r="B16" i="38"/>
  <c r="C16" i="38"/>
  <c r="D16" i="38"/>
  <c r="C15" i="38"/>
  <c r="D15" i="38"/>
  <c r="G11" i="38"/>
  <c r="C11" i="38"/>
  <c r="D11" i="38"/>
  <c r="L8" i="38" s="1"/>
  <c r="B11" i="38"/>
  <c r="K8" i="38"/>
  <c r="B17" i="37"/>
  <c r="B18" i="37"/>
  <c r="B16" i="37"/>
  <c r="C16" i="37"/>
  <c r="D16" i="37"/>
  <c r="D15" i="37"/>
  <c r="C15" i="37"/>
  <c r="G11" i="37"/>
  <c r="C11" i="37"/>
  <c r="D11" i="37"/>
  <c r="L8" i="37" s="1"/>
  <c r="B11" i="37"/>
  <c r="K8" i="37"/>
  <c r="B16" i="36"/>
  <c r="C16" i="36" s="1"/>
  <c r="D16" i="36" s="1"/>
  <c r="C15" i="36"/>
  <c r="D15" i="36" s="1"/>
  <c r="K8" i="36"/>
  <c r="D8" i="36"/>
  <c r="B16" i="35"/>
  <c r="C15" i="35"/>
  <c r="D15" i="35"/>
  <c r="K8" i="35"/>
  <c r="B17" i="34"/>
  <c r="C17" i="34"/>
  <c r="D17" i="34"/>
  <c r="C16" i="34"/>
  <c r="D16" i="34"/>
  <c r="B16" i="34"/>
  <c r="C15" i="34"/>
  <c r="D15" i="34"/>
  <c r="K8" i="34"/>
  <c r="AL53" i="33"/>
  <c r="AL52" i="33"/>
  <c r="AL51" i="33"/>
  <c r="AL50" i="33"/>
  <c r="AL49" i="33"/>
  <c r="AL48" i="33"/>
  <c r="AL47" i="33"/>
  <c r="AL46" i="33"/>
  <c r="AL45" i="33"/>
  <c r="AL44" i="33"/>
  <c r="AL43" i="33"/>
  <c r="AL42" i="33"/>
  <c r="AL41" i="33"/>
  <c r="AL40" i="33"/>
  <c r="AL39" i="33"/>
  <c r="AL38" i="33"/>
  <c r="AL37" i="33"/>
  <c r="AL36" i="33"/>
  <c r="AL35" i="33"/>
  <c r="AL34" i="33"/>
  <c r="AL33" i="33"/>
  <c r="AL32" i="33"/>
  <c r="AL31" i="33"/>
  <c r="AL30" i="33"/>
  <c r="AL29" i="33"/>
  <c r="AL28" i="33"/>
  <c r="AL27" i="33"/>
  <c r="AL26" i="33"/>
  <c r="AL25" i="33"/>
  <c r="AL24" i="33"/>
  <c r="AL23" i="33"/>
  <c r="AL22" i="33"/>
  <c r="AL21" i="33"/>
  <c r="AL20" i="33"/>
  <c r="AL19" i="33"/>
  <c r="AH19" i="33"/>
  <c r="AG19" i="33"/>
  <c r="AE19" i="33"/>
  <c r="AD19" i="33"/>
  <c r="Q19" i="33"/>
  <c r="P19" i="33"/>
  <c r="I19" i="33"/>
  <c r="AL18" i="33"/>
  <c r="AH18" i="33"/>
  <c r="AG18" i="33"/>
  <c r="AE18" i="33"/>
  <c r="AD18" i="33"/>
  <c r="P18" i="33"/>
  <c r="Q18" i="33" s="1"/>
  <c r="I18" i="33"/>
  <c r="AL17" i="33"/>
  <c r="AH17" i="33"/>
  <c r="AG17" i="33"/>
  <c r="AE17" i="33"/>
  <c r="AD17" i="33"/>
  <c r="Q17" i="33"/>
  <c r="P17" i="33"/>
  <c r="I17" i="33"/>
  <c r="G17" i="33" a="1"/>
  <c r="G17" i="33"/>
  <c r="AL16" i="33"/>
  <c r="AH16" i="33"/>
  <c r="AG16" i="33"/>
  <c r="AE16" i="33"/>
  <c r="AD16" i="33"/>
  <c r="P16" i="33"/>
  <c r="Q16" i="33" s="1"/>
  <c r="I16" i="33"/>
  <c r="AL15" i="33"/>
  <c r="AH15" i="33"/>
  <c r="AG15" i="33"/>
  <c r="AF15" i="33"/>
  <c r="AF16" i="33"/>
  <c r="AF17" i="33"/>
  <c r="AF18" i="33"/>
  <c r="AF19" i="33"/>
  <c r="AE15" i="33"/>
  <c r="AD15" i="33"/>
  <c r="Q15" i="33"/>
  <c r="P15" i="33"/>
  <c r="I15" i="33"/>
  <c r="AL14" i="33"/>
  <c r="AH14" i="33"/>
  <c r="AG14" i="33"/>
  <c r="AE14" i="33"/>
  <c r="AD14" i="33"/>
  <c r="P14" i="33"/>
  <c r="Q14" i="33" s="1"/>
  <c r="I14" i="33"/>
  <c r="AL13" i="33"/>
  <c r="AH13" i="33"/>
  <c r="AG13" i="33"/>
  <c r="AE13" i="33"/>
  <c r="AD13" i="33"/>
  <c r="P13" i="33"/>
  <c r="Q13" i="33" s="1"/>
  <c r="I13" i="33"/>
  <c r="AL12" i="33"/>
  <c r="AH12" i="33"/>
  <c r="AG12" i="33"/>
  <c r="AE12" i="33"/>
  <c r="AD12" i="33"/>
  <c r="P12" i="33"/>
  <c r="Q12" i="33" s="1"/>
  <c r="I12" i="33"/>
  <c r="AL11" i="33"/>
  <c r="AH11" i="33"/>
  <c r="AG11" i="33"/>
  <c r="AE11" i="33"/>
  <c r="AD11" i="33"/>
  <c r="P11" i="33"/>
  <c r="Q11" i="33"/>
  <c r="I11" i="33"/>
  <c r="AL10" i="33"/>
  <c r="AH10" i="33"/>
  <c r="AG10" i="33"/>
  <c r="AE10" i="33"/>
  <c r="AD10" i="33"/>
  <c r="P10" i="33"/>
  <c r="Q10" i="33" s="1"/>
  <c r="I10" i="33"/>
  <c r="AL9" i="33"/>
  <c r="AH9" i="33"/>
  <c r="AG9" i="33"/>
  <c r="AE9" i="33"/>
  <c r="AD9" i="33"/>
  <c r="P9" i="33"/>
  <c r="Q9" i="33" s="1"/>
  <c r="I9" i="33"/>
  <c r="AL8" i="33"/>
  <c r="AH8" i="33"/>
  <c r="AG8" i="33"/>
  <c r="AF8" i="33"/>
  <c r="AF9" i="33"/>
  <c r="AF10" i="33"/>
  <c r="AF11" i="33"/>
  <c r="AF12" i="33"/>
  <c r="AF13" i="33"/>
  <c r="AF14" i="33"/>
  <c r="AE8" i="33"/>
  <c r="AD8" i="33"/>
  <c r="P8" i="33"/>
  <c r="Q8" i="33" s="1"/>
  <c r="I8" i="33"/>
  <c r="AL7" i="33"/>
  <c r="AH7" i="33"/>
  <c r="AG7" i="33"/>
  <c r="AE7" i="33"/>
  <c r="AD7" i="33"/>
  <c r="Q7" i="33"/>
  <c r="P7" i="33"/>
  <c r="I7" i="33"/>
  <c r="G7" i="33" a="1"/>
  <c r="G7" i="33" s="1"/>
  <c r="AL6" i="33"/>
  <c r="AL5" i="33"/>
  <c r="AL4" i="33"/>
  <c r="E52" i="16"/>
  <c r="E52" i="19"/>
  <c r="O55" i="16"/>
  <c r="O55" i="19"/>
  <c r="AC7" i="16"/>
  <c r="AC7" i="19"/>
  <c r="L3" i="32"/>
  <c r="G4" i="32"/>
  <c r="L4" i="32"/>
  <c r="G5" i="32"/>
  <c r="L5" i="32"/>
  <c r="G6" i="32"/>
  <c r="L6" i="32"/>
  <c r="G7" i="32"/>
  <c r="L7" i="32"/>
  <c r="G8" i="32"/>
  <c r="G9" i="32"/>
  <c r="D9" i="32"/>
  <c r="D10" i="32"/>
  <c r="D11" i="32"/>
  <c r="D13" i="32"/>
  <c r="D14" i="32"/>
  <c r="M3" i="32"/>
  <c r="D15" i="32"/>
  <c r="D18" i="32"/>
  <c r="D17" i="32"/>
  <c r="S30" i="32"/>
  <c r="N5" i="30"/>
  <c r="O5" i="30"/>
  <c r="P5" i="30"/>
  <c r="N4" i="30"/>
  <c r="O4" i="30"/>
  <c r="P4" i="30"/>
  <c r="F11" i="30"/>
  <c r="F12" i="30"/>
  <c r="F13" i="30"/>
  <c r="F14" i="30"/>
  <c r="F15" i="30"/>
  <c r="F16" i="30"/>
  <c r="F17" i="30"/>
  <c r="F10" i="30"/>
  <c r="E12" i="30"/>
  <c r="E13" i="30"/>
  <c r="E14" i="30"/>
  <c r="E15" i="30"/>
  <c r="E16" i="30"/>
  <c r="E17" i="30"/>
  <c r="E11" i="30"/>
  <c r="I16" i="30"/>
  <c r="I10" i="30"/>
  <c r="H12" i="30"/>
  <c r="H13" i="30"/>
  <c r="H14" i="30"/>
  <c r="H15" i="30"/>
  <c r="H16" i="30"/>
  <c r="H17" i="30"/>
  <c r="I17" i="30"/>
  <c r="H11" i="30"/>
  <c r="I11" i="30"/>
  <c r="I7" i="30"/>
  <c r="I4" i="30"/>
  <c r="F7" i="30"/>
  <c r="F4" i="30"/>
  <c r="E42" i="29"/>
  <c r="E43" i="29"/>
  <c r="E44" i="29"/>
  <c r="E45" i="29"/>
  <c r="E46" i="29"/>
  <c r="E47" i="29"/>
  <c r="E48" i="29"/>
  <c r="D42" i="29"/>
  <c r="D43" i="29"/>
  <c r="D44" i="29"/>
  <c r="D45" i="29"/>
  <c r="D46" i="29"/>
  <c r="D47" i="29"/>
  <c r="D48" i="29"/>
  <c r="E53" i="29"/>
  <c r="E54" i="29"/>
  <c r="E66" i="29"/>
  <c r="E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27" i="29"/>
  <c r="D41" i="29"/>
  <c r="D35" i="29"/>
  <c r="D36" i="29"/>
  <c r="D37" i="29"/>
  <c r="D38" i="29"/>
  <c r="D39" i="29"/>
  <c r="D40" i="29"/>
  <c r="D29" i="29"/>
  <c r="D30" i="29"/>
  <c r="D31" i="29"/>
  <c r="D32" i="29"/>
  <c r="D33" i="29"/>
  <c r="D34" i="29"/>
  <c r="D28" i="29"/>
  <c r="I3" i="29"/>
  <c r="J6" i="29"/>
  <c r="J5" i="29"/>
  <c r="J4" i="29"/>
  <c r="I6" i="29"/>
  <c r="I5" i="29"/>
  <c r="I4" i="29"/>
  <c r="K4" i="29"/>
  <c r="I7" i="29"/>
  <c r="K7" i="29"/>
  <c r="M12" i="43"/>
  <c r="O12" i="43"/>
  <c r="M16" i="43"/>
  <c r="O16" i="43"/>
  <c r="M19" i="43"/>
  <c r="O19" i="43"/>
  <c r="M21" i="43"/>
  <c r="O21" i="43"/>
  <c r="M22" i="43"/>
  <c r="O22" i="43"/>
  <c r="G31" i="42"/>
  <c r="F32" i="42"/>
  <c r="M23" i="43"/>
  <c r="O23" i="43"/>
  <c r="M5" i="43"/>
  <c r="O5" i="43"/>
  <c r="I5" i="43"/>
  <c r="M24" i="43"/>
  <c r="O24" i="43"/>
  <c r="S10" i="43"/>
  <c r="G30" i="42"/>
  <c r="U7" i="43"/>
  <c r="M8" i="43"/>
  <c r="O8" i="43"/>
  <c r="M51" i="41"/>
  <c r="L51" i="41"/>
  <c r="G204" i="41"/>
  <c r="L52" i="41"/>
  <c r="M52" i="41"/>
  <c r="M50" i="41"/>
  <c r="G163" i="41"/>
  <c r="R134" i="41"/>
  <c r="E102" i="41" a="1"/>
  <c r="E102" i="41"/>
  <c r="AP114" i="41"/>
  <c r="AL114" i="41"/>
  <c r="AC114" i="41"/>
  <c r="O114" i="41"/>
  <c r="P114" i="41"/>
  <c r="F184" i="41" a="1"/>
  <c r="F184" i="41"/>
  <c r="F16" i="41" a="1"/>
  <c r="F16" i="41"/>
  <c r="F31" i="41" a="1"/>
  <c r="F31" i="41"/>
  <c r="F85" i="41" a="1"/>
  <c r="F85" i="41"/>
  <c r="E114" i="41" a="1"/>
  <c r="E114" i="41"/>
  <c r="F142" i="41" a="1"/>
  <c r="F142" i="41"/>
  <c r="AO114" i="41"/>
  <c r="F130" i="41" a="1"/>
  <c r="F130" i="41"/>
  <c r="F76" i="41" a="1"/>
  <c r="F76" i="41"/>
  <c r="E25" i="41" a="1"/>
  <c r="E25" i="41"/>
  <c r="F34" i="41" a="1"/>
  <c r="F34" i="41"/>
  <c r="F226" i="41" a="1"/>
  <c r="F226" i="41"/>
  <c r="D115" i="41"/>
  <c r="E120" i="41" a="1"/>
  <c r="E120" i="41"/>
  <c r="E177" i="41" a="1"/>
  <c r="E177" i="41"/>
  <c r="E185" i="41" a="1"/>
  <c r="E185" i="41"/>
  <c r="F177" i="41" a="1"/>
  <c r="F177" i="41"/>
  <c r="E180" i="41" a="1"/>
  <c r="E180" i="41"/>
  <c r="E33" i="41" a="1"/>
  <c r="E33" i="41"/>
  <c r="F9" i="41" a="1"/>
  <c r="F9" i="41"/>
  <c r="E16" i="41" a="1"/>
  <c r="E16" i="41"/>
  <c r="F24" i="41" a="1"/>
  <c r="F24" i="41"/>
  <c r="F64" i="41" a="1"/>
  <c r="F64" i="41"/>
  <c r="E147" i="41" a="1"/>
  <c r="E147" i="41"/>
  <c r="F83" i="41" a="1"/>
  <c r="F83" i="41"/>
  <c r="E7" i="41" a="1"/>
  <c r="E7" i="41"/>
  <c r="E15" i="41" a="1"/>
  <c r="E15" i="41"/>
  <c r="E30" i="41" a="1"/>
  <c r="E30" i="41"/>
  <c r="E68" i="41" a="1"/>
  <c r="E68" i="41"/>
  <c r="E95" i="41" a="1"/>
  <c r="E95" i="41"/>
  <c r="E115" i="41" a="1"/>
  <c r="E115" i="41"/>
  <c r="F47" i="41" a="1"/>
  <c r="F47" i="41"/>
  <c r="F119" i="41" a="1"/>
  <c r="F119" i="41"/>
  <c r="F92" i="41" a="1"/>
  <c r="F92" i="41"/>
  <c r="E55" i="41" a="1"/>
  <c r="E55" i="41"/>
  <c r="E152" i="41" a="1"/>
  <c r="E152" i="41"/>
  <c r="E193" i="41" a="1"/>
  <c r="E193" i="41"/>
  <c r="E34" i="41" a="1"/>
  <c r="E34" i="41"/>
  <c r="E13" i="41" a="1"/>
  <c r="E13" i="41"/>
  <c r="F25" i="41" a="1"/>
  <c r="F25" i="41"/>
  <c r="E40" i="41" a="1"/>
  <c r="E40" i="41"/>
  <c r="AG53" i="41"/>
  <c r="E127" i="41" a="1"/>
  <c r="E127" i="41"/>
  <c r="G145" i="41"/>
  <c r="M134" i="41"/>
  <c r="L134" i="41"/>
  <c r="F15" i="41" a="1"/>
  <c r="F15" i="41"/>
  <c r="F30" i="41" a="1"/>
  <c r="F30" i="41"/>
  <c r="L50" i="41"/>
  <c r="F68" i="41" a="1"/>
  <c r="F68" i="41"/>
  <c r="AC72" i="41"/>
  <c r="I72" i="41"/>
  <c r="D73" i="41"/>
  <c r="AL72" i="41"/>
  <c r="AH72" i="41"/>
  <c r="AG72" i="41"/>
  <c r="AF72" i="41"/>
  <c r="G242" i="41"/>
  <c r="G101" i="41"/>
  <c r="G12" i="41"/>
  <c r="F7" i="41" a="1"/>
  <c r="F7" i="41"/>
  <c r="F23" i="41" a="1"/>
  <c r="F23" i="41"/>
  <c r="F20" i="41" a="1"/>
  <c r="F20" i="41"/>
  <c r="F17" i="41" a="1"/>
  <c r="F17" i="41"/>
  <c r="F14" i="41" a="1"/>
  <c r="F14" i="41"/>
  <c r="F11" i="41" a="1"/>
  <c r="F11" i="41"/>
  <c r="F8" i="41" a="1"/>
  <c r="F8" i="41"/>
  <c r="E26" i="41" a="1"/>
  <c r="E26" i="41"/>
  <c r="E23" i="41" a="1"/>
  <c r="E23" i="41"/>
  <c r="E20" i="41" a="1"/>
  <c r="E20" i="41"/>
  <c r="E17" i="41" a="1"/>
  <c r="E17" i="41"/>
  <c r="E14" i="41" a="1"/>
  <c r="E14" i="41"/>
  <c r="E11" i="41" a="1"/>
  <c r="E11" i="41"/>
  <c r="E8" i="41" a="1"/>
  <c r="E8" i="41"/>
  <c r="F65" i="41" a="1"/>
  <c r="F65" i="41"/>
  <c r="F59" i="41" a="1"/>
  <c r="F59" i="41"/>
  <c r="F55" i="41" a="1"/>
  <c r="F55" i="41"/>
  <c r="E41" i="41" a="1"/>
  <c r="E41" i="41"/>
  <c r="F63" i="41" a="1"/>
  <c r="F63" i="41"/>
  <c r="F40" i="41" a="1"/>
  <c r="F40" i="41"/>
  <c r="E28" i="41" a="1"/>
  <c r="E28" i="41"/>
  <c r="E135" i="41" a="1"/>
  <c r="E135" i="41"/>
  <c r="E93" i="41" a="1"/>
  <c r="E93" i="41"/>
  <c r="L93" i="41"/>
  <c r="F69" i="41" a="1"/>
  <c r="F69" i="41"/>
  <c r="F42" i="41" a="1"/>
  <c r="F42" i="41"/>
  <c r="F10" i="41" a="1"/>
  <c r="F10" i="41"/>
  <c r="E9" i="41" a="1"/>
  <c r="E9" i="41"/>
  <c r="F18" i="41" a="1"/>
  <c r="F18" i="41"/>
  <c r="E10" i="41" a="1"/>
  <c r="E10" i="41"/>
  <c r="E97" i="41" a="1"/>
  <c r="E97" i="41"/>
  <c r="E70" i="41" a="1"/>
  <c r="E70" i="41"/>
  <c r="F53" i="41" a="1"/>
  <c r="F53" i="41"/>
  <c r="AH53" i="41"/>
  <c r="E139" i="41" a="1"/>
  <c r="E139" i="41"/>
  <c r="E119" i="41" a="1"/>
  <c r="E119" i="41"/>
  <c r="E116" i="41" a="1"/>
  <c r="E116" i="41"/>
  <c r="E96" i="41" a="1"/>
  <c r="E96" i="41"/>
  <c r="E65" i="41" a="1"/>
  <c r="E65" i="41"/>
  <c r="E61" i="41" a="1"/>
  <c r="E61" i="41"/>
  <c r="F51" i="41" a="1"/>
  <c r="F51" i="41"/>
  <c r="F50" i="41" a="1"/>
  <c r="F50" i="41"/>
  <c r="F49" i="41" a="1"/>
  <c r="F49" i="41"/>
  <c r="F131" i="41" a="1"/>
  <c r="F131" i="41"/>
  <c r="F117" i="41" a="1"/>
  <c r="F117" i="41"/>
  <c r="F114" i="41" a="1"/>
  <c r="F114" i="41"/>
  <c r="Q114" i="41"/>
  <c r="E94" i="41" a="1"/>
  <c r="E94" i="41"/>
  <c r="E58" i="41" a="1"/>
  <c r="E58" i="41"/>
  <c r="E69" i="41" a="1"/>
  <c r="E69" i="41"/>
  <c r="F43" i="41" a="1"/>
  <c r="F43" i="41"/>
  <c r="F146" i="41" a="1"/>
  <c r="F146" i="41"/>
  <c r="E124" i="41" a="1"/>
  <c r="E124" i="41"/>
  <c r="F112" i="41" a="1"/>
  <c r="F112" i="41"/>
  <c r="F86" i="41" a="1"/>
  <c r="F86" i="41"/>
  <c r="E51" i="41" a="1"/>
  <c r="E51" i="41"/>
  <c r="E50" i="41" a="1"/>
  <c r="E50" i="41"/>
  <c r="F44" i="41" a="1"/>
  <c r="F44" i="41"/>
  <c r="F36" i="41" a="1"/>
  <c r="F36" i="41"/>
  <c r="F19" i="41" a="1"/>
  <c r="F19" i="41"/>
  <c r="E18" i="41" a="1"/>
  <c r="E18" i="41"/>
  <c r="E106" i="41" a="1"/>
  <c r="E106" i="41"/>
  <c r="F78" i="41" a="1"/>
  <c r="F78" i="41"/>
  <c r="F62" i="41" a="1"/>
  <c r="F62" i="41"/>
  <c r="E43" i="41" a="1"/>
  <c r="E43" i="41"/>
  <c r="F27" i="41" a="1"/>
  <c r="F27" i="41"/>
  <c r="E146" i="41" a="1"/>
  <c r="E146" i="41"/>
  <c r="F103" i="41" a="1"/>
  <c r="F103" i="41"/>
  <c r="E86" i="41" a="1"/>
  <c r="E86" i="41"/>
  <c r="E57" i="41" a="1"/>
  <c r="E57" i="41"/>
  <c r="E44" i="41" a="1"/>
  <c r="E44" i="41"/>
  <c r="F37" i="41" a="1"/>
  <c r="F37" i="41"/>
  <c r="E36" i="41" a="1"/>
  <c r="E36" i="41"/>
  <c r="E19" i="41" a="1"/>
  <c r="E19" i="41"/>
  <c r="F100" i="41" a="1"/>
  <c r="F100" i="41"/>
  <c r="F94" i="41" a="1"/>
  <c r="F94" i="41"/>
  <c r="F82" i="41" a="1"/>
  <c r="F82" i="41"/>
  <c r="F70" i="41" a="1"/>
  <c r="F70" i="41"/>
  <c r="E62" i="41" a="1"/>
  <c r="E62" i="41"/>
  <c r="F58" i="41" a="1"/>
  <c r="F58" i="41"/>
  <c r="E37" i="41" a="1"/>
  <c r="E37" i="41"/>
  <c r="E27" i="41" a="1"/>
  <c r="E27" i="41"/>
  <c r="E122" i="41" a="1"/>
  <c r="E122" i="41"/>
  <c r="F120" i="41" a="1"/>
  <c r="F120" i="41"/>
  <c r="F113" i="41" a="1"/>
  <c r="F113" i="41"/>
  <c r="E103" i="41" a="1"/>
  <c r="E103" i="41"/>
  <c r="E100" i="41" a="1"/>
  <c r="E100" i="41"/>
  <c r="F90" i="41" a="1"/>
  <c r="F90" i="41"/>
  <c r="F28" i="41" a="1"/>
  <c r="F28" i="41"/>
  <c r="F12" i="41" a="1"/>
  <c r="F12" i="41"/>
  <c r="F125" i="41" a="1"/>
  <c r="F125" i="41"/>
  <c r="E83" i="41" a="1"/>
  <c r="E83" i="41"/>
  <c r="E79" i="41" a="1"/>
  <c r="E79" i="41"/>
  <c r="E59" i="41" a="1"/>
  <c r="E59" i="41"/>
  <c r="F46" i="41" a="1"/>
  <c r="F46" i="41"/>
  <c r="F39" i="41" a="1"/>
  <c r="F39" i="41"/>
  <c r="E31" i="41" a="1"/>
  <c r="E31" i="41"/>
  <c r="F22" i="41" a="1"/>
  <c r="F22" i="41"/>
  <c r="E21" i="41" a="1"/>
  <c r="E21" i="41"/>
  <c r="E104" i="41" a="1"/>
  <c r="E104" i="41"/>
  <c r="F101" i="41" a="1"/>
  <c r="F101" i="41"/>
  <c r="F98" i="41" a="1"/>
  <c r="F98" i="41"/>
  <c r="E54" i="41" a="1"/>
  <c r="E54" i="41"/>
  <c r="F127" i="41" a="1"/>
  <c r="F127" i="41"/>
  <c r="E125" i="41" a="1"/>
  <c r="E125" i="41"/>
  <c r="F91" i="41" a="1"/>
  <c r="F91" i="41"/>
  <c r="F72" i="41" a="1"/>
  <c r="F72" i="41"/>
  <c r="Q72" i="41"/>
  <c r="E46" i="41" a="1"/>
  <c r="E46" i="41"/>
  <c r="E39" i="41" a="1"/>
  <c r="E39" i="41"/>
  <c r="E22" i="41" a="1"/>
  <c r="E22" i="41"/>
  <c r="D54" i="41"/>
  <c r="AC53" i="41"/>
  <c r="O53" i="41"/>
  <c r="P53" i="41"/>
  <c r="I53" i="41"/>
  <c r="E53" i="41" a="1"/>
  <c r="E53" i="41"/>
  <c r="M7" i="41"/>
  <c r="F13" i="41" a="1"/>
  <c r="F13" i="41"/>
  <c r="AL53" i="41"/>
  <c r="E72" i="41" a="1"/>
  <c r="E72" i="41"/>
  <c r="F237" i="41" a="1"/>
  <c r="F237" i="41"/>
  <c r="E142" i="41" a="1"/>
  <c r="E142" i="41"/>
  <c r="E105" i="41" a="1"/>
  <c r="E105" i="41"/>
  <c r="E63" i="41" a="1"/>
  <c r="E63" i="41"/>
  <c r="F79" i="41" a="1"/>
  <c r="F79" i="41"/>
  <c r="F93" i="41" a="1"/>
  <c r="F93" i="41"/>
  <c r="Q93" i="41"/>
  <c r="E118" i="41" a="1"/>
  <c r="E118" i="41"/>
  <c r="E121" i="41" a="1"/>
  <c r="E121" i="41"/>
  <c r="E117" i="41" a="1"/>
  <c r="E117" i="41"/>
  <c r="E76" i="41" a="1"/>
  <c r="E76" i="41"/>
  <c r="F258" i="41" a="1"/>
  <c r="F258" i="41"/>
  <c r="F21" i="41" a="1"/>
  <c r="F21" i="41"/>
  <c r="E77" i="41" a="1"/>
  <c r="E77" i="41"/>
  <c r="E84" i="41" a="1"/>
  <c r="E84" i="41"/>
  <c r="F118" i="41" a="1"/>
  <c r="F118" i="41"/>
  <c r="D137" i="41"/>
  <c r="I136" i="41"/>
  <c r="AP136" i="41"/>
  <c r="AO136" i="41"/>
  <c r="AL136" i="41"/>
  <c r="AH136" i="41"/>
  <c r="AF136" i="41"/>
  <c r="AG136" i="41"/>
  <c r="AC136" i="41"/>
  <c r="O136" i="41"/>
  <c r="P136" i="41"/>
  <c r="O31" i="41"/>
  <c r="P31" i="41"/>
  <c r="D32" i="41"/>
  <c r="AL31" i="41"/>
  <c r="E171" i="41" a="1"/>
  <c r="E171" i="41"/>
  <c r="L175" i="41"/>
  <c r="M175" i="41"/>
  <c r="E168" i="41" a="1"/>
  <c r="E168" i="41"/>
  <c r="E165" i="41" a="1"/>
  <c r="E165" i="41"/>
  <c r="AC31" i="41"/>
  <c r="AC177" i="41"/>
  <c r="O177" i="41"/>
  <c r="P177" i="41"/>
  <c r="I177" i="41"/>
  <c r="AO177" i="41"/>
  <c r="AL177" i="41"/>
  <c r="AH177" i="41"/>
  <c r="AG177" i="41"/>
  <c r="AF177" i="41"/>
  <c r="D178" i="41"/>
  <c r="D94" i="41"/>
  <c r="I93" i="41"/>
  <c r="AL93" i="41"/>
  <c r="AH93" i="41"/>
  <c r="AG93" i="41"/>
  <c r="AF93" i="41"/>
  <c r="AC93" i="41"/>
  <c r="O135" i="41"/>
  <c r="P135" i="41"/>
  <c r="AO135" i="41"/>
  <c r="AC135" i="41"/>
  <c r="AP177" i="41"/>
  <c r="AC9" i="41"/>
  <c r="O9" i="41"/>
  <c r="P9" i="41"/>
  <c r="D10" i="41"/>
  <c r="O30" i="41"/>
  <c r="P30" i="41"/>
  <c r="AG51" i="41"/>
  <c r="F152" i="41" a="1"/>
  <c r="F152" i="41"/>
  <c r="F178" i="41" a="1"/>
  <c r="F178" i="41"/>
  <c r="E80" i="41" a="1"/>
  <c r="E80" i="41"/>
  <c r="E87" i="41" a="1"/>
  <c r="E87" i="41"/>
  <c r="F104" i="41" a="1"/>
  <c r="F104" i="41"/>
  <c r="F268" i="41" a="1"/>
  <c r="F268" i="41"/>
  <c r="E275" i="41" a="1"/>
  <c r="E275" i="41"/>
  <c r="F278" i="41" a="1"/>
  <c r="F278" i="41"/>
  <c r="E268" i="41" a="1"/>
  <c r="E268" i="41"/>
  <c r="F271" i="41" a="1"/>
  <c r="F271" i="41"/>
  <c r="E271" i="41" a="1"/>
  <c r="E271" i="41"/>
  <c r="E257" i="41" a="1"/>
  <c r="E257" i="41"/>
  <c r="E265" i="41" a="1"/>
  <c r="E265" i="41"/>
  <c r="E260" i="41" a="1"/>
  <c r="E260" i="41"/>
  <c r="F251" i="41" a="1"/>
  <c r="F251" i="41"/>
  <c r="F244" i="41" a="1"/>
  <c r="F244" i="41"/>
  <c r="F264" i="41" a="1"/>
  <c r="F264" i="41"/>
  <c r="F255" i="41" a="1"/>
  <c r="F255" i="41"/>
  <c r="E237" i="41" a="1"/>
  <c r="E237" i="41"/>
  <c r="E264" i="41" a="1"/>
  <c r="E264" i="41"/>
  <c r="E251" i="41" a="1"/>
  <c r="E251" i="41"/>
  <c r="E244" i="41" a="1"/>
  <c r="E244" i="41"/>
  <c r="F279" i="41" a="1"/>
  <c r="F279" i="41"/>
  <c r="F277" i="41" a="1"/>
  <c r="F277" i="41"/>
  <c r="F259" i="41" a="1"/>
  <c r="F259" i="41"/>
  <c r="E255" i="41" a="1"/>
  <c r="E255" i="41"/>
  <c r="E278" i="41" a="1"/>
  <c r="E278" i="41"/>
  <c r="E279" i="41" a="1"/>
  <c r="E279" i="41"/>
  <c r="E277" i="41" a="1"/>
  <c r="E277" i="41"/>
  <c r="F276" i="41" a="1"/>
  <c r="F276" i="41"/>
  <c r="F274" i="41" a="1"/>
  <c r="F274" i="41"/>
  <c r="F263" i="41" a="1"/>
  <c r="F263" i="41"/>
  <c r="E259" i="41" a="1"/>
  <c r="E259" i="41"/>
  <c r="E247" i="41" a="1"/>
  <c r="E247" i="41"/>
  <c r="E270" i="41" a="1"/>
  <c r="E270" i="41"/>
  <c r="F269" i="41" a="1"/>
  <c r="F269" i="41"/>
  <c r="E262" i="41" a="1"/>
  <c r="E262" i="41"/>
  <c r="E273" i="41" a="1"/>
  <c r="E273" i="41"/>
  <c r="F265" i="41" a="1"/>
  <c r="F265" i="41"/>
  <c r="F239" i="41" a="1"/>
  <c r="F239" i="41"/>
  <c r="F223" i="41" a="1"/>
  <c r="F223" i="41"/>
  <c r="E258" i="41" a="1"/>
  <c r="E258" i="41"/>
  <c r="E230" i="41" a="1"/>
  <c r="E230" i="41"/>
  <c r="F270" i="41" a="1"/>
  <c r="F270" i="41"/>
  <c r="E239" i="41" a="1"/>
  <c r="E239" i="41"/>
  <c r="F233" i="41" a="1"/>
  <c r="F233" i="41"/>
  <c r="F266" i="41" a="1"/>
  <c r="F266" i="41"/>
  <c r="E274" i="41" a="1"/>
  <c r="E274" i="41"/>
  <c r="E233" i="41" a="1"/>
  <c r="E233" i="41"/>
  <c r="F219" i="41" a="1"/>
  <c r="F219" i="41"/>
  <c r="F256" i="41" a="1"/>
  <c r="F256" i="41"/>
  <c r="E252" i="41" a="1"/>
  <c r="E252" i="41"/>
  <c r="E234" i="41" a="1"/>
  <c r="E234" i="41"/>
  <c r="E218" i="41" a="1"/>
  <c r="E218" i="41"/>
  <c r="E207" i="41" a="1"/>
  <c r="E207" i="41"/>
  <c r="F241" i="41" a="1"/>
  <c r="F241" i="41"/>
  <c r="E232" i="41" a="1"/>
  <c r="E232" i="41"/>
  <c r="F222" i="41" a="1"/>
  <c r="F222" i="41"/>
  <c r="F210" i="41" a="1"/>
  <c r="F210" i="41"/>
  <c r="F260" i="41" a="1"/>
  <c r="F260" i="41"/>
  <c r="E256" i="41" a="1"/>
  <c r="E256" i="41"/>
  <c r="F253" i="41" a="1"/>
  <c r="F253" i="41"/>
  <c r="F231" i="41" a="1"/>
  <c r="F231" i="41"/>
  <c r="F203" i="41" a="1"/>
  <c r="F203" i="41"/>
  <c r="F242" i="41" a="1"/>
  <c r="F242" i="41"/>
  <c r="E241" i="41" a="1"/>
  <c r="E241" i="41"/>
  <c r="E222" i="41" a="1"/>
  <c r="E222" i="41"/>
  <c r="F217" i="41" a="1"/>
  <c r="F217" i="41"/>
  <c r="E210" i="41" a="1"/>
  <c r="E210" i="41"/>
  <c r="E269" i="41" a="1"/>
  <c r="E269" i="41"/>
  <c r="E253" i="41" a="1"/>
  <c r="E253" i="41"/>
  <c r="F248" i="41" a="1"/>
  <c r="F248" i="41"/>
  <c r="E231" i="41" a="1"/>
  <c r="E231" i="41"/>
  <c r="F229" i="41" a="1"/>
  <c r="F229" i="41"/>
  <c r="F213" i="41" a="1"/>
  <c r="F213" i="41"/>
  <c r="E203" i="41" a="1"/>
  <c r="E203" i="41"/>
  <c r="E196" i="41" a="1"/>
  <c r="E196" i="41"/>
  <c r="E189" i="41" a="1"/>
  <c r="E189" i="41"/>
  <c r="F267" i="41" a="1"/>
  <c r="F267" i="41"/>
  <c r="F261" i="41" a="1"/>
  <c r="F261" i="41"/>
  <c r="F275" i="41" a="1"/>
  <c r="F275" i="41"/>
  <c r="E272" i="41" a="1"/>
  <c r="E272" i="41"/>
  <c r="F262" i="41" a="1"/>
  <c r="F262" i="41"/>
  <c r="E243" i="41" a="1"/>
  <c r="E243" i="41"/>
  <c r="F221" i="41" a="1"/>
  <c r="F221" i="41"/>
  <c r="F220" i="41" a="1"/>
  <c r="F220" i="41"/>
  <c r="F252" i="41" a="1"/>
  <c r="F252" i="41"/>
  <c r="E246" i="41" a="1"/>
  <c r="E246" i="41"/>
  <c r="F216" i="41" a="1"/>
  <c r="F216" i="41"/>
  <c r="E200" i="41" a="1"/>
  <c r="E200" i="41"/>
  <c r="F195" i="41" a="1"/>
  <c r="F195" i="41"/>
  <c r="F257" i="41" a="1"/>
  <c r="F257" i="41"/>
  <c r="E221" i="41" a="1"/>
  <c r="E221" i="41"/>
  <c r="E220" i="41" a="1"/>
  <c r="E220" i="41"/>
  <c r="E219" i="41" a="1"/>
  <c r="E219" i="41"/>
  <c r="F218" i="41" a="1"/>
  <c r="F218" i="41"/>
  <c r="F215" i="41" a="1"/>
  <c r="F215" i="41"/>
  <c r="E191" i="41" a="1"/>
  <c r="E191" i="41"/>
  <c r="F250" i="41" a="1"/>
  <c r="F250" i="41"/>
  <c r="E217" i="41" a="1"/>
  <c r="E217" i="41"/>
  <c r="L217" i="41"/>
  <c r="E216" i="41" a="1"/>
  <c r="E216" i="41"/>
  <c r="F238" i="41" a="1"/>
  <c r="F238" i="41"/>
  <c r="F224" i="41" a="1"/>
  <c r="F224" i="41"/>
  <c r="E215" i="41" a="1"/>
  <c r="E215" i="41"/>
  <c r="F214" i="41" a="1"/>
  <c r="F214" i="41"/>
  <c r="F199" i="41" a="1"/>
  <c r="F199" i="41"/>
  <c r="F273" i="41" a="1"/>
  <c r="F273" i="41"/>
  <c r="E250" i="41" a="1"/>
  <c r="E250" i="41"/>
  <c r="F240" i="41" a="1"/>
  <c r="F240" i="41"/>
  <c r="Q240" i="41"/>
  <c r="E238" i="41" a="1"/>
  <c r="E238" i="41"/>
  <c r="F232" i="41" a="1"/>
  <c r="F232" i="41"/>
  <c r="E223" i="41" a="1"/>
  <c r="E223" i="41"/>
  <c r="E213" i="41" a="1"/>
  <c r="E213" i="41"/>
  <c r="F212" i="41" a="1"/>
  <c r="F212" i="41"/>
  <c r="E240" i="41" a="1"/>
  <c r="E240" i="41"/>
  <c r="F225" i="41" a="1"/>
  <c r="F225" i="41"/>
  <c r="E224" i="41" a="1"/>
  <c r="E224" i="41"/>
  <c r="E214" i="41" a="1"/>
  <c r="E214" i="41"/>
  <c r="E199" i="41" a="1"/>
  <c r="E199" i="41"/>
  <c r="F190" i="41" a="1"/>
  <c r="F190" i="41"/>
  <c r="F234" i="41" a="1"/>
  <c r="F234" i="41"/>
  <c r="F236" i="41" a="1"/>
  <c r="F236" i="41"/>
  <c r="F202" i="41" a="1"/>
  <c r="F202" i="41"/>
  <c r="E201" i="41" a="1"/>
  <c r="E201" i="41"/>
  <c r="E184" i="41" a="1"/>
  <c r="E184" i="41"/>
  <c r="F169" i="41" a="1"/>
  <c r="F169" i="41"/>
  <c r="E197" i="41" a="1"/>
  <c r="E197" i="41"/>
  <c r="F196" i="41" a="1"/>
  <c r="F196" i="41"/>
  <c r="F188" i="41" a="1"/>
  <c r="F188" i="41"/>
  <c r="F176" i="41" a="1"/>
  <c r="F176" i="41"/>
  <c r="E236" i="41" a="1"/>
  <c r="E236" i="41"/>
  <c r="E229" i="41" a="1"/>
  <c r="E229" i="41"/>
  <c r="F208" i="41" a="1"/>
  <c r="F208" i="41"/>
  <c r="E202" i="41" a="1"/>
  <c r="E202" i="41"/>
  <c r="E169" i="41" a="1"/>
  <c r="E169" i="41"/>
  <c r="F243" i="41" a="1"/>
  <c r="F243" i="41"/>
  <c r="E195" i="41" a="1"/>
  <c r="E195" i="41"/>
  <c r="E188" i="41" a="1"/>
  <c r="E188" i="41"/>
  <c r="E176" i="41" a="1"/>
  <c r="E176" i="41"/>
  <c r="F172" i="41" a="1"/>
  <c r="F172" i="41"/>
  <c r="F254" i="41" a="1"/>
  <c r="F254" i="41"/>
  <c r="F227" i="41" a="1"/>
  <c r="F227" i="41"/>
  <c r="E208" i="41" a="1"/>
  <c r="E208" i="41"/>
  <c r="F194" i="41" a="1"/>
  <c r="F194" i="41"/>
  <c r="F183" i="41" a="1"/>
  <c r="F183" i="41"/>
  <c r="F179" i="41" a="1"/>
  <c r="F179" i="41"/>
  <c r="F165" i="41" a="1"/>
  <c r="F165" i="41"/>
  <c r="F245" i="41" a="1"/>
  <c r="F245" i="41"/>
  <c r="F209" i="41" a="1"/>
  <c r="F209" i="41"/>
  <c r="E267" i="41" a="1"/>
  <c r="E267" i="41"/>
  <c r="E261" i="41" a="1"/>
  <c r="E261" i="41"/>
  <c r="E254" i="41" a="1"/>
  <c r="E254" i="41"/>
  <c r="F247" i="41" a="1"/>
  <c r="F247" i="41"/>
  <c r="E227" i="41" a="1"/>
  <c r="E227" i="41"/>
  <c r="E194" i="41" a="1"/>
  <c r="E194" i="41"/>
  <c r="F187" i="41" a="1"/>
  <c r="F187" i="41"/>
  <c r="E183" i="41" a="1"/>
  <c r="E183" i="41"/>
  <c r="E179" i="41" a="1"/>
  <c r="E179" i="41"/>
  <c r="E245" i="41" a="1"/>
  <c r="E245" i="41"/>
  <c r="F272" i="41" a="1"/>
  <c r="F272" i="41"/>
  <c r="E226" i="41" a="1"/>
  <c r="E226" i="41"/>
  <c r="E158" i="41" a="1"/>
  <c r="E158" i="41"/>
  <c r="E144" i="41" a="1"/>
  <c r="E144" i="41"/>
  <c r="F167" i="41" a="1"/>
  <c r="F167" i="41"/>
  <c r="F161" i="41" a="1"/>
  <c r="F161" i="41"/>
  <c r="F154" i="41" a="1"/>
  <c r="F154" i="41"/>
  <c r="F147" i="41" a="1"/>
  <c r="F147" i="41"/>
  <c r="F189" i="41" a="1"/>
  <c r="F189" i="41"/>
  <c r="E167" i="41" a="1"/>
  <c r="E167" i="41"/>
  <c r="E161" i="41" a="1"/>
  <c r="E161" i="41"/>
  <c r="E154" i="41" a="1"/>
  <c r="E154" i="41"/>
  <c r="E276" i="41" a="1"/>
  <c r="E276" i="41"/>
  <c r="E263" i="41" a="1"/>
  <c r="E263" i="41"/>
  <c r="F249" i="41" a="1"/>
  <c r="F249" i="41"/>
  <c r="F205" i="41" a="1"/>
  <c r="F205" i="41"/>
  <c r="F198" i="41" a="1"/>
  <c r="F198" i="41"/>
  <c r="F150" i="41" a="1"/>
  <c r="F150" i="41"/>
  <c r="E140" i="41" a="1"/>
  <c r="E140" i="41"/>
  <c r="F228" i="41" a="1"/>
  <c r="F228" i="41"/>
  <c r="F207" i="41" a="1"/>
  <c r="F207" i="41"/>
  <c r="F197" i="41" a="1"/>
  <c r="F197" i="41"/>
  <c r="F166" i="41" a="1"/>
  <c r="F166" i="41"/>
  <c r="F157" i="41" a="1"/>
  <c r="F157" i="41"/>
  <c r="E249" i="41" a="1"/>
  <c r="E249" i="41"/>
  <c r="F235" i="41" a="1"/>
  <c r="F235" i="41"/>
  <c r="E212" i="41" a="1"/>
  <c r="E212" i="41"/>
  <c r="E205" i="41" a="1"/>
  <c r="E205" i="41"/>
  <c r="E198" i="41" a="1"/>
  <c r="E198" i="41"/>
  <c r="E190" i="41" a="1"/>
  <c r="E190" i="41"/>
  <c r="E150" i="41" a="1"/>
  <c r="E150" i="41"/>
  <c r="F246" i="41" a="1"/>
  <c r="F246" i="41"/>
  <c r="E228" i="41" a="1"/>
  <c r="E228" i="41"/>
  <c r="E166" i="41" a="1"/>
  <c r="E166" i="41"/>
  <c r="E157" i="41" a="1"/>
  <c r="E157" i="41"/>
  <c r="F153" i="41" a="1"/>
  <c r="F153" i="41"/>
  <c r="E143" i="41" a="1"/>
  <c r="E143" i="41"/>
  <c r="E192" i="41" a="1"/>
  <c r="E192" i="41"/>
  <c r="F182" i="41" a="1"/>
  <c r="F182" i="41"/>
  <c r="F181" i="41" a="1"/>
  <c r="F181" i="41"/>
  <c r="F180" i="41" a="1"/>
  <c r="F180" i="41"/>
  <c r="E178" i="41" a="1"/>
  <c r="E178" i="41"/>
  <c r="E175" i="41" a="1"/>
  <c r="E175" i="41"/>
  <c r="F156" i="41" a="1"/>
  <c r="F156" i="41"/>
  <c r="E235" i="41" a="1"/>
  <c r="E235" i="41"/>
  <c r="F155" i="41" a="1"/>
  <c r="F155" i="41"/>
  <c r="F149" i="41" a="1"/>
  <c r="F149" i="41"/>
  <c r="F133" i="41" a="1"/>
  <c r="F133" i="41"/>
  <c r="F126" i="41" a="1"/>
  <c r="F126" i="41"/>
  <c r="F211" i="41" a="1"/>
  <c r="F211" i="41"/>
  <c r="E206" i="41" a="1"/>
  <c r="E206" i="41"/>
  <c r="E181" i="41" a="1"/>
  <c r="E181" i="41"/>
  <c r="E149" i="41" a="1"/>
  <c r="E149" i="41"/>
  <c r="E148" i="41" a="1"/>
  <c r="E148" i="41"/>
  <c r="E141" i="41" a="1"/>
  <c r="E141" i="41"/>
  <c r="F186" i="41" a="1"/>
  <c r="F186" i="41"/>
  <c r="F162" i="41" a="1"/>
  <c r="F162" i="41"/>
  <c r="E155" i="41" a="1"/>
  <c r="E155" i="41"/>
  <c r="F140" i="41" a="1"/>
  <c r="F140" i="41"/>
  <c r="E133" i="41" a="1"/>
  <c r="E133" i="41"/>
  <c r="E126" i="41" a="1"/>
  <c r="E126" i="41"/>
  <c r="E211" i="41" a="1"/>
  <c r="E211" i="41"/>
  <c r="E186" i="41" a="1"/>
  <c r="E186" i="41"/>
  <c r="E162" i="41" a="1"/>
  <c r="E162" i="41"/>
  <c r="E156" i="41" a="1"/>
  <c r="E156" i="41"/>
  <c r="F129" i="41" a="1"/>
  <c r="F129" i="41"/>
  <c r="F173" i="41" a="1"/>
  <c r="F173" i="41"/>
  <c r="F170" i="41" a="1"/>
  <c r="F170" i="41"/>
  <c r="F136" i="41" a="1"/>
  <c r="F136" i="41"/>
  <c r="Q136" i="41"/>
  <c r="F122" i="41" a="1"/>
  <c r="F122" i="41"/>
  <c r="E129" i="41" a="1"/>
  <c r="E129" i="41"/>
  <c r="E173" i="41" a="1"/>
  <c r="E173" i="41"/>
  <c r="E170" i="41" a="1"/>
  <c r="E170" i="41"/>
  <c r="E136" i="41" a="1"/>
  <c r="E136" i="41"/>
  <c r="F132" i="41" a="1"/>
  <c r="F132" i="41"/>
  <c r="E266" i="41" a="1"/>
  <c r="E266" i="41"/>
  <c r="E187" i="41" a="1"/>
  <c r="E187" i="41"/>
  <c r="F230" i="41" a="1"/>
  <c r="F230" i="41"/>
  <c r="F175" i="41" a="1"/>
  <c r="F175" i="41"/>
  <c r="E132" i="41" a="1"/>
  <c r="E132" i="41"/>
  <c r="E131" i="41" a="1"/>
  <c r="E131" i="41"/>
  <c r="E130" i="41" a="1"/>
  <c r="E130" i="41"/>
  <c r="E113" i="41" a="1"/>
  <c r="E113" i="41"/>
  <c r="L113" i="41"/>
  <c r="F109" i="41" a="1"/>
  <c r="F109" i="41"/>
  <c r="E99" i="41" a="1"/>
  <c r="E99" i="41"/>
  <c r="E85" i="41" a="1"/>
  <c r="E85" i="41"/>
  <c r="F71" i="41" a="1"/>
  <c r="F71" i="41"/>
  <c r="F57" i="41" a="1"/>
  <c r="F57" i="41"/>
  <c r="F143" i="41" a="1"/>
  <c r="F143" i="41"/>
  <c r="F116" i="41" a="1"/>
  <c r="F116" i="41"/>
  <c r="F102" i="41" a="1"/>
  <c r="F102" i="41"/>
  <c r="E92" i="41" a="1"/>
  <c r="E92" i="41"/>
  <c r="F88" i="41" a="1"/>
  <c r="F88" i="41"/>
  <c r="E78" i="41" a="1"/>
  <c r="E78" i="41"/>
  <c r="E64" i="41" a="1"/>
  <c r="E64" i="41"/>
  <c r="E225" i="41" a="1"/>
  <c r="E225" i="41"/>
  <c r="F191" i="41" a="1"/>
  <c r="F191" i="41"/>
  <c r="F135" i="41" a="1"/>
  <c r="F135" i="41"/>
  <c r="I135" i="41"/>
  <c r="E109" i="41" a="1"/>
  <c r="E109" i="41"/>
  <c r="F95" i="41" a="1"/>
  <c r="F95" i="41"/>
  <c r="F81" i="41" a="1"/>
  <c r="F81" i="41"/>
  <c r="E71" i="41" a="1"/>
  <c r="E71" i="41"/>
  <c r="F67" i="41" a="1"/>
  <c r="F67" i="41"/>
  <c r="F200" i="41" a="1"/>
  <c r="F200" i="41"/>
  <c r="F164" i="41" a="1"/>
  <c r="F164" i="41"/>
  <c r="E159" i="41" a="1"/>
  <c r="E159" i="41"/>
  <c r="F139" i="41" a="1"/>
  <c r="F139" i="41"/>
  <c r="F138" i="41" a="1"/>
  <c r="F138" i="41"/>
  <c r="F137" i="41" a="1"/>
  <c r="F137" i="41"/>
  <c r="F108" i="41" a="1"/>
  <c r="F108" i="41"/>
  <c r="E98" i="41" a="1"/>
  <c r="E98" i="41"/>
  <c r="E91" i="41" a="1"/>
  <c r="E91" i="41"/>
  <c r="M91" i="41"/>
  <c r="E209" i="41" a="1"/>
  <c r="E209" i="41"/>
  <c r="F185" i="41" a="1"/>
  <c r="F185" i="41"/>
  <c r="E151" i="41" a="1"/>
  <c r="E151" i="41"/>
  <c r="F148" i="41" a="1"/>
  <c r="F148" i="41"/>
  <c r="E111" i="41" a="1"/>
  <c r="E111" i="41"/>
  <c r="F97" i="41" a="1"/>
  <c r="F97" i="41"/>
  <c r="E48" i="41" a="1"/>
  <c r="E48" i="41"/>
  <c r="E73" i="41" a="1"/>
  <c r="E73" i="41"/>
  <c r="F105" i="41" a="1"/>
  <c r="F105" i="41"/>
  <c r="F106" i="41" a="1"/>
  <c r="F106" i="41"/>
  <c r="E107" i="41" a="1"/>
  <c r="E107" i="41"/>
  <c r="F124" i="41" a="1"/>
  <c r="F124" i="41"/>
  <c r="F134" i="41" a="1"/>
  <c r="F134" i="41"/>
  <c r="F158" i="41" a="1"/>
  <c r="F158" i="41"/>
  <c r="E164" i="41" a="1"/>
  <c r="E164" i="41"/>
  <c r="E29" i="41" a="1"/>
  <c r="E29" i="41"/>
  <c r="M29" i="41"/>
  <c r="E32" i="41" a="1"/>
  <c r="E32" i="41"/>
  <c r="E35" i="41" a="1"/>
  <c r="E35" i="41"/>
  <c r="E38" i="41" a="1"/>
  <c r="E38" i="41"/>
  <c r="F41" i="41" a="1"/>
  <c r="F41" i="41"/>
  <c r="AH52" i="41"/>
  <c r="E66" i="41" a="1"/>
  <c r="E66" i="41"/>
  <c r="F80" i="41" a="1"/>
  <c r="F80" i="41"/>
  <c r="F87" i="41" a="1"/>
  <c r="F87" i="41"/>
  <c r="E108" i="41" a="1"/>
  <c r="E108" i="41"/>
  <c r="E138" i="41" a="1"/>
  <c r="E138" i="41"/>
  <c r="E160" i="41" a="1"/>
  <c r="E160" i="41"/>
  <c r="E174" i="41" a="1"/>
  <c r="E174" i="41"/>
  <c r="F48" i="41" a="1"/>
  <c r="F48" i="41"/>
  <c r="E52" i="41" a="1"/>
  <c r="E52" i="41"/>
  <c r="AL52" i="41"/>
  <c r="F73" i="41" a="1"/>
  <c r="F73" i="41"/>
  <c r="E88" i="41" a="1"/>
  <c r="E88" i="41"/>
  <c r="F107" i="41" a="1"/>
  <c r="F107" i="41"/>
  <c r="E123" i="41" a="1"/>
  <c r="E123" i="41"/>
  <c r="F174" i="41" a="1"/>
  <c r="F174" i="41"/>
  <c r="E182" i="41" a="1"/>
  <c r="E182" i="41"/>
  <c r="F29" i="41" a="1"/>
  <c r="F29" i="41"/>
  <c r="F32" i="41" a="1"/>
  <c r="F32" i="41"/>
  <c r="F35" i="41" a="1"/>
  <c r="F35" i="41"/>
  <c r="F38" i="41" a="1"/>
  <c r="F38" i="41"/>
  <c r="E45" i="41" a="1"/>
  <c r="E45" i="41"/>
  <c r="E56" i="41" a="1"/>
  <c r="E56" i="41"/>
  <c r="E60" i="41" a="1"/>
  <c r="E60" i="41"/>
  <c r="F66" i="41" a="1"/>
  <c r="F66" i="41"/>
  <c r="E81" i="41" a="1"/>
  <c r="E81" i="41"/>
  <c r="E89" i="41" a="1"/>
  <c r="E89" i="41"/>
  <c r="E110" i="41" a="1"/>
  <c r="E110" i="41"/>
  <c r="F160" i="41" a="1"/>
  <c r="F160" i="41"/>
  <c r="F192" i="41" a="1"/>
  <c r="F192" i="41"/>
  <c r="F201" i="41" a="1"/>
  <c r="F201" i="41"/>
  <c r="F52" i="41" a="1"/>
  <c r="F52" i="41"/>
  <c r="E74" i="41" a="1"/>
  <c r="E74" i="41"/>
  <c r="F123" i="41" a="1"/>
  <c r="F123" i="41"/>
  <c r="E128" i="41" a="1"/>
  <c r="E128" i="41"/>
  <c r="F141" i="41" a="1"/>
  <c r="F141" i="41"/>
  <c r="F144" i="41" a="1"/>
  <c r="F144" i="41"/>
  <c r="F151" i="41" a="1"/>
  <c r="F151" i="41"/>
  <c r="E153" i="41" a="1"/>
  <c r="E153" i="41"/>
  <c r="F26" i="41" a="1"/>
  <c r="F26" i="41"/>
  <c r="F45" i="41" a="1"/>
  <c r="F45" i="41"/>
  <c r="AO52" i="41"/>
  <c r="F56" i="41" a="1"/>
  <c r="F56" i="41"/>
  <c r="F60" i="41" a="1"/>
  <c r="F60" i="41"/>
  <c r="E67" i="41" a="1"/>
  <c r="E67" i="41"/>
  <c r="E82" i="41" a="1"/>
  <c r="E82" i="41"/>
  <c r="F89" i="41" a="1"/>
  <c r="F89" i="41"/>
  <c r="F110" i="41" a="1"/>
  <c r="F110" i="41"/>
  <c r="E112" i="41" a="1"/>
  <c r="E112" i="41"/>
  <c r="E42" i="41" a="1"/>
  <c r="E42" i="41"/>
  <c r="E49" i="41" a="1"/>
  <c r="E49" i="41"/>
  <c r="F74" i="41" a="1"/>
  <c r="F74" i="41"/>
  <c r="E75" i="41" a="1"/>
  <c r="E75" i="41"/>
  <c r="E90" i="41" a="1"/>
  <c r="E90" i="41"/>
  <c r="F111" i="41" a="1"/>
  <c r="F111" i="41"/>
  <c r="F128" i="41" a="1"/>
  <c r="F128" i="41"/>
  <c r="E137" i="41" a="1"/>
  <c r="E137" i="41"/>
  <c r="E172" i="41" a="1"/>
  <c r="E172" i="41"/>
  <c r="L240" i="41"/>
  <c r="M240" i="41"/>
  <c r="L218" i="41"/>
  <c r="M218" i="41"/>
  <c r="D158" i="41"/>
  <c r="I157" i="41"/>
  <c r="AP157" i="41"/>
  <c r="AO157" i="41"/>
  <c r="AL157" i="41"/>
  <c r="AH157" i="41"/>
  <c r="AC157" i="41"/>
  <c r="AO199" i="41"/>
  <c r="I199" i="41"/>
  <c r="D200" i="41"/>
  <c r="AP199" i="41"/>
  <c r="AL199" i="41"/>
  <c r="AH199" i="41"/>
  <c r="AG199" i="41"/>
  <c r="AF199" i="41"/>
  <c r="O199" i="41"/>
  <c r="P199" i="41"/>
  <c r="M238" i="41"/>
  <c r="L238" i="41"/>
  <c r="M156" i="41"/>
  <c r="L156" i="41"/>
  <c r="M259" i="41"/>
  <c r="O157" i="41"/>
  <c r="P157" i="41"/>
  <c r="M176" i="41"/>
  <c r="L176" i="41"/>
  <c r="O198" i="41"/>
  <c r="P198" i="41"/>
  <c r="I198" i="41"/>
  <c r="AL198" i="41"/>
  <c r="AH198" i="41"/>
  <c r="AG198" i="41"/>
  <c r="AF261" i="41"/>
  <c r="O261" i="41"/>
  <c r="P261" i="41"/>
  <c r="I261" i="41"/>
  <c r="D262" i="41"/>
  <c r="AP261" i="41"/>
  <c r="AO261" i="41"/>
  <c r="AC261" i="41"/>
  <c r="AG261" i="41"/>
  <c r="AH261" i="41"/>
  <c r="D220" i="41"/>
  <c r="AC219" i="41"/>
  <c r="AP219" i="41"/>
  <c r="L259" i="41"/>
  <c r="D241" i="41"/>
  <c r="AP240" i="41"/>
  <c r="AO240" i="41"/>
  <c r="AL240" i="41"/>
  <c r="AH240" i="41"/>
  <c r="AG240" i="41"/>
  <c r="AF240" i="41"/>
  <c r="B19" i="37"/>
  <c r="C18" i="37"/>
  <c r="D18" i="37"/>
  <c r="C21" i="38"/>
  <c r="D21" i="38"/>
  <c r="G11" i="33" a="1"/>
  <c r="G11" i="33" s="1"/>
  <c r="C20" i="38"/>
  <c r="D20" i="38"/>
  <c r="J17" i="33"/>
  <c r="K17" i="33"/>
  <c r="R17" i="33"/>
  <c r="Y17" i="33"/>
  <c r="Z17" i="33"/>
  <c r="B18" i="39"/>
  <c r="C17" i="39"/>
  <c r="D17" i="39"/>
  <c r="G14" i="33" a="1"/>
  <c r="G14" i="33" s="1"/>
  <c r="G13" i="33" a="1"/>
  <c r="G13" i="33"/>
  <c r="C16" i="39"/>
  <c r="D16" i="39"/>
  <c r="B17" i="36"/>
  <c r="B18" i="36" s="1"/>
  <c r="C16" i="35"/>
  <c r="D16" i="35"/>
  <c r="B17" i="35"/>
  <c r="G15" i="33" a="1"/>
  <c r="G15" i="33" s="1"/>
  <c r="C17" i="37"/>
  <c r="D17" i="37"/>
  <c r="G12" i="33" a="1"/>
  <c r="G12" i="33" s="1"/>
  <c r="G9" i="33" a="1"/>
  <c r="G9" i="33"/>
  <c r="B18" i="34"/>
  <c r="C17" i="38"/>
  <c r="D17" i="38"/>
  <c r="G16" i="33" a="1"/>
  <c r="G16" i="33"/>
  <c r="R16" i="33" s="1"/>
  <c r="G8" i="33" a="1"/>
  <c r="G8" i="33" s="1"/>
  <c r="C18" i="38"/>
  <c r="D18" i="38"/>
  <c r="G19" i="33" a="1"/>
  <c r="G19" i="33" s="1"/>
  <c r="G18" i="33" a="1"/>
  <c r="G18" i="33" s="1"/>
  <c r="G10" i="33" a="1"/>
  <c r="G10" i="33" s="1"/>
  <c r="Y10" i="33" s="1"/>
  <c r="Z10" i="33" s="1"/>
  <c r="H3" i="32"/>
  <c r="G10" i="32"/>
  <c r="L9" i="32"/>
  <c r="I7" i="32"/>
  <c r="M7" i="32"/>
  <c r="M6" i="32"/>
  <c r="I6" i="32"/>
  <c r="I5" i="32"/>
  <c r="M5" i="32"/>
  <c r="I4" i="32"/>
  <c r="M4" i="32"/>
  <c r="I3" i="32"/>
  <c r="L8" i="32"/>
  <c r="D12" i="32"/>
  <c r="N3" i="32"/>
  <c r="I15" i="30"/>
  <c r="I14" i="30"/>
  <c r="I13" i="30"/>
  <c r="I12" i="30"/>
  <c r="E63" i="29"/>
  <c r="E62" i="29"/>
  <c r="E61" i="29"/>
  <c r="E60" i="29"/>
  <c r="E64" i="29"/>
  <c r="E59" i="29"/>
  <c r="E65" i="29"/>
  <c r="E58" i="29"/>
  <c r="E57" i="29"/>
  <c r="E56" i="29"/>
  <c r="E55" i="29"/>
  <c r="R3" i="27"/>
  <c r="S3" i="27"/>
  <c r="AR53" i="27"/>
  <c r="AR52" i="27"/>
  <c r="AR51" i="27"/>
  <c r="AR50" i="27"/>
  <c r="AR49" i="27"/>
  <c r="AR48" i="27"/>
  <c r="AR47" i="27"/>
  <c r="AR46" i="27"/>
  <c r="AR45" i="27"/>
  <c r="AR44" i="27"/>
  <c r="AR43" i="27"/>
  <c r="AR42" i="27"/>
  <c r="AR41" i="27"/>
  <c r="AR40" i="27"/>
  <c r="AR39" i="27"/>
  <c r="AR38" i="27"/>
  <c r="AR37" i="27"/>
  <c r="AR36" i="27"/>
  <c r="AR35" i="27"/>
  <c r="AR34" i="27"/>
  <c r="AR33" i="27"/>
  <c r="AR32" i="27"/>
  <c r="AR31" i="27"/>
  <c r="AR30" i="27"/>
  <c r="AR29" i="27"/>
  <c r="AR28" i="27"/>
  <c r="AR27" i="27"/>
  <c r="AR26" i="27"/>
  <c r="AR25" i="27"/>
  <c r="AR24" i="27"/>
  <c r="AR23" i="27"/>
  <c r="AR22" i="27"/>
  <c r="AR21" i="27"/>
  <c r="AR20" i="27"/>
  <c r="AR19" i="27"/>
  <c r="AR18" i="27"/>
  <c r="AR17" i="27"/>
  <c r="AR16" i="27"/>
  <c r="AR15" i="27"/>
  <c r="AR14" i="27"/>
  <c r="AR13" i="27"/>
  <c r="AR12" i="27"/>
  <c r="AR11" i="27"/>
  <c r="AR10" i="27"/>
  <c r="AR9" i="27"/>
  <c r="AR8" i="27"/>
  <c r="AR7" i="27"/>
  <c r="AR6" i="27"/>
  <c r="AR5" i="27"/>
  <c r="AR4" i="27"/>
  <c r="H4" i="27"/>
  <c r="H5" i="27"/>
  <c r="R5" i="27"/>
  <c r="S5" i="27"/>
  <c r="L36" i="16"/>
  <c r="L37" i="16"/>
  <c r="L39" i="16"/>
  <c r="L40" i="16"/>
  <c r="L44" i="16"/>
  <c r="L45" i="16"/>
  <c r="S1" i="26"/>
  <c r="AO53" i="26"/>
  <c r="AO52" i="26"/>
  <c r="AO51" i="26"/>
  <c r="AO50" i="26"/>
  <c r="AO49" i="26"/>
  <c r="AO48" i="26"/>
  <c r="AO47" i="26"/>
  <c r="AO46" i="26"/>
  <c r="AO45" i="26"/>
  <c r="AO44" i="26"/>
  <c r="AO43" i="26"/>
  <c r="AO42" i="26"/>
  <c r="AO41" i="26"/>
  <c r="AO40" i="26"/>
  <c r="AO39" i="26"/>
  <c r="AO38" i="26"/>
  <c r="AO37" i="26"/>
  <c r="AO36" i="26"/>
  <c r="AO35" i="26"/>
  <c r="AO34" i="26"/>
  <c r="AO33" i="26"/>
  <c r="AO32" i="26"/>
  <c r="AO31" i="26"/>
  <c r="F8" i="26" a="1"/>
  <c r="F8" i="26"/>
  <c r="AO30" i="26"/>
  <c r="AO29" i="26"/>
  <c r="AO28" i="26"/>
  <c r="AO27" i="26"/>
  <c r="AO26" i="26"/>
  <c r="AO25" i="26"/>
  <c r="AO24" i="26"/>
  <c r="AO23" i="26"/>
  <c r="E9" i="26" a="1"/>
  <c r="E9" i="26"/>
  <c r="AO22" i="26"/>
  <c r="AO21" i="26"/>
  <c r="AO20" i="26"/>
  <c r="AO19" i="26"/>
  <c r="E10" i="26" a="1"/>
  <c r="E10" i="26"/>
  <c r="O19" i="26"/>
  <c r="P19" i="26"/>
  <c r="H19" i="26"/>
  <c r="AO18" i="26"/>
  <c r="F10" i="26" a="1"/>
  <c r="F10" i="26"/>
  <c r="O18" i="26"/>
  <c r="P18" i="26"/>
  <c r="H18" i="26"/>
  <c r="AO17" i="26"/>
  <c r="F11" i="26" a="1"/>
  <c r="F11" i="26"/>
  <c r="O17" i="26"/>
  <c r="P17" i="26"/>
  <c r="H17" i="26"/>
  <c r="AO16" i="26"/>
  <c r="O16" i="26"/>
  <c r="P16" i="26"/>
  <c r="H16" i="26"/>
  <c r="AO15" i="26"/>
  <c r="O15" i="26"/>
  <c r="H15" i="26"/>
  <c r="AO14" i="26"/>
  <c r="O14" i="26"/>
  <c r="P14" i="26"/>
  <c r="H14" i="26"/>
  <c r="AO13" i="26"/>
  <c r="O13" i="26"/>
  <c r="P13" i="26"/>
  <c r="H13" i="26"/>
  <c r="AO12" i="26"/>
  <c r="F13" i="26" a="1"/>
  <c r="F13" i="26"/>
  <c r="O12" i="26"/>
  <c r="P12" i="26"/>
  <c r="H12" i="26"/>
  <c r="AO11" i="26"/>
  <c r="O11" i="26"/>
  <c r="P11" i="26"/>
  <c r="H11" i="26"/>
  <c r="AO10" i="26"/>
  <c r="O10" i="26"/>
  <c r="P10" i="26"/>
  <c r="H10" i="26"/>
  <c r="AO9" i="26"/>
  <c r="F12" i="26" a="1"/>
  <c r="F12" i="26"/>
  <c r="O9" i="26"/>
  <c r="P9" i="26"/>
  <c r="H9" i="26"/>
  <c r="AO8" i="26"/>
  <c r="O8" i="26"/>
  <c r="P8" i="26"/>
  <c r="H8" i="26"/>
  <c r="AO7" i="26"/>
  <c r="F18" i="26" a="1"/>
  <c r="F18" i="26"/>
  <c r="O7" i="26"/>
  <c r="P7" i="26"/>
  <c r="H7" i="26"/>
  <c r="F7" i="26" a="1"/>
  <c r="F7" i="26"/>
  <c r="AO6" i="26"/>
  <c r="AO5" i="26"/>
  <c r="AO4" i="26"/>
  <c r="S3" i="26"/>
  <c r="S2" i="26"/>
  <c r="G18" i="20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J38" i="25"/>
  <c r="K38" i="25"/>
  <c r="L38" i="25"/>
  <c r="J39" i="25"/>
  <c r="K39" i="25"/>
  <c r="L39" i="25"/>
  <c r="J40" i="25"/>
  <c r="K40" i="25"/>
  <c r="L40" i="25"/>
  <c r="J41" i="25"/>
  <c r="K41" i="25"/>
  <c r="L41" i="25"/>
  <c r="J42" i="25"/>
  <c r="K42" i="25"/>
  <c r="L42" i="25"/>
  <c r="J43" i="25"/>
  <c r="K43" i="25"/>
  <c r="L43" i="25"/>
  <c r="J44" i="25"/>
  <c r="K44" i="25"/>
  <c r="L44" i="25"/>
  <c r="J45" i="25"/>
  <c r="K45" i="25"/>
  <c r="L45" i="25"/>
  <c r="J46" i="25"/>
  <c r="K46" i="25"/>
  <c r="L46" i="25"/>
  <c r="J47" i="25"/>
  <c r="K47" i="25"/>
  <c r="L47" i="25"/>
  <c r="J48" i="25"/>
  <c r="K48" i="25"/>
  <c r="L48" i="25"/>
  <c r="J49" i="25"/>
  <c r="K49" i="25"/>
  <c r="L49" i="25"/>
  <c r="J50" i="25"/>
  <c r="K50" i="25"/>
  <c r="L50" i="25"/>
  <c r="J51" i="25"/>
  <c r="K51" i="25"/>
  <c r="L51" i="25"/>
  <c r="J52" i="25"/>
  <c r="K52" i="25"/>
  <c r="L52" i="25"/>
  <c r="J53" i="25"/>
  <c r="K53" i="25"/>
  <c r="L53" i="25"/>
  <c r="J54" i="25"/>
  <c r="K54" i="25"/>
  <c r="L54" i="25"/>
  <c r="J55" i="25"/>
  <c r="K55" i="25"/>
  <c r="L55" i="25"/>
  <c r="J56" i="25"/>
  <c r="K56" i="25"/>
  <c r="L56" i="25"/>
  <c r="J57" i="25"/>
  <c r="K57" i="25"/>
  <c r="L57" i="25"/>
  <c r="J58" i="25"/>
  <c r="K58" i="25"/>
  <c r="L58" i="25"/>
  <c r="J59" i="25"/>
  <c r="K59" i="25"/>
  <c r="L59" i="25"/>
  <c r="J60" i="25"/>
  <c r="K60" i="25"/>
  <c r="L60" i="25"/>
  <c r="J61" i="25"/>
  <c r="K61" i="25"/>
  <c r="L61" i="25"/>
  <c r="J62" i="25"/>
  <c r="K62" i="25"/>
  <c r="L62" i="25"/>
  <c r="J63" i="25"/>
  <c r="K63" i="25"/>
  <c r="L63" i="25"/>
  <c r="J64" i="25"/>
  <c r="K64" i="25"/>
  <c r="L64" i="25"/>
  <c r="J65" i="25"/>
  <c r="K65" i="25"/>
  <c r="L65" i="25"/>
  <c r="J66" i="25"/>
  <c r="K66" i="25"/>
  <c r="L66" i="25"/>
  <c r="J67" i="25"/>
  <c r="K67" i="25"/>
  <c r="L67" i="25"/>
  <c r="J68" i="25"/>
  <c r="K68" i="25"/>
  <c r="L68" i="25"/>
  <c r="J8" i="25"/>
  <c r="K8" i="25"/>
  <c r="L8" i="25"/>
  <c r="J9" i="25"/>
  <c r="K9" i="25"/>
  <c r="L9" i="25"/>
  <c r="J10" i="25"/>
  <c r="K10" i="25"/>
  <c r="L10" i="25"/>
  <c r="J11" i="25"/>
  <c r="K11" i="25"/>
  <c r="L11" i="25"/>
  <c r="J12" i="25"/>
  <c r="K12" i="25"/>
  <c r="L12" i="25"/>
  <c r="J13" i="25"/>
  <c r="K13" i="25"/>
  <c r="L13" i="25"/>
  <c r="J14" i="25"/>
  <c r="K14" i="25"/>
  <c r="L14" i="25"/>
  <c r="J16" i="25"/>
  <c r="K16" i="25"/>
  <c r="L16" i="25"/>
  <c r="J17" i="25"/>
  <c r="K17" i="25"/>
  <c r="L17" i="25"/>
  <c r="J18" i="25"/>
  <c r="K18" i="25"/>
  <c r="L18" i="25"/>
  <c r="J19" i="25"/>
  <c r="K19" i="25"/>
  <c r="L19" i="25"/>
  <c r="J21" i="25"/>
  <c r="K21" i="25"/>
  <c r="L21" i="25"/>
  <c r="J22" i="25"/>
  <c r="K22" i="25"/>
  <c r="L22" i="25"/>
  <c r="J23" i="25"/>
  <c r="K23" i="25"/>
  <c r="L23" i="25"/>
  <c r="J24" i="25"/>
  <c r="K24" i="25"/>
  <c r="L24" i="25"/>
  <c r="J25" i="25"/>
  <c r="K25" i="25"/>
  <c r="L25" i="25"/>
  <c r="J27" i="25"/>
  <c r="K27" i="25"/>
  <c r="L27" i="25"/>
  <c r="J29" i="25"/>
  <c r="K29" i="25"/>
  <c r="L29" i="25"/>
  <c r="J30" i="25"/>
  <c r="K30" i="25"/>
  <c r="L30" i="25"/>
  <c r="J31" i="25"/>
  <c r="K31" i="25"/>
  <c r="L31" i="25"/>
  <c r="J32" i="25"/>
  <c r="K32" i="25"/>
  <c r="L32" i="25"/>
  <c r="J33" i="25"/>
  <c r="K33" i="25"/>
  <c r="L33" i="25"/>
  <c r="J34" i="25"/>
  <c r="K34" i="25"/>
  <c r="L34" i="25"/>
  <c r="J35" i="25"/>
  <c r="K35" i="25"/>
  <c r="L35" i="25"/>
  <c r="J36" i="25"/>
  <c r="K36" i="25"/>
  <c r="L36" i="25"/>
  <c r="J37" i="25"/>
  <c r="K37" i="25"/>
  <c r="L37" i="25"/>
  <c r="J7" i="25"/>
  <c r="K7" i="25"/>
  <c r="L7" i="25"/>
  <c r="M15" i="43"/>
  <c r="O15" i="43"/>
  <c r="M20" i="43"/>
  <c r="O20" i="43"/>
  <c r="M18" i="43"/>
  <c r="O18" i="43"/>
  <c r="M13" i="43"/>
  <c r="O13" i="43"/>
  <c r="M14" i="43"/>
  <c r="O14" i="43"/>
  <c r="M26" i="43"/>
  <c r="O26" i="43"/>
  <c r="M11" i="43"/>
  <c r="O11" i="43"/>
  <c r="M7" i="43"/>
  <c r="O7" i="43"/>
  <c r="F33" i="42"/>
  <c r="G32" i="42"/>
  <c r="K14" i="43"/>
  <c r="K11" i="43"/>
  <c r="K25" i="43"/>
  <c r="K18" i="43"/>
  <c r="K7" i="43"/>
  <c r="K16" i="43"/>
  <c r="K10" i="43"/>
  <c r="N10" i="43" s="1"/>
  <c r="K21" i="43"/>
  <c r="K17" i="43"/>
  <c r="K20" i="43"/>
  <c r="K6" i="43"/>
  <c r="K13" i="43"/>
  <c r="K19" i="43"/>
  <c r="K5" i="43"/>
  <c r="K22" i="43"/>
  <c r="K12" i="43"/>
  <c r="K26" i="43"/>
  <c r="U10" i="43"/>
  <c r="K15" i="43"/>
  <c r="K9" i="43"/>
  <c r="U8" i="43"/>
  <c r="K23" i="43"/>
  <c r="K8" i="43"/>
  <c r="K24" i="43"/>
  <c r="M17" i="43"/>
  <c r="O17" i="43"/>
  <c r="M25" i="43"/>
  <c r="O25" i="43"/>
  <c r="M9" i="43"/>
  <c r="O9" i="43"/>
  <c r="J135" i="41"/>
  <c r="J261" i="41"/>
  <c r="G85" i="41"/>
  <c r="G196" i="41"/>
  <c r="R196" i="41"/>
  <c r="G126" i="41"/>
  <c r="G203" i="41"/>
  <c r="R114" i="41"/>
  <c r="G114" i="41"/>
  <c r="G133" i="41"/>
  <c r="R133" i="41"/>
  <c r="G161" i="41"/>
  <c r="R28" i="41"/>
  <c r="G28" i="41"/>
  <c r="R155" i="41"/>
  <c r="M155" i="41"/>
  <c r="G155" i="41"/>
  <c r="G231" i="41"/>
  <c r="S204" i="41"/>
  <c r="J177" i="41"/>
  <c r="Q9" i="41"/>
  <c r="AH9" i="41"/>
  <c r="AF9" i="41"/>
  <c r="AG9" i="41"/>
  <c r="I9" i="41"/>
  <c r="G253" i="41"/>
  <c r="G79" i="41"/>
  <c r="I175" i="41"/>
  <c r="Q175" i="41"/>
  <c r="AF175" i="41"/>
  <c r="AG175" i="41"/>
  <c r="AH175" i="41"/>
  <c r="G220" i="41"/>
  <c r="R53" i="41"/>
  <c r="G53" i="41"/>
  <c r="G193" i="41"/>
  <c r="G190" i="41"/>
  <c r="G221" i="41"/>
  <c r="G239" i="41"/>
  <c r="R239" i="41"/>
  <c r="G152" i="41"/>
  <c r="M114" i="41"/>
  <c r="L114" i="41"/>
  <c r="G182" i="41"/>
  <c r="G149" i="41"/>
  <c r="I217" i="41"/>
  <c r="AF217" i="41"/>
  <c r="Q217" i="41"/>
  <c r="AH217" i="41"/>
  <c r="AG217" i="41"/>
  <c r="G264" i="41"/>
  <c r="M53" i="41"/>
  <c r="L53" i="41"/>
  <c r="G266" i="41"/>
  <c r="G181" i="41"/>
  <c r="G205" i="41"/>
  <c r="G144" i="41"/>
  <c r="R176" i="41"/>
  <c r="G176" i="41"/>
  <c r="G240" i="41"/>
  <c r="R240" i="41"/>
  <c r="G222" i="41"/>
  <c r="G230" i="41"/>
  <c r="G237" i="41"/>
  <c r="G84" i="41"/>
  <c r="I28" i="41"/>
  <c r="AH28" i="41"/>
  <c r="Q28" i="41"/>
  <c r="AG28" i="41"/>
  <c r="AF28" i="41"/>
  <c r="G43" i="41"/>
  <c r="G61" i="41"/>
  <c r="R8" i="41"/>
  <c r="L8" i="41"/>
  <c r="M8" i="41"/>
  <c r="G8" i="41"/>
  <c r="G248" i="41"/>
  <c r="G185" i="41"/>
  <c r="AF114" i="41"/>
  <c r="G42" i="41"/>
  <c r="G211" i="41"/>
  <c r="G234" i="41"/>
  <c r="G87" i="41"/>
  <c r="G147" i="41"/>
  <c r="R154" i="41"/>
  <c r="G154" i="41"/>
  <c r="G278" i="41"/>
  <c r="G56" i="41"/>
  <c r="G157" i="41"/>
  <c r="R157" i="41"/>
  <c r="G255" i="41"/>
  <c r="G40" i="41"/>
  <c r="G45" i="41"/>
  <c r="G166" i="41"/>
  <c r="G233" i="41"/>
  <c r="Q31" i="41"/>
  <c r="AH31" i="41"/>
  <c r="AG31" i="41"/>
  <c r="AF31" i="41"/>
  <c r="J157" i="41"/>
  <c r="R219" i="41"/>
  <c r="G219" i="41"/>
  <c r="G41" i="41"/>
  <c r="G141" i="41"/>
  <c r="G214" i="41"/>
  <c r="G269" i="41"/>
  <c r="G244" i="41"/>
  <c r="D11" i="41"/>
  <c r="AO10" i="41"/>
  <c r="I10" i="41"/>
  <c r="AP10" i="41"/>
  <c r="AG10" i="41"/>
  <c r="AL10" i="41"/>
  <c r="O10" i="41"/>
  <c r="P10" i="41"/>
  <c r="AH10" i="41"/>
  <c r="AF10" i="41"/>
  <c r="AC10" i="41"/>
  <c r="AG137" i="41"/>
  <c r="AF137" i="41"/>
  <c r="AC137" i="41"/>
  <c r="AO137" i="41"/>
  <c r="D138" i="41"/>
  <c r="AP137" i="41"/>
  <c r="I137" i="41"/>
  <c r="O137" i="41"/>
  <c r="P137" i="41"/>
  <c r="AH137" i="41"/>
  <c r="AL137" i="41"/>
  <c r="G83" i="41"/>
  <c r="Q49" i="41"/>
  <c r="AH49" i="41"/>
  <c r="AG49" i="41"/>
  <c r="AF49" i="41"/>
  <c r="I49" i="41"/>
  <c r="G33" i="41"/>
  <c r="I114" i="41"/>
  <c r="AH29" i="41"/>
  <c r="AG29" i="41"/>
  <c r="AF29" i="41"/>
  <c r="Q29" i="41"/>
  <c r="I29" i="41"/>
  <c r="R71" i="41"/>
  <c r="M71" i="41"/>
  <c r="L71" i="41"/>
  <c r="G71" i="41"/>
  <c r="G148" i="41"/>
  <c r="G224" i="41"/>
  <c r="G210" i="41"/>
  <c r="G251" i="41"/>
  <c r="M9" i="41"/>
  <c r="L9" i="41"/>
  <c r="L219" i="41"/>
  <c r="J53" i="41"/>
  <c r="G146" i="41"/>
  <c r="Q50" i="41"/>
  <c r="I50" i="41"/>
  <c r="AG50" i="41"/>
  <c r="AF50" i="41"/>
  <c r="AH50" i="41"/>
  <c r="G180" i="41"/>
  <c r="Q134" i="41"/>
  <c r="AG134" i="41"/>
  <c r="I134" i="41"/>
  <c r="AF134" i="41"/>
  <c r="AH134" i="41"/>
  <c r="G187" i="41"/>
  <c r="G198" i="41"/>
  <c r="R198" i="41"/>
  <c r="M219" i="41"/>
  <c r="I51" i="41"/>
  <c r="AH51" i="41"/>
  <c r="AF51" i="41"/>
  <c r="Q51" i="41"/>
  <c r="G55" i="41"/>
  <c r="Q177" i="41"/>
  <c r="I240" i="41"/>
  <c r="M157" i="41"/>
  <c r="L157" i="41"/>
  <c r="L196" i="41"/>
  <c r="AG241" i="41"/>
  <c r="AF241" i="41"/>
  <c r="AC241" i="41"/>
  <c r="AL241" i="41"/>
  <c r="AH241" i="41"/>
  <c r="O241" i="41"/>
  <c r="P241" i="41"/>
  <c r="D242" i="41"/>
  <c r="I241" i="41"/>
  <c r="AO241" i="41"/>
  <c r="AP241" i="41"/>
  <c r="M196" i="41"/>
  <c r="G153" i="41"/>
  <c r="G123" i="41"/>
  <c r="G107" i="41"/>
  <c r="G109" i="41"/>
  <c r="G206" i="41"/>
  <c r="G212" i="41"/>
  <c r="G158" i="41"/>
  <c r="G188" i="41"/>
  <c r="R200" i="41"/>
  <c r="G200" i="41"/>
  <c r="R241" i="41"/>
  <c r="G241" i="41"/>
  <c r="G258" i="41"/>
  <c r="L28" i="41"/>
  <c r="G77" i="41"/>
  <c r="AF53" i="41"/>
  <c r="G65" i="41"/>
  <c r="G11" i="41"/>
  <c r="O73" i="41"/>
  <c r="P73" i="41"/>
  <c r="I73" i="41"/>
  <c r="D74" i="41"/>
  <c r="AP73" i="41"/>
  <c r="AO73" i="41"/>
  <c r="AG73" i="41"/>
  <c r="AL73" i="41"/>
  <c r="AH73" i="41"/>
  <c r="AF73" i="41"/>
  <c r="AC73" i="41"/>
  <c r="R177" i="41"/>
  <c r="G177" i="41"/>
  <c r="AG114" i="41"/>
  <c r="G263" i="41"/>
  <c r="G99" i="41"/>
  <c r="G246" i="41"/>
  <c r="G169" i="41"/>
  <c r="G168" i="41"/>
  <c r="G76" i="41"/>
  <c r="G39" i="41"/>
  <c r="AH113" i="41"/>
  <c r="AG113" i="41"/>
  <c r="AF113" i="41"/>
  <c r="I113" i="41"/>
  <c r="Q113" i="41"/>
  <c r="G18" i="41"/>
  <c r="G119" i="41"/>
  <c r="G20" i="41"/>
  <c r="G192" i="41"/>
  <c r="G276" i="41"/>
  <c r="G191" i="41"/>
  <c r="G86" i="41"/>
  <c r="AG54" i="41"/>
  <c r="O54" i="41"/>
  <c r="AO54" i="41"/>
  <c r="AF54" i="41"/>
  <c r="I54" i="41"/>
  <c r="AC54" i="41"/>
  <c r="AL54" i="41"/>
  <c r="AH54" i="41"/>
  <c r="D55" i="41"/>
  <c r="AP54" i="41"/>
  <c r="G223" i="41"/>
  <c r="AF115" i="41"/>
  <c r="AH115" i="41"/>
  <c r="AG115" i="41"/>
  <c r="AC115" i="41"/>
  <c r="D116" i="41"/>
  <c r="AP115" i="41"/>
  <c r="AO115" i="41"/>
  <c r="AL115" i="41"/>
  <c r="I115" i="41"/>
  <c r="O115" i="41"/>
  <c r="G78" i="41"/>
  <c r="G74" i="41"/>
  <c r="I91" i="41"/>
  <c r="AH91" i="41"/>
  <c r="AG91" i="41"/>
  <c r="AF91" i="41"/>
  <c r="Q91" i="41"/>
  <c r="G27" i="41"/>
  <c r="R70" i="41"/>
  <c r="G70" i="41"/>
  <c r="M70" i="41"/>
  <c r="L70" i="41"/>
  <c r="AH8" i="41"/>
  <c r="AG8" i="41"/>
  <c r="AF8" i="41"/>
  <c r="Q8" i="41"/>
  <c r="I8" i="41"/>
  <c r="G95" i="41"/>
  <c r="G216" i="41"/>
  <c r="S12" i="41"/>
  <c r="G201" i="41"/>
  <c r="G135" i="41"/>
  <c r="R135" i="41"/>
  <c r="S242" i="41"/>
  <c r="G274" i="41"/>
  <c r="J198" i="41"/>
  <c r="G199" i="41"/>
  <c r="R199" i="41"/>
  <c r="G195" i="41"/>
  <c r="AH92" i="41"/>
  <c r="AG92" i="41"/>
  <c r="AF92" i="41"/>
  <c r="Q92" i="41"/>
  <c r="I92" i="41"/>
  <c r="G249" i="41"/>
  <c r="AF157" i="41"/>
  <c r="Q157" i="41"/>
  <c r="AG157" i="41"/>
  <c r="AG220" i="41"/>
  <c r="AC220" i="41"/>
  <c r="O220" i="41"/>
  <c r="P220" i="41"/>
  <c r="D221" i="41"/>
  <c r="AP220" i="41"/>
  <c r="AO220" i="41"/>
  <c r="AL220" i="41"/>
  <c r="AH220" i="41"/>
  <c r="AF220" i="41"/>
  <c r="I220" i="41"/>
  <c r="G179" i="41"/>
  <c r="R52" i="41"/>
  <c r="G52" i="41"/>
  <c r="G256" i="41"/>
  <c r="G25" i="41"/>
  <c r="G171" i="41"/>
  <c r="G174" i="41"/>
  <c r="G194" i="41"/>
  <c r="G236" i="41"/>
  <c r="G270" i="41"/>
  <c r="G271" i="41"/>
  <c r="G118" i="41"/>
  <c r="G125" i="41"/>
  <c r="G37" i="41"/>
  <c r="R50" i="41"/>
  <c r="G50" i="41"/>
  <c r="G97" i="41"/>
  <c r="L133" i="41"/>
  <c r="G68" i="41"/>
  <c r="G134" i="41"/>
  <c r="G81" i="41"/>
  <c r="G184" i="41"/>
  <c r="G21" i="41"/>
  <c r="R217" i="41"/>
  <c r="G217" i="41"/>
  <c r="G127" i="41"/>
  <c r="G60" i="41"/>
  <c r="G80" i="41"/>
  <c r="G38" i="41"/>
  <c r="Q178" i="41"/>
  <c r="G35" i="41"/>
  <c r="G167" i="41"/>
  <c r="G32" i="41"/>
  <c r="R32" i="41"/>
  <c r="G13" i="41"/>
  <c r="M177" i="41"/>
  <c r="L177" i="41"/>
  <c r="G150" i="41"/>
  <c r="Q135" i="41"/>
  <c r="AH135" i="41"/>
  <c r="AF135" i="41"/>
  <c r="G213" i="41"/>
  <c r="M28" i="41"/>
  <c r="G96" i="41"/>
  <c r="AH114" i="41"/>
  <c r="G170" i="41"/>
  <c r="AG135" i="41"/>
  <c r="G106" i="41"/>
  <c r="AH133" i="41"/>
  <c r="AG133" i="41"/>
  <c r="AF133" i="41"/>
  <c r="I133" i="41"/>
  <c r="Q133" i="41"/>
  <c r="G245" i="41"/>
  <c r="G64" i="41"/>
  <c r="G260" i="41"/>
  <c r="R260" i="41"/>
  <c r="L260" i="41"/>
  <c r="M260" i="41"/>
  <c r="G117" i="41"/>
  <c r="G102" i="41"/>
  <c r="Q155" i="41"/>
  <c r="AF155" i="41"/>
  <c r="AH155" i="41"/>
  <c r="AG155" i="41"/>
  <c r="I155" i="41"/>
  <c r="R262" i="41"/>
  <c r="G262" i="41"/>
  <c r="G47" i="41"/>
  <c r="G122" i="41"/>
  <c r="Q53" i="41"/>
  <c r="G235" i="41"/>
  <c r="G229" i="41"/>
  <c r="G250" i="41"/>
  <c r="AH260" i="41"/>
  <c r="AG260" i="41"/>
  <c r="AF260" i="41"/>
  <c r="I260" i="41"/>
  <c r="Q260" i="41"/>
  <c r="G257" i="41"/>
  <c r="G121" i="41"/>
  <c r="AG52" i="41"/>
  <c r="AF52" i="41"/>
  <c r="I52" i="41"/>
  <c r="Q52" i="41"/>
  <c r="R92" i="41"/>
  <c r="M92" i="41"/>
  <c r="G92" i="41"/>
  <c r="Q156" i="41"/>
  <c r="I156" i="41"/>
  <c r="AF156" i="41"/>
  <c r="AG156" i="41"/>
  <c r="AH156" i="41"/>
  <c r="L239" i="41"/>
  <c r="G160" i="41"/>
  <c r="G151" i="41"/>
  <c r="R175" i="41"/>
  <c r="G175" i="41"/>
  <c r="G140" i="41"/>
  <c r="G227" i="41"/>
  <c r="AH176" i="41"/>
  <c r="AG176" i="41"/>
  <c r="Q176" i="41"/>
  <c r="I176" i="41"/>
  <c r="AF176" i="41"/>
  <c r="Q199" i="41"/>
  <c r="G272" i="41"/>
  <c r="G247" i="41"/>
  <c r="I31" i="41"/>
  <c r="G51" i="41"/>
  <c r="R51" i="41"/>
  <c r="G10" i="41"/>
  <c r="R10" i="41"/>
  <c r="M133" i="41"/>
  <c r="R30" i="41"/>
  <c r="G30" i="41"/>
  <c r="AD134" i="41"/>
  <c r="AE134" i="41"/>
  <c r="L154" i="41"/>
  <c r="G279" i="41"/>
  <c r="G58" i="41"/>
  <c r="G82" i="41"/>
  <c r="G44" i="41"/>
  <c r="G131" i="41"/>
  <c r="Q200" i="41"/>
  <c r="G34" i="41"/>
  <c r="AH158" i="41"/>
  <c r="AG158" i="41"/>
  <c r="AF158" i="41"/>
  <c r="AC158" i="41"/>
  <c r="O158" i="41"/>
  <c r="P158" i="41"/>
  <c r="I158" i="41"/>
  <c r="D159" i="41"/>
  <c r="AP158" i="41"/>
  <c r="AO158" i="41"/>
  <c r="AL158" i="41"/>
  <c r="G226" i="41"/>
  <c r="G120" i="41"/>
  <c r="G17" i="41"/>
  <c r="G225" i="41"/>
  <c r="G48" i="41"/>
  <c r="G172" i="41"/>
  <c r="Q30" i="41"/>
  <c r="I30" i="41"/>
  <c r="AF30" i="41"/>
  <c r="AH30" i="41"/>
  <c r="AG30" i="41"/>
  <c r="M239" i="41"/>
  <c r="G90" i="41"/>
  <c r="G138" i="41"/>
  <c r="R178" i="41"/>
  <c r="G178" i="41"/>
  <c r="G232" i="41"/>
  <c r="G259" i="41"/>
  <c r="R259" i="41"/>
  <c r="G268" i="41"/>
  <c r="AP32" i="41"/>
  <c r="AO32" i="41"/>
  <c r="AL32" i="41"/>
  <c r="AH32" i="41"/>
  <c r="AG32" i="41"/>
  <c r="AF32" i="41"/>
  <c r="O32" i="41"/>
  <c r="P32" i="41"/>
  <c r="AC32" i="41"/>
  <c r="I32" i="41"/>
  <c r="D33" i="41"/>
  <c r="G54" i="41"/>
  <c r="G62" i="41"/>
  <c r="L92" i="41"/>
  <c r="G15" i="41"/>
  <c r="S163" i="41"/>
  <c r="M154" i="41"/>
  <c r="G277" i="41"/>
  <c r="G112" i="41"/>
  <c r="R112" i="41"/>
  <c r="G69" i="41"/>
  <c r="G159" i="41"/>
  <c r="G132" i="41"/>
  <c r="G164" i="41"/>
  <c r="G88" i="41"/>
  <c r="G73" i="41"/>
  <c r="G128" i="41"/>
  <c r="G202" i="41"/>
  <c r="M199" i="41"/>
  <c r="L199" i="41"/>
  <c r="G183" i="41"/>
  <c r="G115" i="41"/>
  <c r="G75" i="41"/>
  <c r="G108" i="41"/>
  <c r="G209" i="41"/>
  <c r="G156" i="41"/>
  <c r="R156" i="41"/>
  <c r="Q198" i="41"/>
  <c r="AF198" i="41"/>
  <c r="G254" i="41"/>
  <c r="AH196" i="41"/>
  <c r="AF196" i="41"/>
  <c r="I196" i="41"/>
  <c r="Q196" i="41"/>
  <c r="AG196" i="41"/>
  <c r="G215" i="41"/>
  <c r="Q261" i="41"/>
  <c r="Q241" i="41"/>
  <c r="J93" i="41"/>
  <c r="M31" i="41"/>
  <c r="L31" i="41"/>
  <c r="G63" i="41"/>
  <c r="I70" i="41"/>
  <c r="Q70" i="41"/>
  <c r="AH70" i="41"/>
  <c r="AG70" i="41"/>
  <c r="AF70" i="41"/>
  <c r="I112" i="41"/>
  <c r="AG112" i="41"/>
  <c r="AH112" i="41"/>
  <c r="AF112" i="41"/>
  <c r="Q112" i="41"/>
  <c r="R9" i="41"/>
  <c r="G9" i="41"/>
  <c r="G7" i="41"/>
  <c r="R7" i="41"/>
  <c r="M261" i="41"/>
  <c r="L261" i="41"/>
  <c r="R93" i="41"/>
  <c r="G93" i="41"/>
  <c r="M93" i="41"/>
  <c r="G36" i="41"/>
  <c r="G72" i="41"/>
  <c r="R72" i="41"/>
  <c r="G57" i="41"/>
  <c r="G136" i="41"/>
  <c r="R136" i="41"/>
  <c r="G100" i="41"/>
  <c r="G103" i="41"/>
  <c r="G129" i="41"/>
  <c r="G139" i="41"/>
  <c r="G26" i="41"/>
  <c r="G111" i="41"/>
  <c r="AL200" i="41"/>
  <c r="AH200" i="41"/>
  <c r="AG200" i="41"/>
  <c r="AO200" i="41"/>
  <c r="AF200" i="41"/>
  <c r="AC200" i="41"/>
  <c r="D201" i="41"/>
  <c r="AP200" i="41"/>
  <c r="O200" i="41"/>
  <c r="P200" i="41"/>
  <c r="I200" i="41"/>
  <c r="G110" i="41"/>
  <c r="R91" i="41"/>
  <c r="G91" i="41"/>
  <c r="L91" i="41"/>
  <c r="G162" i="41"/>
  <c r="R261" i="41"/>
  <c r="G261" i="41"/>
  <c r="G197" i="41"/>
  <c r="R197" i="41"/>
  <c r="L197" i="41"/>
  <c r="M197" i="41"/>
  <c r="G207" i="41"/>
  <c r="G275" i="41"/>
  <c r="AO94" i="41"/>
  <c r="AG94" i="41"/>
  <c r="AH94" i="41"/>
  <c r="AF94" i="41"/>
  <c r="AC94" i="41"/>
  <c r="O94" i="41"/>
  <c r="P94" i="41"/>
  <c r="R94" i="41"/>
  <c r="I94" i="41"/>
  <c r="AL94" i="41"/>
  <c r="D95" i="41"/>
  <c r="AP94" i="41"/>
  <c r="M136" i="41"/>
  <c r="L136" i="41"/>
  <c r="G105" i="41"/>
  <c r="G124" i="41"/>
  <c r="Q10" i="41"/>
  <c r="L7" i="41"/>
  <c r="G24" i="41"/>
  <c r="L112" i="41"/>
  <c r="G66" i="41"/>
  <c r="G143" i="41"/>
  <c r="G252" i="41"/>
  <c r="G19" i="41"/>
  <c r="R31" i="41"/>
  <c r="G31" i="41"/>
  <c r="S101" i="41"/>
  <c r="G113" i="41"/>
  <c r="R113" i="41"/>
  <c r="M113" i="41"/>
  <c r="AF219" i="41"/>
  <c r="Q219" i="41"/>
  <c r="I219" i="41"/>
  <c r="AH219" i="41"/>
  <c r="AG219" i="41"/>
  <c r="G94" i="41"/>
  <c r="G130" i="41"/>
  <c r="AH259" i="41"/>
  <c r="I259" i="41"/>
  <c r="AF259" i="41"/>
  <c r="Q259" i="41"/>
  <c r="AG259" i="41"/>
  <c r="G16" i="41"/>
  <c r="G67" i="41"/>
  <c r="G228" i="41"/>
  <c r="AH218" i="41"/>
  <c r="AG218" i="41"/>
  <c r="AF218" i="41"/>
  <c r="I218" i="41"/>
  <c r="Q218" i="41"/>
  <c r="G59" i="41"/>
  <c r="G29" i="41"/>
  <c r="L29" i="41"/>
  <c r="R29" i="41"/>
  <c r="G208" i="41"/>
  <c r="L30" i="41"/>
  <c r="M30" i="41"/>
  <c r="J136" i="41"/>
  <c r="M198" i="41"/>
  <c r="L198" i="41"/>
  <c r="AH154" i="41"/>
  <c r="AG154" i="41"/>
  <c r="AF154" i="41"/>
  <c r="I154" i="41"/>
  <c r="Q154" i="41"/>
  <c r="G14" i="41"/>
  <c r="J72" i="41"/>
  <c r="M217" i="41"/>
  <c r="I239" i="41"/>
  <c r="AH239" i="41"/>
  <c r="Q239" i="41"/>
  <c r="AG239" i="41"/>
  <c r="AF239" i="41"/>
  <c r="G165" i="41"/>
  <c r="G22" i="41"/>
  <c r="G116" i="41"/>
  <c r="G173" i="41"/>
  <c r="G238" i="41"/>
  <c r="R238" i="41"/>
  <c r="G273" i="41"/>
  <c r="M135" i="41"/>
  <c r="L135" i="41"/>
  <c r="G46" i="41"/>
  <c r="G23" i="41"/>
  <c r="L72" i="41"/>
  <c r="Q197" i="41"/>
  <c r="AG197" i="41"/>
  <c r="I197" i="41"/>
  <c r="AH197" i="41"/>
  <c r="AF197" i="41"/>
  <c r="G265" i="41"/>
  <c r="M72" i="41"/>
  <c r="G137" i="41"/>
  <c r="G243" i="41"/>
  <c r="O262" i="41"/>
  <c r="P262" i="41"/>
  <c r="I262" i="41"/>
  <c r="AO262" i="41"/>
  <c r="AL262" i="41"/>
  <c r="AH262" i="41"/>
  <c r="AG262" i="41"/>
  <c r="AC262" i="41"/>
  <c r="D263" i="41"/>
  <c r="AP262" i="41"/>
  <c r="AF262" i="41"/>
  <c r="J199" i="41"/>
  <c r="R49" i="41"/>
  <c r="L49" i="41"/>
  <c r="M49" i="41"/>
  <c r="G49" i="41"/>
  <c r="G89" i="41"/>
  <c r="G98" i="41"/>
  <c r="AH71" i="41"/>
  <c r="Q71" i="41"/>
  <c r="AF71" i="41"/>
  <c r="AG71" i="41"/>
  <c r="I71" i="41"/>
  <c r="G186" i="41"/>
  <c r="G267" i="41"/>
  <c r="Q238" i="41"/>
  <c r="I238" i="41"/>
  <c r="AG238" i="41"/>
  <c r="AF238" i="41"/>
  <c r="AH238" i="41"/>
  <c r="G189" i="41"/>
  <c r="G218" i="41"/>
  <c r="R218" i="41"/>
  <c r="O178" i="41"/>
  <c r="P178" i="41"/>
  <c r="I178" i="41"/>
  <c r="D179" i="41"/>
  <c r="AP178" i="41"/>
  <c r="AO178" i="41"/>
  <c r="AG178" i="41"/>
  <c r="AL178" i="41"/>
  <c r="AH178" i="41"/>
  <c r="AF178" i="41"/>
  <c r="AC178" i="41"/>
  <c r="G142" i="41"/>
  <c r="G104" i="41"/>
  <c r="Q94" i="41"/>
  <c r="I7" i="41"/>
  <c r="AF7" i="41"/>
  <c r="AG7" i="41"/>
  <c r="AH7" i="41"/>
  <c r="Q7" i="41"/>
  <c r="S145" i="41"/>
  <c r="L155" i="41"/>
  <c r="M112" i="41"/>
  <c r="C18" i="39"/>
  <c r="D18" i="39"/>
  <c r="B19" i="39"/>
  <c r="C22" i="38"/>
  <c r="D22" i="38" s="1"/>
  <c r="B20" i="37"/>
  <c r="C19" i="37"/>
  <c r="D19" i="37"/>
  <c r="J9" i="33"/>
  <c r="K9" i="33"/>
  <c r="R9" i="33"/>
  <c r="Y9" i="33"/>
  <c r="Z9" i="33" s="1"/>
  <c r="Y13" i="33"/>
  <c r="Z13" i="33" s="1"/>
  <c r="R13" i="33"/>
  <c r="J13" i="33"/>
  <c r="K13" i="33" s="1"/>
  <c r="C17" i="35"/>
  <c r="D17" i="35"/>
  <c r="B18" i="35"/>
  <c r="B19" i="34"/>
  <c r="C18" i="34"/>
  <c r="D18" i="34"/>
  <c r="H6" i="32"/>
  <c r="N6" i="32"/>
  <c r="M8" i="32"/>
  <c r="I8" i="32"/>
  <c r="H7" i="32"/>
  <c r="N7" i="32"/>
  <c r="H4" i="32"/>
  <c r="N4" i="32"/>
  <c r="I9" i="32"/>
  <c r="M9" i="32"/>
  <c r="G11" i="32"/>
  <c r="L10" i="32"/>
  <c r="H5" i="32"/>
  <c r="N5" i="32"/>
  <c r="D16" i="32"/>
  <c r="R4" i="27"/>
  <c r="S4" i="27"/>
  <c r="H6" i="27"/>
  <c r="R6" i="27"/>
  <c r="S6" i="27"/>
  <c r="L38" i="16"/>
  <c r="E16" i="26" a="1"/>
  <c r="E16" i="26"/>
  <c r="U16" i="26"/>
  <c r="F9" i="26" a="1"/>
  <c r="F9" i="26"/>
  <c r="Q9" i="26"/>
  <c r="F17" i="26" a="1"/>
  <c r="F17" i="26"/>
  <c r="Q17" i="26"/>
  <c r="E12" i="26" a="1"/>
  <c r="E12" i="26"/>
  <c r="R12" i="26"/>
  <c r="E14" i="26" a="1"/>
  <c r="E14" i="26"/>
  <c r="AA14" i="26"/>
  <c r="E17" i="26" a="1"/>
  <c r="E17" i="26"/>
  <c r="R17" i="26"/>
  <c r="E19" i="26" a="1"/>
  <c r="E19" i="26"/>
  <c r="U19" i="26"/>
  <c r="F14" i="26" a="1"/>
  <c r="F14" i="26"/>
  <c r="V14" i="26"/>
  <c r="I10" i="26"/>
  <c r="J10" i="26"/>
  <c r="Q10" i="26"/>
  <c r="V13" i="26"/>
  <c r="I13" i="26"/>
  <c r="J13" i="26"/>
  <c r="Q13" i="26"/>
  <c r="R10" i="26"/>
  <c r="G10" i="26"/>
  <c r="M10" i="26"/>
  <c r="L10" i="26"/>
  <c r="U10" i="26"/>
  <c r="Q18" i="26"/>
  <c r="V18" i="26"/>
  <c r="I18" i="26"/>
  <c r="J18" i="26"/>
  <c r="M9" i="26"/>
  <c r="U9" i="26"/>
  <c r="L9" i="26"/>
  <c r="V8" i="26"/>
  <c r="I8" i="26"/>
  <c r="J8" i="26"/>
  <c r="Q8" i="26"/>
  <c r="I7" i="26"/>
  <c r="J7" i="26"/>
  <c r="V7" i="26"/>
  <c r="Q7" i="26"/>
  <c r="Q12" i="26"/>
  <c r="I12" i="26"/>
  <c r="J12" i="26"/>
  <c r="R9" i="26"/>
  <c r="Q11" i="26"/>
  <c r="I11" i="26"/>
  <c r="J11" i="26"/>
  <c r="V12" i="26"/>
  <c r="V11" i="26"/>
  <c r="F15" i="26" a="1"/>
  <c r="F15" i="26"/>
  <c r="V15" i="26"/>
  <c r="F16" i="26" a="1"/>
  <c r="F16" i="26"/>
  <c r="G16" i="26"/>
  <c r="P15" i="26"/>
  <c r="E8" i="26" a="1"/>
  <c r="E8" i="26"/>
  <c r="E15" i="26" a="1"/>
  <c r="E15" i="26"/>
  <c r="E7" i="26" a="1"/>
  <c r="E7" i="26"/>
  <c r="AA7" i="26"/>
  <c r="V10" i="26"/>
  <c r="E13" i="26" a="1"/>
  <c r="E13" i="26"/>
  <c r="AA13" i="26"/>
  <c r="E18" i="26" a="1"/>
  <c r="E18" i="26"/>
  <c r="L18" i="26"/>
  <c r="F19" i="26" a="1"/>
  <c r="F19" i="26"/>
  <c r="G19" i="26"/>
  <c r="E11" i="26" a="1"/>
  <c r="E11" i="26"/>
  <c r="L11" i="26"/>
  <c r="AA10" i="26"/>
  <c r="AA9" i="26"/>
  <c r="I39" i="25"/>
  <c r="I38" i="25"/>
  <c r="J28" i="25"/>
  <c r="J20" i="25"/>
  <c r="J26" i="25"/>
  <c r="J15" i="25"/>
  <c r="N25" i="43"/>
  <c r="L25" i="43"/>
  <c r="N20" i="43"/>
  <c r="L20" i="43"/>
  <c r="N7" i="43"/>
  <c r="L7" i="43"/>
  <c r="L11" i="43"/>
  <c r="N9" i="43"/>
  <c r="L9" i="43"/>
  <c r="N15" i="43"/>
  <c r="L15" i="43"/>
  <c r="N21" i="43"/>
  <c r="L21" i="43"/>
  <c r="L22" i="43"/>
  <c r="N22" i="43"/>
  <c r="L18" i="43"/>
  <c r="N18" i="43"/>
  <c r="N8" i="43"/>
  <c r="L8" i="43"/>
  <c r="L23" i="43"/>
  <c r="N23" i="43"/>
  <c r="N12" i="43"/>
  <c r="L12" i="43"/>
  <c r="N5" i="43"/>
  <c r="L5" i="43"/>
  <c r="L24" i="43"/>
  <c r="N24" i="43"/>
  <c r="N26" i="43"/>
  <c r="L26" i="43"/>
  <c r="N19" i="43"/>
  <c r="L19" i="43"/>
  <c r="N6" i="43"/>
  <c r="L6" i="43"/>
  <c r="L17" i="43"/>
  <c r="N17" i="43"/>
  <c r="L16" i="43"/>
  <c r="N16" i="43"/>
  <c r="N14" i="43"/>
  <c r="L14" i="43"/>
  <c r="F34" i="42"/>
  <c r="G33" i="42"/>
  <c r="N13" i="43"/>
  <c r="L13" i="43"/>
  <c r="AE94" i="41"/>
  <c r="AD94" i="41"/>
  <c r="S49" i="41"/>
  <c r="N49" i="41"/>
  <c r="S136" i="41"/>
  <c r="N136" i="41"/>
  <c r="J158" i="41"/>
  <c r="S227" i="41"/>
  <c r="S245" i="41"/>
  <c r="S274" i="41"/>
  <c r="S169" i="41"/>
  <c r="Z134" i="41"/>
  <c r="Y134" i="41"/>
  <c r="L288" i="41"/>
  <c r="J134" i="41"/>
  <c r="K134" i="41"/>
  <c r="AB288" i="41"/>
  <c r="S214" i="41"/>
  <c r="AL201" i="41"/>
  <c r="AH201" i="41"/>
  <c r="AG201" i="41"/>
  <c r="AF201" i="41"/>
  <c r="D202" i="41"/>
  <c r="AP201" i="41"/>
  <c r="AO201" i="41"/>
  <c r="O201" i="41"/>
  <c r="I201" i="41"/>
  <c r="AC201" i="41"/>
  <c r="S254" i="41"/>
  <c r="S277" i="41"/>
  <c r="S30" i="41"/>
  <c r="N30" i="41"/>
  <c r="O221" i="41"/>
  <c r="I221" i="41"/>
  <c r="D222" i="41"/>
  <c r="AP221" i="41"/>
  <c r="AO221" i="41"/>
  <c r="AL221" i="41"/>
  <c r="AF221" i="41"/>
  <c r="AC221" i="41"/>
  <c r="AH221" i="41"/>
  <c r="AG221" i="41"/>
  <c r="M73" i="41"/>
  <c r="L73" i="41"/>
  <c r="S211" i="41"/>
  <c r="S161" i="41"/>
  <c r="S57" i="41"/>
  <c r="R73" i="41"/>
  <c r="S268" i="41"/>
  <c r="AE30" i="41"/>
  <c r="AD30" i="41"/>
  <c r="Y30" i="41"/>
  <c r="G289" i="41"/>
  <c r="S148" i="41"/>
  <c r="S40" i="41"/>
  <c r="S230" i="41"/>
  <c r="N113" i="41"/>
  <c r="S113" i="41"/>
  <c r="AD262" i="41"/>
  <c r="Y262" i="41"/>
  <c r="R290" i="41"/>
  <c r="AE262" i="41"/>
  <c r="S20" i="41"/>
  <c r="S206" i="41"/>
  <c r="S22" i="41"/>
  <c r="S124" i="41"/>
  <c r="AE72" i="41"/>
  <c r="AD72" i="41"/>
  <c r="J30" i="41"/>
  <c r="I55" i="41"/>
  <c r="D56" i="41"/>
  <c r="AP55" i="41"/>
  <c r="AO55" i="41"/>
  <c r="AF55" i="41"/>
  <c r="AL55" i="41"/>
  <c r="AH55" i="41"/>
  <c r="AG55" i="41"/>
  <c r="AC55" i="41"/>
  <c r="O55" i="41"/>
  <c r="S71" i="41"/>
  <c r="N71" i="41"/>
  <c r="Y71" i="41"/>
  <c r="I288" i="41"/>
  <c r="S255" i="41"/>
  <c r="S72" i="41"/>
  <c r="N72" i="41"/>
  <c r="AE156" i="41"/>
  <c r="AD156" i="41"/>
  <c r="Z156" i="41"/>
  <c r="S88" i="41"/>
  <c r="N259" i="41"/>
  <c r="S259" i="41"/>
  <c r="AE10" i="41"/>
  <c r="AD10" i="41"/>
  <c r="Y10" i="41"/>
  <c r="F290" i="41"/>
  <c r="S150" i="41"/>
  <c r="S65" i="41"/>
  <c r="S185" i="41"/>
  <c r="N156" i="41"/>
  <c r="Y156" i="41"/>
  <c r="M289" i="41"/>
  <c r="S156" i="41"/>
  <c r="S119" i="41"/>
  <c r="S109" i="41"/>
  <c r="S219" i="41"/>
  <c r="N219" i="41"/>
  <c r="S104" i="41"/>
  <c r="AE31" i="41"/>
  <c r="AD31" i="41"/>
  <c r="AD219" i="41"/>
  <c r="AE219" i="41"/>
  <c r="N157" i="41"/>
  <c r="S157" i="41"/>
  <c r="K157" i="41"/>
  <c r="AC290" i="41"/>
  <c r="S248" i="41"/>
  <c r="S114" i="41"/>
  <c r="N114" i="41"/>
  <c r="S106" i="41"/>
  <c r="J29" i="41"/>
  <c r="K29" i="41"/>
  <c r="W288" i="41"/>
  <c r="N8" i="41"/>
  <c r="Z8" i="41"/>
  <c r="S8" i="41"/>
  <c r="AE114" i="41"/>
  <c r="AD114" i="41"/>
  <c r="Y114" i="41"/>
  <c r="K289" i="41"/>
  <c r="S267" i="41"/>
  <c r="I263" i="41"/>
  <c r="D264" i="41"/>
  <c r="AP263" i="41"/>
  <c r="AO263" i="41"/>
  <c r="AC263" i="41"/>
  <c r="AG263" i="41"/>
  <c r="AL263" i="41"/>
  <c r="AH263" i="41"/>
  <c r="O263" i="41"/>
  <c r="AF263" i="41"/>
  <c r="S111" i="41"/>
  <c r="S209" i="41"/>
  <c r="S131" i="41"/>
  <c r="S151" i="41"/>
  <c r="AE50" i="41"/>
  <c r="AD50" i="41"/>
  <c r="Y50" i="41"/>
  <c r="H288" i="41"/>
  <c r="S249" i="41"/>
  <c r="S77" i="41"/>
  <c r="AE261" i="41"/>
  <c r="AD261" i="41"/>
  <c r="S26" i="41"/>
  <c r="AE93" i="41"/>
  <c r="AD93" i="41"/>
  <c r="S48" i="41"/>
  <c r="S37" i="41"/>
  <c r="J113" i="41"/>
  <c r="S123" i="41"/>
  <c r="S53" i="41"/>
  <c r="K53" i="41"/>
  <c r="X291" i="41"/>
  <c r="N53" i="41"/>
  <c r="S203" i="41"/>
  <c r="S23" i="41"/>
  <c r="J239" i="41"/>
  <c r="S108" i="41"/>
  <c r="S62" i="41"/>
  <c r="S225" i="41"/>
  <c r="J31" i="41"/>
  <c r="K31" i="41"/>
  <c r="W290" i="41"/>
  <c r="S160" i="41"/>
  <c r="J260" i="41"/>
  <c r="S102" i="41"/>
  <c r="S127" i="41"/>
  <c r="S25" i="41"/>
  <c r="Z92" i="41"/>
  <c r="J92" i="41"/>
  <c r="S74" i="41"/>
  <c r="P54" i="41"/>
  <c r="Q54" i="41"/>
  <c r="AD8" i="41"/>
  <c r="AE8" i="41"/>
  <c r="S144" i="41"/>
  <c r="AE53" i="41"/>
  <c r="AD53" i="41"/>
  <c r="S126" i="41"/>
  <c r="S246" i="41"/>
  <c r="S159" i="41"/>
  <c r="N159" i="41"/>
  <c r="AD217" i="41"/>
  <c r="Y217" i="41"/>
  <c r="P287" i="41"/>
  <c r="AE217" i="41"/>
  <c r="AE52" i="41"/>
  <c r="AD52" i="41"/>
  <c r="Y52" i="41"/>
  <c r="H290" i="41"/>
  <c r="S95" i="41"/>
  <c r="P115" i="41"/>
  <c r="Q115" i="41"/>
  <c r="AD177" i="41"/>
  <c r="AE177" i="41"/>
  <c r="N241" i="41"/>
  <c r="Y241" i="41"/>
  <c r="Q290" i="41"/>
  <c r="S241" i="41"/>
  <c r="N196" i="41"/>
  <c r="S196" i="41"/>
  <c r="J217" i="41"/>
  <c r="S201" i="41"/>
  <c r="N201" i="41"/>
  <c r="S61" i="41"/>
  <c r="AE32" i="41"/>
  <c r="AD32" i="41"/>
  <c r="Q137" i="41"/>
  <c r="J115" i="41"/>
  <c r="K115" i="41"/>
  <c r="AA290" i="41"/>
  <c r="S76" i="41"/>
  <c r="AE241" i="41"/>
  <c r="AD241" i="41"/>
  <c r="Z241" i="41"/>
  <c r="J241" i="41"/>
  <c r="J49" i="41"/>
  <c r="K49" i="41"/>
  <c r="X287" i="41"/>
  <c r="J10" i="41"/>
  <c r="S147" i="41"/>
  <c r="S266" i="41"/>
  <c r="S152" i="41"/>
  <c r="S85" i="41"/>
  <c r="S122" i="41"/>
  <c r="S38" i="41"/>
  <c r="S142" i="41"/>
  <c r="J54" i="41"/>
  <c r="S105" i="41"/>
  <c r="AE176" i="41"/>
  <c r="AD176" i="41"/>
  <c r="S278" i="41"/>
  <c r="AE178" i="41"/>
  <c r="AD178" i="41"/>
  <c r="AE196" i="41"/>
  <c r="AD196" i="41"/>
  <c r="D180" i="41"/>
  <c r="I179" i="41"/>
  <c r="AP179" i="41"/>
  <c r="AO179" i="41"/>
  <c r="AH179" i="41"/>
  <c r="O179" i="41"/>
  <c r="AF179" i="41"/>
  <c r="AC179" i="41"/>
  <c r="AG179" i="41"/>
  <c r="AL179" i="41"/>
  <c r="S215" i="41"/>
  <c r="S96" i="41"/>
  <c r="S32" i="41"/>
  <c r="N32" i="41"/>
  <c r="S271" i="41"/>
  <c r="S195" i="41"/>
  <c r="J8" i="41"/>
  <c r="S200" i="41"/>
  <c r="N200" i="41"/>
  <c r="O242" i="41"/>
  <c r="AL242" i="41"/>
  <c r="AH242" i="41"/>
  <c r="AG242" i="41"/>
  <c r="AF242" i="41"/>
  <c r="D243" i="41"/>
  <c r="AP242" i="41"/>
  <c r="AO242" i="41"/>
  <c r="AC242" i="41"/>
  <c r="I242" i="41"/>
  <c r="S236" i="41"/>
  <c r="L137" i="41"/>
  <c r="M137" i="41"/>
  <c r="S223" i="41"/>
  <c r="N135" i="41"/>
  <c r="S135" i="41"/>
  <c r="S16" i="41"/>
  <c r="S93" i="41"/>
  <c r="K93" i="41"/>
  <c r="Z289" i="41"/>
  <c r="N93" i="41"/>
  <c r="S146" i="41"/>
  <c r="S181" i="41"/>
  <c r="S130" i="41"/>
  <c r="S183" i="41"/>
  <c r="S138" i="41"/>
  <c r="N138" i="41"/>
  <c r="J156" i="41"/>
  <c r="S229" i="41"/>
  <c r="AE260" i="41"/>
  <c r="AD260" i="41"/>
  <c r="S21" i="41"/>
  <c r="S270" i="41"/>
  <c r="S179" i="41"/>
  <c r="AE199" i="41"/>
  <c r="AD199" i="41"/>
  <c r="S191" i="41"/>
  <c r="S168" i="41"/>
  <c r="AE200" i="41"/>
  <c r="AD200" i="41"/>
  <c r="Y200" i="41"/>
  <c r="O291" i="41"/>
  <c r="M241" i="41"/>
  <c r="L241" i="41"/>
  <c r="AE198" i="41"/>
  <c r="AD198" i="41"/>
  <c r="AL11" i="41"/>
  <c r="AH11" i="41"/>
  <c r="AG11" i="41"/>
  <c r="AF11" i="41"/>
  <c r="I11" i="41"/>
  <c r="AP11" i="41"/>
  <c r="AO11" i="41"/>
  <c r="D12" i="41"/>
  <c r="O11" i="41"/>
  <c r="AC11" i="41"/>
  <c r="S231" i="41"/>
  <c r="S24" i="41"/>
  <c r="S237" i="41"/>
  <c r="AE113" i="41"/>
  <c r="AD113" i="41"/>
  <c r="Y113" i="41"/>
  <c r="K288" i="41"/>
  <c r="S190" i="41"/>
  <c r="AE49" i="41"/>
  <c r="AD49" i="41"/>
  <c r="Z49" i="41"/>
  <c r="S140" i="41"/>
  <c r="S222" i="41"/>
  <c r="AE71" i="41"/>
  <c r="AD71" i="41"/>
  <c r="Z71" i="41"/>
  <c r="S186" i="41"/>
  <c r="M262" i="41"/>
  <c r="L262" i="41"/>
  <c r="S272" i="41"/>
  <c r="M32" i="41"/>
  <c r="L32" i="41"/>
  <c r="S226" i="41"/>
  <c r="S235" i="41"/>
  <c r="S260" i="41"/>
  <c r="N260" i="41"/>
  <c r="Y260" i="41"/>
  <c r="R288" i="41"/>
  <c r="J220" i="41"/>
  <c r="K220" i="41"/>
  <c r="AF290" i="41"/>
  <c r="N199" i="41"/>
  <c r="S199" i="41"/>
  <c r="K199" i="41"/>
  <c r="AE290" i="41"/>
  <c r="N198" i="41"/>
  <c r="S198" i="41"/>
  <c r="S251" i="41"/>
  <c r="S244" i="41"/>
  <c r="S87" i="41"/>
  <c r="S155" i="41"/>
  <c r="N155" i="41"/>
  <c r="K261" i="41"/>
  <c r="AH289" i="41"/>
  <c r="S264" i="41"/>
  <c r="S47" i="41"/>
  <c r="J238" i="41"/>
  <c r="K238" i="41"/>
  <c r="AG287" i="41"/>
  <c r="Z155" i="41"/>
  <c r="Y155" i="41"/>
  <c r="M288" i="41"/>
  <c r="J155" i="41"/>
  <c r="K155" i="41"/>
  <c r="AC288" i="41"/>
  <c r="AE240" i="41"/>
  <c r="AD240" i="41"/>
  <c r="Z240" i="41"/>
  <c r="S55" i="41"/>
  <c r="S99" i="41"/>
  <c r="S154" i="41"/>
  <c r="N154" i="41"/>
  <c r="S252" i="41"/>
  <c r="K72" i="41"/>
  <c r="Y289" i="41"/>
  <c r="M94" i="41"/>
  <c r="L94" i="41"/>
  <c r="AC33" i="41"/>
  <c r="AP33" i="41"/>
  <c r="AO33" i="41"/>
  <c r="AL33" i="41"/>
  <c r="AH33" i="41"/>
  <c r="AG33" i="41"/>
  <c r="AF33" i="41"/>
  <c r="I33" i="41"/>
  <c r="O33" i="41"/>
  <c r="D34" i="41"/>
  <c r="Y32" i="41"/>
  <c r="G291" i="41"/>
  <c r="Z32" i="41"/>
  <c r="J32" i="41"/>
  <c r="K32" i="41"/>
  <c r="W291" i="41"/>
  <c r="N29" i="41"/>
  <c r="S29" i="41"/>
  <c r="S69" i="41"/>
  <c r="S279" i="41"/>
  <c r="J176" i="41"/>
  <c r="N92" i="41"/>
  <c r="S92" i="41"/>
  <c r="Q220" i="41"/>
  <c r="S167" i="41"/>
  <c r="S184" i="41"/>
  <c r="AL116" i="41"/>
  <c r="AG116" i="41"/>
  <c r="AF116" i="41"/>
  <c r="AC116" i="41"/>
  <c r="AP116" i="41"/>
  <c r="AO116" i="41"/>
  <c r="I116" i="41"/>
  <c r="N116" i="41"/>
  <c r="D117" i="41"/>
  <c r="AH116" i="41"/>
  <c r="O116" i="41"/>
  <c r="J28" i="41"/>
  <c r="J175" i="41"/>
  <c r="S116" i="41"/>
  <c r="J137" i="41"/>
  <c r="S228" i="41"/>
  <c r="Q158" i="41"/>
  <c r="S34" i="41"/>
  <c r="S193" i="41"/>
  <c r="S149" i="41"/>
  <c r="S205" i="41"/>
  <c r="N178" i="41"/>
  <c r="Y178" i="41"/>
  <c r="N290" i="41"/>
  <c r="S178" i="41"/>
  <c r="S182" i="41"/>
  <c r="J71" i="41"/>
  <c r="S82" i="41"/>
  <c r="S118" i="41"/>
  <c r="S43" i="41"/>
  <c r="S120" i="41"/>
  <c r="J178" i="41"/>
  <c r="K178" i="41"/>
  <c r="AD290" i="41"/>
  <c r="AE91" i="41"/>
  <c r="AD91" i="41"/>
  <c r="Z91" i="41"/>
  <c r="Q262" i="41"/>
  <c r="S276" i="41"/>
  <c r="S188" i="41"/>
  <c r="S187" i="41"/>
  <c r="S210" i="41"/>
  <c r="S269" i="41"/>
  <c r="S233" i="41"/>
  <c r="S84" i="41"/>
  <c r="AD239" i="41"/>
  <c r="Z239" i="41"/>
  <c r="AE239" i="41"/>
  <c r="Q32" i="41"/>
  <c r="AE155" i="41"/>
  <c r="AD155" i="41"/>
  <c r="J7" i="41"/>
  <c r="M220" i="41"/>
  <c r="L220" i="41"/>
  <c r="Z197" i="41"/>
  <c r="Y197" i="41"/>
  <c r="O288" i="41"/>
  <c r="J197" i="41"/>
  <c r="K197" i="41"/>
  <c r="AE288" i="41"/>
  <c r="S97" i="41"/>
  <c r="S240" i="41"/>
  <c r="N240" i="41"/>
  <c r="K136" i="41"/>
  <c r="AB290" i="41"/>
  <c r="S19" i="41"/>
  <c r="M10" i="41"/>
  <c r="L10" i="41"/>
  <c r="N220" i="41"/>
  <c r="S220" i="41"/>
  <c r="S208" i="41"/>
  <c r="S139" i="41"/>
  <c r="S247" i="41"/>
  <c r="AE154" i="41"/>
  <c r="AD154" i="41"/>
  <c r="Z94" i="41"/>
  <c r="Y94" i="41"/>
  <c r="J290" i="41"/>
  <c r="J94" i="41"/>
  <c r="K94" i="41"/>
  <c r="Z290" i="41"/>
  <c r="S143" i="41"/>
  <c r="S58" i="41"/>
  <c r="AE92" i="41"/>
  <c r="AD92" i="41"/>
  <c r="Y92" i="41"/>
  <c r="J288" i="41"/>
  <c r="S64" i="41"/>
  <c r="K198" i="41"/>
  <c r="AE289" i="41"/>
  <c r="N158" i="41"/>
  <c r="S158" i="41"/>
  <c r="S83" i="41"/>
  <c r="N239" i="41"/>
  <c r="S239" i="41"/>
  <c r="N28" i="41"/>
  <c r="S28" i="41"/>
  <c r="S134" i="41"/>
  <c r="N134" i="41"/>
  <c r="S70" i="41"/>
  <c r="N70" i="41"/>
  <c r="J73" i="41"/>
  <c r="K73" i="41"/>
  <c r="Y290" i="41"/>
  <c r="S45" i="41"/>
  <c r="S221" i="41"/>
  <c r="S189" i="41"/>
  <c r="S128" i="41"/>
  <c r="M158" i="41"/>
  <c r="L158" i="41"/>
  <c r="J52" i="41"/>
  <c r="K52" i="41"/>
  <c r="X290" i="41"/>
  <c r="AE70" i="41"/>
  <c r="AD70" i="41"/>
  <c r="S212" i="41"/>
  <c r="S141" i="41"/>
  <c r="S253" i="41"/>
  <c r="S265" i="41"/>
  <c r="Z154" i="41"/>
  <c r="Y154" i="41"/>
  <c r="M287" i="41"/>
  <c r="J154" i="41"/>
  <c r="K154" i="41"/>
  <c r="AC287" i="41"/>
  <c r="S207" i="41"/>
  <c r="N262" i="41"/>
  <c r="S262" i="41"/>
  <c r="S68" i="41"/>
  <c r="S194" i="41"/>
  <c r="S27" i="41"/>
  <c r="S11" i="41"/>
  <c r="N11" i="41"/>
  <c r="S42" i="41"/>
  <c r="N73" i="41"/>
  <c r="S73" i="41"/>
  <c r="Z133" i="41"/>
  <c r="J133" i="41"/>
  <c r="K133" i="41"/>
  <c r="AB287" i="41"/>
  <c r="Y133" i="41"/>
  <c r="L287" i="41"/>
  <c r="J70" i="41"/>
  <c r="K70" i="41"/>
  <c r="Y287" i="41"/>
  <c r="Z70" i="41"/>
  <c r="Y70" i="41"/>
  <c r="I287" i="41"/>
  <c r="AE259" i="41"/>
  <c r="AD259" i="41"/>
  <c r="Y259" i="41"/>
  <c r="R287" i="41"/>
  <c r="S175" i="41"/>
  <c r="N175" i="41"/>
  <c r="S180" i="41"/>
  <c r="O138" i="41"/>
  <c r="AO138" i="41"/>
  <c r="I138" i="41"/>
  <c r="AP138" i="41"/>
  <c r="AF138" i="41"/>
  <c r="D139" i="41"/>
  <c r="AL138" i="41"/>
  <c r="AH138" i="41"/>
  <c r="AG138" i="41"/>
  <c r="AC138" i="41"/>
  <c r="J9" i="41"/>
  <c r="K9" i="41"/>
  <c r="V289" i="41"/>
  <c r="S15" i="41"/>
  <c r="AE175" i="41"/>
  <c r="AD175" i="41"/>
  <c r="Y175" i="41"/>
  <c r="N287" i="41"/>
  <c r="S174" i="41"/>
  <c r="AD135" i="41"/>
  <c r="AE135" i="41"/>
  <c r="J240" i="41"/>
  <c r="K240" i="41"/>
  <c r="AG289" i="41"/>
  <c r="S41" i="41"/>
  <c r="AE133" i="41"/>
  <c r="AD133" i="41"/>
  <c r="S165" i="41"/>
  <c r="S67" i="41"/>
  <c r="N31" i="41"/>
  <c r="Y31" i="41"/>
  <c r="G290" i="41"/>
  <c r="S31" i="41"/>
  <c r="S36" i="41"/>
  <c r="S63" i="41"/>
  <c r="N10" i="41"/>
  <c r="S10" i="41"/>
  <c r="S121" i="41"/>
  <c r="AE157" i="41"/>
  <c r="AD157" i="41"/>
  <c r="N133" i="41"/>
  <c r="S133" i="41"/>
  <c r="AE197" i="41"/>
  <c r="AD197" i="41"/>
  <c r="S232" i="41"/>
  <c r="S172" i="41"/>
  <c r="AE51" i="41"/>
  <c r="AD51" i="41"/>
  <c r="Y51" i="41"/>
  <c r="H289" i="41"/>
  <c r="S80" i="41"/>
  <c r="S171" i="41"/>
  <c r="S18" i="41"/>
  <c r="S107" i="41"/>
  <c r="S197" i="41"/>
  <c r="N197" i="41"/>
  <c r="N51" i="41"/>
  <c r="Z51" i="41"/>
  <c r="S51" i="41"/>
  <c r="S257" i="41"/>
  <c r="S50" i="41"/>
  <c r="N50" i="41"/>
  <c r="J91" i="41"/>
  <c r="S56" i="41"/>
  <c r="S176" i="41"/>
  <c r="N176" i="41"/>
  <c r="Z176" i="41"/>
  <c r="S261" i="41"/>
  <c r="N261" i="41"/>
  <c r="S164" i="41"/>
  <c r="S60" i="41"/>
  <c r="J50" i="41"/>
  <c r="K50" i="41"/>
  <c r="X288" i="41"/>
  <c r="J259" i="41"/>
  <c r="K259" i="41"/>
  <c r="AH287" i="41"/>
  <c r="S132" i="41"/>
  <c r="S44" i="41"/>
  <c r="S256" i="41"/>
  <c r="S216" i="41"/>
  <c r="S78" i="41"/>
  <c r="S263" i="41"/>
  <c r="N263" i="41"/>
  <c r="S153" i="41"/>
  <c r="J51" i="41"/>
  <c r="S46" i="41"/>
  <c r="AO95" i="41"/>
  <c r="AG95" i="41"/>
  <c r="AF95" i="41"/>
  <c r="AC95" i="41"/>
  <c r="O95" i="41"/>
  <c r="D96" i="41"/>
  <c r="AP95" i="41"/>
  <c r="AL95" i="41"/>
  <c r="AH95" i="41"/>
  <c r="I95" i="41"/>
  <c r="S162" i="41"/>
  <c r="S75" i="41"/>
  <c r="N54" i="41"/>
  <c r="S54" i="41"/>
  <c r="S17" i="41"/>
  <c r="S170" i="41"/>
  <c r="S13" i="41"/>
  <c r="S125" i="41"/>
  <c r="J114" i="41"/>
  <c r="K114" i="41"/>
  <c r="AA289" i="41"/>
  <c r="AE7" i="41"/>
  <c r="AD7" i="41"/>
  <c r="Z7" i="41"/>
  <c r="S117" i="41"/>
  <c r="S217" i="41"/>
  <c r="N217" i="41"/>
  <c r="S52" i="41"/>
  <c r="N52" i="41"/>
  <c r="S86" i="41"/>
  <c r="S39" i="41"/>
  <c r="S177" i="41"/>
  <c r="K177" i="41"/>
  <c r="AD289" i="41"/>
  <c r="N177" i="41"/>
  <c r="S258" i="41"/>
  <c r="S33" i="41"/>
  <c r="R220" i="41"/>
  <c r="J262" i="41"/>
  <c r="K262" i="41"/>
  <c r="AH290" i="41"/>
  <c r="N7" i="41"/>
  <c r="S7" i="41"/>
  <c r="S115" i="41"/>
  <c r="N115" i="41"/>
  <c r="AE29" i="41"/>
  <c r="AD29" i="41"/>
  <c r="Y29" i="41"/>
  <c r="G288" i="41"/>
  <c r="S129" i="41"/>
  <c r="S250" i="41"/>
  <c r="S273" i="41"/>
  <c r="S91" i="41"/>
  <c r="N91" i="41"/>
  <c r="Q73" i="41"/>
  <c r="S9" i="41"/>
  <c r="N9" i="41"/>
  <c r="S14" i="41"/>
  <c r="N94" i="41"/>
  <c r="S94" i="41"/>
  <c r="AE9" i="41"/>
  <c r="AD9" i="41"/>
  <c r="Z9" i="41"/>
  <c r="M178" i="41"/>
  <c r="L178" i="41"/>
  <c r="S98" i="41"/>
  <c r="S243" i="41"/>
  <c r="AE238" i="41"/>
  <c r="AD238" i="41"/>
  <c r="Z238" i="41"/>
  <c r="S103" i="41"/>
  <c r="S238" i="41"/>
  <c r="N238" i="41"/>
  <c r="S110" i="41"/>
  <c r="R137" i="41"/>
  <c r="S59" i="41"/>
  <c r="Z219" i="41"/>
  <c r="Y219" i="41"/>
  <c r="P289" i="41"/>
  <c r="J219" i="41"/>
  <c r="K219" i="41"/>
  <c r="AF289" i="41"/>
  <c r="S100" i="41"/>
  <c r="Y196" i="41"/>
  <c r="O287" i="41"/>
  <c r="J196" i="41"/>
  <c r="K196" i="41"/>
  <c r="AE287" i="41"/>
  <c r="Z196" i="41"/>
  <c r="AE218" i="41"/>
  <c r="AD218" i="41"/>
  <c r="Y218" i="41"/>
  <c r="P288" i="41"/>
  <c r="S89" i="41"/>
  <c r="S137" i="41"/>
  <c r="N137" i="41"/>
  <c r="S66" i="41"/>
  <c r="J200" i="41"/>
  <c r="AE112" i="41"/>
  <c r="AD112" i="41"/>
  <c r="S90" i="41"/>
  <c r="N218" i="41"/>
  <c r="S218" i="41"/>
  <c r="S173" i="41"/>
  <c r="J218" i="41"/>
  <c r="S275" i="41"/>
  <c r="L200" i="41"/>
  <c r="M200" i="41"/>
  <c r="AE136" i="41"/>
  <c r="AD136" i="41"/>
  <c r="Z112" i="41"/>
  <c r="J112" i="41"/>
  <c r="K112" i="41"/>
  <c r="AA287" i="41"/>
  <c r="Y112" i="41"/>
  <c r="K287" i="41"/>
  <c r="S202" i="41"/>
  <c r="S112" i="41"/>
  <c r="N112" i="41"/>
  <c r="O159" i="41"/>
  <c r="AP159" i="41"/>
  <c r="AG159" i="41"/>
  <c r="AF159" i="41"/>
  <c r="AC159" i="41"/>
  <c r="I159" i="41"/>
  <c r="D160" i="41"/>
  <c r="AO159" i="41"/>
  <c r="AL159" i="41"/>
  <c r="AH159" i="41"/>
  <c r="S213" i="41"/>
  <c r="S35" i="41"/>
  <c r="S81" i="41"/>
  <c r="S192" i="41"/>
  <c r="AP74" i="41"/>
  <c r="AO74" i="41"/>
  <c r="D75" i="41"/>
  <c r="AL74" i="41"/>
  <c r="AH74" i="41"/>
  <c r="AG74" i="41"/>
  <c r="AF74" i="41"/>
  <c r="I74" i="41"/>
  <c r="O74" i="41"/>
  <c r="AC74" i="41"/>
  <c r="R158" i="41"/>
  <c r="S224" i="41"/>
  <c r="S166" i="41"/>
  <c r="S234" i="41"/>
  <c r="S79" i="41"/>
  <c r="AE28" i="41"/>
  <c r="AD28" i="41"/>
  <c r="Y28" i="41"/>
  <c r="G287" i="41"/>
  <c r="K135" i="41"/>
  <c r="AB289" i="41"/>
  <c r="B24" i="38"/>
  <c r="C23" i="38"/>
  <c r="B21" i="37"/>
  <c r="C20" i="37"/>
  <c r="D20" i="37"/>
  <c r="B19" i="35"/>
  <c r="C18" i="35"/>
  <c r="D18" i="35"/>
  <c r="B20" i="39"/>
  <c r="C19" i="39"/>
  <c r="C19" i="34"/>
  <c r="D19" i="34"/>
  <c r="B20" i="34"/>
  <c r="J3" i="32"/>
  <c r="K3" i="32"/>
  <c r="J4" i="32"/>
  <c r="K4" i="32"/>
  <c r="J5" i="32"/>
  <c r="K5" i="32"/>
  <c r="N37" i="32"/>
  <c r="M39" i="32"/>
  <c r="M40" i="32"/>
  <c r="J6" i="32"/>
  <c r="K6" i="32"/>
  <c r="J7" i="32"/>
  <c r="K7" i="32"/>
  <c r="I10" i="32"/>
  <c r="M10" i="32"/>
  <c r="L11" i="32"/>
  <c r="G12" i="32"/>
  <c r="H8" i="32"/>
  <c r="N8" i="32"/>
  <c r="J8" i="32"/>
  <c r="K8" i="32"/>
  <c r="H9" i="32"/>
  <c r="N9" i="32"/>
  <c r="J9" i="32"/>
  <c r="K9" i="32"/>
  <c r="H7" i="27"/>
  <c r="R7" i="27"/>
  <c r="S7" i="27"/>
  <c r="L19" i="26"/>
  <c r="R19" i="26"/>
  <c r="M19" i="26"/>
  <c r="AA19" i="26"/>
  <c r="G9" i="26"/>
  <c r="S9" i="26"/>
  <c r="V17" i="26"/>
  <c r="I17" i="26"/>
  <c r="J17" i="26"/>
  <c r="L16" i="26"/>
  <c r="AA16" i="26"/>
  <c r="M16" i="26"/>
  <c r="R16" i="26"/>
  <c r="G12" i="26"/>
  <c r="S12" i="26"/>
  <c r="K12" i="26"/>
  <c r="M12" i="26"/>
  <c r="AA12" i="26"/>
  <c r="L12" i="26"/>
  <c r="U12" i="26"/>
  <c r="X12" i="26"/>
  <c r="AG12" i="26"/>
  <c r="V9" i="26"/>
  <c r="W9" i="26"/>
  <c r="I9" i="26"/>
  <c r="J9" i="26"/>
  <c r="U17" i="26"/>
  <c r="U14" i="26"/>
  <c r="L14" i="26"/>
  <c r="U18" i="26"/>
  <c r="W18" i="26"/>
  <c r="AB18" i="26"/>
  <c r="AA17" i="26"/>
  <c r="L17" i="26"/>
  <c r="M17" i="26"/>
  <c r="R14" i="26"/>
  <c r="G17" i="26"/>
  <c r="S17" i="26"/>
  <c r="Q14" i="26"/>
  <c r="M14" i="26"/>
  <c r="G14" i="26"/>
  <c r="S14" i="26"/>
  <c r="I14" i="26"/>
  <c r="J14" i="26"/>
  <c r="M13" i="26"/>
  <c r="L13" i="26"/>
  <c r="M11" i="26"/>
  <c r="U11" i="26"/>
  <c r="W11" i="26"/>
  <c r="AB11" i="26"/>
  <c r="AA11" i="26"/>
  <c r="AA18" i="26"/>
  <c r="M18" i="26"/>
  <c r="S19" i="26"/>
  <c r="S16" i="26"/>
  <c r="M7" i="26"/>
  <c r="G8" i="26"/>
  <c r="R8" i="26"/>
  <c r="I16" i="26"/>
  <c r="J16" i="26"/>
  <c r="Q16" i="26"/>
  <c r="AA8" i="26"/>
  <c r="V16" i="26"/>
  <c r="W16" i="26"/>
  <c r="W10" i="26"/>
  <c r="AB10" i="26"/>
  <c r="AC10" i="26"/>
  <c r="AE10" i="26"/>
  <c r="X10" i="26"/>
  <c r="R11" i="26"/>
  <c r="G11" i="26"/>
  <c r="M15" i="26"/>
  <c r="L15" i="26"/>
  <c r="U15" i="26"/>
  <c r="V19" i="26"/>
  <c r="W19" i="26"/>
  <c r="I19" i="26"/>
  <c r="J19" i="26"/>
  <c r="Q19" i="26"/>
  <c r="G13" i="26"/>
  <c r="R13" i="26"/>
  <c r="N10" i="26"/>
  <c r="S10" i="26"/>
  <c r="K10" i="26"/>
  <c r="G7" i="26"/>
  <c r="R7" i="26"/>
  <c r="U7" i="26"/>
  <c r="L7" i="26"/>
  <c r="AA15" i="26"/>
  <c r="M8" i="26"/>
  <c r="G18" i="26"/>
  <c r="R18" i="26"/>
  <c r="G15" i="26"/>
  <c r="R15" i="26"/>
  <c r="U13" i="26"/>
  <c r="U8" i="26"/>
  <c r="I15" i="26"/>
  <c r="J15" i="26"/>
  <c r="Q15" i="26"/>
  <c r="L8" i="26"/>
  <c r="K20" i="25"/>
  <c r="L20" i="25"/>
  <c r="K28" i="25"/>
  <c r="L28" i="25"/>
  <c r="K26" i="25"/>
  <c r="L26" i="25"/>
  <c r="K15" i="25"/>
  <c r="L15" i="25"/>
  <c r="I40" i="25"/>
  <c r="F35" i="42"/>
  <c r="G34" i="42"/>
  <c r="J314" i="41"/>
  <c r="Z314" i="41"/>
  <c r="N314" i="41"/>
  <c r="AD314" i="41"/>
  <c r="AC315" i="41"/>
  <c r="M315" i="41"/>
  <c r="O315" i="41"/>
  <c r="AE315" i="41"/>
  <c r="Z135" i="41"/>
  <c r="Y135" i="41"/>
  <c r="L289" i="41"/>
  <c r="M312" i="41"/>
  <c r="AC312" i="41"/>
  <c r="O313" i="41"/>
  <c r="AE313" i="41"/>
  <c r="W316" i="41"/>
  <c r="G316" i="41"/>
  <c r="AA315" i="41"/>
  <c r="K315" i="41"/>
  <c r="P315" i="41"/>
  <c r="AF315" i="41"/>
  <c r="Y136" i="41"/>
  <c r="L290" i="41"/>
  <c r="Z136" i="41"/>
  <c r="Z218" i="41"/>
  <c r="R315" i="41"/>
  <c r="AH315" i="41"/>
  <c r="Y9" i="41"/>
  <c r="F289" i="41"/>
  <c r="AD315" i="41"/>
  <c r="N315" i="41"/>
  <c r="Z199" i="41"/>
  <c r="Y199" i="41"/>
  <c r="O290" i="41"/>
  <c r="Z260" i="41"/>
  <c r="Z113" i="41"/>
  <c r="P221" i="41"/>
  <c r="Q221" i="41"/>
  <c r="K218" i="41"/>
  <c r="AF288" i="41"/>
  <c r="AD220" i="41"/>
  <c r="AE220" i="41"/>
  <c r="K8" i="41"/>
  <c r="V288" i="41"/>
  <c r="AO56" i="41"/>
  <c r="AL56" i="41"/>
  <c r="AH56" i="41"/>
  <c r="AG56" i="41"/>
  <c r="AF56" i="41"/>
  <c r="D57" i="41"/>
  <c r="AP56" i="41"/>
  <c r="O56" i="41"/>
  <c r="I56" i="41"/>
  <c r="AC56" i="41"/>
  <c r="K7" i="41"/>
  <c r="V287" i="41"/>
  <c r="I139" i="41"/>
  <c r="D140" i="41"/>
  <c r="AP139" i="41"/>
  <c r="AO139" i="41"/>
  <c r="AC139" i="41"/>
  <c r="O139" i="41"/>
  <c r="AF139" i="41"/>
  <c r="AL139" i="41"/>
  <c r="AH139" i="41"/>
  <c r="AG139" i="41"/>
  <c r="X315" i="41"/>
  <c r="H315" i="41"/>
  <c r="AC12" i="41"/>
  <c r="O12" i="41"/>
  <c r="D13" i="41"/>
  <c r="I12" i="41"/>
  <c r="AP12" i="41"/>
  <c r="AL12" i="41"/>
  <c r="AH12" i="41"/>
  <c r="AG12" i="41"/>
  <c r="AO12" i="41"/>
  <c r="AF12" i="41"/>
  <c r="Y49" i="41"/>
  <c r="H287" i="41"/>
  <c r="Z72" i="41"/>
  <c r="Y72" i="41"/>
  <c r="I289" i="41"/>
  <c r="AE73" i="41"/>
  <c r="AD73" i="41"/>
  <c r="K158" i="41"/>
  <c r="AC291" i="41"/>
  <c r="Z114" i="41"/>
  <c r="Z178" i="41"/>
  <c r="W315" i="41"/>
  <c r="G315" i="41"/>
  <c r="Y176" i="41"/>
  <c r="N288" i="41"/>
  <c r="Y314" i="41"/>
  <c r="I314" i="41"/>
  <c r="H312" i="41"/>
  <c r="X312" i="41"/>
  <c r="Z93" i="41"/>
  <c r="Y93" i="41"/>
  <c r="J289" i="41"/>
  <c r="AB314" i="41"/>
  <c r="L314" i="41"/>
  <c r="AP222" i="41"/>
  <c r="AO222" i="41"/>
  <c r="AL222" i="41"/>
  <c r="AH222" i="41"/>
  <c r="I222" i="41"/>
  <c r="D223" i="41"/>
  <c r="AC222" i="41"/>
  <c r="O222" i="41"/>
  <c r="AG222" i="41"/>
  <c r="AF222" i="41"/>
  <c r="Z262" i="41"/>
  <c r="P263" i="41"/>
  <c r="Q263" i="41"/>
  <c r="P74" i="41"/>
  <c r="Q74" i="41"/>
  <c r="Z175" i="41"/>
  <c r="J201" i="41"/>
  <c r="K201" i="41"/>
  <c r="AE292" i="41"/>
  <c r="AC96" i="41"/>
  <c r="AG96" i="41"/>
  <c r="AF96" i="41"/>
  <c r="O96" i="41"/>
  <c r="I96" i="41"/>
  <c r="AL96" i="41"/>
  <c r="D97" i="41"/>
  <c r="AP96" i="41"/>
  <c r="AO96" i="41"/>
  <c r="AH96" i="41"/>
  <c r="Z29" i="41"/>
  <c r="H313" i="41"/>
  <c r="X313" i="41"/>
  <c r="Z52" i="41"/>
  <c r="K71" i="41"/>
  <c r="Y288" i="41"/>
  <c r="K176" i="41"/>
  <c r="AD288" i="41"/>
  <c r="J11" i="41"/>
  <c r="K11" i="41"/>
  <c r="V291" i="41"/>
  <c r="K241" i="41"/>
  <c r="AG290" i="41"/>
  <c r="P201" i="41"/>
  <c r="Q201" i="41"/>
  <c r="AP243" i="41"/>
  <c r="AO243" i="41"/>
  <c r="AF243" i="41"/>
  <c r="AC243" i="41"/>
  <c r="O243" i="41"/>
  <c r="I243" i="41"/>
  <c r="AL243" i="41"/>
  <c r="D244" i="41"/>
  <c r="AH243" i="41"/>
  <c r="AG243" i="41"/>
  <c r="AA314" i="41"/>
  <c r="K314" i="41"/>
  <c r="K30" i="41"/>
  <c r="W289" i="41"/>
  <c r="K175" i="41"/>
  <c r="AD287" i="41"/>
  <c r="K54" i="41"/>
  <c r="X292" i="41"/>
  <c r="M54" i="41"/>
  <c r="L54" i="41"/>
  <c r="R54" i="41"/>
  <c r="Y157" i="41"/>
  <c r="M290" i="41"/>
  <c r="Z157" i="41"/>
  <c r="K312" i="41"/>
  <c r="AA312" i="41"/>
  <c r="AC117" i="41"/>
  <c r="AG117" i="41"/>
  <c r="AF117" i="41"/>
  <c r="O117" i="41"/>
  <c r="I117" i="41"/>
  <c r="AH117" i="41"/>
  <c r="D118" i="41"/>
  <c r="AP117" i="41"/>
  <c r="AO117" i="41"/>
  <c r="AL117" i="41"/>
  <c r="J116" i="41"/>
  <c r="K116" i="41"/>
  <c r="AA291" i="41"/>
  <c r="P95" i="41"/>
  <c r="Q95" i="41"/>
  <c r="Y315" i="41"/>
  <c r="I315" i="41"/>
  <c r="Z315" i="41"/>
  <c r="J315" i="41"/>
  <c r="M313" i="41"/>
  <c r="AC313" i="41"/>
  <c r="O34" i="41"/>
  <c r="D35" i="41"/>
  <c r="I34" i="41"/>
  <c r="AL34" i="41"/>
  <c r="AF34" i="41"/>
  <c r="AP34" i="41"/>
  <c r="AO34" i="41"/>
  <c r="AH34" i="41"/>
  <c r="AG34" i="41"/>
  <c r="AC34" i="41"/>
  <c r="L313" i="41"/>
  <c r="AB313" i="41"/>
  <c r="Z259" i="41"/>
  <c r="I312" i="41"/>
  <c r="Y312" i="41"/>
  <c r="P33" i="41"/>
  <c r="Q33" i="41"/>
  <c r="Y7" i="41"/>
  <c r="F287" i="41"/>
  <c r="J33" i="41"/>
  <c r="K33" i="41"/>
  <c r="W292" i="41"/>
  <c r="AG312" i="41"/>
  <c r="Q312" i="41"/>
  <c r="G313" i="41"/>
  <c r="W313" i="41"/>
  <c r="Z50" i="41"/>
  <c r="L312" i="41"/>
  <c r="AB312" i="41"/>
  <c r="Y238" i="41"/>
  <c r="Q287" i="41"/>
  <c r="P242" i="41"/>
  <c r="Q242" i="41"/>
  <c r="J179" i="41"/>
  <c r="K179" i="41"/>
  <c r="AD291" i="41"/>
  <c r="O312" i="41"/>
  <c r="AE312" i="41"/>
  <c r="F314" i="41"/>
  <c r="V314" i="41"/>
  <c r="AH180" i="41"/>
  <c r="AG180" i="41"/>
  <c r="AF180" i="41"/>
  <c r="O180" i="41"/>
  <c r="D181" i="41"/>
  <c r="AP180" i="41"/>
  <c r="AO180" i="41"/>
  <c r="AL180" i="41"/>
  <c r="AC180" i="41"/>
  <c r="I180" i="41"/>
  <c r="K260" i="41"/>
  <c r="AH288" i="41"/>
  <c r="K113" i="41"/>
  <c r="AA288" i="41"/>
  <c r="N179" i="41"/>
  <c r="Y8" i="41"/>
  <c r="F288" i="41"/>
  <c r="Z53" i="41"/>
  <c r="Y53" i="41"/>
  <c r="H291" i="41"/>
  <c r="X316" i="41"/>
  <c r="J55" i="41"/>
  <c r="K55" i="41"/>
  <c r="X293" i="41"/>
  <c r="AF314" i="41"/>
  <c r="P314" i="41"/>
  <c r="K51" i="41"/>
  <c r="X289" i="41"/>
  <c r="K137" i="41"/>
  <c r="AB291" i="41"/>
  <c r="Z10" i="41"/>
  <c r="Z217" i="41"/>
  <c r="AH314" i="41"/>
  <c r="R314" i="41"/>
  <c r="K217" i="41"/>
  <c r="AF287" i="41"/>
  <c r="Z31" i="41"/>
  <c r="J159" i="41"/>
  <c r="K159" i="41"/>
  <c r="AC292" i="41"/>
  <c r="P11" i="41"/>
  <c r="Q11" i="41"/>
  <c r="K10" i="41"/>
  <c r="V290" i="41"/>
  <c r="AE158" i="41"/>
  <c r="AD158" i="41"/>
  <c r="AE137" i="41"/>
  <c r="AD137" i="41"/>
  <c r="J74" i="41"/>
  <c r="K74" i="41"/>
  <c r="Y291" i="41"/>
  <c r="J138" i="41"/>
  <c r="K138" i="41"/>
  <c r="AB292" i="41"/>
  <c r="AE314" i="41"/>
  <c r="O314" i="41"/>
  <c r="P159" i="41"/>
  <c r="Q159" i="41"/>
  <c r="Y91" i="41"/>
  <c r="J287" i="41"/>
  <c r="K200" i="41"/>
  <c r="AE291" i="41"/>
  <c r="Y240" i="41"/>
  <c r="Q289" i="41"/>
  <c r="P138" i="41"/>
  <c r="Q138" i="41"/>
  <c r="AB315" i="41"/>
  <c r="L315" i="41"/>
  <c r="Z28" i="41"/>
  <c r="Z177" i="41"/>
  <c r="Y177" i="41"/>
  <c r="N289" i="41"/>
  <c r="N74" i="41"/>
  <c r="Y261" i="41"/>
  <c r="R289" i="41"/>
  <c r="Z261" i="41"/>
  <c r="D161" i="41"/>
  <c r="I160" i="41"/>
  <c r="AP160" i="41"/>
  <c r="AO160" i="41"/>
  <c r="AF160" i="41"/>
  <c r="AL160" i="41"/>
  <c r="AH160" i="41"/>
  <c r="AG160" i="41"/>
  <c r="AC160" i="41"/>
  <c r="O160" i="41"/>
  <c r="Z30" i="41"/>
  <c r="Z200" i="41"/>
  <c r="K91" i="41"/>
  <c r="Z287" i="41"/>
  <c r="Y239" i="41"/>
  <c r="Q288" i="41"/>
  <c r="D265" i="41"/>
  <c r="I264" i="41"/>
  <c r="AP264" i="41"/>
  <c r="AL264" i="41"/>
  <c r="AO264" i="41"/>
  <c r="AH264" i="41"/>
  <c r="AG264" i="41"/>
  <c r="AF264" i="41"/>
  <c r="O264" i="41"/>
  <c r="AC264" i="41"/>
  <c r="AF202" i="41"/>
  <c r="AC202" i="41"/>
  <c r="D203" i="41"/>
  <c r="AP202" i="41"/>
  <c r="O202" i="41"/>
  <c r="I202" i="41"/>
  <c r="AO202" i="41"/>
  <c r="AL202" i="41"/>
  <c r="AG202" i="41"/>
  <c r="AH202" i="41"/>
  <c r="P179" i="41"/>
  <c r="Q179" i="41"/>
  <c r="R312" i="41"/>
  <c r="AH312" i="41"/>
  <c r="J221" i="41"/>
  <c r="K221" i="41"/>
  <c r="AF291" i="41"/>
  <c r="J95" i="41"/>
  <c r="K95" i="41"/>
  <c r="Z291" i="41"/>
  <c r="AG314" i="41"/>
  <c r="Q314" i="41"/>
  <c r="K28" i="41"/>
  <c r="W287" i="41"/>
  <c r="J242" i="41"/>
  <c r="K242" i="41"/>
  <c r="AG291" i="41"/>
  <c r="N242" i="41"/>
  <c r="M115" i="41"/>
  <c r="L115" i="41"/>
  <c r="R115" i="41"/>
  <c r="K92" i="41"/>
  <c r="Z288" i="41"/>
  <c r="J263" i="41"/>
  <c r="K263" i="41"/>
  <c r="AH291" i="41"/>
  <c r="P55" i="41"/>
  <c r="Q55" i="41"/>
  <c r="N33" i="41"/>
  <c r="AF75" i="41"/>
  <c r="AL75" i="41"/>
  <c r="AH75" i="41"/>
  <c r="AG75" i="41"/>
  <c r="AC75" i="41"/>
  <c r="O75" i="41"/>
  <c r="I75" i="41"/>
  <c r="AP75" i="41"/>
  <c r="D76" i="41"/>
  <c r="AO75" i="41"/>
  <c r="N221" i="41"/>
  <c r="P116" i="41"/>
  <c r="Q116" i="41"/>
  <c r="N55" i="41"/>
  <c r="Z198" i="41"/>
  <c r="Y198" i="41"/>
  <c r="O289" i="41"/>
  <c r="K156" i="41"/>
  <c r="AC289" i="41"/>
  <c r="N95" i="41"/>
  <c r="K239" i="41"/>
  <c r="AG288" i="41"/>
  <c r="D19" i="39"/>
  <c r="C21" i="37"/>
  <c r="B25" i="38"/>
  <c r="B26" i="38" s="1"/>
  <c r="B27" i="38" s="1"/>
  <c r="C24" i="38"/>
  <c r="C20" i="39"/>
  <c r="B21" i="39"/>
  <c r="B21" i="34"/>
  <c r="C20" i="34"/>
  <c r="D23" i="38"/>
  <c r="C19" i="35"/>
  <c r="D19" i="35"/>
  <c r="B20" i="35"/>
  <c r="L12" i="32"/>
  <c r="G13" i="32"/>
  <c r="M11" i="32"/>
  <c r="I11" i="32"/>
  <c r="N10" i="32"/>
  <c r="J10" i="32"/>
  <c r="K10" i="32"/>
  <c r="H10" i="32"/>
  <c r="H8" i="27"/>
  <c r="R8" i="27"/>
  <c r="S8" i="27"/>
  <c r="X9" i="26"/>
  <c r="AG9" i="26"/>
  <c r="X18" i="26"/>
  <c r="X17" i="26"/>
  <c r="Y17" i="26"/>
  <c r="N12" i="26"/>
  <c r="K17" i="26"/>
  <c r="N17" i="26"/>
  <c r="K9" i="26"/>
  <c r="W12" i="26"/>
  <c r="AB12" i="26"/>
  <c r="AC12" i="26"/>
  <c r="AE12" i="26"/>
  <c r="N9" i="26"/>
  <c r="AB9" i="26"/>
  <c r="AC9" i="26"/>
  <c r="AE9" i="26"/>
  <c r="W17" i="26"/>
  <c r="AB17" i="26"/>
  <c r="AC17" i="26"/>
  <c r="X16" i="26"/>
  <c r="Y16" i="26"/>
  <c r="X11" i="26"/>
  <c r="Y11" i="26"/>
  <c r="AC11" i="26"/>
  <c r="AL11" i="26"/>
  <c r="AC18" i="26"/>
  <c r="AE18" i="26"/>
  <c r="K14" i="26"/>
  <c r="N14" i="26"/>
  <c r="Y12" i="26"/>
  <c r="W14" i="26"/>
  <c r="AB14" i="26"/>
  <c r="AC14" i="26"/>
  <c r="AH14" i="26"/>
  <c r="AJ14" i="26"/>
  <c r="X14" i="26"/>
  <c r="AB16" i="26"/>
  <c r="AC16" i="26"/>
  <c r="X19" i="26"/>
  <c r="AG19" i="26"/>
  <c r="AL10" i="26"/>
  <c r="AH10" i="26"/>
  <c r="AJ10" i="26"/>
  <c r="AG18" i="26"/>
  <c r="Y18" i="26"/>
  <c r="S7" i="26"/>
  <c r="K7" i="26"/>
  <c r="N7" i="26"/>
  <c r="N11" i="26"/>
  <c r="S11" i="26"/>
  <c r="K11" i="26"/>
  <c r="W13" i="26"/>
  <c r="AB13" i="26"/>
  <c r="AC13" i="26"/>
  <c r="AE13" i="26"/>
  <c r="X13" i="26"/>
  <c r="X15" i="26"/>
  <c r="W15" i="26"/>
  <c r="AB15" i="26"/>
  <c r="AC15" i="26"/>
  <c r="AE15" i="26"/>
  <c r="X7" i="26"/>
  <c r="W7" i="26"/>
  <c r="AB7" i="26"/>
  <c r="AE7" i="26"/>
  <c r="K16" i="26"/>
  <c r="N16" i="26"/>
  <c r="N18" i="26"/>
  <c r="S18" i="26"/>
  <c r="K18" i="26"/>
  <c r="S13" i="26"/>
  <c r="K13" i="26"/>
  <c r="N13" i="26"/>
  <c r="N19" i="26"/>
  <c r="K19" i="26"/>
  <c r="X8" i="26"/>
  <c r="W8" i="26"/>
  <c r="AB8" i="26"/>
  <c r="AC8" i="26"/>
  <c r="AE8" i="26"/>
  <c r="AB19" i="26"/>
  <c r="AC19" i="26"/>
  <c r="AE19" i="26"/>
  <c r="Y10" i="26"/>
  <c r="AG10" i="26"/>
  <c r="S8" i="26"/>
  <c r="K8" i="26"/>
  <c r="N8" i="26"/>
  <c r="N15" i="26"/>
  <c r="S15" i="26"/>
  <c r="K15" i="26"/>
  <c r="I41" i="25"/>
  <c r="G35" i="42"/>
  <c r="P56" i="41"/>
  <c r="Q56" i="41"/>
  <c r="O97" i="41"/>
  <c r="AC97" i="41"/>
  <c r="I97" i="41"/>
  <c r="D98" i="41"/>
  <c r="AP97" i="41"/>
  <c r="AO97" i="41"/>
  <c r="AL97" i="41"/>
  <c r="AF97" i="41"/>
  <c r="AH97" i="41"/>
  <c r="AG97" i="41"/>
  <c r="J313" i="41"/>
  <c r="Z313" i="41"/>
  <c r="J202" i="41"/>
  <c r="K202" i="41"/>
  <c r="AE293" i="41"/>
  <c r="N202" i="41"/>
  <c r="AB317" i="41"/>
  <c r="L317" i="41"/>
  <c r="J117" i="41"/>
  <c r="K117" i="41"/>
  <c r="AA292" i="41"/>
  <c r="N117" i="41"/>
  <c r="Y316" i="41"/>
  <c r="I316" i="41"/>
  <c r="Y137" i="41"/>
  <c r="L291" i="41"/>
  <c r="Z137" i="41"/>
  <c r="P313" i="41"/>
  <c r="AF313" i="41"/>
  <c r="L316" i="41"/>
  <c r="AB316" i="41"/>
  <c r="J96" i="41"/>
  <c r="K96" i="41"/>
  <c r="Z292" i="41"/>
  <c r="N96" i="41"/>
  <c r="P243" i="41"/>
  <c r="Q243" i="41"/>
  <c r="Q315" i="41"/>
  <c r="AG315" i="41"/>
  <c r="AA316" i="41"/>
  <c r="K316" i="41"/>
  <c r="M179" i="41"/>
  <c r="L179" i="41"/>
  <c r="R179" i="41"/>
  <c r="P202" i="41"/>
  <c r="Q202" i="41"/>
  <c r="J160" i="41"/>
  <c r="K160" i="41"/>
  <c r="AC293" i="41"/>
  <c r="N160" i="41"/>
  <c r="Z158" i="41"/>
  <c r="Y158" i="41"/>
  <c r="M291" i="41"/>
  <c r="V315" i="41"/>
  <c r="F315" i="41"/>
  <c r="P75" i="41"/>
  <c r="Q75" i="41"/>
  <c r="L11" i="41"/>
  <c r="M11" i="41"/>
  <c r="R11" i="41"/>
  <c r="AE54" i="41"/>
  <c r="AD54" i="41"/>
  <c r="N313" i="41"/>
  <c r="AD313" i="41"/>
  <c r="AC316" i="41"/>
  <c r="M316" i="41"/>
  <c r="AL244" i="41"/>
  <c r="AH244" i="41"/>
  <c r="AF244" i="41"/>
  <c r="AC244" i="41"/>
  <c r="O244" i="41"/>
  <c r="AG244" i="41"/>
  <c r="I244" i="41"/>
  <c r="D245" i="41"/>
  <c r="AP244" i="41"/>
  <c r="AO244" i="41"/>
  <c r="J243" i="41"/>
  <c r="K243" i="41"/>
  <c r="AG292" i="41"/>
  <c r="N243" i="41"/>
  <c r="AC314" i="41"/>
  <c r="M314" i="41"/>
  <c r="P12" i="41"/>
  <c r="Q12" i="41"/>
  <c r="Z220" i="41"/>
  <c r="Y220" i="41"/>
  <c r="P290" i="41"/>
  <c r="M201" i="41"/>
  <c r="L201" i="41"/>
  <c r="R201" i="41"/>
  <c r="J34" i="41"/>
  <c r="K34" i="41"/>
  <c r="W293" i="41"/>
  <c r="N34" i="41"/>
  <c r="P34" i="41"/>
  <c r="Q34" i="41"/>
  <c r="AC317" i="41"/>
  <c r="M317" i="41"/>
  <c r="Y73" i="41"/>
  <c r="I290" i="41"/>
  <c r="Z73" i="41"/>
  <c r="F313" i="41"/>
  <c r="V313" i="41"/>
  <c r="P117" i="41"/>
  <c r="Q117" i="41"/>
  <c r="AL161" i="41"/>
  <c r="AH161" i="41"/>
  <c r="AG161" i="41"/>
  <c r="AF161" i="41"/>
  <c r="D162" i="41"/>
  <c r="AP161" i="41"/>
  <c r="AO161" i="41"/>
  <c r="I161" i="41"/>
  <c r="O161" i="41"/>
  <c r="AC161" i="41"/>
  <c r="P264" i="41"/>
  <c r="Q264" i="41"/>
  <c r="L74" i="41"/>
  <c r="M74" i="41"/>
  <c r="R74" i="41"/>
  <c r="J180" i="41"/>
  <c r="K180" i="41"/>
  <c r="AD292" i="41"/>
  <c r="N180" i="41"/>
  <c r="AO140" i="41"/>
  <c r="AH140" i="41"/>
  <c r="AF140" i="41"/>
  <c r="D141" i="41"/>
  <c r="AP140" i="41"/>
  <c r="AL140" i="41"/>
  <c r="AG140" i="41"/>
  <c r="AC140" i="41"/>
  <c r="O140" i="41"/>
  <c r="I140" i="41"/>
  <c r="L55" i="41"/>
  <c r="M55" i="41"/>
  <c r="R55" i="41"/>
  <c r="H314" i="41"/>
  <c r="X314" i="41"/>
  <c r="K313" i="41"/>
  <c r="AA313" i="41"/>
  <c r="M263" i="41"/>
  <c r="L263" i="41"/>
  <c r="R263" i="41"/>
  <c r="I313" i="41"/>
  <c r="Y313" i="41"/>
  <c r="J264" i="41"/>
  <c r="K264" i="41"/>
  <c r="AH292" i="41"/>
  <c r="N264" i="41"/>
  <c r="P222" i="41"/>
  <c r="Q222" i="41"/>
  <c r="J139" i="41"/>
  <c r="K139" i="41"/>
  <c r="AB293" i="41"/>
  <c r="N139" i="41"/>
  <c r="L33" i="41"/>
  <c r="M33" i="41"/>
  <c r="R33" i="41"/>
  <c r="P160" i="41"/>
  <c r="Q160" i="41"/>
  <c r="J12" i="41"/>
  <c r="K12" i="41"/>
  <c r="V292" i="41"/>
  <c r="N12" i="41"/>
  <c r="AD316" i="41"/>
  <c r="N316" i="41"/>
  <c r="AO203" i="41"/>
  <c r="AH203" i="41"/>
  <c r="AC203" i="41"/>
  <c r="I203" i="41"/>
  <c r="AL203" i="41"/>
  <c r="AG203" i="41"/>
  <c r="AF203" i="41"/>
  <c r="O203" i="41"/>
  <c r="D204" i="41"/>
  <c r="AP203" i="41"/>
  <c r="O317" i="41"/>
  <c r="AE317" i="41"/>
  <c r="L242" i="41"/>
  <c r="M242" i="41"/>
  <c r="R242" i="41"/>
  <c r="AG76" i="41"/>
  <c r="AF76" i="41"/>
  <c r="AC76" i="41"/>
  <c r="AP76" i="41"/>
  <c r="AO76" i="41"/>
  <c r="AL76" i="41"/>
  <c r="AH76" i="41"/>
  <c r="O76" i="41"/>
  <c r="D77" i="41"/>
  <c r="I76" i="41"/>
  <c r="AF316" i="41"/>
  <c r="P316" i="41"/>
  <c r="AG265" i="41"/>
  <c r="AF265" i="41"/>
  <c r="AL265" i="41"/>
  <c r="AH265" i="41"/>
  <c r="AC265" i="41"/>
  <c r="O265" i="41"/>
  <c r="D266" i="41"/>
  <c r="AP265" i="41"/>
  <c r="AO265" i="41"/>
  <c r="I265" i="41"/>
  <c r="M138" i="41"/>
  <c r="L138" i="41"/>
  <c r="R138" i="41"/>
  <c r="O181" i="41"/>
  <c r="AC181" i="41"/>
  <c r="AP181" i="41"/>
  <c r="AF181" i="41"/>
  <c r="I181" i="41"/>
  <c r="D182" i="41"/>
  <c r="AO181" i="41"/>
  <c r="AL181" i="41"/>
  <c r="AH181" i="41"/>
  <c r="AG181" i="41"/>
  <c r="N312" i="41"/>
  <c r="AD312" i="41"/>
  <c r="F312" i="41"/>
  <c r="V312" i="41"/>
  <c r="AF57" i="41"/>
  <c r="AC57" i="41"/>
  <c r="I57" i="41"/>
  <c r="AL57" i="41"/>
  <c r="O57" i="41"/>
  <c r="D58" i="41"/>
  <c r="AP57" i="41"/>
  <c r="AO57" i="41"/>
  <c r="AH57" i="41"/>
  <c r="AG57" i="41"/>
  <c r="AG313" i="41"/>
  <c r="Q313" i="41"/>
  <c r="P96" i="41"/>
  <c r="Q96" i="41"/>
  <c r="AE115" i="41"/>
  <c r="AD115" i="41"/>
  <c r="AG316" i="41"/>
  <c r="Q316" i="41"/>
  <c r="G312" i="41"/>
  <c r="W312" i="41"/>
  <c r="AH313" i="41"/>
  <c r="R313" i="41"/>
  <c r="Z316" i="41"/>
  <c r="J316" i="41"/>
  <c r="AF312" i="41"/>
  <c r="P312" i="41"/>
  <c r="P180" i="41"/>
  <c r="Q180" i="41"/>
  <c r="G314" i="41"/>
  <c r="W314" i="41"/>
  <c r="AL223" i="41"/>
  <c r="AF223" i="41"/>
  <c r="AH223" i="41"/>
  <c r="AG223" i="41"/>
  <c r="AC223" i="41"/>
  <c r="I223" i="41"/>
  <c r="D224" i="41"/>
  <c r="AP223" i="41"/>
  <c r="AO223" i="41"/>
  <c r="O223" i="41"/>
  <c r="H316" i="41"/>
  <c r="M159" i="41"/>
  <c r="L159" i="41"/>
  <c r="R159" i="41"/>
  <c r="R316" i="41"/>
  <c r="AH316" i="41"/>
  <c r="O118" i="41"/>
  <c r="D119" i="41"/>
  <c r="I118" i="41"/>
  <c r="AL118" i="41"/>
  <c r="AC118" i="41"/>
  <c r="AF118" i="41"/>
  <c r="AP118" i="41"/>
  <c r="AO118" i="41"/>
  <c r="AH118" i="41"/>
  <c r="AG118" i="41"/>
  <c r="AO13" i="41"/>
  <c r="D14" i="41"/>
  <c r="I13" i="41"/>
  <c r="AP13" i="41"/>
  <c r="AG13" i="41"/>
  <c r="O13" i="41"/>
  <c r="AC13" i="41"/>
  <c r="AH13" i="41"/>
  <c r="AF13" i="41"/>
  <c r="AL13" i="41"/>
  <c r="L116" i="41"/>
  <c r="M116" i="41"/>
  <c r="R116" i="41"/>
  <c r="M221" i="41"/>
  <c r="L221" i="41"/>
  <c r="R221" i="41"/>
  <c r="AP35" i="41"/>
  <c r="AO35" i="41"/>
  <c r="AL35" i="41"/>
  <c r="AH35" i="41"/>
  <c r="AG35" i="41"/>
  <c r="AF35" i="41"/>
  <c r="D36" i="41"/>
  <c r="AC35" i="41"/>
  <c r="I35" i="41"/>
  <c r="O35" i="41"/>
  <c r="P139" i="41"/>
  <c r="Q139" i="41"/>
  <c r="J75" i="41"/>
  <c r="K75" i="41"/>
  <c r="Y292" i="41"/>
  <c r="N75" i="41"/>
  <c r="J312" i="41"/>
  <c r="Z312" i="41"/>
  <c r="AE316" i="41"/>
  <c r="O316" i="41"/>
  <c r="L95" i="41"/>
  <c r="M95" i="41"/>
  <c r="R95" i="41"/>
  <c r="J222" i="41"/>
  <c r="K222" i="41"/>
  <c r="AF292" i="41"/>
  <c r="N222" i="41"/>
  <c r="J56" i="41"/>
  <c r="K56" i="41"/>
  <c r="X294" i="41"/>
  <c r="N56" i="41"/>
  <c r="D20" i="39"/>
  <c r="C22" i="37"/>
  <c r="D22" i="37" s="1"/>
  <c r="C23" i="37"/>
  <c r="D23" i="37" s="1"/>
  <c r="C21" i="39"/>
  <c r="D24" i="38"/>
  <c r="D21" i="37"/>
  <c r="C21" i="34"/>
  <c r="B21" i="35"/>
  <c r="C20" i="35"/>
  <c r="D20" i="35"/>
  <c r="D20" i="34"/>
  <c r="N11" i="32"/>
  <c r="J11" i="32"/>
  <c r="K11" i="32"/>
  <c r="H11" i="32"/>
  <c r="G14" i="32"/>
  <c r="L13" i="32"/>
  <c r="M12" i="32"/>
  <c r="I12" i="32"/>
  <c r="H9" i="27"/>
  <c r="R9" i="27"/>
  <c r="S9" i="27"/>
  <c r="AG17" i="26"/>
  <c r="Y9" i="26"/>
  <c r="Z9" i="26"/>
  <c r="AL9" i="26"/>
  <c r="AH9" i="26"/>
  <c r="AJ9" i="26"/>
  <c r="AD12" i="26"/>
  <c r="AM12" i="26"/>
  <c r="AL12" i="26"/>
  <c r="AH12" i="26"/>
  <c r="AJ12" i="26"/>
  <c r="AG11" i="26"/>
  <c r="AI11" i="26"/>
  <c r="AE17" i="26"/>
  <c r="AD17" i="26"/>
  <c r="AM17" i="26"/>
  <c r="Z17" i="26"/>
  <c r="AG16" i="26"/>
  <c r="AH11" i="26"/>
  <c r="AJ11" i="26"/>
  <c r="AE11" i="26"/>
  <c r="AH17" i="26"/>
  <c r="AJ17" i="26"/>
  <c r="AL18" i="26"/>
  <c r="AH18" i="26"/>
  <c r="AJ18" i="26"/>
  <c r="Z12" i="26"/>
  <c r="AL17" i="26"/>
  <c r="AL16" i="26"/>
  <c r="AE16" i="26"/>
  <c r="AL14" i="26"/>
  <c r="AE14" i="26"/>
  <c r="AH16" i="26"/>
  <c r="AJ16" i="26"/>
  <c r="AI10" i="26"/>
  <c r="AG14" i="26"/>
  <c r="AI14" i="26"/>
  <c r="Y14" i="26"/>
  <c r="Y19" i="26"/>
  <c r="AD19" i="26"/>
  <c r="AM19" i="26"/>
  <c r="AL15" i="26"/>
  <c r="AH15" i="26"/>
  <c r="AJ15" i="26"/>
  <c r="Y8" i="26"/>
  <c r="AG8" i="26"/>
  <c r="Z16" i="26"/>
  <c r="AD16" i="26"/>
  <c r="AM16" i="26"/>
  <c r="Y15" i="26"/>
  <c r="AG15" i="26"/>
  <c r="AG13" i="26"/>
  <c r="Y13" i="26"/>
  <c r="AH19" i="26"/>
  <c r="AJ19" i="26"/>
  <c r="AL19" i="26"/>
  <c r="AD11" i="26"/>
  <c r="AM11" i="26"/>
  <c r="Z11" i="26"/>
  <c r="AH13" i="26"/>
  <c r="AJ13" i="26"/>
  <c r="AL13" i="26"/>
  <c r="Z10" i="26"/>
  <c r="AD10" i="26"/>
  <c r="AM10" i="26"/>
  <c r="AI12" i="26"/>
  <c r="AL8" i="26"/>
  <c r="AH8" i="26"/>
  <c r="AJ8" i="26"/>
  <c r="AH7" i="26"/>
  <c r="AJ7" i="26"/>
  <c r="AL7" i="26"/>
  <c r="AG7" i="26"/>
  <c r="Y7" i="26"/>
  <c r="AD18" i="26"/>
  <c r="AM18" i="26"/>
  <c r="Z18" i="26"/>
  <c r="I42" i="25"/>
  <c r="F38" i="42"/>
  <c r="G36" i="42"/>
  <c r="J35" i="41"/>
  <c r="K35" i="41"/>
  <c r="W294" i="41"/>
  <c r="N35" i="41"/>
  <c r="M264" i="41"/>
  <c r="L264" i="41"/>
  <c r="R264" i="41"/>
  <c r="P161" i="41"/>
  <c r="Q161" i="41"/>
  <c r="J13" i="41"/>
  <c r="K13" i="41"/>
  <c r="V293" i="41"/>
  <c r="N13" i="41"/>
  <c r="J223" i="41"/>
  <c r="K223" i="41"/>
  <c r="AF293" i="41"/>
  <c r="N223" i="41"/>
  <c r="AD221" i="41"/>
  <c r="AE221" i="41"/>
  <c r="M34" i="41"/>
  <c r="L34" i="41"/>
  <c r="R34" i="41"/>
  <c r="O318" i="41"/>
  <c r="AE318" i="41"/>
  <c r="D120" i="41"/>
  <c r="I119" i="41"/>
  <c r="AP119" i="41"/>
  <c r="AO119" i="41"/>
  <c r="AG119" i="41"/>
  <c r="AC119" i="41"/>
  <c r="O119" i="41"/>
  <c r="AL119" i="41"/>
  <c r="AH119" i="41"/>
  <c r="AF119" i="41"/>
  <c r="M117" i="41"/>
  <c r="L117" i="41"/>
  <c r="R117" i="41"/>
  <c r="AE33" i="41"/>
  <c r="AD33" i="41"/>
  <c r="J140" i="41"/>
  <c r="K140" i="41"/>
  <c r="AB294" i="41"/>
  <c r="N140" i="41"/>
  <c r="AD11" i="41"/>
  <c r="AE11" i="41"/>
  <c r="Q317" i="41"/>
  <c r="AG317" i="41"/>
  <c r="M160" i="41"/>
  <c r="L160" i="41"/>
  <c r="R160" i="41"/>
  <c r="P35" i="41"/>
  <c r="Q35" i="41"/>
  <c r="AE138" i="41"/>
  <c r="AD138" i="41"/>
  <c r="AE242" i="41"/>
  <c r="AD242" i="41"/>
  <c r="AL162" i="41"/>
  <c r="AG162" i="41"/>
  <c r="AC162" i="41"/>
  <c r="AP162" i="41"/>
  <c r="AO162" i="41"/>
  <c r="O162" i="41"/>
  <c r="I162" i="41"/>
  <c r="AF162" i="41"/>
  <c r="AH162" i="41"/>
  <c r="D163" i="41"/>
  <c r="AF317" i="41"/>
  <c r="P317" i="41"/>
  <c r="D99" i="41"/>
  <c r="I98" i="41"/>
  <c r="AP98" i="41"/>
  <c r="AH98" i="41"/>
  <c r="AC98" i="41"/>
  <c r="O98" i="41"/>
  <c r="AO98" i="41"/>
  <c r="AL98" i="41"/>
  <c r="AG98" i="41"/>
  <c r="AF98" i="41"/>
  <c r="J57" i="41"/>
  <c r="K57" i="41"/>
  <c r="X295" i="41"/>
  <c r="N57" i="41"/>
  <c r="D78" i="41"/>
  <c r="I77" i="41"/>
  <c r="AC77" i="41"/>
  <c r="O77" i="41"/>
  <c r="AP77" i="41"/>
  <c r="AO77" i="41"/>
  <c r="AF77" i="41"/>
  <c r="AG77" i="41"/>
  <c r="AH77" i="41"/>
  <c r="AL77" i="41"/>
  <c r="J97" i="41"/>
  <c r="K97" i="41"/>
  <c r="Z293" i="41"/>
  <c r="N97" i="41"/>
  <c r="P181" i="41"/>
  <c r="Q181" i="41"/>
  <c r="J265" i="41"/>
  <c r="K265" i="41"/>
  <c r="AH293" i="41"/>
  <c r="N265" i="41"/>
  <c r="J161" i="41"/>
  <c r="K161" i="41"/>
  <c r="AC294" i="41"/>
  <c r="N161" i="41"/>
  <c r="M12" i="41"/>
  <c r="L12" i="41"/>
  <c r="R12" i="41"/>
  <c r="AC141" i="41"/>
  <c r="AP141" i="41"/>
  <c r="AO141" i="41"/>
  <c r="AL141" i="41"/>
  <c r="AH141" i="41"/>
  <c r="AG141" i="41"/>
  <c r="AF141" i="41"/>
  <c r="O141" i="41"/>
  <c r="D142" i="41"/>
  <c r="I141" i="41"/>
  <c r="AE95" i="41"/>
  <c r="AD95" i="41"/>
  <c r="AE263" i="41"/>
  <c r="AD263" i="41"/>
  <c r="AC245" i="41"/>
  <c r="AF245" i="41"/>
  <c r="AL245" i="41"/>
  <c r="AH245" i="41"/>
  <c r="AG245" i="41"/>
  <c r="D246" i="41"/>
  <c r="AP245" i="41"/>
  <c r="AO245" i="41"/>
  <c r="O245" i="41"/>
  <c r="I245" i="41"/>
  <c r="AE74" i="41"/>
  <c r="AD74" i="41"/>
  <c r="L139" i="41"/>
  <c r="M139" i="41"/>
  <c r="R139" i="41"/>
  <c r="R317" i="41"/>
  <c r="AH317" i="41"/>
  <c r="J76" i="41"/>
  <c r="K76" i="41"/>
  <c r="Y293" i="41"/>
  <c r="N76" i="41"/>
  <c r="Z115" i="41"/>
  <c r="Y115" i="41"/>
  <c r="K290" i="41"/>
  <c r="AD317" i="41"/>
  <c r="N317" i="41"/>
  <c r="J244" i="41"/>
  <c r="K244" i="41"/>
  <c r="AG293" i="41"/>
  <c r="N244" i="41"/>
  <c r="P97" i="41"/>
  <c r="Q97" i="41"/>
  <c r="L96" i="41"/>
  <c r="M96" i="41"/>
  <c r="R96" i="41"/>
  <c r="M202" i="41"/>
  <c r="L202" i="41"/>
  <c r="R202" i="41"/>
  <c r="AE179" i="41"/>
  <c r="AD179" i="41"/>
  <c r="AL14" i="41"/>
  <c r="AH14" i="41"/>
  <c r="AG14" i="41"/>
  <c r="AF14" i="41"/>
  <c r="AC14" i="41"/>
  <c r="O14" i="41"/>
  <c r="I14" i="41"/>
  <c r="AO14" i="41"/>
  <c r="AP14" i="41"/>
  <c r="D15" i="41"/>
  <c r="AC36" i="41"/>
  <c r="D37" i="41"/>
  <c r="AL36" i="41"/>
  <c r="AH36" i="41"/>
  <c r="O36" i="41"/>
  <c r="I36" i="41"/>
  <c r="AP36" i="41"/>
  <c r="AF36" i="41"/>
  <c r="AO36" i="41"/>
  <c r="AG36" i="41"/>
  <c r="P140" i="41"/>
  <c r="Q140" i="41"/>
  <c r="P57" i="41"/>
  <c r="Q57" i="41"/>
  <c r="Z54" i="41"/>
  <c r="Y54" i="41"/>
  <c r="H292" i="41"/>
  <c r="AG266" i="41"/>
  <c r="AF266" i="41"/>
  <c r="AC266" i="41"/>
  <c r="AH266" i="41"/>
  <c r="O266" i="41"/>
  <c r="I266" i="41"/>
  <c r="D267" i="41"/>
  <c r="AL266" i="41"/>
  <c r="AP266" i="41"/>
  <c r="AO266" i="41"/>
  <c r="L243" i="41"/>
  <c r="M243" i="41"/>
  <c r="R243" i="41"/>
  <c r="P265" i="41"/>
  <c r="Q265" i="41"/>
  <c r="L222" i="41"/>
  <c r="M222" i="41"/>
  <c r="R222" i="41"/>
  <c r="P118" i="41"/>
  <c r="Q118" i="41"/>
  <c r="M75" i="41"/>
  <c r="L75" i="41"/>
  <c r="R75" i="41"/>
  <c r="J203" i="41"/>
  <c r="K203" i="41"/>
  <c r="AE294" i="41"/>
  <c r="N203" i="41"/>
  <c r="P76" i="41"/>
  <c r="Q76" i="41"/>
  <c r="M318" i="41"/>
  <c r="AC318" i="41"/>
  <c r="AC224" i="41"/>
  <c r="AF224" i="41"/>
  <c r="I224" i="41"/>
  <c r="AO224" i="41"/>
  <c r="AL224" i="41"/>
  <c r="AH224" i="41"/>
  <c r="AG224" i="41"/>
  <c r="O224" i="41"/>
  <c r="D225" i="41"/>
  <c r="AP224" i="41"/>
  <c r="AE55" i="41"/>
  <c r="AD55" i="41"/>
  <c r="AD201" i="41"/>
  <c r="AE201" i="41"/>
  <c r="AC58" i="41"/>
  <c r="O58" i="41"/>
  <c r="AO58" i="41"/>
  <c r="I58" i="41"/>
  <c r="D59" i="41"/>
  <c r="AP58" i="41"/>
  <c r="AL58" i="41"/>
  <c r="AG58" i="41"/>
  <c r="AF58" i="41"/>
  <c r="AH58" i="41"/>
  <c r="M180" i="41"/>
  <c r="L180" i="41"/>
  <c r="R180" i="41"/>
  <c r="AC204" i="41"/>
  <c r="O204" i="41"/>
  <c r="I204" i="41"/>
  <c r="D205" i="41"/>
  <c r="AL204" i="41"/>
  <c r="AO204" i="41"/>
  <c r="AH204" i="41"/>
  <c r="AG204" i="41"/>
  <c r="AF204" i="41"/>
  <c r="AP204" i="41"/>
  <c r="P203" i="41"/>
  <c r="Q203" i="41"/>
  <c r="J118" i="41"/>
  <c r="K118" i="41"/>
  <c r="AA293" i="41"/>
  <c r="N118" i="41"/>
  <c r="AD116" i="41"/>
  <c r="AE116" i="41"/>
  <c r="AE159" i="41"/>
  <c r="AD159" i="41"/>
  <c r="P223" i="41"/>
  <c r="Q223" i="41"/>
  <c r="AO182" i="41"/>
  <c r="O182" i="41"/>
  <c r="I182" i="41"/>
  <c r="AC182" i="41"/>
  <c r="AL182" i="41"/>
  <c r="AH182" i="41"/>
  <c r="AG182" i="41"/>
  <c r="AF182" i="41"/>
  <c r="D183" i="41"/>
  <c r="AP182" i="41"/>
  <c r="J181" i="41"/>
  <c r="K181" i="41"/>
  <c r="AD293" i="41"/>
  <c r="N181" i="41"/>
  <c r="P13" i="41"/>
  <c r="Q13" i="41"/>
  <c r="P244" i="41"/>
  <c r="Q244" i="41"/>
  <c r="L56" i="41"/>
  <c r="M56" i="41"/>
  <c r="R56" i="41"/>
  <c r="C21" i="35"/>
  <c r="C22" i="34"/>
  <c r="B23" i="34"/>
  <c r="C22" i="39"/>
  <c r="B24" i="39"/>
  <c r="D21" i="39"/>
  <c r="D21" i="34"/>
  <c r="N12" i="32"/>
  <c r="J12" i="32"/>
  <c r="K12" i="32"/>
  <c r="H12" i="32"/>
  <c r="M13" i="32"/>
  <c r="I13" i="32"/>
  <c r="L14" i="32"/>
  <c r="G15" i="32"/>
  <c r="H10" i="27"/>
  <c r="R10" i="27"/>
  <c r="S10" i="27"/>
  <c r="AI9" i="26"/>
  <c r="AD9" i="26"/>
  <c r="AM9" i="26"/>
  <c r="AI17" i="26"/>
  <c r="AI18" i="26"/>
  <c r="AI19" i="26"/>
  <c r="AI16" i="26"/>
  <c r="Z19" i="26"/>
  <c r="Z14" i="26"/>
  <c r="AD14" i="26"/>
  <c r="AM14" i="26"/>
  <c r="AI7" i="26"/>
  <c r="AI15" i="26"/>
  <c r="AI13" i="26"/>
  <c r="AD13" i="26"/>
  <c r="AM13" i="26"/>
  <c r="Z13" i="26"/>
  <c r="Z7" i="26"/>
  <c r="AD7" i="26"/>
  <c r="AM7" i="26"/>
  <c r="AI8" i="26"/>
  <c r="Z15" i="26"/>
  <c r="AD15" i="26"/>
  <c r="AM15" i="26"/>
  <c r="AD8" i="26"/>
  <c r="AM8" i="26"/>
  <c r="Z8" i="26"/>
  <c r="I43" i="25"/>
  <c r="P204" i="41"/>
  <c r="Q204" i="41"/>
  <c r="M118" i="41"/>
  <c r="L118" i="41"/>
  <c r="R118" i="41"/>
  <c r="M140" i="41"/>
  <c r="L140" i="41"/>
  <c r="R140" i="41"/>
  <c r="P318" i="41"/>
  <c r="AF318" i="41"/>
  <c r="Z221" i="41"/>
  <c r="Y221" i="41"/>
  <c r="P291" i="41"/>
  <c r="M97" i="41"/>
  <c r="L97" i="41"/>
  <c r="R97" i="41"/>
  <c r="O225" i="41"/>
  <c r="AC225" i="41"/>
  <c r="I225" i="41"/>
  <c r="AP225" i="41"/>
  <c r="AH225" i="41"/>
  <c r="AG225" i="41"/>
  <c r="AF225" i="41"/>
  <c r="D226" i="41"/>
  <c r="AO225" i="41"/>
  <c r="AL225" i="41"/>
  <c r="AL78" i="41"/>
  <c r="AH78" i="41"/>
  <c r="AG78" i="41"/>
  <c r="O78" i="41"/>
  <c r="D79" i="41"/>
  <c r="I78" i="41"/>
  <c r="AP78" i="41"/>
  <c r="AO78" i="41"/>
  <c r="AF78" i="41"/>
  <c r="AC78" i="41"/>
  <c r="Y74" i="41"/>
  <c r="I291" i="41"/>
  <c r="Z74" i="41"/>
  <c r="P36" i="41"/>
  <c r="Q36" i="41"/>
  <c r="AE139" i="41"/>
  <c r="AD139" i="41"/>
  <c r="J162" i="41"/>
  <c r="K162" i="41"/>
  <c r="AC295" i="41"/>
  <c r="N162" i="41"/>
  <c r="Z33" i="41"/>
  <c r="Y33" i="41"/>
  <c r="G292" i="41"/>
  <c r="P58" i="41"/>
  <c r="Q58" i="41"/>
  <c r="AE264" i="41"/>
  <c r="AD264" i="41"/>
  <c r="J204" i="41"/>
  <c r="K204" i="41"/>
  <c r="AE295" i="41"/>
  <c r="N204" i="41"/>
  <c r="P162" i="41"/>
  <c r="Q162" i="41"/>
  <c r="AE56" i="41"/>
  <c r="AD56" i="41"/>
  <c r="O59" i="41"/>
  <c r="I59" i="41"/>
  <c r="D60" i="41"/>
  <c r="AP59" i="41"/>
  <c r="AO59" i="41"/>
  <c r="AF59" i="41"/>
  <c r="AC59" i="41"/>
  <c r="AH59" i="41"/>
  <c r="AG59" i="41"/>
  <c r="AL59" i="41"/>
  <c r="P98" i="41"/>
  <c r="Q98" i="41"/>
  <c r="J245" i="41"/>
  <c r="K245" i="41"/>
  <c r="AG294" i="41"/>
  <c r="N245" i="41"/>
  <c r="M13" i="41"/>
  <c r="L13" i="41"/>
  <c r="R13" i="41"/>
  <c r="M35" i="41"/>
  <c r="L35" i="41"/>
  <c r="R35" i="41"/>
  <c r="Z179" i="41"/>
  <c r="Y179" i="41"/>
  <c r="N291" i="41"/>
  <c r="AC163" i="41"/>
  <c r="O163" i="41"/>
  <c r="I163" i="41"/>
  <c r="D164" i="41"/>
  <c r="AH163" i="41"/>
  <c r="AL163" i="41"/>
  <c r="AP163" i="41"/>
  <c r="AO163" i="41"/>
  <c r="AG163" i="41"/>
  <c r="AF163" i="41"/>
  <c r="P224" i="41"/>
  <c r="Q224" i="41"/>
  <c r="M265" i="41"/>
  <c r="L265" i="41"/>
  <c r="R265" i="41"/>
  <c r="AD117" i="41"/>
  <c r="AE117" i="41"/>
  <c r="AG318" i="41"/>
  <c r="Q318" i="41"/>
  <c r="Z138" i="41"/>
  <c r="Y138" i="41"/>
  <c r="L292" i="41"/>
  <c r="M57" i="41"/>
  <c r="L57" i="41"/>
  <c r="R57" i="41"/>
  <c r="Z11" i="41"/>
  <c r="Y11" i="41"/>
  <c r="F291" i="41"/>
  <c r="J182" i="41"/>
  <c r="K182" i="41"/>
  <c r="AD294" i="41"/>
  <c r="N182" i="41"/>
  <c r="J36" i="41"/>
  <c r="K36" i="41"/>
  <c r="W295" i="41"/>
  <c r="N36" i="41"/>
  <c r="M244" i="41"/>
  <c r="L244" i="41"/>
  <c r="R244" i="41"/>
  <c r="Z242" i="41"/>
  <c r="Y242" i="41"/>
  <c r="Q291" i="41"/>
  <c r="J58" i="41"/>
  <c r="K58" i="41"/>
  <c r="X296" i="41"/>
  <c r="N58" i="41"/>
  <c r="AE180" i="41"/>
  <c r="AD180" i="41"/>
  <c r="AE12" i="41"/>
  <c r="AD12" i="41"/>
  <c r="J77" i="41"/>
  <c r="K77" i="41"/>
  <c r="Y294" i="41"/>
  <c r="N77" i="41"/>
  <c r="M223" i="41"/>
  <c r="L223" i="41"/>
  <c r="R223" i="41"/>
  <c r="P14" i="41"/>
  <c r="Q14" i="41"/>
  <c r="M181" i="41"/>
  <c r="L181" i="41"/>
  <c r="R181" i="41"/>
  <c r="O205" i="41"/>
  <c r="AG205" i="41"/>
  <c r="AF205" i="41"/>
  <c r="AC205" i="41"/>
  <c r="I205" i="41"/>
  <c r="AH205" i="41"/>
  <c r="D206" i="41"/>
  <c r="AP205" i="41"/>
  <c r="AO205" i="41"/>
  <c r="AL205" i="41"/>
  <c r="AE202" i="41"/>
  <c r="AD202" i="41"/>
  <c r="AD34" i="41"/>
  <c r="AE34" i="41"/>
  <c r="AE222" i="41"/>
  <c r="AD222" i="41"/>
  <c r="AE96" i="41"/>
  <c r="AD96" i="41"/>
  <c r="P182" i="41"/>
  <c r="Q182" i="41"/>
  <c r="P77" i="41"/>
  <c r="Q77" i="41"/>
  <c r="J224" i="41"/>
  <c r="K224" i="41"/>
  <c r="AF294" i="41"/>
  <c r="N224" i="41"/>
  <c r="P245" i="41"/>
  <c r="Q245" i="41"/>
  <c r="AE243" i="41"/>
  <c r="AD243" i="41"/>
  <c r="Y159" i="41"/>
  <c r="M292" i="41"/>
  <c r="Z159" i="41"/>
  <c r="O246" i="41"/>
  <c r="AC246" i="41"/>
  <c r="D247" i="41"/>
  <c r="AP246" i="41"/>
  <c r="AO246" i="41"/>
  <c r="AG246" i="41"/>
  <c r="I246" i="41"/>
  <c r="AL246" i="41"/>
  <c r="AH246" i="41"/>
  <c r="AF246" i="41"/>
  <c r="O37" i="41"/>
  <c r="D38" i="41"/>
  <c r="I37" i="41"/>
  <c r="AL37" i="41"/>
  <c r="AO37" i="41"/>
  <c r="AP37" i="41"/>
  <c r="AC37" i="41"/>
  <c r="AH37" i="41"/>
  <c r="AG37" i="41"/>
  <c r="AF37" i="41"/>
  <c r="Y116" i="41"/>
  <c r="K291" i="41"/>
  <c r="Z116" i="41"/>
  <c r="AC15" i="41"/>
  <c r="O15" i="41"/>
  <c r="D16" i="41"/>
  <c r="AL15" i="41"/>
  <c r="AH15" i="41"/>
  <c r="AG15" i="41"/>
  <c r="AF15" i="41"/>
  <c r="I15" i="41"/>
  <c r="AO15" i="41"/>
  <c r="AP15" i="41"/>
  <c r="AO267" i="41"/>
  <c r="AC267" i="41"/>
  <c r="O267" i="41"/>
  <c r="I267" i="41"/>
  <c r="AG267" i="41"/>
  <c r="AF267" i="41"/>
  <c r="AL267" i="41"/>
  <c r="AH267" i="41"/>
  <c r="D268" i="41"/>
  <c r="AP267" i="41"/>
  <c r="AH318" i="41"/>
  <c r="R318" i="41"/>
  <c r="P119" i="41"/>
  <c r="Q119" i="41"/>
  <c r="M76" i="41"/>
  <c r="L76" i="41"/>
  <c r="R76" i="41"/>
  <c r="J266" i="41"/>
  <c r="K266" i="41"/>
  <c r="AH294" i="41"/>
  <c r="N266" i="41"/>
  <c r="M161" i="41"/>
  <c r="L161" i="41"/>
  <c r="R161" i="41"/>
  <c r="P266" i="41"/>
  <c r="Q266" i="41"/>
  <c r="J14" i="41"/>
  <c r="K14" i="41"/>
  <c r="V294" i="41"/>
  <c r="N14" i="41"/>
  <c r="Y263" i="41"/>
  <c r="R291" i="41"/>
  <c r="Z263" i="41"/>
  <c r="O319" i="41"/>
  <c r="AE319" i="41"/>
  <c r="N318" i="41"/>
  <c r="AD318" i="41"/>
  <c r="M203" i="41"/>
  <c r="L203" i="41"/>
  <c r="R203" i="41"/>
  <c r="Z95" i="41"/>
  <c r="Y95" i="41"/>
  <c r="J291" i="41"/>
  <c r="Y201" i="41"/>
  <c r="O292" i="41"/>
  <c r="Z201" i="41"/>
  <c r="AE160" i="41"/>
  <c r="AD160" i="41"/>
  <c r="J119" i="41"/>
  <c r="K119" i="41"/>
  <c r="AA294" i="41"/>
  <c r="N119" i="41"/>
  <c r="Y55" i="41"/>
  <c r="H293" i="41"/>
  <c r="Z55" i="41"/>
  <c r="AE75" i="41"/>
  <c r="AD75" i="41"/>
  <c r="J141" i="41"/>
  <c r="K141" i="41"/>
  <c r="AB295" i="41"/>
  <c r="N141" i="41"/>
  <c r="AC120" i="41"/>
  <c r="AO120" i="41"/>
  <c r="AG120" i="41"/>
  <c r="AF120" i="41"/>
  <c r="O120" i="41"/>
  <c r="AL120" i="41"/>
  <c r="AH120" i="41"/>
  <c r="I120" i="41"/>
  <c r="D121" i="41"/>
  <c r="AP120" i="41"/>
  <c r="X317" i="41"/>
  <c r="H317" i="41"/>
  <c r="O142" i="41"/>
  <c r="AL142" i="41"/>
  <c r="AH142" i="41"/>
  <c r="AG142" i="41"/>
  <c r="AF142" i="41"/>
  <c r="D143" i="41"/>
  <c r="AC142" i="41"/>
  <c r="I142" i="41"/>
  <c r="AP142" i="41"/>
  <c r="AO142" i="41"/>
  <c r="J98" i="41"/>
  <c r="K98" i="41"/>
  <c r="Z294" i="41"/>
  <c r="N98" i="41"/>
  <c r="I183" i="41"/>
  <c r="D184" i="41"/>
  <c r="AP183" i="41"/>
  <c r="AO183" i="41"/>
  <c r="AL183" i="41"/>
  <c r="AC183" i="41"/>
  <c r="AG183" i="41"/>
  <c r="AH183" i="41"/>
  <c r="AF183" i="41"/>
  <c r="O183" i="41"/>
  <c r="P141" i="41"/>
  <c r="Q141" i="41"/>
  <c r="AH99" i="41"/>
  <c r="AG99" i="41"/>
  <c r="AF99" i="41"/>
  <c r="O99" i="41"/>
  <c r="D100" i="41"/>
  <c r="AL99" i="41"/>
  <c r="AO99" i="41"/>
  <c r="AP99" i="41"/>
  <c r="AC99" i="41"/>
  <c r="I99" i="41"/>
  <c r="C23" i="39"/>
  <c r="D22" i="39"/>
  <c r="B24" i="34"/>
  <c r="C23" i="34"/>
  <c r="D22" i="34"/>
  <c r="C22" i="35"/>
  <c r="D22" i="35" s="1"/>
  <c r="D21" i="35"/>
  <c r="L15" i="32"/>
  <c r="G16" i="32"/>
  <c r="M14" i="32"/>
  <c r="I14" i="32"/>
  <c r="N13" i="32"/>
  <c r="J13" i="32"/>
  <c r="K13" i="32"/>
  <c r="H13" i="32"/>
  <c r="H11" i="27"/>
  <c r="R11" i="27"/>
  <c r="S11" i="27"/>
  <c r="I44" i="25"/>
  <c r="O164" i="41"/>
  <c r="I164" i="41"/>
  <c r="AO164" i="41"/>
  <c r="AL164" i="41"/>
  <c r="AH164" i="41"/>
  <c r="AG164" i="41"/>
  <c r="AF164" i="41"/>
  <c r="AC164" i="41"/>
  <c r="AP164" i="41"/>
  <c r="D165" i="41"/>
  <c r="AE97" i="41"/>
  <c r="AD97" i="41"/>
  <c r="AE76" i="41"/>
  <c r="AD76" i="41"/>
  <c r="Y12" i="41"/>
  <c r="F292" i="41"/>
  <c r="Z12" i="41"/>
  <c r="Y222" i="41"/>
  <c r="P292" i="41"/>
  <c r="Z222" i="41"/>
  <c r="AP60" i="41"/>
  <c r="AO60" i="41"/>
  <c r="AL60" i="41"/>
  <c r="AH60" i="41"/>
  <c r="AG60" i="41"/>
  <c r="AF60" i="41"/>
  <c r="D61" i="41"/>
  <c r="AC60" i="41"/>
  <c r="O60" i="41"/>
  <c r="I60" i="41"/>
  <c r="AP247" i="41"/>
  <c r="AO247" i="41"/>
  <c r="AL247" i="41"/>
  <c r="AH247" i="41"/>
  <c r="O247" i="41"/>
  <c r="I247" i="41"/>
  <c r="AF247" i="41"/>
  <c r="AC247" i="41"/>
  <c r="AG247" i="41"/>
  <c r="D248" i="41"/>
  <c r="AE265" i="41"/>
  <c r="AD265" i="41"/>
  <c r="O121" i="41"/>
  <c r="AL121" i="41"/>
  <c r="AO121" i="41"/>
  <c r="AH121" i="41"/>
  <c r="AG121" i="41"/>
  <c r="AF121" i="41"/>
  <c r="AC121" i="41"/>
  <c r="I121" i="41"/>
  <c r="D122" i="41"/>
  <c r="AP121" i="41"/>
  <c r="AL184" i="41"/>
  <c r="AH184" i="41"/>
  <c r="AG184" i="41"/>
  <c r="AF184" i="41"/>
  <c r="AC184" i="41"/>
  <c r="I184" i="41"/>
  <c r="D185" i="41"/>
  <c r="O184" i="41"/>
  <c r="AP184" i="41"/>
  <c r="AO184" i="41"/>
  <c r="AE57" i="41"/>
  <c r="AD57" i="41"/>
  <c r="J99" i="41"/>
  <c r="K99" i="41"/>
  <c r="Z295" i="41"/>
  <c r="N99" i="41"/>
  <c r="Z56" i="41"/>
  <c r="Y56" i="41"/>
  <c r="H294" i="41"/>
  <c r="P120" i="41"/>
  <c r="Q120" i="41"/>
  <c r="P246" i="41"/>
  <c r="Q246" i="41"/>
  <c r="L36" i="41"/>
  <c r="M36" i="41"/>
  <c r="R36" i="41"/>
  <c r="D207" i="41"/>
  <c r="I206" i="41"/>
  <c r="AP206" i="41"/>
  <c r="AO206" i="41"/>
  <c r="O206" i="41"/>
  <c r="AL206" i="41"/>
  <c r="AH206" i="41"/>
  <c r="AG206" i="41"/>
  <c r="AF206" i="41"/>
  <c r="AC206" i="41"/>
  <c r="M245" i="41"/>
  <c r="L245" i="41"/>
  <c r="R245" i="41"/>
  <c r="Y117" i="41"/>
  <c r="K292" i="41"/>
  <c r="Z117" i="41"/>
  <c r="AG319" i="41"/>
  <c r="Q319" i="41"/>
  <c r="J267" i="41"/>
  <c r="K267" i="41"/>
  <c r="AH295" i="41"/>
  <c r="N267" i="41"/>
  <c r="AH319" i="41"/>
  <c r="R319" i="41"/>
  <c r="Z202" i="41"/>
  <c r="Y202" i="41"/>
  <c r="O293" i="41"/>
  <c r="Y75" i="41"/>
  <c r="I292" i="41"/>
  <c r="Z75" i="41"/>
  <c r="L77" i="41"/>
  <c r="M77" i="41"/>
  <c r="R77" i="41"/>
  <c r="AE118" i="41"/>
  <c r="AD118" i="41"/>
  <c r="J15" i="41"/>
  <c r="K15" i="41"/>
  <c r="V295" i="41"/>
  <c r="N15" i="41"/>
  <c r="V316" i="41"/>
  <c r="F316" i="41"/>
  <c r="D17" i="41"/>
  <c r="I16" i="41"/>
  <c r="AP16" i="41"/>
  <c r="AO16" i="41"/>
  <c r="AG16" i="41"/>
  <c r="AC16" i="41"/>
  <c r="AL16" i="41"/>
  <c r="AH16" i="41"/>
  <c r="AF16" i="41"/>
  <c r="O16" i="41"/>
  <c r="J183" i="41"/>
  <c r="K183" i="41"/>
  <c r="AD295" i="41"/>
  <c r="N183" i="41"/>
  <c r="P15" i="41"/>
  <c r="Q15" i="41"/>
  <c r="Z180" i="41"/>
  <c r="Y180" i="41"/>
  <c r="N292" i="41"/>
  <c r="M119" i="41"/>
  <c r="L119" i="41"/>
  <c r="R119" i="41"/>
  <c r="AL268" i="41"/>
  <c r="AH268" i="41"/>
  <c r="AG268" i="41"/>
  <c r="O268" i="41"/>
  <c r="AO268" i="41"/>
  <c r="AF268" i="41"/>
  <c r="D269" i="41"/>
  <c r="AC268" i="41"/>
  <c r="I268" i="41"/>
  <c r="AP268" i="41"/>
  <c r="I79" i="41"/>
  <c r="AF79" i="41"/>
  <c r="AC79" i="41"/>
  <c r="O79" i="41"/>
  <c r="AG79" i="41"/>
  <c r="AP79" i="41"/>
  <c r="AL79" i="41"/>
  <c r="AO79" i="41"/>
  <c r="D80" i="41"/>
  <c r="AH79" i="41"/>
  <c r="AE244" i="41"/>
  <c r="AD244" i="41"/>
  <c r="M58" i="41"/>
  <c r="L58" i="41"/>
  <c r="R58" i="41"/>
  <c r="N319" i="41"/>
  <c r="AD319" i="41"/>
  <c r="J225" i="41"/>
  <c r="K225" i="41"/>
  <c r="AF295" i="41"/>
  <c r="N225" i="41"/>
  <c r="P225" i="41"/>
  <c r="Q225" i="41"/>
  <c r="AE203" i="41"/>
  <c r="AD203" i="41"/>
  <c r="AE13" i="41"/>
  <c r="AD13" i="41"/>
  <c r="J142" i="41"/>
  <c r="K142" i="41"/>
  <c r="AB296" i="41"/>
  <c r="N142" i="41"/>
  <c r="P205" i="41"/>
  <c r="Q205" i="41"/>
  <c r="AE140" i="41"/>
  <c r="AD140" i="41"/>
  <c r="Y264" i="41"/>
  <c r="R292" i="41"/>
  <c r="Z264" i="41"/>
  <c r="Z34" i="41"/>
  <c r="Y34" i="41"/>
  <c r="G293" i="41"/>
  <c r="P163" i="41"/>
  <c r="Q163" i="41"/>
  <c r="P59" i="41"/>
  <c r="Q59" i="41"/>
  <c r="J205" i="41"/>
  <c r="K205" i="41"/>
  <c r="AE296" i="41"/>
  <c r="N205" i="41"/>
  <c r="L162" i="41"/>
  <c r="M162" i="41"/>
  <c r="R162" i="41"/>
  <c r="AE181" i="41"/>
  <c r="AD181" i="41"/>
  <c r="X318" i="41"/>
  <c r="H318" i="41"/>
  <c r="AE161" i="41"/>
  <c r="AD161" i="41"/>
  <c r="M98" i="41"/>
  <c r="L98" i="41"/>
  <c r="R98" i="41"/>
  <c r="J246" i="41"/>
  <c r="K246" i="41"/>
  <c r="AG295" i="41"/>
  <c r="N246" i="41"/>
  <c r="J120" i="41"/>
  <c r="K120" i="41"/>
  <c r="AA295" i="41"/>
  <c r="N120" i="41"/>
  <c r="J163" i="41"/>
  <c r="K163" i="41"/>
  <c r="AC296" i="41"/>
  <c r="N163" i="41"/>
  <c r="Z139" i="41"/>
  <c r="Y139" i="41"/>
  <c r="L293" i="41"/>
  <c r="J59" i="41"/>
  <c r="K59" i="41"/>
  <c r="X297" i="41"/>
  <c r="N59" i="41"/>
  <c r="AE35" i="41"/>
  <c r="AD35" i="41"/>
  <c r="Y243" i="41"/>
  <c r="Q292" i="41"/>
  <c r="Z243" i="41"/>
  <c r="AP100" i="41"/>
  <c r="O100" i="41"/>
  <c r="I100" i="41"/>
  <c r="D101" i="41"/>
  <c r="AC100" i="41"/>
  <c r="AL100" i="41"/>
  <c r="AH100" i="41"/>
  <c r="AG100" i="41"/>
  <c r="AF100" i="41"/>
  <c r="AO100" i="41"/>
  <c r="P99" i="41"/>
  <c r="Q99" i="41"/>
  <c r="AF319" i="41"/>
  <c r="P319" i="41"/>
  <c r="J78" i="41"/>
  <c r="K78" i="41"/>
  <c r="Y295" i="41"/>
  <c r="N78" i="41"/>
  <c r="AP143" i="41"/>
  <c r="AL143" i="41"/>
  <c r="AH143" i="41"/>
  <c r="AG143" i="41"/>
  <c r="AF143" i="41"/>
  <c r="AC143" i="41"/>
  <c r="D144" i="41"/>
  <c r="AO143" i="41"/>
  <c r="O143" i="41"/>
  <c r="I143" i="41"/>
  <c r="P78" i="41"/>
  <c r="Q78" i="41"/>
  <c r="P267" i="41"/>
  <c r="Q267" i="41"/>
  <c r="J37" i="41"/>
  <c r="K37" i="41"/>
  <c r="W296" i="41"/>
  <c r="N37" i="41"/>
  <c r="AP38" i="41"/>
  <c r="AO38" i="41"/>
  <c r="AL38" i="41"/>
  <c r="AH38" i="41"/>
  <c r="AG38" i="41"/>
  <c r="AF38" i="41"/>
  <c r="I38" i="41"/>
  <c r="O38" i="41"/>
  <c r="AC38" i="41"/>
  <c r="D39" i="41"/>
  <c r="M14" i="41"/>
  <c r="L14" i="41"/>
  <c r="R14" i="41"/>
  <c r="M224" i="41"/>
  <c r="L224" i="41"/>
  <c r="R224" i="41"/>
  <c r="M266" i="41"/>
  <c r="L266" i="41"/>
  <c r="R266" i="41"/>
  <c r="P37" i="41"/>
  <c r="Q37" i="41"/>
  <c r="M182" i="41"/>
  <c r="L182" i="41"/>
  <c r="R182" i="41"/>
  <c r="M141" i="41"/>
  <c r="L141" i="41"/>
  <c r="R141" i="41"/>
  <c r="P142" i="41"/>
  <c r="Q142" i="41"/>
  <c r="Z96" i="41"/>
  <c r="Y96" i="41"/>
  <c r="J292" i="41"/>
  <c r="P183" i="41"/>
  <c r="Q183" i="41"/>
  <c r="Z160" i="41"/>
  <c r="Y160" i="41"/>
  <c r="M293" i="41"/>
  <c r="AE223" i="41"/>
  <c r="AD223" i="41"/>
  <c r="W317" i="41"/>
  <c r="G317" i="41"/>
  <c r="AP226" i="41"/>
  <c r="AO226" i="41"/>
  <c r="AL226" i="41"/>
  <c r="O226" i="41"/>
  <c r="D227" i="41"/>
  <c r="AG226" i="41"/>
  <c r="AH226" i="41"/>
  <c r="AF226" i="41"/>
  <c r="AC226" i="41"/>
  <c r="I226" i="41"/>
  <c r="M204" i="41"/>
  <c r="L204" i="41"/>
  <c r="R204" i="41"/>
  <c r="D23" i="34"/>
  <c r="B25" i="34"/>
  <c r="C25" i="34" s="1"/>
  <c r="D25" i="34" s="1"/>
  <c r="C24" i="34"/>
  <c r="D24" i="34" s="1"/>
  <c r="B24" i="35"/>
  <c r="B25" i="35" s="1"/>
  <c r="C23" i="35"/>
  <c r="D23" i="39"/>
  <c r="N14" i="32"/>
  <c r="J14" i="32"/>
  <c r="K14" i="32"/>
  <c r="H14" i="32"/>
  <c r="G17" i="32"/>
  <c r="L16" i="32"/>
  <c r="I15" i="32"/>
  <c r="M15" i="32"/>
  <c r="H12" i="27"/>
  <c r="R12" i="27"/>
  <c r="S12" i="27"/>
  <c r="I45" i="25"/>
  <c r="K317" i="41"/>
  <c r="AA317" i="41"/>
  <c r="AE245" i="41"/>
  <c r="AD245" i="41"/>
  <c r="M205" i="41"/>
  <c r="L205" i="41"/>
  <c r="R205" i="41"/>
  <c r="AL17" i="41"/>
  <c r="AH17" i="41"/>
  <c r="AG17" i="41"/>
  <c r="AF17" i="41"/>
  <c r="D18" i="41"/>
  <c r="AP17" i="41"/>
  <c r="AO17" i="41"/>
  <c r="I17" i="41"/>
  <c r="AC17" i="41"/>
  <c r="O17" i="41"/>
  <c r="AE141" i="41"/>
  <c r="AD141" i="41"/>
  <c r="Z57" i="41"/>
  <c r="Y57" i="41"/>
  <c r="H295" i="41"/>
  <c r="L318" i="41"/>
  <c r="AB318" i="41"/>
  <c r="AE77" i="41"/>
  <c r="AD77" i="41"/>
  <c r="J184" i="41"/>
  <c r="K184" i="41"/>
  <c r="AD296" i="41"/>
  <c r="N184" i="41"/>
  <c r="Z203" i="41"/>
  <c r="Y203" i="41"/>
  <c r="O294" i="41"/>
  <c r="P60" i="41"/>
  <c r="Q60" i="41"/>
  <c r="AD119" i="41"/>
  <c r="AE119" i="41"/>
  <c r="Z118" i="41"/>
  <c r="Y118" i="41"/>
  <c r="K293" i="41"/>
  <c r="Y13" i="41"/>
  <c r="F293" i="41"/>
  <c r="Z13" i="41"/>
  <c r="P206" i="41"/>
  <c r="Q206" i="41"/>
  <c r="Z97" i="41"/>
  <c r="Y97" i="41"/>
  <c r="J293" i="41"/>
  <c r="D166" i="41"/>
  <c r="I165" i="41"/>
  <c r="AO165" i="41"/>
  <c r="O165" i="41"/>
  <c r="AH165" i="41"/>
  <c r="AP165" i="41"/>
  <c r="AL165" i="41"/>
  <c r="AG165" i="41"/>
  <c r="AF165" i="41"/>
  <c r="AC165" i="41"/>
  <c r="H319" i="41"/>
  <c r="X319" i="41"/>
  <c r="P38" i="41"/>
  <c r="Q38" i="41"/>
  <c r="Y35" i="41"/>
  <c r="G294" i="41"/>
  <c r="Z35" i="41"/>
  <c r="P121" i="41"/>
  <c r="Q121" i="41"/>
  <c r="Y161" i="41"/>
  <c r="M294" i="41"/>
  <c r="Z161" i="41"/>
  <c r="AE204" i="41"/>
  <c r="AD204" i="41"/>
  <c r="V317" i="41"/>
  <c r="F317" i="41"/>
  <c r="J226" i="41"/>
  <c r="K226" i="41"/>
  <c r="AF296" i="41"/>
  <c r="N226" i="41"/>
  <c r="AE162" i="41"/>
  <c r="AD162" i="41"/>
  <c r="P247" i="41"/>
  <c r="Q247" i="41"/>
  <c r="M99" i="41"/>
  <c r="L99" i="41"/>
  <c r="R99" i="41"/>
  <c r="P16" i="41"/>
  <c r="Q16" i="41"/>
  <c r="J60" i="41"/>
  <c r="K60" i="41"/>
  <c r="X298" i="41"/>
  <c r="N60" i="41"/>
  <c r="AF320" i="41"/>
  <c r="P320" i="41"/>
  <c r="J143" i="41"/>
  <c r="K143" i="41"/>
  <c r="AB297" i="41"/>
  <c r="N143" i="41"/>
  <c r="AF101" i="41"/>
  <c r="O101" i="41"/>
  <c r="I101" i="41"/>
  <c r="AP101" i="41"/>
  <c r="AO101" i="41"/>
  <c r="AL101" i="41"/>
  <c r="AH101" i="41"/>
  <c r="AG101" i="41"/>
  <c r="AC101" i="41"/>
  <c r="D102" i="41"/>
  <c r="J268" i="41"/>
  <c r="K268" i="41"/>
  <c r="AH296" i="41"/>
  <c r="N268" i="41"/>
  <c r="M246" i="41"/>
  <c r="L246" i="41"/>
  <c r="R246" i="41"/>
  <c r="D123" i="41"/>
  <c r="I122" i="41"/>
  <c r="AP122" i="41"/>
  <c r="AO122" i="41"/>
  <c r="AL122" i="41"/>
  <c r="AH122" i="41"/>
  <c r="AG122" i="41"/>
  <c r="AF122" i="41"/>
  <c r="O122" i="41"/>
  <c r="AC122" i="41"/>
  <c r="AF61" i="41"/>
  <c r="AL61" i="41"/>
  <c r="AH61" i="41"/>
  <c r="AG61" i="41"/>
  <c r="AC61" i="41"/>
  <c r="AP61" i="41"/>
  <c r="D62" i="41"/>
  <c r="O61" i="41"/>
  <c r="I61" i="41"/>
  <c r="AO61" i="41"/>
  <c r="P184" i="41"/>
  <c r="Q184" i="41"/>
  <c r="AF227" i="41"/>
  <c r="O227" i="41"/>
  <c r="AH227" i="41"/>
  <c r="AG227" i="41"/>
  <c r="AC227" i="41"/>
  <c r="I227" i="41"/>
  <c r="D228" i="41"/>
  <c r="AP227" i="41"/>
  <c r="AO227" i="41"/>
  <c r="AL227" i="41"/>
  <c r="AE36" i="41"/>
  <c r="AD36" i="41"/>
  <c r="L267" i="41"/>
  <c r="M267" i="41"/>
  <c r="R267" i="41"/>
  <c r="J100" i="41"/>
  <c r="K100" i="41"/>
  <c r="Z296" i="41"/>
  <c r="N100" i="41"/>
  <c r="J121" i="41"/>
  <c r="K121" i="41"/>
  <c r="AA296" i="41"/>
  <c r="N121" i="41"/>
  <c r="P268" i="41"/>
  <c r="Q268" i="41"/>
  <c r="J317" i="41"/>
  <c r="Z317" i="41"/>
  <c r="L15" i="41"/>
  <c r="M15" i="41"/>
  <c r="R15" i="41"/>
  <c r="P79" i="41"/>
  <c r="Q79" i="41"/>
  <c r="AE266" i="41"/>
  <c r="AD266" i="41"/>
  <c r="AH207" i="41"/>
  <c r="AG207" i="41"/>
  <c r="AF207" i="41"/>
  <c r="O207" i="41"/>
  <c r="D208" i="41"/>
  <c r="AP207" i="41"/>
  <c r="I207" i="41"/>
  <c r="AO207" i="41"/>
  <c r="AC207" i="41"/>
  <c r="AL207" i="41"/>
  <c r="M120" i="41"/>
  <c r="L120" i="41"/>
  <c r="R120" i="41"/>
  <c r="I80" i="41"/>
  <c r="D81" i="41"/>
  <c r="AP80" i="41"/>
  <c r="AO80" i="41"/>
  <c r="AF80" i="41"/>
  <c r="AL80" i="41"/>
  <c r="AH80" i="41"/>
  <c r="AG80" i="41"/>
  <c r="AC80" i="41"/>
  <c r="O80" i="41"/>
  <c r="J206" i="41"/>
  <c r="K206" i="41"/>
  <c r="AE297" i="41"/>
  <c r="N206" i="41"/>
  <c r="P226" i="41"/>
  <c r="Q226" i="41"/>
  <c r="AG320" i="41"/>
  <c r="Q320" i="41"/>
  <c r="J164" i="41"/>
  <c r="K164" i="41"/>
  <c r="AC297" i="41"/>
  <c r="N164" i="41"/>
  <c r="M183" i="41"/>
  <c r="L183" i="41"/>
  <c r="R183" i="41"/>
  <c r="Z140" i="41"/>
  <c r="Y140" i="41"/>
  <c r="L294" i="41"/>
  <c r="J38" i="41"/>
  <c r="K38" i="41"/>
  <c r="W297" i="41"/>
  <c r="N38" i="41"/>
  <c r="Y244" i="41"/>
  <c r="Q293" i="41"/>
  <c r="Z244" i="41"/>
  <c r="Z265" i="41"/>
  <c r="Y265" i="41"/>
  <c r="R293" i="41"/>
  <c r="M142" i="41"/>
  <c r="L142" i="41"/>
  <c r="R142" i="41"/>
  <c r="AF248" i="41"/>
  <c r="O248" i="41"/>
  <c r="I248" i="41"/>
  <c r="AP248" i="41"/>
  <c r="AO248" i="41"/>
  <c r="AL248" i="41"/>
  <c r="AH248" i="41"/>
  <c r="AG248" i="41"/>
  <c r="AC248" i="41"/>
  <c r="D249" i="41"/>
  <c r="Z181" i="41"/>
  <c r="Y181" i="41"/>
  <c r="N293" i="41"/>
  <c r="Z76" i="41"/>
  <c r="Y76" i="41"/>
  <c r="I293" i="41"/>
  <c r="AE182" i="41"/>
  <c r="AD182" i="41"/>
  <c r="J247" i="41"/>
  <c r="K247" i="41"/>
  <c r="AG296" i="41"/>
  <c r="N247" i="41"/>
  <c r="AO185" i="41"/>
  <c r="AC185" i="41"/>
  <c r="AL185" i="41"/>
  <c r="AH185" i="41"/>
  <c r="AG185" i="41"/>
  <c r="AF185" i="41"/>
  <c r="D186" i="41"/>
  <c r="AP185" i="41"/>
  <c r="I185" i="41"/>
  <c r="O185" i="41"/>
  <c r="M37" i="41"/>
  <c r="L37" i="41"/>
  <c r="R37" i="41"/>
  <c r="I317" i="41"/>
  <c r="Y317" i="41"/>
  <c r="J79" i="41"/>
  <c r="K79" i="41"/>
  <c r="Y296" i="41"/>
  <c r="N79" i="41"/>
  <c r="M225" i="41"/>
  <c r="L225" i="41"/>
  <c r="R225" i="41"/>
  <c r="AE224" i="41"/>
  <c r="AD224" i="41"/>
  <c r="M78" i="41"/>
  <c r="L78" i="41"/>
  <c r="R78" i="41"/>
  <c r="L59" i="41"/>
  <c r="M59" i="41"/>
  <c r="R59" i="41"/>
  <c r="Y223" i="41"/>
  <c r="P293" i="41"/>
  <c r="Z223" i="41"/>
  <c r="AD14" i="41"/>
  <c r="AE14" i="41"/>
  <c r="P143" i="41"/>
  <c r="Q143" i="41"/>
  <c r="M163" i="41"/>
  <c r="L163" i="41"/>
  <c r="R163" i="41"/>
  <c r="P100" i="41"/>
  <c r="Q100" i="41"/>
  <c r="G318" i="41"/>
  <c r="W318" i="41"/>
  <c r="AC269" i="41"/>
  <c r="O269" i="41"/>
  <c r="D270" i="41"/>
  <c r="AP269" i="41"/>
  <c r="AO269" i="41"/>
  <c r="AF269" i="41"/>
  <c r="AL269" i="41"/>
  <c r="I269" i="41"/>
  <c r="AH269" i="41"/>
  <c r="AG269" i="41"/>
  <c r="AH320" i="41"/>
  <c r="R320" i="41"/>
  <c r="AH144" i="41"/>
  <c r="AF144" i="41"/>
  <c r="O144" i="41"/>
  <c r="AL144" i="41"/>
  <c r="AG144" i="41"/>
  <c r="AC144" i="41"/>
  <c r="D145" i="41"/>
  <c r="AP144" i="41"/>
  <c r="AO144" i="41"/>
  <c r="I144" i="41"/>
  <c r="AF39" i="41"/>
  <c r="AC39" i="41"/>
  <c r="AH39" i="41"/>
  <c r="I39" i="41"/>
  <c r="AG39" i="41"/>
  <c r="O39" i="41"/>
  <c r="D40" i="41"/>
  <c r="AO39" i="41"/>
  <c r="AP39" i="41"/>
  <c r="AL39" i="41"/>
  <c r="AE98" i="41"/>
  <c r="AD98" i="41"/>
  <c r="AE58" i="41"/>
  <c r="AD58" i="41"/>
  <c r="J16" i="41"/>
  <c r="K16" i="41"/>
  <c r="V296" i="41"/>
  <c r="N16" i="41"/>
  <c r="P164" i="41"/>
  <c r="Q164" i="41"/>
  <c r="D23" i="35"/>
  <c r="N15" i="32"/>
  <c r="J15" i="32"/>
  <c r="K15" i="32"/>
  <c r="H15" i="32"/>
  <c r="I16" i="32"/>
  <c r="M16" i="32"/>
  <c r="G18" i="32"/>
  <c r="L18" i="32"/>
  <c r="L17" i="32"/>
  <c r="H13" i="27"/>
  <c r="R13" i="27"/>
  <c r="S13" i="27"/>
  <c r="I46" i="25"/>
  <c r="AG166" i="41"/>
  <c r="AC166" i="41"/>
  <c r="I166" i="41"/>
  <c r="D167" i="41"/>
  <c r="AP166" i="41"/>
  <c r="AO166" i="41"/>
  <c r="AL166" i="41"/>
  <c r="AH166" i="41"/>
  <c r="AF166" i="41"/>
  <c r="O166" i="41"/>
  <c r="P227" i="41"/>
  <c r="Q227" i="41"/>
  <c r="M268" i="41"/>
  <c r="L268" i="41"/>
  <c r="R268" i="41"/>
  <c r="M206" i="41"/>
  <c r="L206" i="41"/>
  <c r="R206" i="41"/>
  <c r="AD78" i="41"/>
  <c r="AE78" i="41"/>
  <c r="M319" i="41"/>
  <c r="AC319" i="41"/>
  <c r="Y224" i="41"/>
  <c r="P294" i="41"/>
  <c r="Z224" i="41"/>
  <c r="AC62" i="41"/>
  <c r="O62" i="41"/>
  <c r="I62" i="41"/>
  <c r="D63" i="41"/>
  <c r="AP62" i="41"/>
  <c r="AO62" i="41"/>
  <c r="AL62" i="41"/>
  <c r="AH62" i="41"/>
  <c r="AF62" i="41"/>
  <c r="AG62" i="41"/>
  <c r="O270" i="41"/>
  <c r="I270" i="41"/>
  <c r="AP270" i="41"/>
  <c r="AO270" i="41"/>
  <c r="AL270" i="41"/>
  <c r="AH270" i="41"/>
  <c r="AG270" i="41"/>
  <c r="D271" i="41"/>
  <c r="AF270" i="41"/>
  <c r="AC270" i="41"/>
  <c r="I208" i="41"/>
  <c r="AO208" i="41"/>
  <c r="AL208" i="41"/>
  <c r="AH208" i="41"/>
  <c r="AG208" i="41"/>
  <c r="AF208" i="41"/>
  <c r="AC208" i="41"/>
  <c r="O208" i="41"/>
  <c r="D209" i="41"/>
  <c r="AP208" i="41"/>
  <c r="Z119" i="41"/>
  <c r="Y119" i="41"/>
  <c r="K294" i="41"/>
  <c r="J39" i="41"/>
  <c r="K39" i="41"/>
  <c r="W298" i="41"/>
  <c r="N39" i="41"/>
  <c r="J101" i="41"/>
  <c r="K101" i="41"/>
  <c r="Z297" i="41"/>
  <c r="N101" i="41"/>
  <c r="Z162" i="41"/>
  <c r="Y162" i="41"/>
  <c r="M295" i="41"/>
  <c r="AE205" i="41"/>
  <c r="AD205" i="41"/>
  <c r="M184" i="41"/>
  <c r="L184" i="41"/>
  <c r="R184" i="41"/>
  <c r="J207" i="41"/>
  <c r="K207" i="41"/>
  <c r="AE298" i="41"/>
  <c r="N207" i="41"/>
  <c r="P207" i="41"/>
  <c r="Q207" i="41"/>
  <c r="O249" i="41"/>
  <c r="AC249" i="41"/>
  <c r="I249" i="41"/>
  <c r="D250" i="41"/>
  <c r="AP249" i="41"/>
  <c r="AH249" i="41"/>
  <c r="AL249" i="41"/>
  <c r="AG249" i="41"/>
  <c r="AF249" i="41"/>
  <c r="AO249" i="41"/>
  <c r="AE37" i="41"/>
  <c r="AD37" i="41"/>
  <c r="J165" i="41"/>
  <c r="K165" i="41"/>
  <c r="AC298" i="41"/>
  <c r="N165" i="41"/>
  <c r="Z318" i="41"/>
  <c r="J318" i="41"/>
  <c r="J185" i="41"/>
  <c r="K185" i="41"/>
  <c r="AD297" i="41"/>
  <c r="N185" i="41"/>
  <c r="O186" i="41"/>
  <c r="AP186" i="41"/>
  <c r="AO186" i="41"/>
  <c r="AL186" i="41"/>
  <c r="AH186" i="41"/>
  <c r="AG186" i="41"/>
  <c r="AF186" i="41"/>
  <c r="I186" i="41"/>
  <c r="AC186" i="41"/>
  <c r="D187" i="41"/>
  <c r="M16" i="41"/>
  <c r="L16" i="41"/>
  <c r="R16" i="41"/>
  <c r="V318" i="41"/>
  <c r="F318" i="41"/>
  <c r="P61" i="41"/>
  <c r="Q61" i="41"/>
  <c r="M226" i="41"/>
  <c r="L226" i="41"/>
  <c r="R226" i="41"/>
  <c r="AE225" i="41"/>
  <c r="AD225" i="41"/>
  <c r="W319" i="41"/>
  <c r="G319" i="41"/>
  <c r="P269" i="41"/>
  <c r="Q269" i="41"/>
  <c r="Y36" i="41"/>
  <c r="G295" i="41"/>
  <c r="Z36" i="41"/>
  <c r="M100" i="41"/>
  <c r="L100" i="41"/>
  <c r="R100" i="41"/>
  <c r="P122" i="41"/>
  <c r="Q122" i="41"/>
  <c r="AD163" i="41"/>
  <c r="AE163" i="41"/>
  <c r="P144" i="41"/>
  <c r="Q144" i="41"/>
  <c r="AE183" i="41"/>
  <c r="AD183" i="41"/>
  <c r="J122" i="41"/>
  <c r="K122" i="41"/>
  <c r="AA297" i="41"/>
  <c r="N122" i="41"/>
  <c r="AG123" i="41"/>
  <c r="AF123" i="41"/>
  <c r="AC123" i="41"/>
  <c r="AP123" i="41"/>
  <c r="AO123" i="41"/>
  <c r="AH123" i="41"/>
  <c r="D124" i="41"/>
  <c r="AL123" i="41"/>
  <c r="I123" i="41"/>
  <c r="O123" i="41"/>
  <c r="Z141" i="41"/>
  <c r="Y141" i="41"/>
  <c r="L295" i="41"/>
  <c r="J269" i="41"/>
  <c r="K269" i="41"/>
  <c r="AH297" i="41"/>
  <c r="N269" i="41"/>
  <c r="J61" i="41"/>
  <c r="K61" i="41"/>
  <c r="X299" i="41"/>
  <c r="N61" i="41"/>
  <c r="J17" i="41"/>
  <c r="K17" i="41"/>
  <c r="V297" i="41"/>
  <c r="N17" i="41"/>
  <c r="AL102" i="41"/>
  <c r="O102" i="41"/>
  <c r="I102" i="41"/>
  <c r="AP102" i="41"/>
  <c r="D103" i="41"/>
  <c r="AG102" i="41"/>
  <c r="AF102" i="41"/>
  <c r="AC102" i="41"/>
  <c r="AO102" i="41"/>
  <c r="AH102" i="41"/>
  <c r="M60" i="41"/>
  <c r="L60" i="41"/>
  <c r="R60" i="41"/>
  <c r="Y318" i="41"/>
  <c r="I318" i="41"/>
  <c r="Z245" i="41"/>
  <c r="Y245" i="41"/>
  <c r="Q294" i="41"/>
  <c r="Z14" i="41"/>
  <c r="Y14" i="41"/>
  <c r="F294" i="41"/>
  <c r="Y58" i="41"/>
  <c r="H296" i="41"/>
  <c r="Z58" i="41"/>
  <c r="J80" i="41"/>
  <c r="K80" i="41"/>
  <c r="Y297" i="41"/>
  <c r="N80" i="41"/>
  <c r="Y204" i="41"/>
  <c r="O295" i="41"/>
  <c r="Z204" i="41"/>
  <c r="AD59" i="41"/>
  <c r="AE59" i="41"/>
  <c r="Z98" i="41"/>
  <c r="Y98" i="41"/>
  <c r="J294" i="41"/>
  <c r="R321" i="41"/>
  <c r="AH321" i="41"/>
  <c r="P248" i="41"/>
  <c r="Q248" i="41"/>
  <c r="AD267" i="41"/>
  <c r="AE267" i="41"/>
  <c r="AC18" i="41"/>
  <c r="O18" i="41"/>
  <c r="D19" i="41"/>
  <c r="AO18" i="41"/>
  <c r="AP18" i="41"/>
  <c r="AH18" i="41"/>
  <c r="AG18" i="41"/>
  <c r="AF18" i="41"/>
  <c r="AL18" i="41"/>
  <c r="I18" i="41"/>
  <c r="AP145" i="41"/>
  <c r="AL145" i="41"/>
  <c r="AH145" i="41"/>
  <c r="AG145" i="41"/>
  <c r="AF145" i="41"/>
  <c r="AC145" i="41"/>
  <c r="D146" i="41"/>
  <c r="AO145" i="41"/>
  <c r="O145" i="41"/>
  <c r="I145" i="41"/>
  <c r="Z77" i="41"/>
  <c r="Y77" i="41"/>
  <c r="I294" i="41"/>
  <c r="AO81" i="41"/>
  <c r="I81" i="41"/>
  <c r="D82" i="41"/>
  <c r="AP81" i="41"/>
  <c r="AL81" i="41"/>
  <c r="AH81" i="41"/>
  <c r="AG81" i="41"/>
  <c r="AF81" i="41"/>
  <c r="AC81" i="41"/>
  <c r="O81" i="41"/>
  <c r="H320" i="41"/>
  <c r="X320" i="41"/>
  <c r="AD120" i="41"/>
  <c r="AE120" i="41"/>
  <c r="AE142" i="41"/>
  <c r="AD142" i="41"/>
  <c r="M121" i="41"/>
  <c r="L121" i="41"/>
  <c r="R121" i="41"/>
  <c r="M38" i="41"/>
  <c r="L38" i="41"/>
  <c r="R38" i="41"/>
  <c r="Q321" i="41"/>
  <c r="AG321" i="41"/>
  <c r="M247" i="41"/>
  <c r="L247" i="41"/>
  <c r="R247" i="41"/>
  <c r="J144" i="41"/>
  <c r="K144" i="41"/>
  <c r="AB298" i="41"/>
  <c r="N144" i="41"/>
  <c r="Z182" i="41"/>
  <c r="Y182" i="41"/>
  <c r="N294" i="41"/>
  <c r="P80" i="41"/>
  <c r="Q80" i="41"/>
  <c r="P101" i="41"/>
  <c r="Q101" i="41"/>
  <c r="I228" i="41"/>
  <c r="AL228" i="41"/>
  <c r="AH228" i="41"/>
  <c r="AG228" i="41"/>
  <c r="AF228" i="41"/>
  <c r="AC228" i="41"/>
  <c r="D229" i="41"/>
  <c r="AP228" i="41"/>
  <c r="AO228" i="41"/>
  <c r="O228" i="41"/>
  <c r="AE15" i="41"/>
  <c r="AD15" i="41"/>
  <c r="J227" i="41"/>
  <c r="K227" i="41"/>
  <c r="AF297" i="41"/>
  <c r="N227" i="41"/>
  <c r="L164" i="41"/>
  <c r="M164" i="41"/>
  <c r="R164" i="41"/>
  <c r="AD246" i="41"/>
  <c r="AE246" i="41"/>
  <c r="P185" i="41"/>
  <c r="Q185" i="41"/>
  <c r="J248" i="41"/>
  <c r="K248" i="41"/>
  <c r="AG297" i="41"/>
  <c r="N248" i="41"/>
  <c r="P17" i="41"/>
  <c r="Q17" i="41"/>
  <c r="K318" i="41"/>
  <c r="AA318" i="41"/>
  <c r="O40" i="41"/>
  <c r="AL40" i="41"/>
  <c r="AH40" i="41"/>
  <c r="AG40" i="41"/>
  <c r="AF40" i="41"/>
  <c r="AC40" i="41"/>
  <c r="I40" i="41"/>
  <c r="AP40" i="41"/>
  <c r="AO40" i="41"/>
  <c r="D41" i="41"/>
  <c r="P39" i="41"/>
  <c r="Q39" i="41"/>
  <c r="AE99" i="41"/>
  <c r="AD99" i="41"/>
  <c r="Y266" i="41"/>
  <c r="R294" i="41"/>
  <c r="Z266" i="41"/>
  <c r="M79" i="41"/>
  <c r="L79" i="41"/>
  <c r="R79" i="41"/>
  <c r="M143" i="41"/>
  <c r="L143" i="41"/>
  <c r="R143" i="41"/>
  <c r="L319" i="41"/>
  <c r="AB319" i="41"/>
  <c r="P165" i="41"/>
  <c r="Q165" i="41"/>
  <c r="I17" i="32"/>
  <c r="M17" i="32"/>
  <c r="M18" i="32"/>
  <c r="I18" i="32"/>
  <c r="H16" i="32"/>
  <c r="N16" i="32"/>
  <c r="J16" i="32"/>
  <c r="K16" i="32"/>
  <c r="H14" i="27"/>
  <c r="R14" i="27"/>
  <c r="S14" i="27"/>
  <c r="I47" i="25"/>
  <c r="H321" i="41"/>
  <c r="X321" i="41"/>
  <c r="AE143" i="41"/>
  <c r="AD143" i="41"/>
  <c r="AE79" i="41"/>
  <c r="AD79" i="41"/>
  <c r="AE184" i="41"/>
  <c r="AD184" i="41"/>
  <c r="P228" i="41"/>
  <c r="Q228" i="41"/>
  <c r="AE206" i="41"/>
  <c r="AD206" i="41"/>
  <c r="AE38" i="41"/>
  <c r="AD38" i="41"/>
  <c r="AE60" i="41"/>
  <c r="AD60" i="41"/>
  <c r="Y163" i="41"/>
  <c r="M296" i="41"/>
  <c r="Z163" i="41"/>
  <c r="AB320" i="41"/>
  <c r="L320" i="41"/>
  <c r="M227" i="41"/>
  <c r="L227" i="41"/>
  <c r="R227" i="41"/>
  <c r="AE164" i="41"/>
  <c r="AD164" i="41"/>
  <c r="J102" i="41"/>
  <c r="K102" i="41"/>
  <c r="Z298" i="41"/>
  <c r="N102" i="41"/>
  <c r="V319" i="41"/>
  <c r="F319" i="41"/>
  <c r="AE247" i="41"/>
  <c r="AD247" i="41"/>
  <c r="P18" i="41"/>
  <c r="Q18" i="41"/>
  <c r="I187" i="41"/>
  <c r="D188" i="41"/>
  <c r="AO187" i="41"/>
  <c r="AP187" i="41"/>
  <c r="AL187" i="41"/>
  <c r="AH187" i="41"/>
  <c r="AG187" i="41"/>
  <c r="AF187" i="41"/>
  <c r="AC187" i="41"/>
  <c r="O187" i="41"/>
  <c r="J228" i="41"/>
  <c r="K228" i="41"/>
  <c r="AF298" i="41"/>
  <c r="N228" i="41"/>
  <c r="J123" i="41"/>
  <c r="K123" i="41"/>
  <c r="AA298" i="41"/>
  <c r="N123" i="41"/>
  <c r="J249" i="41"/>
  <c r="K249" i="41"/>
  <c r="AG298" i="41"/>
  <c r="N249" i="41"/>
  <c r="AP41" i="41"/>
  <c r="D42" i="41"/>
  <c r="I41" i="41"/>
  <c r="AO41" i="41"/>
  <c r="AL41" i="41"/>
  <c r="AH41" i="41"/>
  <c r="AC41" i="41"/>
  <c r="AG41" i="41"/>
  <c r="AF41" i="41"/>
  <c r="O41" i="41"/>
  <c r="Z120" i="41"/>
  <c r="Y120" i="41"/>
  <c r="K295" i="41"/>
  <c r="O320" i="41"/>
  <c r="AE320" i="41"/>
  <c r="P102" i="41"/>
  <c r="Q102" i="41"/>
  <c r="M269" i="41"/>
  <c r="L269" i="41"/>
  <c r="R269" i="41"/>
  <c r="P186" i="41"/>
  <c r="Q186" i="41"/>
  <c r="L17" i="41"/>
  <c r="M17" i="41"/>
  <c r="R17" i="41"/>
  <c r="J81" i="41"/>
  <c r="K81" i="41"/>
  <c r="Y298" i="41"/>
  <c r="N81" i="41"/>
  <c r="Z37" i="41"/>
  <c r="Y37" i="41"/>
  <c r="G296" i="41"/>
  <c r="Z267" i="41"/>
  <c r="Y267" i="41"/>
  <c r="R295" i="41"/>
  <c r="D230" i="41"/>
  <c r="I229" i="41"/>
  <c r="AO229" i="41"/>
  <c r="AL229" i="41"/>
  <c r="AH229" i="41"/>
  <c r="AG229" i="41"/>
  <c r="AF229" i="41"/>
  <c r="AC229" i="41"/>
  <c r="AP229" i="41"/>
  <c r="O229" i="41"/>
  <c r="Z246" i="41"/>
  <c r="Y246" i="41"/>
  <c r="Q295" i="41"/>
  <c r="P123" i="41"/>
  <c r="Q123" i="41"/>
  <c r="AL250" i="41"/>
  <c r="I250" i="41"/>
  <c r="AP250" i="41"/>
  <c r="AO250" i="41"/>
  <c r="O250" i="41"/>
  <c r="AF250" i="41"/>
  <c r="AC250" i="41"/>
  <c r="D251" i="41"/>
  <c r="AH250" i="41"/>
  <c r="AG250" i="41"/>
  <c r="W320" i="41"/>
  <c r="G320" i="41"/>
  <c r="Z59" i="41"/>
  <c r="Y59" i="41"/>
  <c r="H297" i="41"/>
  <c r="J18" i="41"/>
  <c r="K18" i="41"/>
  <c r="V298" i="41"/>
  <c r="N18" i="41"/>
  <c r="D210" i="41"/>
  <c r="I209" i="41"/>
  <c r="O209" i="41"/>
  <c r="AL209" i="41"/>
  <c r="AH209" i="41"/>
  <c r="AP209" i="41"/>
  <c r="AO209" i="41"/>
  <c r="AG209" i="41"/>
  <c r="AF209" i="41"/>
  <c r="AC209" i="41"/>
  <c r="Z183" i="41"/>
  <c r="Y183" i="41"/>
  <c r="N295" i="41"/>
  <c r="M61" i="41"/>
  <c r="L61" i="41"/>
  <c r="R61" i="41"/>
  <c r="AC82" i="41"/>
  <c r="AO82" i="41"/>
  <c r="AL82" i="41"/>
  <c r="AH82" i="41"/>
  <c r="AG82" i="41"/>
  <c r="AF82" i="41"/>
  <c r="I82" i="41"/>
  <c r="D83" i="41"/>
  <c r="AP82" i="41"/>
  <c r="O82" i="41"/>
  <c r="Z205" i="41"/>
  <c r="Y205" i="41"/>
  <c r="O296" i="41"/>
  <c r="R322" i="41"/>
  <c r="AH322" i="41"/>
  <c r="Q322" i="41"/>
  <c r="AG322" i="41"/>
  <c r="AE16" i="41"/>
  <c r="AD16" i="41"/>
  <c r="AD100" i="41"/>
  <c r="AE100" i="41"/>
  <c r="L39" i="41"/>
  <c r="M39" i="41"/>
  <c r="R39" i="41"/>
  <c r="M101" i="41"/>
  <c r="L101" i="41"/>
  <c r="R101" i="41"/>
  <c r="M165" i="41"/>
  <c r="L165" i="41"/>
  <c r="R165" i="41"/>
  <c r="M207" i="41"/>
  <c r="L207" i="41"/>
  <c r="R207" i="41"/>
  <c r="P208" i="41"/>
  <c r="Q208" i="41"/>
  <c r="D64" i="41"/>
  <c r="I63" i="41"/>
  <c r="O63" i="41"/>
  <c r="AP63" i="41"/>
  <c r="AG63" i="41"/>
  <c r="AF63" i="41"/>
  <c r="AC63" i="41"/>
  <c r="AO63" i="41"/>
  <c r="AL63" i="41"/>
  <c r="AH63" i="41"/>
  <c r="O167" i="41"/>
  <c r="D168" i="41"/>
  <c r="AP167" i="41"/>
  <c r="AO167" i="41"/>
  <c r="AL167" i="41"/>
  <c r="AH167" i="41"/>
  <c r="AG167" i="41"/>
  <c r="I167" i="41"/>
  <c r="AF167" i="41"/>
  <c r="AC167" i="41"/>
  <c r="J208" i="41"/>
  <c r="K208" i="41"/>
  <c r="AE299" i="41"/>
  <c r="N208" i="41"/>
  <c r="Y78" i="41"/>
  <c r="I295" i="41"/>
  <c r="Z78" i="41"/>
  <c r="Z99" i="41"/>
  <c r="Y99" i="41"/>
  <c r="J295" i="41"/>
  <c r="M122" i="41"/>
  <c r="L122" i="41"/>
  <c r="R122" i="41"/>
  <c r="J186" i="41"/>
  <c r="K186" i="41"/>
  <c r="AD298" i="41"/>
  <c r="N186" i="41"/>
  <c r="J270" i="41"/>
  <c r="K270" i="41"/>
  <c r="AH298" i="41"/>
  <c r="N270" i="41"/>
  <c r="Y142" i="41"/>
  <c r="L296" i="41"/>
  <c r="Z142" i="41"/>
  <c r="AC103" i="41"/>
  <c r="I103" i="41"/>
  <c r="O103" i="41"/>
  <c r="D104" i="41"/>
  <c r="AG103" i="41"/>
  <c r="AF103" i="41"/>
  <c r="AO103" i="41"/>
  <c r="AP103" i="41"/>
  <c r="AL103" i="41"/>
  <c r="AH103" i="41"/>
  <c r="P249" i="41"/>
  <c r="Q249" i="41"/>
  <c r="J40" i="41"/>
  <c r="K40" i="41"/>
  <c r="W299" i="41"/>
  <c r="N40" i="41"/>
  <c r="P81" i="41"/>
  <c r="Q81" i="41"/>
  <c r="Z225" i="41"/>
  <c r="Y225" i="41"/>
  <c r="P295" i="41"/>
  <c r="J62" i="41"/>
  <c r="K62" i="41"/>
  <c r="X300" i="41"/>
  <c r="N62" i="41"/>
  <c r="J166" i="41"/>
  <c r="K166" i="41"/>
  <c r="AC299" i="41"/>
  <c r="N166" i="41"/>
  <c r="Z15" i="41"/>
  <c r="Y15" i="41"/>
  <c r="F295" i="41"/>
  <c r="AO19" i="41"/>
  <c r="D20" i="41"/>
  <c r="I19" i="41"/>
  <c r="AP19" i="41"/>
  <c r="AG19" i="41"/>
  <c r="O19" i="41"/>
  <c r="AL19" i="41"/>
  <c r="AH19" i="41"/>
  <c r="AF19" i="41"/>
  <c r="AC19" i="41"/>
  <c r="M144" i="41"/>
  <c r="L144" i="41"/>
  <c r="R144" i="41"/>
  <c r="M320" i="41"/>
  <c r="AC320" i="41"/>
  <c r="I319" i="41"/>
  <c r="Y319" i="41"/>
  <c r="M248" i="41"/>
  <c r="L248" i="41"/>
  <c r="R248" i="41"/>
  <c r="AE268" i="41"/>
  <c r="AD268" i="41"/>
  <c r="P145" i="41"/>
  <c r="Q145" i="41"/>
  <c r="D147" i="41"/>
  <c r="I146" i="41"/>
  <c r="AO146" i="41"/>
  <c r="AF146" i="41"/>
  <c r="AP146" i="41"/>
  <c r="AL146" i="41"/>
  <c r="AH146" i="41"/>
  <c r="AG146" i="41"/>
  <c r="O146" i="41"/>
  <c r="AC146" i="41"/>
  <c r="P166" i="41"/>
  <c r="Q166" i="41"/>
  <c r="O124" i="41"/>
  <c r="AO124" i="41"/>
  <c r="I124" i="41"/>
  <c r="D125" i="41"/>
  <c r="AC124" i="41"/>
  <c r="AG124" i="41"/>
  <c r="AP124" i="41"/>
  <c r="AL124" i="41"/>
  <c r="AH124" i="41"/>
  <c r="AF124" i="41"/>
  <c r="P62" i="41"/>
  <c r="Q62" i="41"/>
  <c r="P40" i="41"/>
  <c r="Q40" i="41"/>
  <c r="AP271" i="41"/>
  <c r="AO271" i="41"/>
  <c r="AH271" i="41"/>
  <c r="O271" i="41"/>
  <c r="D272" i="41"/>
  <c r="AC271" i="41"/>
  <c r="I271" i="41"/>
  <c r="AL271" i="41"/>
  <c r="AG271" i="41"/>
  <c r="AF271" i="41"/>
  <c r="J145" i="41"/>
  <c r="K145" i="41"/>
  <c r="AB299" i="41"/>
  <c r="N145" i="41"/>
  <c r="L185" i="41"/>
  <c r="M185" i="41"/>
  <c r="R185" i="41"/>
  <c r="AD121" i="41"/>
  <c r="AE121" i="41"/>
  <c r="Z319" i="41"/>
  <c r="J319" i="41"/>
  <c r="P270" i="41"/>
  <c r="Q270" i="41"/>
  <c r="K319" i="41"/>
  <c r="AA319" i="41"/>
  <c r="M80" i="41"/>
  <c r="L80" i="41"/>
  <c r="R80" i="41"/>
  <c r="AE226" i="41"/>
  <c r="AD226" i="41"/>
  <c r="N18" i="32"/>
  <c r="J18" i="32"/>
  <c r="K18" i="32"/>
  <c r="H18" i="32"/>
  <c r="N17" i="32"/>
  <c r="J17" i="32"/>
  <c r="K17" i="32"/>
  <c r="H17" i="32"/>
  <c r="H15" i="27"/>
  <c r="R15" i="27"/>
  <c r="S15" i="27"/>
  <c r="I48" i="25"/>
  <c r="AD165" i="41"/>
  <c r="AE165" i="41"/>
  <c r="P187" i="41"/>
  <c r="Q187" i="41"/>
  <c r="AE227" i="41"/>
  <c r="AD227" i="41"/>
  <c r="AA320" i="41"/>
  <c r="K320" i="41"/>
  <c r="M81" i="41"/>
  <c r="L81" i="41"/>
  <c r="R81" i="41"/>
  <c r="AL20" i="41"/>
  <c r="AH20" i="41"/>
  <c r="AG20" i="41"/>
  <c r="AF20" i="41"/>
  <c r="O20" i="41"/>
  <c r="I20" i="41"/>
  <c r="D21" i="41"/>
  <c r="AP20" i="41"/>
  <c r="AO20" i="41"/>
  <c r="AC20" i="41"/>
  <c r="AP188" i="41"/>
  <c r="AO188" i="41"/>
  <c r="AL188" i="41"/>
  <c r="AG188" i="41"/>
  <c r="D189" i="41"/>
  <c r="AH188" i="41"/>
  <c r="AF188" i="41"/>
  <c r="AC188" i="41"/>
  <c r="O188" i="41"/>
  <c r="I188" i="41"/>
  <c r="J41" i="41"/>
  <c r="K41" i="41"/>
  <c r="W300" i="41"/>
  <c r="N41" i="41"/>
  <c r="J250" i="41"/>
  <c r="K250" i="41"/>
  <c r="AG299" i="41"/>
  <c r="N250" i="41"/>
  <c r="M166" i="41"/>
  <c r="L166" i="41"/>
  <c r="R166" i="41"/>
  <c r="O83" i="41"/>
  <c r="AH83" i="41"/>
  <c r="AG83" i="41"/>
  <c r="AF83" i="41"/>
  <c r="AC83" i="41"/>
  <c r="I83" i="41"/>
  <c r="D84" i="41"/>
  <c r="AP83" i="41"/>
  <c r="AO83" i="41"/>
  <c r="AL83" i="41"/>
  <c r="L62" i="41"/>
  <c r="M62" i="41"/>
  <c r="R62" i="41"/>
  <c r="AE185" i="41"/>
  <c r="AD185" i="41"/>
  <c r="AE17" i="41"/>
  <c r="AD17" i="41"/>
  <c r="M123" i="41"/>
  <c r="L123" i="41"/>
  <c r="R123" i="41"/>
  <c r="Z79" i="41"/>
  <c r="Y79" i="41"/>
  <c r="I296" i="41"/>
  <c r="H322" i="41"/>
  <c r="X322" i="41"/>
  <c r="P41" i="41"/>
  <c r="Q41" i="41"/>
  <c r="AL230" i="41"/>
  <c r="AH230" i="41"/>
  <c r="AG230" i="41"/>
  <c r="I230" i="41"/>
  <c r="D231" i="41"/>
  <c r="AP230" i="41"/>
  <c r="AO230" i="41"/>
  <c r="AF230" i="41"/>
  <c r="AC230" i="41"/>
  <c r="O230" i="41"/>
  <c r="AE61" i="41"/>
  <c r="AD61" i="41"/>
  <c r="AL147" i="41"/>
  <c r="AG147" i="41"/>
  <c r="D148" i="41"/>
  <c r="AP147" i="41"/>
  <c r="AO147" i="41"/>
  <c r="AH147" i="41"/>
  <c r="O147" i="41"/>
  <c r="I147" i="41"/>
  <c r="AF147" i="41"/>
  <c r="AC147" i="41"/>
  <c r="Y268" i="41"/>
  <c r="R296" i="41"/>
  <c r="Z268" i="41"/>
  <c r="Y247" i="41"/>
  <c r="Q296" i="41"/>
  <c r="Z247" i="41"/>
  <c r="P63" i="41"/>
  <c r="Q63" i="41"/>
  <c r="M186" i="41"/>
  <c r="L186" i="41"/>
  <c r="R186" i="41"/>
  <c r="M102" i="41"/>
  <c r="L102" i="41"/>
  <c r="R102" i="41"/>
  <c r="J82" i="41"/>
  <c r="K82" i="41"/>
  <c r="Y299" i="41"/>
  <c r="N82" i="41"/>
  <c r="AB321" i="41"/>
  <c r="L321" i="41"/>
  <c r="J229" i="41"/>
  <c r="K229" i="41"/>
  <c r="AF299" i="41"/>
  <c r="N229" i="41"/>
  <c r="AE101" i="41"/>
  <c r="AD101" i="41"/>
  <c r="P19" i="41"/>
  <c r="Q19" i="41"/>
  <c r="W321" i="41"/>
  <c r="G321" i="41"/>
  <c r="J19" i="41"/>
  <c r="K19" i="41"/>
  <c r="V299" i="41"/>
  <c r="N19" i="41"/>
  <c r="J187" i="41"/>
  <c r="K187" i="41"/>
  <c r="AD299" i="41"/>
  <c r="N187" i="41"/>
  <c r="Y100" i="41"/>
  <c r="J296" i="41"/>
  <c r="Z100" i="41"/>
  <c r="Z320" i="41"/>
  <c r="J320" i="41"/>
  <c r="Y226" i="41"/>
  <c r="P296" i="41"/>
  <c r="Z226" i="41"/>
  <c r="J124" i="41"/>
  <c r="K124" i="41"/>
  <c r="AA299" i="41"/>
  <c r="N124" i="41"/>
  <c r="P103" i="41"/>
  <c r="Q103" i="41"/>
  <c r="J63" i="41"/>
  <c r="K63" i="41"/>
  <c r="X301" i="41"/>
  <c r="N63" i="41"/>
  <c r="O321" i="41"/>
  <c r="AE321" i="41"/>
  <c r="P209" i="41"/>
  <c r="Q209" i="41"/>
  <c r="AD269" i="41"/>
  <c r="AE269" i="41"/>
  <c r="Y143" i="41"/>
  <c r="L297" i="41"/>
  <c r="Z143" i="41"/>
  <c r="P146" i="41"/>
  <c r="Q146" i="41"/>
  <c r="J167" i="41"/>
  <c r="K167" i="41"/>
  <c r="AC300" i="41"/>
  <c r="N167" i="41"/>
  <c r="M40" i="41"/>
  <c r="L40" i="41"/>
  <c r="R40" i="41"/>
  <c r="R323" i="41"/>
  <c r="AH323" i="41"/>
  <c r="M321" i="41"/>
  <c r="AC321" i="41"/>
  <c r="J146" i="41"/>
  <c r="K146" i="41"/>
  <c r="AB300" i="41"/>
  <c r="N146" i="41"/>
  <c r="AP168" i="41"/>
  <c r="AL168" i="41"/>
  <c r="AH168" i="41"/>
  <c r="AG168" i="41"/>
  <c r="AF168" i="41"/>
  <c r="AC168" i="41"/>
  <c r="AO168" i="41"/>
  <c r="O168" i="41"/>
  <c r="I168" i="41"/>
  <c r="D169" i="41"/>
  <c r="Y38" i="41"/>
  <c r="G297" i="41"/>
  <c r="Z38" i="41"/>
  <c r="P167" i="41"/>
  <c r="Q167" i="41"/>
  <c r="M249" i="41"/>
  <c r="L249" i="41"/>
  <c r="R249" i="41"/>
  <c r="Z206" i="41"/>
  <c r="Y206" i="41"/>
  <c r="O297" i="41"/>
  <c r="L228" i="41"/>
  <c r="M228" i="41"/>
  <c r="R228" i="41"/>
  <c r="O104" i="41"/>
  <c r="D105" i="41"/>
  <c r="I104" i="41"/>
  <c r="AL104" i="41"/>
  <c r="AH104" i="41"/>
  <c r="AG104" i="41"/>
  <c r="AF104" i="41"/>
  <c r="AC104" i="41"/>
  <c r="AP104" i="41"/>
  <c r="AO104" i="41"/>
  <c r="J103" i="41"/>
  <c r="K103" i="41"/>
  <c r="Z299" i="41"/>
  <c r="N103" i="41"/>
  <c r="AL64" i="41"/>
  <c r="AH64" i="41"/>
  <c r="AG64" i="41"/>
  <c r="O64" i="41"/>
  <c r="I64" i="41"/>
  <c r="AO64" i="41"/>
  <c r="D65" i="41"/>
  <c r="AP64" i="41"/>
  <c r="AF64" i="41"/>
  <c r="AC64" i="41"/>
  <c r="J209" i="41"/>
  <c r="K209" i="41"/>
  <c r="AE300" i="41"/>
  <c r="N209" i="41"/>
  <c r="P229" i="41"/>
  <c r="Q229" i="41"/>
  <c r="AE39" i="41"/>
  <c r="AD39" i="41"/>
  <c r="AE122" i="41"/>
  <c r="AD122" i="41"/>
  <c r="AL42" i="41"/>
  <c r="AH42" i="41"/>
  <c r="AG42" i="41"/>
  <c r="AF42" i="41"/>
  <c r="AC42" i="41"/>
  <c r="O42" i="41"/>
  <c r="AO42" i="41"/>
  <c r="D43" i="41"/>
  <c r="AP42" i="41"/>
  <c r="I42" i="41"/>
  <c r="M145" i="41"/>
  <c r="L145" i="41"/>
  <c r="R145" i="41"/>
  <c r="Z16" i="41"/>
  <c r="Y16" i="41"/>
  <c r="F296" i="41"/>
  <c r="V320" i="41"/>
  <c r="F320" i="41"/>
  <c r="P124" i="41"/>
  <c r="Q124" i="41"/>
  <c r="P82" i="41"/>
  <c r="Q82" i="41"/>
  <c r="AL210" i="41"/>
  <c r="AH210" i="41"/>
  <c r="AG210" i="41"/>
  <c r="I210" i="41"/>
  <c r="AC210" i="41"/>
  <c r="AO210" i="41"/>
  <c r="AF210" i="41"/>
  <c r="O210" i="41"/>
  <c r="D211" i="41"/>
  <c r="AP210" i="41"/>
  <c r="AD144" i="41"/>
  <c r="AE144" i="41"/>
  <c r="AE207" i="41"/>
  <c r="AD207" i="41"/>
  <c r="M270" i="41"/>
  <c r="L270" i="41"/>
  <c r="R270" i="41"/>
  <c r="Z60" i="41"/>
  <c r="Y60" i="41"/>
  <c r="H298" i="41"/>
  <c r="Y121" i="41"/>
  <c r="K296" i="41"/>
  <c r="Z121" i="41"/>
  <c r="AL251" i="41"/>
  <c r="AG251" i="41"/>
  <c r="AF251" i="41"/>
  <c r="O251" i="41"/>
  <c r="D252" i="41"/>
  <c r="AP251" i="41"/>
  <c r="AO251" i="41"/>
  <c r="AH251" i="41"/>
  <c r="AC251" i="41"/>
  <c r="I251" i="41"/>
  <c r="N320" i="41"/>
  <c r="AD320" i="41"/>
  <c r="P250" i="41"/>
  <c r="Q250" i="41"/>
  <c r="M18" i="41"/>
  <c r="L18" i="41"/>
  <c r="R18" i="41"/>
  <c r="Z184" i="41"/>
  <c r="Y184" i="41"/>
  <c r="N296" i="41"/>
  <c r="AE248" i="41"/>
  <c r="AD248" i="41"/>
  <c r="I320" i="41"/>
  <c r="Y320" i="41"/>
  <c r="D126" i="41"/>
  <c r="I125" i="41"/>
  <c r="AP125" i="41"/>
  <c r="AO125" i="41"/>
  <c r="AL125" i="41"/>
  <c r="AH125" i="41"/>
  <c r="AC125" i="41"/>
  <c r="O125" i="41"/>
  <c r="AG125" i="41"/>
  <c r="AF125" i="41"/>
  <c r="J271" i="41"/>
  <c r="K271" i="41"/>
  <c r="AH299" i="41"/>
  <c r="N271" i="41"/>
  <c r="AF272" i="41"/>
  <c r="AC272" i="41"/>
  <c r="I272" i="41"/>
  <c r="AO272" i="41"/>
  <c r="D273" i="41"/>
  <c r="AP272" i="41"/>
  <c r="AG272" i="41"/>
  <c r="AH272" i="41"/>
  <c r="AL272" i="41"/>
  <c r="O272" i="41"/>
  <c r="AE80" i="41"/>
  <c r="AD80" i="41"/>
  <c r="P271" i="41"/>
  <c r="Q271" i="41"/>
  <c r="M208" i="41"/>
  <c r="L208" i="41"/>
  <c r="R208" i="41"/>
  <c r="Y164" i="41"/>
  <c r="M297" i="41"/>
  <c r="Z164" i="41"/>
  <c r="H16" i="27"/>
  <c r="R16" i="27"/>
  <c r="S16" i="27"/>
  <c r="I49" i="25"/>
  <c r="P272" i="41"/>
  <c r="Q272" i="41"/>
  <c r="W322" i="41"/>
  <c r="G322" i="41"/>
  <c r="P83" i="41"/>
  <c r="Q83" i="41"/>
  <c r="Z207" i="41"/>
  <c r="Y207" i="41"/>
  <c r="O298" i="41"/>
  <c r="P20" i="41"/>
  <c r="Q20" i="41"/>
  <c r="M146" i="41"/>
  <c r="L146" i="41"/>
  <c r="R146" i="41"/>
  <c r="AC148" i="41"/>
  <c r="D149" i="41"/>
  <c r="AP148" i="41"/>
  <c r="AO148" i="41"/>
  <c r="AL148" i="41"/>
  <c r="AG148" i="41"/>
  <c r="AF148" i="41"/>
  <c r="O148" i="41"/>
  <c r="I148" i="41"/>
  <c r="AH148" i="41"/>
  <c r="Y269" i="41"/>
  <c r="R297" i="41"/>
  <c r="Z269" i="41"/>
  <c r="J188" i="41"/>
  <c r="K188" i="41"/>
  <c r="AD300" i="41"/>
  <c r="N188" i="41"/>
  <c r="J147" i="41"/>
  <c r="K147" i="41"/>
  <c r="AB301" i="41"/>
  <c r="N147" i="41"/>
  <c r="P125" i="41"/>
  <c r="Q125" i="41"/>
  <c r="M167" i="41"/>
  <c r="L167" i="41"/>
  <c r="R167" i="41"/>
  <c r="AL169" i="41"/>
  <c r="AH169" i="41"/>
  <c r="AG169" i="41"/>
  <c r="AF169" i="41"/>
  <c r="AC169" i="41"/>
  <c r="D170" i="41"/>
  <c r="I169" i="41"/>
  <c r="AP169" i="41"/>
  <c r="AO169" i="41"/>
  <c r="O169" i="41"/>
  <c r="AE166" i="41"/>
  <c r="AD166" i="41"/>
  <c r="P168" i="41"/>
  <c r="Q168" i="41"/>
  <c r="AE123" i="41"/>
  <c r="AD123" i="41"/>
  <c r="M124" i="41"/>
  <c r="L124" i="41"/>
  <c r="R124" i="41"/>
  <c r="Y144" i="41"/>
  <c r="L298" i="41"/>
  <c r="Z144" i="41"/>
  <c r="M82" i="41"/>
  <c r="L82" i="41"/>
  <c r="R82" i="41"/>
  <c r="K321" i="41"/>
  <c r="AA321" i="41"/>
  <c r="M229" i="41"/>
  <c r="L229" i="41"/>
  <c r="R229" i="41"/>
  <c r="I65" i="41"/>
  <c r="D66" i="41"/>
  <c r="AP65" i="41"/>
  <c r="AH65" i="41"/>
  <c r="AO65" i="41"/>
  <c r="AG65" i="41"/>
  <c r="AF65" i="41"/>
  <c r="AC65" i="41"/>
  <c r="O65" i="41"/>
  <c r="AL65" i="41"/>
  <c r="O322" i="41"/>
  <c r="AE322" i="41"/>
  <c r="Z248" i="41"/>
  <c r="Y248" i="41"/>
  <c r="Q297" i="41"/>
  <c r="Z17" i="41"/>
  <c r="Y17" i="41"/>
  <c r="F297" i="41"/>
  <c r="J251" i="41"/>
  <c r="K251" i="41"/>
  <c r="AG300" i="41"/>
  <c r="N251" i="41"/>
  <c r="Z227" i="41"/>
  <c r="Y227" i="41"/>
  <c r="P297" i="41"/>
  <c r="M63" i="41"/>
  <c r="L63" i="41"/>
  <c r="R63" i="41"/>
  <c r="D232" i="41"/>
  <c r="AP231" i="41"/>
  <c r="AO231" i="41"/>
  <c r="I231" i="41"/>
  <c r="AL231" i="41"/>
  <c r="AC231" i="41"/>
  <c r="O231" i="41"/>
  <c r="AH231" i="41"/>
  <c r="AG231" i="41"/>
  <c r="AF231" i="41"/>
  <c r="M187" i="41"/>
  <c r="L187" i="41"/>
  <c r="R187" i="41"/>
  <c r="AD321" i="41"/>
  <c r="N321" i="41"/>
  <c r="P321" i="41"/>
  <c r="AF321" i="41"/>
  <c r="Z39" i="41"/>
  <c r="Y39" i="41"/>
  <c r="G298" i="41"/>
  <c r="F321" i="41"/>
  <c r="V321" i="41"/>
  <c r="AC322" i="41"/>
  <c r="M322" i="41"/>
  <c r="J64" i="41"/>
  <c r="K64" i="41"/>
  <c r="X302" i="41"/>
  <c r="N64" i="41"/>
  <c r="J230" i="41"/>
  <c r="K230" i="41"/>
  <c r="AF300" i="41"/>
  <c r="N230" i="41"/>
  <c r="AH189" i="41"/>
  <c r="O189" i="41"/>
  <c r="AL189" i="41"/>
  <c r="AG189" i="41"/>
  <c r="AF189" i="41"/>
  <c r="AC189" i="41"/>
  <c r="D190" i="41"/>
  <c r="I189" i="41"/>
  <c r="AP189" i="41"/>
  <c r="AO189" i="41"/>
  <c r="L41" i="41"/>
  <c r="M41" i="41"/>
  <c r="R41" i="41"/>
  <c r="X323" i="41"/>
  <c r="H323" i="41"/>
  <c r="AC21" i="41"/>
  <c r="O21" i="41"/>
  <c r="D22" i="41"/>
  <c r="I21" i="41"/>
  <c r="AL21" i="41"/>
  <c r="AH21" i="41"/>
  <c r="AF21" i="41"/>
  <c r="AG21" i="41"/>
  <c r="AP21" i="41"/>
  <c r="AO21" i="41"/>
  <c r="Y122" i="41"/>
  <c r="K297" i="41"/>
  <c r="Z122" i="41"/>
  <c r="J272" i="41"/>
  <c r="K272" i="41"/>
  <c r="AH300" i="41"/>
  <c r="N272" i="41"/>
  <c r="L322" i="41"/>
  <c r="AB322" i="41"/>
  <c r="Y61" i="41"/>
  <c r="H299" i="41"/>
  <c r="Z61" i="41"/>
  <c r="M209" i="41"/>
  <c r="L209" i="41"/>
  <c r="R209" i="41"/>
  <c r="AE228" i="41"/>
  <c r="AD228" i="41"/>
  <c r="AE186" i="41"/>
  <c r="AD186" i="41"/>
  <c r="AC252" i="41"/>
  <c r="O252" i="41"/>
  <c r="D253" i="41"/>
  <c r="I252" i="41"/>
  <c r="AL252" i="41"/>
  <c r="AH252" i="41"/>
  <c r="AG252" i="41"/>
  <c r="AF252" i="41"/>
  <c r="AP252" i="41"/>
  <c r="AO252" i="41"/>
  <c r="M271" i="41"/>
  <c r="L271" i="41"/>
  <c r="R271" i="41"/>
  <c r="P251" i="41"/>
  <c r="Q251" i="41"/>
  <c r="P42" i="41"/>
  <c r="Q42" i="41"/>
  <c r="P64" i="41"/>
  <c r="Q64" i="41"/>
  <c r="AE40" i="41"/>
  <c r="AD40" i="41"/>
  <c r="M103" i="41"/>
  <c r="L103" i="41"/>
  <c r="R103" i="41"/>
  <c r="M19" i="41"/>
  <c r="L19" i="41"/>
  <c r="R19" i="41"/>
  <c r="D85" i="41"/>
  <c r="I84" i="41"/>
  <c r="AP84" i="41"/>
  <c r="AC84" i="41"/>
  <c r="O84" i="41"/>
  <c r="AL84" i="41"/>
  <c r="AH84" i="41"/>
  <c r="AG84" i="41"/>
  <c r="AF84" i="41"/>
  <c r="AO84" i="41"/>
  <c r="Y321" i="41"/>
  <c r="I321" i="41"/>
  <c r="AE270" i="41"/>
  <c r="AD270" i="41"/>
  <c r="P147" i="41"/>
  <c r="Q147" i="41"/>
  <c r="AE18" i="41"/>
  <c r="AD18" i="41"/>
  <c r="M250" i="41"/>
  <c r="L250" i="41"/>
  <c r="R250" i="41"/>
  <c r="AD81" i="41"/>
  <c r="AE81" i="41"/>
  <c r="J104" i="41"/>
  <c r="K104" i="41"/>
  <c r="Z300" i="41"/>
  <c r="N104" i="41"/>
  <c r="AD102" i="41"/>
  <c r="AE102" i="41"/>
  <c r="P104" i="41"/>
  <c r="Q104" i="41"/>
  <c r="AE62" i="41"/>
  <c r="AD62" i="41"/>
  <c r="P188" i="41"/>
  <c r="Q188" i="41"/>
  <c r="AE208" i="41"/>
  <c r="AD208" i="41"/>
  <c r="J42" i="41"/>
  <c r="K42" i="41"/>
  <c r="W301" i="41"/>
  <c r="N42" i="41"/>
  <c r="J210" i="41"/>
  <c r="K210" i="41"/>
  <c r="AE301" i="41"/>
  <c r="N210" i="41"/>
  <c r="J125" i="41"/>
  <c r="K125" i="41"/>
  <c r="AA300" i="41"/>
  <c r="N125" i="41"/>
  <c r="Z101" i="41"/>
  <c r="Y101" i="41"/>
  <c r="J297" i="41"/>
  <c r="J83" i="41"/>
  <c r="K83" i="41"/>
  <c r="Y300" i="41"/>
  <c r="N83" i="41"/>
  <c r="J168" i="41"/>
  <c r="K168" i="41"/>
  <c r="AC301" i="41"/>
  <c r="N168" i="41"/>
  <c r="O273" i="41"/>
  <c r="I273" i="41"/>
  <c r="D274" i="41"/>
  <c r="AP273" i="41"/>
  <c r="AO273" i="41"/>
  <c r="AL273" i="41"/>
  <c r="AH273" i="41"/>
  <c r="AG273" i="41"/>
  <c r="AF273" i="41"/>
  <c r="AC273" i="41"/>
  <c r="J20" i="41"/>
  <c r="K20" i="41"/>
  <c r="V300" i="41"/>
  <c r="N20" i="41"/>
  <c r="J321" i="41"/>
  <c r="Z321" i="41"/>
  <c r="D106" i="41"/>
  <c r="I105" i="41"/>
  <c r="AP105" i="41"/>
  <c r="AO105" i="41"/>
  <c r="AG105" i="41"/>
  <c r="AH105" i="41"/>
  <c r="AF105" i="41"/>
  <c r="AL105" i="41"/>
  <c r="AC105" i="41"/>
  <c r="O105" i="41"/>
  <c r="Z185" i="41"/>
  <c r="Y185" i="41"/>
  <c r="N297" i="41"/>
  <c r="AE145" i="41"/>
  <c r="AD145" i="41"/>
  <c r="P230" i="41"/>
  <c r="Q230" i="41"/>
  <c r="AC211" i="41"/>
  <c r="I211" i="41"/>
  <c r="AO211" i="41"/>
  <c r="AL211" i="41"/>
  <c r="AH211" i="41"/>
  <c r="AG211" i="41"/>
  <c r="AF211" i="41"/>
  <c r="D212" i="41"/>
  <c r="AP211" i="41"/>
  <c r="O211" i="41"/>
  <c r="P210" i="41"/>
  <c r="Q210" i="41"/>
  <c r="O43" i="41"/>
  <c r="AP43" i="41"/>
  <c r="D44" i="41"/>
  <c r="AL43" i="41"/>
  <c r="AH43" i="41"/>
  <c r="AG43" i="41"/>
  <c r="AF43" i="41"/>
  <c r="AO43" i="41"/>
  <c r="I43" i="41"/>
  <c r="AC43" i="41"/>
  <c r="AE249" i="41"/>
  <c r="AD249" i="41"/>
  <c r="Y80" i="41"/>
  <c r="I297" i="41"/>
  <c r="Z80" i="41"/>
  <c r="AL126" i="41"/>
  <c r="AH126" i="41"/>
  <c r="AG126" i="41"/>
  <c r="AF126" i="41"/>
  <c r="D127" i="41"/>
  <c r="AP126" i="41"/>
  <c r="AO126" i="41"/>
  <c r="AC126" i="41"/>
  <c r="O126" i="41"/>
  <c r="I126" i="41"/>
  <c r="Z165" i="41"/>
  <c r="Y165" i="41"/>
  <c r="M298" i="41"/>
  <c r="H17" i="27"/>
  <c r="R17" i="27"/>
  <c r="S17" i="27"/>
  <c r="I50" i="25"/>
  <c r="P148" i="41"/>
  <c r="Q148" i="41"/>
  <c r="P84" i="41"/>
  <c r="Q84" i="41"/>
  <c r="AE167" i="41"/>
  <c r="AD167" i="41"/>
  <c r="J148" i="41"/>
  <c r="K148" i="41"/>
  <c r="AB302" i="41"/>
  <c r="N148" i="41"/>
  <c r="J211" i="41"/>
  <c r="K211" i="41"/>
  <c r="AE302" i="41"/>
  <c r="N211" i="41"/>
  <c r="I322" i="41"/>
  <c r="Y322" i="41"/>
  <c r="P189" i="41"/>
  <c r="Q189" i="41"/>
  <c r="J43" i="41"/>
  <c r="K43" i="41"/>
  <c r="W302" i="41"/>
  <c r="N43" i="41"/>
  <c r="I190" i="41"/>
  <c r="AF190" i="41"/>
  <c r="AC190" i="41"/>
  <c r="AO190" i="41"/>
  <c r="D191" i="41"/>
  <c r="AP190" i="41"/>
  <c r="AL190" i="41"/>
  <c r="AH190" i="41"/>
  <c r="AG190" i="41"/>
  <c r="O190" i="41"/>
  <c r="P105" i="41"/>
  <c r="Q105" i="41"/>
  <c r="J84" i="41"/>
  <c r="K84" i="41"/>
  <c r="Y301" i="41"/>
  <c r="N84" i="41"/>
  <c r="AE63" i="41"/>
  <c r="AD63" i="41"/>
  <c r="M230" i="41"/>
  <c r="L230" i="41"/>
  <c r="R230" i="41"/>
  <c r="Z81" i="41"/>
  <c r="Y81" i="41"/>
  <c r="I298" i="41"/>
  <c r="AB323" i="41"/>
  <c r="L323" i="41"/>
  <c r="P65" i="41"/>
  <c r="Q65" i="41"/>
  <c r="AE209" i="41"/>
  <c r="AD209" i="41"/>
  <c r="AD187" i="41"/>
  <c r="AE187" i="41"/>
  <c r="V322" i="41"/>
  <c r="F322" i="41"/>
  <c r="O149" i="41"/>
  <c r="D150" i="41"/>
  <c r="I149" i="41"/>
  <c r="AL149" i="41"/>
  <c r="AP149" i="41"/>
  <c r="AO149" i="41"/>
  <c r="AH149" i="41"/>
  <c r="AC149" i="41"/>
  <c r="AG149" i="41"/>
  <c r="AF149" i="41"/>
  <c r="AE19" i="41"/>
  <c r="AD19" i="41"/>
  <c r="J273" i="41"/>
  <c r="K273" i="41"/>
  <c r="AH301" i="41"/>
  <c r="N273" i="41"/>
  <c r="AE146" i="41"/>
  <c r="AD146" i="41"/>
  <c r="AD103" i="41"/>
  <c r="AE103" i="41"/>
  <c r="M323" i="41"/>
  <c r="AC323" i="41"/>
  <c r="J105" i="41"/>
  <c r="K105" i="41"/>
  <c r="Z301" i="41"/>
  <c r="N105" i="41"/>
  <c r="AG106" i="41"/>
  <c r="AF106" i="41"/>
  <c r="I106" i="41"/>
  <c r="D107" i="41"/>
  <c r="AL106" i="41"/>
  <c r="O106" i="41"/>
  <c r="AP106" i="41"/>
  <c r="AO106" i="41"/>
  <c r="AC106" i="41"/>
  <c r="AH106" i="41"/>
  <c r="L188" i="41"/>
  <c r="M188" i="41"/>
  <c r="R188" i="41"/>
  <c r="AE41" i="41"/>
  <c r="AD41" i="41"/>
  <c r="Z249" i="41"/>
  <c r="Y249" i="41"/>
  <c r="Q298" i="41"/>
  <c r="D275" i="41"/>
  <c r="I274" i="41"/>
  <c r="AP274" i="41"/>
  <c r="AG274" i="41"/>
  <c r="O274" i="41"/>
  <c r="AO274" i="41"/>
  <c r="AL274" i="41"/>
  <c r="AC274" i="41"/>
  <c r="AH274" i="41"/>
  <c r="AF274" i="41"/>
  <c r="P231" i="41"/>
  <c r="Q231" i="41"/>
  <c r="AE124" i="41"/>
  <c r="AD124" i="41"/>
  <c r="P43" i="41"/>
  <c r="Q43" i="41"/>
  <c r="AP232" i="41"/>
  <c r="AO232" i="41"/>
  <c r="AL232" i="41"/>
  <c r="I232" i="41"/>
  <c r="AG232" i="41"/>
  <c r="O232" i="41"/>
  <c r="D233" i="41"/>
  <c r="AH232" i="41"/>
  <c r="AF232" i="41"/>
  <c r="AC232" i="41"/>
  <c r="D67" i="41"/>
  <c r="AP66" i="41"/>
  <c r="AO66" i="41"/>
  <c r="AL66" i="41"/>
  <c r="O66" i="41"/>
  <c r="I66" i="41"/>
  <c r="AC66" i="41"/>
  <c r="AH66" i="41"/>
  <c r="AG66" i="41"/>
  <c r="AF66" i="41"/>
  <c r="L168" i="41"/>
  <c r="M168" i="41"/>
  <c r="R168" i="41"/>
  <c r="L83" i="41"/>
  <c r="M83" i="41"/>
  <c r="R83" i="41"/>
  <c r="AC170" i="41"/>
  <c r="AG170" i="41"/>
  <c r="AF170" i="41"/>
  <c r="O170" i="41"/>
  <c r="I170" i="41"/>
  <c r="AL170" i="41"/>
  <c r="AO170" i="41"/>
  <c r="AH170" i="41"/>
  <c r="D171" i="41"/>
  <c r="AP170" i="41"/>
  <c r="Y145" i="41"/>
  <c r="L299" i="41"/>
  <c r="Z145" i="41"/>
  <c r="AA322" i="41"/>
  <c r="K322" i="41"/>
  <c r="AO253" i="41"/>
  <c r="O253" i="41"/>
  <c r="AG253" i="41"/>
  <c r="AF253" i="41"/>
  <c r="AC253" i="41"/>
  <c r="I253" i="41"/>
  <c r="D254" i="41"/>
  <c r="AH253" i="41"/>
  <c r="AP253" i="41"/>
  <c r="AL253" i="41"/>
  <c r="Z270" i="41"/>
  <c r="Y270" i="41"/>
  <c r="R298" i="41"/>
  <c r="J65" i="41"/>
  <c r="K65" i="41"/>
  <c r="X303" i="41"/>
  <c r="N65" i="41"/>
  <c r="Y166" i="41"/>
  <c r="M299" i="41"/>
  <c r="Z166" i="41"/>
  <c r="AE82" i="41"/>
  <c r="AD82" i="41"/>
  <c r="AH85" i="41"/>
  <c r="AG85" i="41"/>
  <c r="AF85" i="41"/>
  <c r="O85" i="41"/>
  <c r="D86" i="41"/>
  <c r="AP85" i="41"/>
  <c r="AO85" i="41"/>
  <c r="AC85" i="41"/>
  <c r="I85" i="41"/>
  <c r="AL85" i="41"/>
  <c r="AP44" i="41"/>
  <c r="D45" i="41"/>
  <c r="I44" i="41"/>
  <c r="AO44" i="41"/>
  <c r="AF44" i="41"/>
  <c r="O44" i="41"/>
  <c r="AL44" i="41"/>
  <c r="AH44" i="41"/>
  <c r="AG44" i="41"/>
  <c r="AC44" i="41"/>
  <c r="J21" i="41"/>
  <c r="K21" i="41"/>
  <c r="V301" i="41"/>
  <c r="N21" i="41"/>
  <c r="J231" i="41"/>
  <c r="K231" i="41"/>
  <c r="AF301" i="41"/>
  <c r="N231" i="41"/>
  <c r="P21" i="41"/>
  <c r="Q21" i="41"/>
  <c r="L147" i="41"/>
  <c r="M147" i="41"/>
  <c r="R147" i="41"/>
  <c r="M20" i="41"/>
  <c r="L20" i="41"/>
  <c r="R20" i="41"/>
  <c r="Z123" i="41"/>
  <c r="Y123" i="41"/>
  <c r="K298" i="41"/>
  <c r="Y62" i="41"/>
  <c r="H300" i="41"/>
  <c r="Z62" i="41"/>
  <c r="M42" i="41"/>
  <c r="L42" i="41"/>
  <c r="R42" i="41"/>
  <c r="Z322" i="41"/>
  <c r="J322" i="41"/>
  <c r="M251" i="41"/>
  <c r="L251" i="41"/>
  <c r="R251" i="41"/>
  <c r="X324" i="41"/>
  <c r="H324" i="41"/>
  <c r="G323" i="41"/>
  <c r="W323" i="41"/>
  <c r="M104" i="41"/>
  <c r="L104" i="41"/>
  <c r="R104" i="41"/>
  <c r="J169" i="41"/>
  <c r="K169" i="41"/>
  <c r="AC302" i="41"/>
  <c r="N169" i="41"/>
  <c r="Z102" i="41"/>
  <c r="Y102" i="41"/>
  <c r="J298" i="41"/>
  <c r="J252" i="41"/>
  <c r="K252" i="41"/>
  <c r="AG301" i="41"/>
  <c r="N252" i="41"/>
  <c r="AE250" i="41"/>
  <c r="AD250" i="41"/>
  <c r="P252" i="41"/>
  <c r="Q252" i="41"/>
  <c r="P273" i="41"/>
  <c r="Q273" i="41"/>
  <c r="Z186" i="41"/>
  <c r="Y186" i="41"/>
  <c r="N298" i="41"/>
  <c r="Y228" i="41"/>
  <c r="P298" i="41"/>
  <c r="Z228" i="41"/>
  <c r="M210" i="41"/>
  <c r="L210" i="41"/>
  <c r="R210" i="41"/>
  <c r="AE323" i="41"/>
  <c r="O323" i="41"/>
  <c r="O212" i="41"/>
  <c r="I212" i="41"/>
  <c r="D213" i="41"/>
  <c r="AH212" i="41"/>
  <c r="AP212" i="41"/>
  <c r="AO212" i="41"/>
  <c r="AL212" i="41"/>
  <c r="AG212" i="41"/>
  <c r="AF212" i="41"/>
  <c r="AC212" i="41"/>
  <c r="AC127" i="41"/>
  <c r="AP127" i="41"/>
  <c r="AO127" i="41"/>
  <c r="AF127" i="41"/>
  <c r="D128" i="41"/>
  <c r="AL127" i="41"/>
  <c r="AH127" i="41"/>
  <c r="AG127" i="41"/>
  <c r="O127" i="41"/>
  <c r="I127" i="41"/>
  <c r="AE271" i="41"/>
  <c r="AD271" i="41"/>
  <c r="P169" i="41"/>
  <c r="Q169" i="41"/>
  <c r="N322" i="41"/>
  <c r="AD322" i="41"/>
  <c r="Z18" i="41"/>
  <c r="Y18" i="41"/>
  <c r="F298" i="41"/>
  <c r="L125" i="41"/>
  <c r="M125" i="41"/>
  <c r="R125" i="41"/>
  <c r="D23" i="41"/>
  <c r="I22" i="41"/>
  <c r="AP22" i="41"/>
  <c r="AO22" i="41"/>
  <c r="AG22" i="41"/>
  <c r="AC22" i="41"/>
  <c r="AL22" i="41"/>
  <c r="AH22" i="41"/>
  <c r="AF22" i="41"/>
  <c r="O22" i="41"/>
  <c r="Z40" i="41"/>
  <c r="Y40" i="41"/>
  <c r="G299" i="41"/>
  <c r="J126" i="41"/>
  <c r="K126" i="41"/>
  <c r="AA301" i="41"/>
  <c r="N126" i="41"/>
  <c r="Y208" i="41"/>
  <c r="O299" i="41"/>
  <c r="Z208" i="41"/>
  <c r="P126" i="41"/>
  <c r="Q126" i="41"/>
  <c r="P211" i="41"/>
  <c r="Q211" i="41"/>
  <c r="M64" i="41"/>
  <c r="L64" i="41"/>
  <c r="R64" i="41"/>
  <c r="AF322" i="41"/>
  <c r="P322" i="41"/>
  <c r="J189" i="41"/>
  <c r="K189" i="41"/>
  <c r="AD301" i="41"/>
  <c r="N189" i="41"/>
  <c r="AE229" i="41"/>
  <c r="AD229" i="41"/>
  <c r="M272" i="41"/>
  <c r="L272" i="41"/>
  <c r="R272" i="41"/>
  <c r="H18" i="27"/>
  <c r="R18" i="27"/>
  <c r="S18" i="27"/>
  <c r="I51" i="25"/>
  <c r="AE324" i="41"/>
  <c r="O324" i="41"/>
  <c r="AE42" i="41"/>
  <c r="AD42" i="41"/>
  <c r="AE230" i="41"/>
  <c r="AD230" i="41"/>
  <c r="AE20" i="41"/>
  <c r="AD20" i="41"/>
  <c r="J106" i="41"/>
  <c r="K106" i="41"/>
  <c r="Z302" i="41"/>
  <c r="N106" i="41"/>
  <c r="O171" i="41"/>
  <c r="AC171" i="41"/>
  <c r="AL171" i="41"/>
  <c r="AH171" i="41"/>
  <c r="AG171" i="41"/>
  <c r="AF171" i="41"/>
  <c r="AP171" i="41"/>
  <c r="D172" i="41"/>
  <c r="AO171" i="41"/>
  <c r="I171" i="41"/>
  <c r="AO67" i="41"/>
  <c r="D68" i="41"/>
  <c r="AP67" i="41"/>
  <c r="AL67" i="41"/>
  <c r="AH67" i="41"/>
  <c r="AG67" i="41"/>
  <c r="AF67" i="41"/>
  <c r="AC67" i="41"/>
  <c r="O67" i="41"/>
  <c r="I67" i="41"/>
  <c r="P149" i="41"/>
  <c r="Q149" i="41"/>
  <c r="AD125" i="41"/>
  <c r="AE125" i="41"/>
  <c r="P106" i="41"/>
  <c r="Q106" i="41"/>
  <c r="P66" i="41"/>
  <c r="Q66" i="41"/>
  <c r="P274" i="41"/>
  <c r="Q274" i="41"/>
  <c r="P212" i="41"/>
  <c r="Q212" i="41"/>
  <c r="J149" i="41"/>
  <c r="K149" i="41"/>
  <c r="AB303" i="41"/>
  <c r="N149" i="41"/>
  <c r="AL275" i="41"/>
  <c r="AH275" i="41"/>
  <c r="AG275" i="41"/>
  <c r="AF275" i="41"/>
  <c r="I275" i="41"/>
  <c r="AC275" i="41"/>
  <c r="D276" i="41"/>
  <c r="AP275" i="41"/>
  <c r="AO275" i="41"/>
  <c r="O275" i="41"/>
  <c r="AE210" i="41"/>
  <c r="AD210" i="41"/>
  <c r="J85" i="41"/>
  <c r="K85" i="41"/>
  <c r="Y302" i="41"/>
  <c r="N85" i="41"/>
  <c r="AH233" i="41"/>
  <c r="AP233" i="41"/>
  <c r="AO233" i="41"/>
  <c r="AL233" i="41"/>
  <c r="D234" i="41"/>
  <c r="AG233" i="41"/>
  <c r="AF233" i="41"/>
  <c r="O233" i="41"/>
  <c r="I233" i="41"/>
  <c r="AC233" i="41"/>
  <c r="Q323" i="41"/>
  <c r="AG323" i="41"/>
  <c r="M252" i="41"/>
  <c r="L252" i="41"/>
  <c r="R252" i="41"/>
  <c r="Z124" i="41"/>
  <c r="Y124" i="41"/>
  <c r="K299" i="41"/>
  <c r="AL23" i="41"/>
  <c r="AH23" i="41"/>
  <c r="AG23" i="41"/>
  <c r="AF23" i="41"/>
  <c r="AP23" i="41"/>
  <c r="AO23" i="41"/>
  <c r="AC23" i="41"/>
  <c r="I23" i="41"/>
  <c r="D24" i="41"/>
  <c r="O23" i="41"/>
  <c r="H325" i="41"/>
  <c r="X325" i="41"/>
  <c r="K323" i="41"/>
  <c r="AA323" i="41"/>
  <c r="AO107" i="41"/>
  <c r="I107" i="41"/>
  <c r="D108" i="41"/>
  <c r="AP107" i="41"/>
  <c r="AG107" i="41"/>
  <c r="AF107" i="41"/>
  <c r="AC107" i="41"/>
  <c r="O107" i="41"/>
  <c r="AL107" i="41"/>
  <c r="AH107" i="41"/>
  <c r="D214" i="41"/>
  <c r="I213" i="41"/>
  <c r="AP213" i="41"/>
  <c r="AO213" i="41"/>
  <c r="AL213" i="41"/>
  <c r="AH213" i="41"/>
  <c r="AG213" i="41"/>
  <c r="AF213" i="41"/>
  <c r="AC213" i="41"/>
  <c r="O213" i="41"/>
  <c r="M324" i="41"/>
  <c r="AC324" i="41"/>
  <c r="AE104" i="41"/>
  <c r="AD104" i="41"/>
  <c r="D151" i="41"/>
  <c r="I150" i="41"/>
  <c r="AP150" i="41"/>
  <c r="AO150" i="41"/>
  <c r="AL150" i="41"/>
  <c r="AH150" i="41"/>
  <c r="AG150" i="41"/>
  <c r="AF150" i="41"/>
  <c r="AC150" i="41"/>
  <c r="O150" i="41"/>
  <c r="M105" i="41"/>
  <c r="L105" i="41"/>
  <c r="R105" i="41"/>
  <c r="Z229" i="41"/>
  <c r="Y229" i="41"/>
  <c r="P299" i="41"/>
  <c r="P190" i="41"/>
  <c r="Q190" i="41"/>
  <c r="I86" i="41"/>
  <c r="O86" i="41"/>
  <c r="AL86" i="41"/>
  <c r="AC86" i="41"/>
  <c r="D87" i="41"/>
  <c r="AP86" i="41"/>
  <c r="AG86" i="41"/>
  <c r="AO86" i="41"/>
  <c r="AF86" i="41"/>
  <c r="AH86" i="41"/>
  <c r="Z209" i="41"/>
  <c r="Y209" i="41"/>
  <c r="O300" i="41"/>
  <c r="M189" i="41"/>
  <c r="L189" i="41"/>
  <c r="R189" i="41"/>
  <c r="AO45" i="41"/>
  <c r="AL45" i="41"/>
  <c r="AH45" i="41"/>
  <c r="AG45" i="41"/>
  <c r="AF45" i="41"/>
  <c r="O45" i="41"/>
  <c r="I45" i="41"/>
  <c r="AP45" i="41"/>
  <c r="D46" i="41"/>
  <c r="AC45" i="41"/>
  <c r="AE272" i="41"/>
  <c r="AD272" i="41"/>
  <c r="P170" i="41"/>
  <c r="Q170" i="41"/>
  <c r="AE83" i="41"/>
  <c r="AD83" i="41"/>
  <c r="J253" i="41"/>
  <c r="K253" i="41"/>
  <c r="AG302" i="41"/>
  <c r="N253" i="41"/>
  <c r="Z250" i="41"/>
  <c r="Y250" i="41"/>
  <c r="Q299" i="41"/>
  <c r="J190" i="41"/>
  <c r="K190" i="41"/>
  <c r="AD302" i="41"/>
  <c r="N190" i="41"/>
  <c r="M231" i="41"/>
  <c r="L231" i="41"/>
  <c r="R231" i="41"/>
  <c r="L211" i="41"/>
  <c r="M211" i="41"/>
  <c r="R211" i="41"/>
  <c r="V323" i="41"/>
  <c r="F323" i="41"/>
  <c r="L324" i="41"/>
  <c r="AB324" i="41"/>
  <c r="J212" i="41"/>
  <c r="K212" i="41"/>
  <c r="AE303" i="41"/>
  <c r="N212" i="41"/>
  <c r="J274" i="41"/>
  <c r="K274" i="41"/>
  <c r="AH302" i="41"/>
  <c r="N274" i="41"/>
  <c r="G324" i="41"/>
  <c r="W324" i="41"/>
  <c r="J170" i="41"/>
  <c r="K170" i="41"/>
  <c r="AC303" i="41"/>
  <c r="N170" i="41"/>
  <c r="P22" i="41"/>
  <c r="Q22" i="41"/>
  <c r="M21" i="41"/>
  <c r="L21" i="41"/>
  <c r="R21" i="41"/>
  <c r="Y167" i="41"/>
  <c r="M300" i="41"/>
  <c r="Z167" i="41"/>
  <c r="AE251" i="41"/>
  <c r="AD251" i="41"/>
  <c r="P85" i="41"/>
  <c r="Q85" i="41"/>
  <c r="AE188" i="41"/>
  <c r="AD188" i="41"/>
  <c r="Y103" i="41"/>
  <c r="J299" i="41"/>
  <c r="Z103" i="41"/>
  <c r="O128" i="41"/>
  <c r="AO128" i="41"/>
  <c r="D129" i="41"/>
  <c r="AP128" i="41"/>
  <c r="AF128" i="41"/>
  <c r="AL128" i="41"/>
  <c r="AH128" i="41"/>
  <c r="AG128" i="41"/>
  <c r="I128" i="41"/>
  <c r="AC128" i="41"/>
  <c r="Z146" i="41"/>
  <c r="Y146" i="41"/>
  <c r="L300" i="41"/>
  <c r="AL191" i="41"/>
  <c r="O191" i="41"/>
  <c r="I191" i="41"/>
  <c r="AO191" i="41"/>
  <c r="D192" i="41"/>
  <c r="AP191" i="41"/>
  <c r="AC191" i="41"/>
  <c r="AH191" i="41"/>
  <c r="AG191" i="41"/>
  <c r="AF191" i="41"/>
  <c r="L84" i="41"/>
  <c r="M84" i="41"/>
  <c r="R84" i="41"/>
  <c r="J22" i="41"/>
  <c r="K22" i="41"/>
  <c r="V302" i="41"/>
  <c r="N22" i="41"/>
  <c r="Z19" i="41"/>
  <c r="Y19" i="41"/>
  <c r="F299" i="41"/>
  <c r="P44" i="41"/>
  <c r="Q44" i="41"/>
  <c r="J66" i="41"/>
  <c r="K66" i="41"/>
  <c r="X304" i="41"/>
  <c r="N66" i="41"/>
  <c r="J323" i="41"/>
  <c r="Z323" i="41"/>
  <c r="M126" i="41"/>
  <c r="L126" i="41"/>
  <c r="R126" i="41"/>
  <c r="J44" i="41"/>
  <c r="K44" i="41"/>
  <c r="W303" i="41"/>
  <c r="N44" i="41"/>
  <c r="L169" i="41"/>
  <c r="M169" i="41"/>
  <c r="R169" i="41"/>
  <c r="Z187" i="41"/>
  <c r="Y187" i="41"/>
  <c r="N299" i="41"/>
  <c r="AD323" i="41"/>
  <c r="N323" i="41"/>
  <c r="AD64" i="41"/>
  <c r="AE64" i="41"/>
  <c r="Z82" i="41"/>
  <c r="Y82" i="41"/>
  <c r="I299" i="41"/>
  <c r="I323" i="41"/>
  <c r="Y323" i="41"/>
  <c r="P253" i="41"/>
  <c r="Q253" i="41"/>
  <c r="Z63" i="41"/>
  <c r="Y63" i="41"/>
  <c r="H301" i="41"/>
  <c r="AE147" i="41"/>
  <c r="AD147" i="41"/>
  <c r="Z271" i="41"/>
  <c r="Y271" i="41"/>
  <c r="R299" i="41"/>
  <c r="J127" i="41"/>
  <c r="K127" i="41"/>
  <c r="AA302" i="41"/>
  <c r="N127" i="41"/>
  <c r="P232" i="41"/>
  <c r="Q232" i="41"/>
  <c r="P127" i="41"/>
  <c r="Q127" i="41"/>
  <c r="AF323" i="41"/>
  <c r="P323" i="41"/>
  <c r="J232" i="41"/>
  <c r="K232" i="41"/>
  <c r="AF302" i="41"/>
  <c r="N232" i="41"/>
  <c r="Y41" i="41"/>
  <c r="G300" i="41"/>
  <c r="Z41" i="41"/>
  <c r="M273" i="41"/>
  <c r="L273" i="41"/>
  <c r="R273" i="41"/>
  <c r="L65" i="41"/>
  <c r="M65" i="41"/>
  <c r="R65" i="41"/>
  <c r="D255" i="41"/>
  <c r="AP254" i="41"/>
  <c r="AO254" i="41"/>
  <c r="AF254" i="41"/>
  <c r="O254" i="41"/>
  <c r="I254" i="41"/>
  <c r="AC254" i="41"/>
  <c r="AG254" i="41"/>
  <c r="AL254" i="41"/>
  <c r="AH254" i="41"/>
  <c r="AE168" i="41"/>
  <c r="AD168" i="41"/>
  <c r="M43" i="41"/>
  <c r="L43" i="41"/>
  <c r="R43" i="41"/>
  <c r="M148" i="41"/>
  <c r="L148" i="41"/>
  <c r="R148" i="41"/>
  <c r="H19" i="27"/>
  <c r="R19" i="27"/>
  <c r="S19" i="27"/>
  <c r="I52" i="25"/>
  <c r="M44" i="41"/>
  <c r="L44" i="41"/>
  <c r="R44" i="41"/>
  <c r="AD324" i="41"/>
  <c r="N324" i="41"/>
  <c r="J128" i="41"/>
  <c r="K128" i="41"/>
  <c r="AA303" i="41"/>
  <c r="N128" i="41"/>
  <c r="P150" i="41"/>
  <c r="Q150" i="41"/>
  <c r="P171" i="41"/>
  <c r="Q171" i="41"/>
  <c r="AD273" i="41"/>
  <c r="AE273" i="41"/>
  <c r="O325" i="41"/>
  <c r="AE325" i="41"/>
  <c r="M274" i="41"/>
  <c r="L274" i="41"/>
  <c r="R274" i="41"/>
  <c r="J45" i="41"/>
  <c r="K45" i="41"/>
  <c r="W304" i="41"/>
  <c r="N45" i="41"/>
  <c r="AE231" i="41"/>
  <c r="AD231" i="41"/>
  <c r="Z210" i="41"/>
  <c r="Y210" i="41"/>
  <c r="O301" i="41"/>
  <c r="P275" i="41"/>
  <c r="Q275" i="41"/>
  <c r="AP129" i="41"/>
  <c r="AO129" i="41"/>
  <c r="AL129" i="41"/>
  <c r="AH129" i="41"/>
  <c r="D130" i="41"/>
  <c r="AC129" i="41"/>
  <c r="I129" i="41"/>
  <c r="AF129" i="41"/>
  <c r="O129" i="41"/>
  <c r="AG129" i="41"/>
  <c r="K324" i="41"/>
  <c r="AA324" i="41"/>
  <c r="AE189" i="41"/>
  <c r="AD189" i="41"/>
  <c r="Z125" i="41"/>
  <c r="Y125" i="41"/>
  <c r="K300" i="41"/>
  <c r="M149" i="41"/>
  <c r="L149" i="41"/>
  <c r="R149" i="41"/>
  <c r="P254" i="41"/>
  <c r="Q254" i="41"/>
  <c r="AC46" i="41"/>
  <c r="AH46" i="41"/>
  <c r="I46" i="41"/>
  <c r="AG46" i="41"/>
  <c r="AF46" i="41"/>
  <c r="O46" i="41"/>
  <c r="AO46" i="41"/>
  <c r="AL46" i="41"/>
  <c r="AP46" i="41"/>
  <c r="D47" i="41"/>
  <c r="F324" i="41"/>
  <c r="V324" i="41"/>
  <c r="M22" i="41"/>
  <c r="L22" i="41"/>
  <c r="R22" i="41"/>
  <c r="AG214" i="41"/>
  <c r="AF214" i="41"/>
  <c r="AC214" i="41"/>
  <c r="D215" i="41"/>
  <c r="AP214" i="41"/>
  <c r="O214" i="41"/>
  <c r="AO214" i="41"/>
  <c r="I214" i="41"/>
  <c r="AH214" i="41"/>
  <c r="AL214" i="41"/>
  <c r="R324" i="41"/>
  <c r="AH324" i="41"/>
  <c r="Y147" i="41"/>
  <c r="L301" i="41"/>
  <c r="Z147" i="41"/>
  <c r="Q324" i="41"/>
  <c r="AG324" i="41"/>
  <c r="J275" i="41"/>
  <c r="K275" i="41"/>
  <c r="AH303" i="41"/>
  <c r="N275" i="41"/>
  <c r="H326" i="41"/>
  <c r="X326" i="41"/>
  <c r="AE43" i="41"/>
  <c r="AD43" i="41"/>
  <c r="Z188" i="41"/>
  <c r="Y188" i="41"/>
  <c r="N300" i="41"/>
  <c r="J150" i="41"/>
  <c r="K150" i="41"/>
  <c r="AB304" i="41"/>
  <c r="N150" i="41"/>
  <c r="P67" i="41"/>
  <c r="Q67" i="41"/>
  <c r="AE126" i="41"/>
  <c r="AD126" i="41"/>
  <c r="Y168" i="41"/>
  <c r="M301" i="41"/>
  <c r="Z168" i="41"/>
  <c r="M85" i="41"/>
  <c r="L85" i="41"/>
  <c r="R85" i="41"/>
  <c r="Y42" i="41"/>
  <c r="G301" i="41"/>
  <c r="Z42" i="41"/>
  <c r="J191" i="41"/>
  <c r="K191" i="41"/>
  <c r="AD303" i="41"/>
  <c r="N191" i="41"/>
  <c r="AF87" i="41"/>
  <c r="I87" i="41"/>
  <c r="D88" i="41"/>
  <c r="AP87" i="41"/>
  <c r="AO87" i="41"/>
  <c r="AG87" i="41"/>
  <c r="O87" i="41"/>
  <c r="AH87" i="41"/>
  <c r="AL87" i="41"/>
  <c r="AC87" i="41"/>
  <c r="AG234" i="41"/>
  <c r="AF234" i="41"/>
  <c r="AC234" i="41"/>
  <c r="AP234" i="41"/>
  <c r="AO234" i="41"/>
  <c r="AL234" i="41"/>
  <c r="O234" i="41"/>
  <c r="D235" i="41"/>
  <c r="AH234" i="41"/>
  <c r="I234" i="41"/>
  <c r="M232" i="41"/>
  <c r="L232" i="41"/>
  <c r="R232" i="41"/>
  <c r="AE252" i="41"/>
  <c r="AD252" i="41"/>
  <c r="AG151" i="41"/>
  <c r="AF151" i="41"/>
  <c r="AC151" i="41"/>
  <c r="O151" i="41"/>
  <c r="I151" i="41"/>
  <c r="AL151" i="41"/>
  <c r="AH151" i="41"/>
  <c r="AO151" i="41"/>
  <c r="D152" i="41"/>
  <c r="AP151" i="41"/>
  <c r="J171" i="41"/>
  <c r="K171" i="41"/>
  <c r="AC304" i="41"/>
  <c r="N171" i="41"/>
  <c r="AD211" i="41"/>
  <c r="AE211" i="41"/>
  <c r="AP172" i="41"/>
  <c r="AO172" i="41"/>
  <c r="AL172" i="41"/>
  <c r="O172" i="41"/>
  <c r="I172" i="41"/>
  <c r="D173" i="41"/>
  <c r="AG172" i="41"/>
  <c r="AF172" i="41"/>
  <c r="AC172" i="41"/>
  <c r="AH172" i="41"/>
  <c r="P45" i="41"/>
  <c r="Q45" i="41"/>
  <c r="AE105" i="41"/>
  <c r="AD105" i="41"/>
  <c r="M106" i="41"/>
  <c r="L106" i="41"/>
  <c r="R106" i="41"/>
  <c r="AE169" i="41"/>
  <c r="AD169" i="41"/>
  <c r="P128" i="41"/>
  <c r="Q128" i="41"/>
  <c r="P107" i="41"/>
  <c r="Q107" i="41"/>
  <c r="J324" i="41"/>
  <c r="Z324" i="41"/>
  <c r="J67" i="41"/>
  <c r="K67" i="41"/>
  <c r="X305" i="41"/>
  <c r="N67" i="41"/>
  <c r="J233" i="41"/>
  <c r="K233" i="41"/>
  <c r="AF303" i="41"/>
  <c r="N233" i="41"/>
  <c r="P233" i="41"/>
  <c r="Q233" i="41"/>
  <c r="Z230" i="41"/>
  <c r="Y230" i="41"/>
  <c r="P300" i="41"/>
  <c r="AC192" i="41"/>
  <c r="O192" i="41"/>
  <c r="I192" i="41"/>
  <c r="AO192" i="41"/>
  <c r="AL192" i="41"/>
  <c r="AH192" i="41"/>
  <c r="AG192" i="41"/>
  <c r="AF192" i="41"/>
  <c r="AP192" i="41"/>
  <c r="D193" i="41"/>
  <c r="Y104" i="41"/>
  <c r="J300" i="41"/>
  <c r="Z104" i="41"/>
  <c r="Y251" i="41"/>
  <c r="Q300" i="41"/>
  <c r="Z251" i="41"/>
  <c r="P191" i="41"/>
  <c r="Q191" i="41"/>
  <c r="Y324" i="41"/>
  <c r="I324" i="41"/>
  <c r="Z272" i="41"/>
  <c r="Y272" i="41"/>
  <c r="R300" i="41"/>
  <c r="P213" i="41"/>
  <c r="Q213" i="41"/>
  <c r="P23" i="41"/>
  <c r="Q23" i="41"/>
  <c r="Z64" i="41"/>
  <c r="Y64" i="41"/>
  <c r="H302" i="41"/>
  <c r="AE84" i="41"/>
  <c r="AD84" i="41"/>
  <c r="W325" i="41"/>
  <c r="G325" i="41"/>
  <c r="I108" i="41"/>
  <c r="D109" i="41"/>
  <c r="AP108" i="41"/>
  <c r="AO108" i="41"/>
  <c r="AF108" i="41"/>
  <c r="AL108" i="41"/>
  <c r="AH108" i="41"/>
  <c r="AG108" i="41"/>
  <c r="AC108" i="41"/>
  <c r="O108" i="41"/>
  <c r="J107" i="41"/>
  <c r="K107" i="41"/>
  <c r="Z303" i="41"/>
  <c r="N107" i="41"/>
  <c r="M253" i="41"/>
  <c r="L253" i="41"/>
  <c r="R253" i="41"/>
  <c r="L325" i="41"/>
  <c r="AB325" i="41"/>
  <c r="AC68" i="41"/>
  <c r="AL68" i="41"/>
  <c r="AH68" i="41"/>
  <c r="AG68" i="41"/>
  <c r="AF68" i="41"/>
  <c r="D69" i="41"/>
  <c r="AP68" i="41"/>
  <c r="AO68" i="41"/>
  <c r="I68" i="41"/>
  <c r="O68" i="41"/>
  <c r="AE21" i="41"/>
  <c r="AD21" i="41"/>
  <c r="L190" i="41"/>
  <c r="M190" i="41"/>
  <c r="R190" i="41"/>
  <c r="AF324" i="41"/>
  <c r="P324" i="41"/>
  <c r="M66" i="41"/>
  <c r="L66" i="41"/>
  <c r="R66" i="41"/>
  <c r="AO255" i="41"/>
  <c r="AL255" i="41"/>
  <c r="AH255" i="41"/>
  <c r="AG255" i="41"/>
  <c r="AF255" i="41"/>
  <c r="AC255" i="41"/>
  <c r="D256" i="41"/>
  <c r="AP255" i="41"/>
  <c r="I255" i="41"/>
  <c r="O255" i="41"/>
  <c r="J213" i="41"/>
  <c r="K213" i="41"/>
  <c r="AE304" i="41"/>
  <c r="N213" i="41"/>
  <c r="AE65" i="41"/>
  <c r="AD65" i="41"/>
  <c r="I276" i="41"/>
  <c r="D277" i="41"/>
  <c r="AH276" i="41"/>
  <c r="AP276" i="41"/>
  <c r="AO276" i="41"/>
  <c r="AL276" i="41"/>
  <c r="AF276" i="41"/>
  <c r="AG276" i="41"/>
  <c r="AC276" i="41"/>
  <c r="O276" i="41"/>
  <c r="AD148" i="41"/>
  <c r="AE148" i="41"/>
  <c r="Z20" i="41"/>
  <c r="Y20" i="41"/>
  <c r="F300" i="41"/>
  <c r="Z83" i="41"/>
  <c r="Y83" i="41"/>
  <c r="I300" i="41"/>
  <c r="M170" i="41"/>
  <c r="L170" i="41"/>
  <c r="R170" i="41"/>
  <c r="M127" i="41"/>
  <c r="L127" i="41"/>
  <c r="R127" i="41"/>
  <c r="P86" i="41"/>
  <c r="Q86" i="41"/>
  <c r="AC24" i="41"/>
  <c r="O24" i="41"/>
  <c r="D25" i="41"/>
  <c r="AH24" i="41"/>
  <c r="AP24" i="41"/>
  <c r="AF24" i="41"/>
  <c r="AO24" i="41"/>
  <c r="AL24" i="41"/>
  <c r="AG24" i="41"/>
  <c r="I24" i="41"/>
  <c r="J254" i="41"/>
  <c r="K254" i="41"/>
  <c r="AG303" i="41"/>
  <c r="N254" i="41"/>
  <c r="AC325" i="41"/>
  <c r="M325" i="41"/>
  <c r="J86" i="41"/>
  <c r="K86" i="41"/>
  <c r="Y303" i="41"/>
  <c r="N86" i="41"/>
  <c r="J23" i="41"/>
  <c r="K23" i="41"/>
  <c r="V303" i="41"/>
  <c r="N23" i="41"/>
  <c r="M212" i="41"/>
  <c r="L212" i="41"/>
  <c r="R212" i="41"/>
  <c r="H20" i="27"/>
  <c r="R20" i="27"/>
  <c r="S20" i="27"/>
  <c r="I53" i="25"/>
  <c r="AF130" i="41"/>
  <c r="AC130" i="41"/>
  <c r="D131" i="41"/>
  <c r="AP130" i="41"/>
  <c r="AH130" i="41"/>
  <c r="O130" i="41"/>
  <c r="I130" i="41"/>
  <c r="AL130" i="41"/>
  <c r="AG130" i="41"/>
  <c r="AO130" i="41"/>
  <c r="Q325" i="41"/>
  <c r="AG325" i="41"/>
  <c r="J214" i="41"/>
  <c r="K214" i="41"/>
  <c r="AE305" i="41"/>
  <c r="N214" i="41"/>
  <c r="Z211" i="41"/>
  <c r="Y211" i="41"/>
  <c r="O302" i="41"/>
  <c r="Z169" i="41"/>
  <c r="Y169" i="41"/>
  <c r="M302" i="41"/>
  <c r="P87" i="41"/>
  <c r="Q87" i="41"/>
  <c r="P325" i="41"/>
  <c r="AF325" i="41"/>
  <c r="AL109" i="41"/>
  <c r="AH109" i="41"/>
  <c r="AC109" i="41"/>
  <c r="I109" i="41"/>
  <c r="D110" i="41"/>
  <c r="AP109" i="41"/>
  <c r="AO109" i="41"/>
  <c r="AG109" i="41"/>
  <c r="AF109" i="41"/>
  <c r="O109" i="41"/>
  <c r="J46" i="41"/>
  <c r="K46" i="41"/>
  <c r="W305" i="41"/>
  <c r="N46" i="41"/>
  <c r="J255" i="41"/>
  <c r="K255" i="41"/>
  <c r="AG304" i="41"/>
  <c r="N255" i="41"/>
  <c r="AC326" i="41"/>
  <c r="M326" i="41"/>
  <c r="H327" i="41"/>
  <c r="X327" i="41"/>
  <c r="L275" i="41"/>
  <c r="M275" i="41"/>
  <c r="R275" i="41"/>
  <c r="J192" i="41"/>
  <c r="K192" i="41"/>
  <c r="AD304" i="41"/>
  <c r="N192" i="41"/>
  <c r="Z148" i="41"/>
  <c r="Y148" i="41"/>
  <c r="L302" i="41"/>
  <c r="J151" i="41"/>
  <c r="K151" i="41"/>
  <c r="AB305" i="41"/>
  <c r="N151" i="41"/>
  <c r="AE127" i="41"/>
  <c r="AD127" i="41"/>
  <c r="N325" i="41"/>
  <c r="AD325" i="41"/>
  <c r="M45" i="41"/>
  <c r="L45" i="41"/>
  <c r="R45" i="41"/>
  <c r="AL88" i="41"/>
  <c r="I88" i="41"/>
  <c r="D89" i="41"/>
  <c r="AP88" i="41"/>
  <c r="AO88" i="41"/>
  <c r="AH88" i="41"/>
  <c r="AG88" i="41"/>
  <c r="AF88" i="41"/>
  <c r="AC88" i="41"/>
  <c r="O88" i="41"/>
  <c r="AE170" i="41"/>
  <c r="AD170" i="41"/>
  <c r="Z252" i="41"/>
  <c r="Y252" i="41"/>
  <c r="Q301" i="41"/>
  <c r="Y325" i="41"/>
  <c r="I325" i="41"/>
  <c r="J129" i="41"/>
  <c r="K129" i="41"/>
  <c r="AA304" i="41"/>
  <c r="N129" i="41"/>
  <c r="AB326" i="41"/>
  <c r="L326" i="41"/>
  <c r="J108" i="41"/>
  <c r="K108" i="41"/>
  <c r="Z304" i="41"/>
  <c r="N108" i="41"/>
  <c r="Z84" i="41"/>
  <c r="Y84" i="41"/>
  <c r="I301" i="41"/>
  <c r="L254" i="41"/>
  <c r="M254" i="41"/>
  <c r="R254" i="41"/>
  <c r="L67" i="41"/>
  <c r="M67" i="41"/>
  <c r="R67" i="41"/>
  <c r="AE149" i="41"/>
  <c r="AD149" i="41"/>
  <c r="P151" i="41"/>
  <c r="Q151" i="41"/>
  <c r="AE44" i="41"/>
  <c r="AD44" i="41"/>
  <c r="P68" i="41"/>
  <c r="Q68" i="41"/>
  <c r="M128" i="41"/>
  <c r="L128" i="41"/>
  <c r="R128" i="41"/>
  <c r="AE212" i="41"/>
  <c r="AD212" i="41"/>
  <c r="O152" i="41"/>
  <c r="AO152" i="41"/>
  <c r="AF152" i="41"/>
  <c r="AC152" i="41"/>
  <c r="D153" i="41"/>
  <c r="AH152" i="41"/>
  <c r="AP152" i="41"/>
  <c r="AL152" i="41"/>
  <c r="AG152" i="41"/>
  <c r="I152" i="41"/>
  <c r="O326" i="41"/>
  <c r="AE326" i="41"/>
  <c r="M86" i="41"/>
  <c r="L86" i="41"/>
  <c r="R86" i="41"/>
  <c r="Y43" i="41"/>
  <c r="G302" i="41"/>
  <c r="Z43" i="41"/>
  <c r="P46" i="41"/>
  <c r="Q46" i="41"/>
  <c r="P234" i="41"/>
  <c r="Q234" i="41"/>
  <c r="I193" i="41"/>
  <c r="AH193" i="41"/>
  <c r="AG193" i="41"/>
  <c r="AF193" i="41"/>
  <c r="AC193" i="41"/>
  <c r="AL193" i="41"/>
  <c r="O193" i="41"/>
  <c r="AO193" i="41"/>
  <c r="D194" i="41"/>
  <c r="AP193" i="41"/>
  <c r="Z273" i="41"/>
  <c r="Y273" i="41"/>
  <c r="R301" i="41"/>
  <c r="M171" i="41"/>
  <c r="L171" i="41"/>
  <c r="R171" i="41"/>
  <c r="AF256" i="41"/>
  <c r="AC256" i="41"/>
  <c r="AO256" i="41"/>
  <c r="AL256" i="41"/>
  <c r="AH256" i="41"/>
  <c r="AG256" i="41"/>
  <c r="D257" i="41"/>
  <c r="AP256" i="41"/>
  <c r="O256" i="41"/>
  <c r="I256" i="41"/>
  <c r="D26" i="41"/>
  <c r="I25" i="41"/>
  <c r="AP25" i="41"/>
  <c r="AO25" i="41"/>
  <c r="AG25" i="41"/>
  <c r="AF25" i="41"/>
  <c r="AL25" i="41"/>
  <c r="AH25" i="41"/>
  <c r="AC25" i="41"/>
  <c r="O25" i="41"/>
  <c r="AE106" i="41"/>
  <c r="AD106" i="41"/>
  <c r="M150" i="41"/>
  <c r="L150" i="41"/>
  <c r="R150" i="41"/>
  <c r="P276" i="41"/>
  <c r="Q276" i="41"/>
  <c r="AA325" i="41"/>
  <c r="K325" i="41"/>
  <c r="M213" i="41"/>
  <c r="L213" i="41"/>
  <c r="R213" i="41"/>
  <c r="Z189" i="41"/>
  <c r="Y189" i="41"/>
  <c r="N301" i="41"/>
  <c r="J87" i="41"/>
  <c r="K87" i="41"/>
  <c r="Y304" i="41"/>
  <c r="N87" i="41"/>
  <c r="AF173" i="41"/>
  <c r="AC173" i="41"/>
  <c r="O173" i="41"/>
  <c r="I173" i="41"/>
  <c r="AP173" i="41"/>
  <c r="D174" i="41"/>
  <c r="AO173" i="41"/>
  <c r="AG173" i="41"/>
  <c r="AL173" i="41"/>
  <c r="AH173" i="41"/>
  <c r="AE232" i="41"/>
  <c r="AD232" i="41"/>
  <c r="AD274" i="41"/>
  <c r="AE274" i="41"/>
  <c r="J276" i="41"/>
  <c r="K276" i="41"/>
  <c r="AH304" i="41"/>
  <c r="N276" i="41"/>
  <c r="J172" i="41"/>
  <c r="K172" i="41"/>
  <c r="AC305" i="41"/>
  <c r="N172" i="41"/>
  <c r="AP47" i="41"/>
  <c r="O47" i="41"/>
  <c r="D48" i="41"/>
  <c r="I47" i="41"/>
  <c r="AL47" i="41"/>
  <c r="AH47" i="41"/>
  <c r="AG47" i="41"/>
  <c r="AF47" i="41"/>
  <c r="AC47" i="41"/>
  <c r="AO47" i="41"/>
  <c r="AL235" i="41"/>
  <c r="AH235" i="41"/>
  <c r="AG235" i="41"/>
  <c r="AC235" i="41"/>
  <c r="O235" i="41"/>
  <c r="D236" i="41"/>
  <c r="AP235" i="41"/>
  <c r="AO235" i="41"/>
  <c r="AF235" i="41"/>
  <c r="I235" i="41"/>
  <c r="J24" i="41"/>
  <c r="K24" i="41"/>
  <c r="V304" i="41"/>
  <c r="N24" i="41"/>
  <c r="P255" i="41"/>
  <c r="Q255" i="41"/>
  <c r="P214" i="41"/>
  <c r="Q214" i="41"/>
  <c r="P192" i="41"/>
  <c r="Q192" i="41"/>
  <c r="Y105" i="41"/>
  <c r="J301" i="41"/>
  <c r="Z105" i="41"/>
  <c r="AO215" i="41"/>
  <c r="O215" i="41"/>
  <c r="D216" i="41"/>
  <c r="AP215" i="41"/>
  <c r="AH215" i="41"/>
  <c r="AG215" i="41"/>
  <c r="AF215" i="41"/>
  <c r="AC215" i="41"/>
  <c r="AL215" i="41"/>
  <c r="I215" i="41"/>
  <c r="AD66" i="41"/>
  <c r="AE66" i="41"/>
  <c r="L23" i="41"/>
  <c r="M23" i="41"/>
  <c r="R23" i="41"/>
  <c r="Z231" i="41"/>
  <c r="Y231" i="41"/>
  <c r="P301" i="41"/>
  <c r="M233" i="41"/>
  <c r="L233" i="41"/>
  <c r="R233" i="41"/>
  <c r="AE22" i="41"/>
  <c r="AD22" i="41"/>
  <c r="AH325" i="41"/>
  <c r="R325" i="41"/>
  <c r="AE190" i="41"/>
  <c r="AD190" i="41"/>
  <c r="Y65" i="41"/>
  <c r="H303" i="41"/>
  <c r="Z65" i="41"/>
  <c r="Z21" i="41"/>
  <c r="Y21" i="41"/>
  <c r="F301" i="41"/>
  <c r="M191" i="41"/>
  <c r="L191" i="41"/>
  <c r="R191" i="41"/>
  <c r="P172" i="41"/>
  <c r="Q172" i="41"/>
  <c r="W326" i="41"/>
  <c r="G326" i="41"/>
  <c r="J68" i="41"/>
  <c r="K68" i="41"/>
  <c r="X306" i="41"/>
  <c r="N68" i="41"/>
  <c r="AD85" i="41"/>
  <c r="AE85" i="41"/>
  <c r="Z325" i="41"/>
  <c r="J325" i="41"/>
  <c r="O69" i="41"/>
  <c r="AF69" i="41"/>
  <c r="AC69" i="41"/>
  <c r="AL69" i="41"/>
  <c r="AH69" i="41"/>
  <c r="AP69" i="41"/>
  <c r="AG69" i="41"/>
  <c r="AO69" i="41"/>
  <c r="I69" i="41"/>
  <c r="L107" i="41"/>
  <c r="M107" i="41"/>
  <c r="R107" i="41"/>
  <c r="V325" i="41"/>
  <c r="F325" i="41"/>
  <c r="Z126" i="41"/>
  <c r="Y126" i="41"/>
  <c r="K301" i="41"/>
  <c r="P24" i="41"/>
  <c r="Q24" i="41"/>
  <c r="AE253" i="41"/>
  <c r="AD253" i="41"/>
  <c r="P108" i="41"/>
  <c r="Q108" i="41"/>
  <c r="D278" i="41"/>
  <c r="I277" i="41"/>
  <c r="AP277" i="41"/>
  <c r="AO277" i="41"/>
  <c r="AF277" i="41"/>
  <c r="AC277" i="41"/>
  <c r="AL277" i="41"/>
  <c r="AH277" i="41"/>
  <c r="AG277" i="41"/>
  <c r="O277" i="41"/>
  <c r="J234" i="41"/>
  <c r="K234" i="41"/>
  <c r="AF304" i="41"/>
  <c r="N234" i="41"/>
  <c r="P129" i="41"/>
  <c r="Q129" i="41"/>
  <c r="I54" i="25"/>
  <c r="AC89" i="41"/>
  <c r="D90" i="41"/>
  <c r="AP89" i="41"/>
  <c r="AO89" i="41"/>
  <c r="AL89" i="41"/>
  <c r="AH89" i="41"/>
  <c r="O89" i="41"/>
  <c r="I89" i="41"/>
  <c r="AG89" i="41"/>
  <c r="AF89" i="41"/>
  <c r="M87" i="41"/>
  <c r="L87" i="41"/>
  <c r="R87" i="41"/>
  <c r="P69" i="41"/>
  <c r="Q69" i="41"/>
  <c r="AH326" i="41"/>
  <c r="R326" i="41"/>
  <c r="J277" i="41"/>
  <c r="K277" i="41"/>
  <c r="AH305" i="41"/>
  <c r="N277" i="41"/>
  <c r="W327" i="41"/>
  <c r="G327" i="41"/>
  <c r="AE150" i="41"/>
  <c r="AD150" i="41"/>
  <c r="J88" i="41"/>
  <c r="K88" i="41"/>
  <c r="Y305" i="41"/>
  <c r="N88" i="41"/>
  <c r="L108" i="41"/>
  <c r="M108" i="41"/>
  <c r="R108" i="41"/>
  <c r="M192" i="41"/>
  <c r="L192" i="41"/>
  <c r="R192" i="41"/>
  <c r="P173" i="41"/>
  <c r="Q173" i="41"/>
  <c r="P47" i="41"/>
  <c r="Q47" i="41"/>
  <c r="L255" i="41"/>
  <c r="M255" i="41"/>
  <c r="R255" i="41"/>
  <c r="I153" i="41"/>
  <c r="AP153" i="41"/>
  <c r="AO153" i="41"/>
  <c r="AH153" i="41"/>
  <c r="AG153" i="41"/>
  <c r="AF153" i="41"/>
  <c r="AC153" i="41"/>
  <c r="O153" i="41"/>
  <c r="AL153" i="41"/>
  <c r="P193" i="41"/>
  <c r="Q193" i="41"/>
  <c r="AD326" i="41"/>
  <c r="N326" i="41"/>
  <c r="J25" i="41"/>
  <c r="K25" i="41"/>
  <c r="V305" i="41"/>
  <c r="N25" i="41"/>
  <c r="Z212" i="41"/>
  <c r="Y212" i="41"/>
  <c r="O303" i="41"/>
  <c r="AC110" i="41"/>
  <c r="O110" i="41"/>
  <c r="D111" i="41"/>
  <c r="AP110" i="41"/>
  <c r="AO110" i="41"/>
  <c r="AL110" i="41"/>
  <c r="AF110" i="41"/>
  <c r="I110" i="41"/>
  <c r="AH110" i="41"/>
  <c r="AG110" i="41"/>
  <c r="J130" i="41"/>
  <c r="K130" i="41"/>
  <c r="AA305" i="41"/>
  <c r="N130" i="41"/>
  <c r="O327" i="41"/>
  <c r="AE327" i="41"/>
  <c r="O174" i="41"/>
  <c r="I174" i="41"/>
  <c r="AL174" i="41"/>
  <c r="AH174" i="41"/>
  <c r="AG174" i="41"/>
  <c r="AF174" i="41"/>
  <c r="AP174" i="41"/>
  <c r="AC174" i="41"/>
  <c r="AO174" i="41"/>
  <c r="Y106" i="41"/>
  <c r="J302" i="41"/>
  <c r="Z106" i="41"/>
  <c r="J173" i="41"/>
  <c r="K173" i="41"/>
  <c r="AC306" i="41"/>
  <c r="N173" i="41"/>
  <c r="Z66" i="41"/>
  <c r="Y66" i="41"/>
  <c r="H304" i="41"/>
  <c r="AL26" i="41"/>
  <c r="AH26" i="41"/>
  <c r="AG26" i="41"/>
  <c r="AF26" i="41"/>
  <c r="I26" i="41"/>
  <c r="D27" i="41"/>
  <c r="AC26" i="41"/>
  <c r="O26" i="41"/>
  <c r="AP26" i="41"/>
  <c r="AO26" i="41"/>
  <c r="Y326" i="41"/>
  <c r="I326" i="41"/>
  <c r="P88" i="41"/>
  <c r="Q88" i="41"/>
  <c r="J109" i="41"/>
  <c r="K109" i="41"/>
  <c r="Z305" i="41"/>
  <c r="N109" i="41"/>
  <c r="P130" i="41"/>
  <c r="Q130" i="41"/>
  <c r="Z232" i="41"/>
  <c r="Y232" i="41"/>
  <c r="P302" i="41"/>
  <c r="I216" i="41"/>
  <c r="AP216" i="41"/>
  <c r="AO216" i="41"/>
  <c r="AL216" i="41"/>
  <c r="AH216" i="41"/>
  <c r="AG216" i="41"/>
  <c r="O216" i="41"/>
  <c r="AF216" i="41"/>
  <c r="AC216" i="41"/>
  <c r="J152" i="41"/>
  <c r="K152" i="41"/>
  <c r="AB306" i="41"/>
  <c r="N152" i="41"/>
  <c r="J47" i="41"/>
  <c r="K47" i="41"/>
  <c r="W306" i="41"/>
  <c r="N47" i="41"/>
  <c r="M214" i="41"/>
  <c r="L214" i="41"/>
  <c r="R214" i="41"/>
  <c r="Y149" i="41"/>
  <c r="L303" i="41"/>
  <c r="Z149" i="41"/>
  <c r="AE67" i="41"/>
  <c r="AD67" i="41"/>
  <c r="AE107" i="41"/>
  <c r="AD107" i="41"/>
  <c r="J235" i="41"/>
  <c r="K235" i="41"/>
  <c r="AF305" i="41"/>
  <c r="N235" i="41"/>
  <c r="J69" i="41"/>
  <c r="K69" i="41"/>
  <c r="X307" i="41"/>
  <c r="N69" i="41"/>
  <c r="J215" i="41"/>
  <c r="K215" i="41"/>
  <c r="AE306" i="41"/>
  <c r="N215" i="41"/>
  <c r="AE213" i="41"/>
  <c r="AD213" i="41"/>
  <c r="J256" i="41"/>
  <c r="K256" i="41"/>
  <c r="AG305" i="41"/>
  <c r="N256" i="41"/>
  <c r="J193" i="41"/>
  <c r="K193" i="41"/>
  <c r="AD305" i="41"/>
  <c r="N193" i="41"/>
  <c r="AE128" i="41"/>
  <c r="AD128" i="41"/>
  <c r="M276" i="41"/>
  <c r="L276" i="41"/>
  <c r="R276" i="41"/>
  <c r="M151" i="41"/>
  <c r="L151" i="41"/>
  <c r="R151" i="41"/>
  <c r="Y253" i="41"/>
  <c r="Q302" i="41"/>
  <c r="Z253" i="41"/>
  <c r="AE254" i="41"/>
  <c r="AD254" i="41"/>
  <c r="AD86" i="41"/>
  <c r="AE86" i="41"/>
  <c r="Z190" i="41"/>
  <c r="Y190" i="41"/>
  <c r="N302" i="41"/>
  <c r="AE45" i="41"/>
  <c r="AD45" i="41"/>
  <c r="AE171" i="41"/>
  <c r="AD171" i="41"/>
  <c r="J326" i="41"/>
  <c r="Z326" i="41"/>
  <c r="Y22" i="41"/>
  <c r="F302" i="41"/>
  <c r="Z22" i="41"/>
  <c r="AA326" i="41"/>
  <c r="K326" i="41"/>
  <c r="P109" i="41"/>
  <c r="Q109" i="41"/>
  <c r="P152" i="41"/>
  <c r="Q152" i="41"/>
  <c r="Y170" i="41"/>
  <c r="M303" i="41"/>
  <c r="Z170" i="41"/>
  <c r="D237" i="41"/>
  <c r="I236" i="41"/>
  <c r="O236" i="41"/>
  <c r="AL236" i="41"/>
  <c r="AH236" i="41"/>
  <c r="AG236" i="41"/>
  <c r="AF236" i="41"/>
  <c r="AP236" i="41"/>
  <c r="AO236" i="41"/>
  <c r="AC236" i="41"/>
  <c r="M234" i="41"/>
  <c r="L234" i="41"/>
  <c r="R234" i="41"/>
  <c r="AD275" i="41"/>
  <c r="AE275" i="41"/>
  <c r="O131" i="41"/>
  <c r="D132" i="41"/>
  <c r="AP131" i="41"/>
  <c r="AH131" i="41"/>
  <c r="AC131" i="41"/>
  <c r="AL131" i="41"/>
  <c r="AG131" i="41"/>
  <c r="AF131" i="41"/>
  <c r="I131" i="41"/>
  <c r="AO131" i="41"/>
  <c r="Y44" i="41"/>
  <c r="G303" i="41"/>
  <c r="Z44" i="41"/>
  <c r="P215" i="41"/>
  <c r="Q215" i="41"/>
  <c r="AE233" i="41"/>
  <c r="AD233" i="41"/>
  <c r="P25" i="41"/>
  <c r="Q25" i="41"/>
  <c r="Z127" i="41"/>
  <c r="Y127" i="41"/>
  <c r="K302" i="41"/>
  <c r="I48" i="41"/>
  <c r="AP48" i="41"/>
  <c r="AO48" i="41"/>
  <c r="AL48" i="41"/>
  <c r="AH48" i="41"/>
  <c r="AC48" i="41"/>
  <c r="AG48" i="41"/>
  <c r="AF48" i="41"/>
  <c r="O48" i="41"/>
  <c r="M24" i="41"/>
  <c r="L24" i="41"/>
  <c r="R24" i="41"/>
  <c r="AO194" i="41"/>
  <c r="I194" i="41"/>
  <c r="D195" i="41"/>
  <c r="AL194" i="41"/>
  <c r="AH194" i="41"/>
  <c r="AG194" i="41"/>
  <c r="AF194" i="41"/>
  <c r="AC194" i="41"/>
  <c r="O194" i="41"/>
  <c r="AP194" i="41"/>
  <c r="P326" i="41"/>
  <c r="AF326" i="41"/>
  <c r="L327" i="41"/>
  <c r="AB327" i="41"/>
  <c r="P277" i="41"/>
  <c r="Q277" i="41"/>
  <c r="P235" i="41"/>
  <c r="Q235" i="41"/>
  <c r="Y274" i="41"/>
  <c r="R302" i="41"/>
  <c r="Z274" i="41"/>
  <c r="AH257" i="41"/>
  <c r="O257" i="41"/>
  <c r="AP257" i="41"/>
  <c r="D258" i="41"/>
  <c r="AO257" i="41"/>
  <c r="I257" i="41"/>
  <c r="AC257" i="41"/>
  <c r="AL257" i="41"/>
  <c r="AG257" i="41"/>
  <c r="AF257" i="41"/>
  <c r="H328" i="41"/>
  <c r="X328" i="41"/>
  <c r="AC327" i="41"/>
  <c r="M327" i="41"/>
  <c r="AO278" i="41"/>
  <c r="AL278" i="41"/>
  <c r="AG278" i="41"/>
  <c r="I278" i="41"/>
  <c r="D279" i="41"/>
  <c r="O278" i="41"/>
  <c r="AP278" i="41"/>
  <c r="AF278" i="41"/>
  <c r="AC278" i="41"/>
  <c r="AH278" i="41"/>
  <c r="Z85" i="41"/>
  <c r="Y85" i="41"/>
  <c r="I302" i="41"/>
  <c r="AG326" i="41"/>
  <c r="Q326" i="41"/>
  <c r="M129" i="41"/>
  <c r="L129" i="41"/>
  <c r="R129" i="41"/>
  <c r="AD23" i="41"/>
  <c r="AE23" i="41"/>
  <c r="L172" i="41"/>
  <c r="M172" i="41"/>
  <c r="R172" i="41"/>
  <c r="AE191" i="41"/>
  <c r="AD191" i="41"/>
  <c r="P256" i="41"/>
  <c r="Q256" i="41"/>
  <c r="V326" i="41"/>
  <c r="F326" i="41"/>
  <c r="M46" i="41"/>
  <c r="L46" i="41"/>
  <c r="R46" i="41"/>
  <c r="M68" i="41"/>
  <c r="L68" i="41"/>
  <c r="R68" i="41"/>
  <c r="I55" i="25"/>
  <c r="M328" i="41"/>
  <c r="AC328" i="41"/>
  <c r="J153" i="41"/>
  <c r="K153" i="41"/>
  <c r="AB307" i="41"/>
  <c r="N153" i="41"/>
  <c r="P110" i="41"/>
  <c r="Q110" i="41"/>
  <c r="P278" i="41"/>
  <c r="Q278" i="41"/>
  <c r="J131" i="41"/>
  <c r="K131" i="41"/>
  <c r="AA306" i="41"/>
  <c r="N131" i="41"/>
  <c r="AD24" i="41"/>
  <c r="AE24" i="41"/>
  <c r="J110" i="41"/>
  <c r="K110" i="41"/>
  <c r="Z306" i="41"/>
  <c r="N110" i="41"/>
  <c r="AE46" i="41"/>
  <c r="AD46" i="41"/>
  <c r="AD276" i="41"/>
  <c r="AE276" i="41"/>
  <c r="P26" i="41"/>
  <c r="Q26" i="41"/>
  <c r="J174" i="41"/>
  <c r="K174" i="41"/>
  <c r="AC307" i="41"/>
  <c r="N174" i="41"/>
  <c r="P89" i="41"/>
  <c r="Q89" i="41"/>
  <c r="AE68" i="41"/>
  <c r="AD68" i="41"/>
  <c r="M152" i="41"/>
  <c r="L152" i="41"/>
  <c r="R152" i="41"/>
  <c r="P48" i="41"/>
  <c r="Q48" i="41"/>
  <c r="O111" i="41"/>
  <c r="AP111" i="41"/>
  <c r="AH111" i="41"/>
  <c r="AO111" i="41"/>
  <c r="AL111" i="41"/>
  <c r="AG111" i="41"/>
  <c r="AF111" i="41"/>
  <c r="AC111" i="41"/>
  <c r="I111" i="41"/>
  <c r="I132" i="41"/>
  <c r="AP132" i="41"/>
  <c r="AO132" i="41"/>
  <c r="AG132" i="41"/>
  <c r="AL132" i="41"/>
  <c r="AH132" i="41"/>
  <c r="AF132" i="41"/>
  <c r="AC132" i="41"/>
  <c r="O132" i="41"/>
  <c r="AC279" i="41"/>
  <c r="AP279" i="41"/>
  <c r="AO279" i="41"/>
  <c r="AF279" i="41"/>
  <c r="AH279" i="41"/>
  <c r="AG279" i="41"/>
  <c r="I279" i="41"/>
  <c r="AL279" i="41"/>
  <c r="O279" i="41"/>
  <c r="M256" i="41"/>
  <c r="L256" i="41"/>
  <c r="R256" i="41"/>
  <c r="Z275" i="41"/>
  <c r="Y275" i="41"/>
  <c r="R303" i="41"/>
  <c r="F327" i="41"/>
  <c r="V327" i="41"/>
  <c r="AA327" i="41"/>
  <c r="K327" i="41"/>
  <c r="AC27" i="41"/>
  <c r="O27" i="41"/>
  <c r="I27" i="41"/>
  <c r="AL27" i="41"/>
  <c r="AH27" i="41"/>
  <c r="AG27" i="41"/>
  <c r="AO27" i="41"/>
  <c r="AF27" i="41"/>
  <c r="AP27" i="41"/>
  <c r="J26" i="41"/>
  <c r="K26" i="41"/>
  <c r="V306" i="41"/>
  <c r="N26" i="41"/>
  <c r="Y45" i="41"/>
  <c r="G304" i="41"/>
  <c r="Z45" i="41"/>
  <c r="J89" i="41"/>
  <c r="K89" i="41"/>
  <c r="Y306" i="41"/>
  <c r="N89" i="41"/>
  <c r="AD327" i="41"/>
  <c r="N327" i="41"/>
  <c r="Z213" i="41"/>
  <c r="Y213" i="41"/>
  <c r="O304" i="41"/>
  <c r="L193" i="41"/>
  <c r="M193" i="41"/>
  <c r="R193" i="41"/>
  <c r="AG327" i="41"/>
  <c r="Q327" i="41"/>
  <c r="L109" i="41"/>
  <c r="M109" i="41"/>
  <c r="R109" i="41"/>
  <c r="P131" i="41"/>
  <c r="Q131" i="41"/>
  <c r="J278" i="41"/>
  <c r="K278" i="41"/>
  <c r="AH306" i="41"/>
  <c r="N278" i="41"/>
  <c r="M69" i="41"/>
  <c r="L69" i="41"/>
  <c r="R69" i="41"/>
  <c r="Z191" i="41"/>
  <c r="Y191" i="41"/>
  <c r="N303" i="41"/>
  <c r="M25" i="41"/>
  <c r="L25" i="41"/>
  <c r="R25" i="41"/>
  <c r="Z233" i="41"/>
  <c r="Y233" i="41"/>
  <c r="P303" i="41"/>
  <c r="Y23" i="41"/>
  <c r="F303" i="41"/>
  <c r="Z23" i="41"/>
  <c r="L328" i="41"/>
  <c r="AB328" i="41"/>
  <c r="J216" i="41"/>
  <c r="K216" i="41"/>
  <c r="AE307" i="41"/>
  <c r="N216" i="41"/>
  <c r="M88" i="41"/>
  <c r="L88" i="41"/>
  <c r="R88" i="41"/>
  <c r="AE328" i="41"/>
  <c r="O328" i="41"/>
  <c r="AE214" i="41"/>
  <c r="AD214" i="41"/>
  <c r="P153" i="41"/>
  <c r="Q153" i="41"/>
  <c r="P257" i="41"/>
  <c r="Q257" i="41"/>
  <c r="R327" i="41"/>
  <c r="AH327" i="41"/>
  <c r="AD255" i="41"/>
  <c r="AE255" i="41"/>
  <c r="Z327" i="41"/>
  <c r="J327" i="41"/>
  <c r="M277" i="41"/>
  <c r="L277" i="41"/>
  <c r="R277" i="41"/>
  <c r="Z128" i="41"/>
  <c r="Y128" i="41"/>
  <c r="K303" i="41"/>
  <c r="Y107" i="41"/>
  <c r="J303" i="41"/>
  <c r="Z107" i="41"/>
  <c r="M173" i="41"/>
  <c r="L173" i="41"/>
  <c r="R173" i="41"/>
  <c r="AE234" i="41"/>
  <c r="AD234" i="41"/>
  <c r="P194" i="41"/>
  <c r="Q194" i="41"/>
  <c r="P174" i="41"/>
  <c r="Q174" i="41"/>
  <c r="J257" i="41"/>
  <c r="K257" i="41"/>
  <c r="AG306" i="41"/>
  <c r="N257" i="41"/>
  <c r="P236" i="41"/>
  <c r="Q236" i="41"/>
  <c r="Y86" i="41"/>
  <c r="I303" i="41"/>
  <c r="Z86" i="41"/>
  <c r="Y150" i="41"/>
  <c r="L304" i="41"/>
  <c r="Z150" i="41"/>
  <c r="M235" i="41"/>
  <c r="L235" i="41"/>
  <c r="R235" i="41"/>
  <c r="AE87" i="41"/>
  <c r="AD87" i="41"/>
  <c r="J48" i="41"/>
  <c r="K48" i="41"/>
  <c r="W307" i="41"/>
  <c r="N48" i="41"/>
  <c r="AE172" i="41"/>
  <c r="AD172" i="41"/>
  <c r="Y171" i="41"/>
  <c r="M304" i="41"/>
  <c r="Z171" i="41"/>
  <c r="Y67" i="41"/>
  <c r="H305" i="41"/>
  <c r="Z67" i="41"/>
  <c r="AE108" i="41"/>
  <c r="AD108" i="41"/>
  <c r="AE129" i="41"/>
  <c r="AD129" i="41"/>
  <c r="M215" i="41"/>
  <c r="L215" i="41"/>
  <c r="R215" i="41"/>
  <c r="P327" i="41"/>
  <c r="AF327" i="41"/>
  <c r="I195" i="41"/>
  <c r="AF195" i="41"/>
  <c r="AP195" i="41"/>
  <c r="AO195" i="41"/>
  <c r="AL195" i="41"/>
  <c r="AH195" i="41"/>
  <c r="AG195" i="41"/>
  <c r="AC195" i="41"/>
  <c r="O195" i="41"/>
  <c r="G328" i="41"/>
  <c r="W328" i="41"/>
  <c r="J236" i="41"/>
  <c r="K236" i="41"/>
  <c r="AF306" i="41"/>
  <c r="N236" i="41"/>
  <c r="Y254" i="41"/>
  <c r="Q303" i="41"/>
  <c r="Z254" i="41"/>
  <c r="X329" i="41"/>
  <c r="H329" i="41"/>
  <c r="O90" i="41"/>
  <c r="AL90" i="41"/>
  <c r="AP90" i="41"/>
  <c r="AO90" i="41"/>
  <c r="AH90" i="41"/>
  <c r="AG90" i="41"/>
  <c r="AF90" i="41"/>
  <c r="I90" i="41"/>
  <c r="AC90" i="41"/>
  <c r="I327" i="41"/>
  <c r="Y327" i="41"/>
  <c r="AE151" i="41"/>
  <c r="AD151" i="41"/>
  <c r="M47" i="41"/>
  <c r="L47" i="41"/>
  <c r="R47" i="41"/>
  <c r="AE192" i="41"/>
  <c r="AD192" i="41"/>
  <c r="P216" i="41"/>
  <c r="Q216" i="41"/>
  <c r="I258" i="41"/>
  <c r="AP258" i="41"/>
  <c r="AG258" i="41"/>
  <c r="AL258" i="41"/>
  <c r="AH258" i="41"/>
  <c r="AF258" i="41"/>
  <c r="AC258" i="41"/>
  <c r="AO258" i="41"/>
  <c r="O258" i="41"/>
  <c r="J194" i="41"/>
  <c r="K194" i="41"/>
  <c r="AD306" i="41"/>
  <c r="N194" i="41"/>
  <c r="AH237" i="41"/>
  <c r="AG237" i="41"/>
  <c r="I237" i="41"/>
  <c r="AP237" i="41"/>
  <c r="AO237" i="41"/>
  <c r="AL237" i="41"/>
  <c r="AF237" i="41"/>
  <c r="AC237" i="41"/>
  <c r="O237" i="41"/>
  <c r="M130" i="41"/>
  <c r="L130" i="41"/>
  <c r="R130" i="41"/>
  <c r="I56" i="25"/>
  <c r="Z276" i="41"/>
  <c r="Y276" i="41"/>
  <c r="R304" i="41"/>
  <c r="J328" i="41"/>
  <c r="Z328" i="41"/>
  <c r="P279" i="41"/>
  <c r="Q279" i="41"/>
  <c r="AA328" i="41"/>
  <c r="K328" i="41"/>
  <c r="AE277" i="41"/>
  <c r="AD277" i="41"/>
  <c r="P111" i="41"/>
  <c r="Q111" i="41"/>
  <c r="AE47" i="41"/>
  <c r="AD47" i="41"/>
  <c r="Z24" i="41"/>
  <c r="Y24" i="41"/>
  <c r="F304" i="41"/>
  <c r="J237" i="41"/>
  <c r="K237" i="41"/>
  <c r="AF307" i="41"/>
  <c r="N237" i="41"/>
  <c r="P195" i="41"/>
  <c r="Q195" i="41"/>
  <c r="M278" i="41"/>
  <c r="L278" i="41"/>
  <c r="R278" i="41"/>
  <c r="V328" i="41"/>
  <c r="F328" i="41"/>
  <c r="AD193" i="41"/>
  <c r="AE193" i="41"/>
  <c r="P27" i="41"/>
  <c r="Q27" i="41"/>
  <c r="M110" i="41"/>
  <c r="L110" i="41"/>
  <c r="R110" i="41"/>
  <c r="P237" i="41"/>
  <c r="Q237" i="41"/>
  <c r="G329" i="41"/>
  <c r="W329" i="41"/>
  <c r="L48" i="41"/>
  <c r="M48" i="41"/>
  <c r="R48" i="41"/>
  <c r="M236" i="41"/>
  <c r="L236" i="41"/>
  <c r="R236" i="41"/>
  <c r="M257" i="41"/>
  <c r="L257" i="41"/>
  <c r="R257" i="41"/>
  <c r="AF328" i="41"/>
  <c r="P328" i="41"/>
  <c r="AE69" i="41"/>
  <c r="AD69" i="41"/>
  <c r="M216" i="41"/>
  <c r="L216" i="41"/>
  <c r="R216" i="41"/>
  <c r="AC329" i="41"/>
  <c r="M329" i="41"/>
  <c r="AE152" i="41"/>
  <c r="AD152" i="41"/>
  <c r="Z255" i="41"/>
  <c r="Y255" i="41"/>
  <c r="Q304" i="41"/>
  <c r="J258" i="41"/>
  <c r="K258" i="41"/>
  <c r="AG307" i="41"/>
  <c r="N258" i="41"/>
  <c r="Z214" i="41"/>
  <c r="Y214" i="41"/>
  <c r="O305" i="41"/>
  <c r="L329" i="41"/>
  <c r="AB329" i="41"/>
  <c r="X330" i="41"/>
  <c r="H330" i="41"/>
  <c r="Z172" i="41"/>
  <c r="Y172" i="41"/>
  <c r="M305" i="41"/>
  <c r="Y68" i="41"/>
  <c r="H306" i="41"/>
  <c r="Z68" i="41"/>
  <c r="Y151" i="41"/>
  <c r="L305" i="41"/>
  <c r="Z151" i="41"/>
  <c r="Y87" i="41"/>
  <c r="I304" i="41"/>
  <c r="Z87" i="41"/>
  <c r="J195" i="41"/>
  <c r="K195" i="41"/>
  <c r="AD307" i="41"/>
  <c r="N195" i="41"/>
  <c r="AE235" i="41"/>
  <c r="AD235" i="41"/>
  <c r="M194" i="41"/>
  <c r="L194" i="41"/>
  <c r="R194" i="41"/>
  <c r="AD25" i="41"/>
  <c r="AE25" i="41"/>
  <c r="AE329" i="41"/>
  <c r="O329" i="41"/>
  <c r="AE256" i="41"/>
  <c r="AD256" i="41"/>
  <c r="Z129" i="41"/>
  <c r="Y129" i="41"/>
  <c r="K304" i="41"/>
  <c r="Q328" i="41"/>
  <c r="AG328" i="41"/>
  <c r="AD88" i="41"/>
  <c r="AE88" i="41"/>
  <c r="J27" i="41"/>
  <c r="K27" i="41"/>
  <c r="V307" i="41"/>
  <c r="N27" i="41"/>
  <c r="P258" i="41"/>
  <c r="Q258" i="41"/>
  <c r="Z234" i="41"/>
  <c r="Y234" i="41"/>
  <c r="P304" i="41"/>
  <c r="J132" i="41"/>
  <c r="K132" i="41"/>
  <c r="AA307" i="41"/>
  <c r="N132" i="41"/>
  <c r="P90" i="41"/>
  <c r="Q90" i="41"/>
  <c r="Z108" i="41"/>
  <c r="Y108" i="41"/>
  <c r="J304" i="41"/>
  <c r="Z192" i="41"/>
  <c r="Y192" i="41"/>
  <c r="N304" i="41"/>
  <c r="J279" i="41"/>
  <c r="K279" i="41"/>
  <c r="AH307" i="41"/>
  <c r="N279" i="41"/>
  <c r="P132" i="41"/>
  <c r="Q132" i="41"/>
  <c r="M89" i="41"/>
  <c r="L89" i="41"/>
  <c r="R89" i="41"/>
  <c r="J90" i="41"/>
  <c r="K90" i="41"/>
  <c r="Y307" i="41"/>
  <c r="N90" i="41"/>
  <c r="L153" i="41"/>
  <c r="M153" i="41"/>
  <c r="R153" i="41"/>
  <c r="J111" i="41"/>
  <c r="K111" i="41"/>
  <c r="Z307" i="41"/>
  <c r="N111" i="41"/>
  <c r="AE130" i="41"/>
  <c r="AD130" i="41"/>
  <c r="Z46" i="41"/>
  <c r="Y46" i="41"/>
  <c r="G305" i="41"/>
  <c r="M131" i="41"/>
  <c r="L131" i="41"/>
  <c r="R131" i="41"/>
  <c r="I328" i="41"/>
  <c r="Y328" i="41"/>
  <c r="AD109" i="41"/>
  <c r="AE109" i="41"/>
  <c r="M174" i="41"/>
  <c r="L174" i="41"/>
  <c r="R174" i="41"/>
  <c r="AE215" i="41"/>
  <c r="AD215" i="41"/>
  <c r="AE173" i="41"/>
  <c r="AD173" i="41"/>
  <c r="N328" i="41"/>
  <c r="AD328" i="41"/>
  <c r="AH328" i="41"/>
  <c r="R328" i="41"/>
  <c r="M26" i="41"/>
  <c r="L26" i="41"/>
  <c r="R26" i="41"/>
  <c r="I57" i="25"/>
  <c r="Y329" i="41"/>
  <c r="I329" i="41"/>
  <c r="M132" i="41"/>
  <c r="L132" i="41"/>
  <c r="R132" i="41"/>
  <c r="AB330" i="41"/>
  <c r="L330" i="41"/>
  <c r="AE26" i="41"/>
  <c r="AD26" i="41"/>
  <c r="AD110" i="41"/>
  <c r="AE110" i="41"/>
  <c r="Y256" i="41"/>
  <c r="Q305" i="41"/>
  <c r="Z256" i="41"/>
  <c r="Z277" i="41"/>
  <c r="Y277" i="41"/>
  <c r="R305" i="41"/>
  <c r="Z173" i="41"/>
  <c r="Y173" i="41"/>
  <c r="M306" i="41"/>
  <c r="Y193" i="41"/>
  <c r="N305" i="41"/>
  <c r="Z193" i="41"/>
  <c r="Z88" i="41"/>
  <c r="Y88" i="41"/>
  <c r="I305" i="41"/>
  <c r="K329" i="41"/>
  <c r="AA329" i="41"/>
  <c r="Z69" i="41"/>
  <c r="Y69" i="41"/>
  <c r="H307" i="41"/>
  <c r="Z152" i="41"/>
  <c r="Y152" i="41"/>
  <c r="L306" i="41"/>
  <c r="H331" i="41"/>
  <c r="X331" i="41"/>
  <c r="Z329" i="41"/>
  <c r="J329" i="41"/>
  <c r="AE153" i="41"/>
  <c r="AD153" i="41"/>
  <c r="Z215" i="41"/>
  <c r="Y215" i="41"/>
  <c r="O306" i="41"/>
  <c r="AE194" i="41"/>
  <c r="AD194" i="41"/>
  <c r="AE174" i="41"/>
  <c r="AD174" i="41"/>
  <c r="L279" i="41"/>
  <c r="M279" i="41"/>
  <c r="R279" i="41"/>
  <c r="AE131" i="41"/>
  <c r="AD131" i="41"/>
  <c r="O330" i="41"/>
  <c r="AE330" i="41"/>
  <c r="AE236" i="41"/>
  <c r="AD236" i="41"/>
  <c r="F329" i="41"/>
  <c r="V329" i="41"/>
  <c r="Z47" i="41"/>
  <c r="Y47" i="41"/>
  <c r="G306" i="41"/>
  <c r="Z130" i="41"/>
  <c r="Y130" i="41"/>
  <c r="K305" i="41"/>
  <c r="AE216" i="41"/>
  <c r="AD216" i="41"/>
  <c r="M111" i="41"/>
  <c r="L111" i="41"/>
  <c r="R111" i="41"/>
  <c r="L90" i="41"/>
  <c r="M90" i="41"/>
  <c r="R90" i="41"/>
  <c r="Y25" i="41"/>
  <c r="F305" i="41"/>
  <c r="Z25" i="41"/>
  <c r="M195" i="41"/>
  <c r="L195" i="41"/>
  <c r="R195" i="41"/>
  <c r="G330" i="41"/>
  <c r="W330" i="41"/>
  <c r="N329" i="41"/>
  <c r="AD329" i="41"/>
  <c r="M330" i="41"/>
  <c r="AC330" i="41"/>
  <c r="L27" i="41"/>
  <c r="M27" i="41"/>
  <c r="R27" i="41"/>
  <c r="Y235" i="41"/>
  <c r="P305" i="41"/>
  <c r="Z235" i="41"/>
  <c r="AD89" i="41"/>
  <c r="AE89" i="41"/>
  <c r="M258" i="41"/>
  <c r="L258" i="41"/>
  <c r="R258" i="41"/>
  <c r="AG329" i="41"/>
  <c r="Q329" i="41"/>
  <c r="R329" i="41"/>
  <c r="AH329" i="41"/>
  <c r="L237" i="41"/>
  <c r="M237" i="41"/>
  <c r="R237" i="41"/>
  <c r="AD257" i="41"/>
  <c r="AE257" i="41"/>
  <c r="AD278" i="41"/>
  <c r="AE278" i="41"/>
  <c r="AF329" i="41"/>
  <c r="P329" i="41"/>
  <c r="Z109" i="41"/>
  <c r="Y109" i="41"/>
  <c r="J305" i="41"/>
  <c r="AE48" i="41"/>
  <c r="AD48" i="41"/>
  <c r="I58" i="25"/>
  <c r="AD330" i="41"/>
  <c r="N330" i="41"/>
  <c r="R330" i="41"/>
  <c r="AH330" i="41"/>
  <c r="Z26" i="41"/>
  <c r="Y26" i="41"/>
  <c r="F306" i="41"/>
  <c r="Y278" i="41"/>
  <c r="R306" i="41"/>
  <c r="Z278" i="41"/>
  <c r="Y216" i="41"/>
  <c r="O307" i="41"/>
  <c r="Z216" i="41"/>
  <c r="AA330" i="41"/>
  <c r="K330" i="41"/>
  <c r="Z131" i="41"/>
  <c r="Y131" i="41"/>
  <c r="K306" i="41"/>
  <c r="AF330" i="41"/>
  <c r="P330" i="41"/>
  <c r="AE27" i="41"/>
  <c r="AD27" i="41"/>
  <c r="AG330" i="41"/>
  <c r="Q330" i="41"/>
  <c r="Y257" i="41"/>
  <c r="Q306" i="41"/>
  <c r="Z257" i="41"/>
  <c r="AE132" i="41"/>
  <c r="AD132" i="41"/>
  <c r="AE111" i="41"/>
  <c r="AD111" i="41"/>
  <c r="AE331" i="41"/>
  <c r="O331" i="41"/>
  <c r="Y48" i="41"/>
  <c r="G307" i="41"/>
  <c r="Z48" i="41"/>
  <c r="Y110" i="41"/>
  <c r="J306" i="41"/>
  <c r="Z110" i="41"/>
  <c r="L331" i="41"/>
  <c r="AB331" i="41"/>
  <c r="AD237" i="41"/>
  <c r="AE237" i="41"/>
  <c r="AE258" i="41"/>
  <c r="AD258" i="41"/>
  <c r="Y330" i="41"/>
  <c r="I330" i="41"/>
  <c r="Z89" i="41"/>
  <c r="Y89" i="41"/>
  <c r="I306" i="41"/>
  <c r="Y194" i="41"/>
  <c r="N306" i="41"/>
  <c r="Z194" i="41"/>
  <c r="Z330" i="41"/>
  <c r="J330" i="41"/>
  <c r="G331" i="41"/>
  <c r="W331" i="41"/>
  <c r="X332" i="41"/>
  <c r="H332" i="41"/>
  <c r="AE279" i="41"/>
  <c r="AD279" i="41"/>
  <c r="AE90" i="41"/>
  <c r="AD90" i="41"/>
  <c r="M331" i="41"/>
  <c r="AC331" i="41"/>
  <c r="Z153" i="41"/>
  <c r="Y153" i="41"/>
  <c r="L307" i="41"/>
  <c r="Z236" i="41"/>
  <c r="Y236" i="41"/>
  <c r="P306" i="41"/>
  <c r="AE195" i="41"/>
  <c r="AD195" i="41"/>
  <c r="F330" i="41"/>
  <c r="V330" i="41"/>
  <c r="Z174" i="41"/>
  <c r="Y174" i="41"/>
  <c r="M307" i="41"/>
  <c r="I59" i="25"/>
  <c r="AF18" i="20"/>
  <c r="AF15" i="20"/>
  <c r="H37" i="20"/>
  <c r="J21" i="20"/>
  <c r="Q13" i="20"/>
  <c r="H38" i="20"/>
  <c r="G24" i="20"/>
  <c r="AI24" i="20"/>
  <c r="G23" i="20"/>
  <c r="AD21" i="20"/>
  <c r="H21" i="20"/>
  <c r="H22" i="20"/>
  <c r="G21" i="20"/>
  <c r="P18" i="20"/>
  <c r="O18" i="20"/>
  <c r="J18" i="20"/>
  <c r="H18" i="20"/>
  <c r="AD15" i="20"/>
  <c r="AD18" i="20"/>
  <c r="K15" i="20"/>
  <c r="K18" i="20"/>
  <c r="G11" i="20"/>
  <c r="H24" i="19"/>
  <c r="H11" i="19"/>
  <c r="H12" i="19"/>
  <c r="H10" i="19"/>
  <c r="Z132" i="41"/>
  <c r="Y132" i="41"/>
  <c r="K307" i="41"/>
  <c r="Y195" i="41"/>
  <c r="N307" i="41"/>
  <c r="Z195" i="41"/>
  <c r="Y27" i="41"/>
  <c r="F307" i="41"/>
  <c r="Z27" i="41"/>
  <c r="K331" i="41"/>
  <c r="AA331" i="41"/>
  <c r="V331" i="41"/>
  <c r="F331" i="41"/>
  <c r="AC332" i="41"/>
  <c r="M332" i="41"/>
  <c r="AF331" i="41"/>
  <c r="P331" i="41"/>
  <c r="L332" i="41"/>
  <c r="AB332" i="41"/>
  <c r="G332" i="41"/>
  <c r="W332" i="41"/>
  <c r="AG331" i="41"/>
  <c r="Q331" i="41"/>
  <c r="Y279" i="41"/>
  <c r="R307" i="41"/>
  <c r="Z279" i="41"/>
  <c r="Y331" i="41"/>
  <c r="I331" i="41"/>
  <c r="Z237" i="41"/>
  <c r="Y237" i="41"/>
  <c r="P307" i="41"/>
  <c r="AE332" i="41"/>
  <c r="O332" i="41"/>
  <c r="AH331" i="41"/>
  <c r="R331" i="41"/>
  <c r="Z90" i="41"/>
  <c r="Y90" i="41"/>
  <c r="I307" i="41"/>
  <c r="Z111" i="41"/>
  <c r="Y111" i="41"/>
  <c r="J307" i="41"/>
  <c r="AD331" i="41"/>
  <c r="N331" i="41"/>
  <c r="Y258" i="41"/>
  <c r="Q307" i="41"/>
  <c r="Z258" i="41"/>
  <c r="Z331" i="41"/>
  <c r="J331" i="41"/>
  <c r="I60" i="25"/>
  <c r="H36" i="20"/>
  <c r="L15" i="20"/>
  <c r="AE15" i="20"/>
  <c r="AB24" i="20"/>
  <c r="H15" i="19"/>
  <c r="H25" i="19"/>
  <c r="E16" i="17"/>
  <c r="F16" i="17"/>
  <c r="E12" i="17"/>
  <c r="D12" i="17"/>
  <c r="I8" i="17"/>
  <c r="H8" i="17"/>
  <c r="O4" i="17"/>
  <c r="N4" i="17"/>
  <c r="M4" i="17"/>
  <c r="M5" i="17"/>
  <c r="L35" i="16"/>
  <c r="P35" i="16"/>
  <c r="L34" i="16"/>
  <c r="P34" i="16"/>
  <c r="L33" i="16"/>
  <c r="L32" i="16"/>
  <c r="L31" i="16"/>
  <c r="P31" i="16"/>
  <c r="L30" i="16"/>
  <c r="L29" i="16"/>
  <c r="L28" i="16"/>
  <c r="L27" i="16"/>
  <c r="L26" i="16"/>
  <c r="L25" i="16"/>
  <c r="L24" i="16"/>
  <c r="C24" i="16"/>
  <c r="L23" i="16"/>
  <c r="C23" i="16"/>
  <c r="L22" i="16"/>
  <c r="C22" i="16"/>
  <c r="L21" i="16"/>
  <c r="C21" i="16"/>
  <c r="L20" i="16"/>
  <c r="C20" i="16"/>
  <c r="L19" i="16"/>
  <c r="C19" i="16"/>
  <c r="L18" i="16"/>
  <c r="P18" i="16"/>
  <c r="C18" i="16"/>
  <c r="L17" i="16"/>
  <c r="C17" i="16"/>
  <c r="L16" i="16"/>
  <c r="P16" i="16"/>
  <c r="C16" i="16"/>
  <c r="L15" i="16"/>
  <c r="C15" i="16"/>
  <c r="L14" i="16"/>
  <c r="C14" i="16"/>
  <c r="L13" i="16"/>
  <c r="C13" i="16"/>
  <c r="L12" i="16"/>
  <c r="C12" i="16"/>
  <c r="L11" i="16"/>
  <c r="C11" i="16"/>
  <c r="L10" i="16"/>
  <c r="C10" i="16"/>
  <c r="L9" i="16"/>
  <c r="C9" i="16"/>
  <c r="L8" i="16"/>
  <c r="C8" i="16"/>
  <c r="L7" i="16"/>
  <c r="L6" i="16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O4" i="15"/>
  <c r="E8" i="15"/>
  <c r="E5" i="15"/>
  <c r="N4" i="15"/>
  <c r="N5" i="15"/>
  <c r="F332" i="41"/>
  <c r="V332" i="41"/>
  <c r="AG332" i="41"/>
  <c r="Q332" i="41"/>
  <c r="R332" i="41"/>
  <c r="AH332" i="41"/>
  <c r="Y332" i="41"/>
  <c r="I332" i="41"/>
  <c r="AD332" i="41"/>
  <c r="N332" i="41"/>
  <c r="AF332" i="41"/>
  <c r="P332" i="41"/>
  <c r="K332" i="41"/>
  <c r="AA332" i="41"/>
  <c r="Z332" i="41"/>
  <c r="J332" i="41"/>
  <c r="N7" i="16"/>
  <c r="N19" i="16"/>
  <c r="N31" i="16"/>
  <c r="N8" i="16"/>
  <c r="N20" i="16"/>
  <c r="N32" i="16"/>
  <c r="N9" i="16"/>
  <c r="N21" i="16"/>
  <c r="N33" i="16"/>
  <c r="N10" i="16"/>
  <c r="N22" i="16"/>
  <c r="N34" i="16"/>
  <c r="N11" i="16"/>
  <c r="N24" i="16"/>
  <c r="N13" i="16"/>
  <c r="N25" i="16"/>
  <c r="N37" i="16"/>
  <c r="N39" i="16"/>
  <c r="N29" i="16"/>
  <c r="N14" i="16"/>
  <c r="N26" i="16"/>
  <c r="N38" i="16"/>
  <c r="N27" i="16"/>
  <c r="N17" i="16"/>
  <c r="N6" i="16"/>
  <c r="N18" i="16"/>
  <c r="N30" i="16"/>
  <c r="N23" i="16"/>
  <c r="N35" i="16"/>
  <c r="N12" i="16"/>
  <c r="N36" i="16"/>
  <c r="N15" i="16"/>
  <c r="N16" i="16"/>
  <c r="N28" i="16"/>
  <c r="N40" i="16"/>
  <c r="N44" i="16"/>
  <c r="K44" i="16"/>
  <c r="M44" i="16"/>
  <c r="O36" i="16"/>
  <c r="P36" i="16"/>
  <c r="O38" i="16"/>
  <c r="P38" i="16"/>
  <c r="K37" i="16"/>
  <c r="M37" i="16"/>
  <c r="O37" i="16"/>
  <c r="P37" i="16"/>
  <c r="K36" i="16"/>
  <c r="M36" i="16"/>
  <c r="O40" i="16"/>
  <c r="P40" i="16"/>
  <c r="O44" i="16"/>
  <c r="P44" i="16"/>
  <c r="K45" i="16"/>
  <c r="M45" i="16"/>
  <c r="K39" i="16"/>
  <c r="M39" i="16"/>
  <c r="N45" i="16"/>
  <c r="K40" i="16"/>
  <c r="M40" i="16"/>
  <c r="O45" i="16"/>
  <c r="P45" i="16"/>
  <c r="P47" i="16"/>
  <c r="O39" i="16"/>
  <c r="P39" i="16"/>
  <c r="K38" i="16"/>
  <c r="M38" i="16"/>
  <c r="K8" i="16"/>
  <c r="M8" i="16"/>
  <c r="O6" i="16"/>
  <c r="F12" i="17"/>
  <c r="H12" i="17"/>
  <c r="I61" i="25"/>
  <c r="AE18" i="20"/>
  <c r="AG15" i="20"/>
  <c r="L18" i="20"/>
  <c r="M15" i="20"/>
  <c r="O16" i="16"/>
  <c r="K12" i="16"/>
  <c r="O26" i="16"/>
  <c r="P26" i="16"/>
  <c r="N6" i="15"/>
  <c r="N7" i="15"/>
  <c r="N8" i="15"/>
  <c r="N9" i="15"/>
  <c r="N10" i="15"/>
  <c r="N11" i="15"/>
  <c r="N12" i="15"/>
  <c r="N13" i="15"/>
  <c r="O5" i="15"/>
  <c r="O25" i="16"/>
  <c r="P25" i="16"/>
  <c r="O30" i="16"/>
  <c r="P30" i="16"/>
  <c r="O8" i="15"/>
  <c r="K7" i="16"/>
  <c r="K13" i="16"/>
  <c r="M13" i="16"/>
  <c r="O17" i="16"/>
  <c r="P17" i="16"/>
  <c r="K21" i="16"/>
  <c r="M21" i="16"/>
  <c r="K34" i="16"/>
  <c r="N5" i="17"/>
  <c r="O5" i="17"/>
  <c r="M6" i="17"/>
  <c r="O29" i="16"/>
  <c r="P29" i="16"/>
  <c r="O11" i="15"/>
  <c r="C5" i="16"/>
  <c r="O10" i="16"/>
  <c r="P10" i="16"/>
  <c r="K14" i="16"/>
  <c r="M14" i="16"/>
  <c r="O18" i="16"/>
  <c r="K22" i="16"/>
  <c r="M22" i="16"/>
  <c r="K33" i="16"/>
  <c r="M33" i="16"/>
  <c r="O24" i="16"/>
  <c r="P24" i="16"/>
  <c r="O27" i="16"/>
  <c r="P27" i="16"/>
  <c r="K6" i="16"/>
  <c r="O9" i="16"/>
  <c r="P9" i="16"/>
  <c r="O11" i="16"/>
  <c r="P11" i="16"/>
  <c r="K15" i="16"/>
  <c r="O19" i="16"/>
  <c r="P19" i="16"/>
  <c r="K23" i="16"/>
  <c r="M23" i="16"/>
  <c r="K32" i="16"/>
  <c r="M32" i="16"/>
  <c r="G16" i="17"/>
  <c r="I12" i="17"/>
  <c r="O28" i="16"/>
  <c r="P28" i="16"/>
  <c r="O6" i="15"/>
  <c r="O9" i="15"/>
  <c r="O8" i="16"/>
  <c r="O12" i="16"/>
  <c r="K16" i="16"/>
  <c r="O20" i="16"/>
  <c r="K24" i="16"/>
  <c r="M24" i="16"/>
  <c r="K25" i="16"/>
  <c r="M25" i="16"/>
  <c r="K26" i="16"/>
  <c r="M26" i="16"/>
  <c r="K27" i="16"/>
  <c r="M27" i="16"/>
  <c r="K28" i="16"/>
  <c r="M28" i="16"/>
  <c r="K29" i="16"/>
  <c r="M29" i="16"/>
  <c r="K30" i="16"/>
  <c r="M30" i="16"/>
  <c r="K31" i="16"/>
  <c r="M31" i="16"/>
  <c r="P4" i="17"/>
  <c r="Q4" i="17"/>
  <c r="K20" i="16"/>
  <c r="O12" i="15"/>
  <c r="O7" i="16"/>
  <c r="O13" i="16"/>
  <c r="P13" i="16"/>
  <c r="K17" i="16"/>
  <c r="O21" i="16"/>
  <c r="P21" i="16"/>
  <c r="O7" i="15"/>
  <c r="K10" i="16"/>
  <c r="M10" i="16"/>
  <c r="O14" i="16"/>
  <c r="P14" i="16"/>
  <c r="K18" i="16"/>
  <c r="O22" i="16"/>
  <c r="P22" i="16"/>
  <c r="R5" i="17"/>
  <c r="O10" i="15"/>
  <c r="O35" i="16"/>
  <c r="O34" i="16"/>
  <c r="O33" i="16"/>
  <c r="P33" i="16"/>
  <c r="O32" i="16"/>
  <c r="P32" i="16"/>
  <c r="O31" i="16"/>
  <c r="K9" i="16"/>
  <c r="M9" i="16"/>
  <c r="K11" i="16"/>
  <c r="M11" i="16"/>
  <c r="O15" i="16"/>
  <c r="K19" i="16"/>
  <c r="M19" i="16"/>
  <c r="O23" i="16"/>
  <c r="P23" i="16"/>
  <c r="K35" i="16"/>
  <c r="M35" i="16"/>
  <c r="I16" i="17"/>
  <c r="G12" i="17"/>
  <c r="R4" i="17"/>
  <c r="N47" i="16"/>
  <c r="I62" i="25"/>
  <c r="AH15" i="20"/>
  <c r="AG18" i="20"/>
  <c r="M18" i="20"/>
  <c r="N15" i="20"/>
  <c r="N18" i="20"/>
  <c r="R6" i="17"/>
  <c r="N6" i="17"/>
  <c r="O6" i="17"/>
  <c r="M7" i="17"/>
  <c r="P5" i="17"/>
  <c r="Q5" i="17"/>
  <c r="H16" i="17"/>
  <c r="O13" i="15"/>
  <c r="N14" i="15"/>
  <c r="I63" i="25"/>
  <c r="AI15" i="20"/>
  <c r="AH18" i="20"/>
  <c r="N15" i="15"/>
  <c r="O14" i="15"/>
  <c r="M8" i="17"/>
  <c r="N7" i="17"/>
  <c r="O7" i="17"/>
  <c r="P6" i="17"/>
  <c r="Q6" i="17"/>
  <c r="I64" i="25"/>
  <c r="AI18" i="20"/>
  <c r="P7" i="17"/>
  <c r="Q7" i="17"/>
  <c r="M9" i="17"/>
  <c r="R8" i="17"/>
  <c r="N8" i="17"/>
  <c r="O8" i="17"/>
  <c r="R7" i="17"/>
  <c r="N16" i="15"/>
  <c r="O15" i="15"/>
  <c r="I65" i="25"/>
  <c r="N17" i="15"/>
  <c r="O16" i="15"/>
  <c r="Q8" i="17"/>
  <c r="P8" i="17"/>
  <c r="N9" i="17"/>
  <c r="O9" i="17"/>
  <c r="M10" i="17"/>
  <c r="I66" i="25"/>
  <c r="R9" i="17"/>
  <c r="N10" i="17"/>
  <c r="O10" i="17"/>
  <c r="M11" i="17"/>
  <c r="P9" i="17"/>
  <c r="Q9" i="17"/>
  <c r="N18" i="15"/>
  <c r="O17" i="15"/>
  <c r="I68" i="25"/>
  <c r="I67" i="25"/>
  <c r="N19" i="15"/>
  <c r="O18" i="15"/>
  <c r="R10" i="17"/>
  <c r="M12" i="17"/>
  <c r="N11" i="17"/>
  <c r="O11" i="17"/>
  <c r="P10" i="17"/>
  <c r="Q10" i="17"/>
  <c r="P11" i="17"/>
  <c r="Q11" i="17"/>
  <c r="N12" i="17"/>
  <c r="O12" i="17"/>
  <c r="M13" i="17"/>
  <c r="R12" i="17"/>
  <c r="R11" i="17"/>
  <c r="N20" i="15"/>
  <c r="O19" i="15"/>
  <c r="P12" i="17"/>
  <c r="Q12" i="17"/>
  <c r="N21" i="15"/>
  <c r="O20" i="15"/>
  <c r="N13" i="17"/>
  <c r="O13" i="17"/>
  <c r="M14" i="17"/>
  <c r="R13" i="17"/>
  <c r="P13" i="17"/>
  <c r="Q13" i="17"/>
  <c r="N14" i="17"/>
  <c r="O14" i="17"/>
  <c r="M15" i="17"/>
  <c r="O21" i="15"/>
  <c r="N22" i="15"/>
  <c r="N23" i="15"/>
  <c r="O22" i="15"/>
  <c r="M16" i="17"/>
  <c r="N15" i="17"/>
  <c r="O15" i="17"/>
  <c r="R14" i="17"/>
  <c r="P14" i="17"/>
  <c r="Q14" i="17"/>
  <c r="P15" i="17"/>
  <c r="Q15" i="17"/>
  <c r="N16" i="17"/>
  <c r="O16" i="17"/>
  <c r="M17" i="17"/>
  <c r="R16" i="17"/>
  <c r="R15" i="17"/>
  <c r="N24" i="15"/>
  <c r="O23" i="15"/>
  <c r="N25" i="15"/>
  <c r="O24" i="15"/>
  <c r="P16" i="17"/>
  <c r="Q16" i="17"/>
  <c r="M18" i="17"/>
  <c r="N17" i="17"/>
  <c r="O17" i="17"/>
  <c r="P17" i="17"/>
  <c r="Q17" i="17"/>
  <c r="R17" i="17"/>
  <c r="M19" i="17"/>
  <c r="N18" i="17"/>
  <c r="O18" i="17"/>
  <c r="N26" i="15"/>
  <c r="O25" i="15"/>
  <c r="R18" i="17"/>
  <c r="P18" i="17"/>
  <c r="Q18" i="17"/>
  <c r="N27" i="15"/>
  <c r="O26" i="15"/>
  <c r="N19" i="17"/>
  <c r="O19" i="17"/>
  <c r="M20" i="17"/>
  <c r="R19" i="17"/>
  <c r="N20" i="17"/>
  <c r="O20" i="17"/>
  <c r="M21" i="17"/>
  <c r="R20" i="17"/>
  <c r="P19" i="17"/>
  <c r="Q19" i="17"/>
  <c r="N28" i="15"/>
  <c r="O27" i="15"/>
  <c r="N29" i="15"/>
  <c r="O28" i="15"/>
  <c r="M22" i="17"/>
  <c r="N21" i="17"/>
  <c r="O21" i="17"/>
  <c r="P20" i="17"/>
  <c r="Q20" i="17"/>
  <c r="P21" i="17"/>
  <c r="Q21" i="17"/>
  <c r="R21" i="17"/>
  <c r="M23" i="17"/>
  <c r="N22" i="17"/>
  <c r="O22" i="17"/>
  <c r="N30" i="15"/>
  <c r="O29" i="15"/>
  <c r="N31" i="15"/>
  <c r="O30" i="15"/>
  <c r="R22" i="17"/>
  <c r="P22" i="17"/>
  <c r="Q22" i="17"/>
  <c r="N23" i="17"/>
  <c r="O23" i="17"/>
  <c r="M24" i="17"/>
  <c r="R23" i="17"/>
  <c r="N24" i="17"/>
  <c r="O24" i="17"/>
  <c r="M25" i="17"/>
  <c r="R24" i="17"/>
  <c r="P23" i="17"/>
  <c r="Q23" i="17"/>
  <c r="N32" i="15"/>
  <c r="O31" i="15"/>
  <c r="N33" i="15"/>
  <c r="O32" i="15"/>
  <c r="M26" i="17"/>
  <c r="N25" i="17"/>
  <c r="O25" i="17"/>
  <c r="P24" i="17"/>
  <c r="Q24" i="17"/>
  <c r="P25" i="17"/>
  <c r="Q25" i="17"/>
  <c r="R25" i="17"/>
  <c r="M27" i="17"/>
  <c r="N26" i="17"/>
  <c r="O26" i="17"/>
  <c r="N34" i="15"/>
  <c r="O33" i="15"/>
  <c r="N27" i="17"/>
  <c r="O27" i="17"/>
  <c r="M28" i="17"/>
  <c r="R27" i="17"/>
  <c r="P26" i="17"/>
  <c r="Q26" i="17"/>
  <c r="R26" i="17"/>
  <c r="N35" i="15"/>
  <c r="O34" i="15"/>
  <c r="N28" i="17"/>
  <c r="O28" i="17"/>
  <c r="R28" i="17"/>
  <c r="M29" i="17"/>
  <c r="N36" i="15"/>
  <c r="O35" i="15"/>
  <c r="P27" i="17"/>
  <c r="Q27" i="17"/>
  <c r="N37" i="15"/>
  <c r="O36" i="15"/>
  <c r="M30" i="17"/>
  <c r="N29" i="17"/>
  <c r="O29" i="17"/>
  <c r="P28" i="17"/>
  <c r="Q28" i="17"/>
  <c r="P29" i="17"/>
  <c r="Q29" i="17"/>
  <c r="M31" i="17"/>
  <c r="N30" i="17"/>
  <c r="O30" i="17"/>
  <c r="R29" i="17"/>
  <c r="N38" i="15"/>
  <c r="O37" i="15"/>
  <c r="N39" i="15"/>
  <c r="O38" i="15"/>
  <c r="P30" i="17"/>
  <c r="Q30" i="17"/>
  <c r="R30" i="17"/>
  <c r="N31" i="17"/>
  <c r="O31" i="17"/>
  <c r="M32" i="17"/>
  <c r="R31" i="17"/>
  <c r="P31" i="17"/>
  <c r="Q31" i="17"/>
  <c r="N32" i="17"/>
  <c r="O32" i="17"/>
  <c r="M33" i="17"/>
  <c r="R32" i="17"/>
  <c r="N40" i="15"/>
  <c r="O39" i="15"/>
  <c r="M34" i="17"/>
  <c r="N33" i="17"/>
  <c r="O33" i="17"/>
  <c r="N41" i="15"/>
  <c r="O40" i="15"/>
  <c r="P32" i="17"/>
  <c r="Q32" i="17"/>
  <c r="P33" i="17"/>
  <c r="Q33" i="17"/>
  <c r="N42" i="15"/>
  <c r="O41" i="15"/>
  <c r="R33" i="17"/>
  <c r="M35" i="17"/>
  <c r="N34" i="17"/>
  <c r="O34" i="17"/>
  <c r="P34" i="17"/>
  <c r="Q34" i="17"/>
  <c r="R34" i="17"/>
  <c r="N35" i="17"/>
  <c r="O35" i="17"/>
  <c r="M36" i="17"/>
  <c r="N43" i="15"/>
  <c r="O42" i="15"/>
  <c r="P35" i="17"/>
  <c r="Q35" i="17"/>
  <c r="N44" i="15"/>
  <c r="O43" i="15"/>
  <c r="R35" i="17"/>
  <c r="N36" i="17"/>
  <c r="O36" i="17"/>
  <c r="M37" i="17"/>
  <c r="R36" i="17"/>
  <c r="P36" i="17"/>
  <c r="Q36" i="17"/>
  <c r="M38" i="17"/>
  <c r="N37" i="17"/>
  <c r="O37" i="17"/>
  <c r="N45" i="15"/>
  <c r="O44" i="15"/>
  <c r="N46" i="15"/>
  <c r="O45" i="15"/>
  <c r="P37" i="17"/>
  <c r="Q37" i="17"/>
  <c r="R37" i="17"/>
  <c r="M39" i="17"/>
  <c r="N38" i="17"/>
  <c r="O38" i="17"/>
  <c r="R38" i="17"/>
  <c r="P38" i="17"/>
  <c r="Q38" i="17"/>
  <c r="N39" i="17"/>
  <c r="O39" i="17"/>
  <c r="M40" i="17"/>
  <c r="R39" i="17"/>
  <c r="N47" i="15"/>
  <c r="O46" i="15"/>
  <c r="N40" i="17"/>
  <c r="O40" i="17"/>
  <c r="M41" i="17"/>
  <c r="R40" i="17"/>
  <c r="N48" i="15"/>
  <c r="O47" i="15"/>
  <c r="P39" i="17"/>
  <c r="Q39" i="17"/>
  <c r="N41" i="17"/>
  <c r="O41" i="17"/>
  <c r="M42" i="17"/>
  <c r="R41" i="17"/>
  <c r="N49" i="15"/>
  <c r="O48" i="15"/>
  <c r="P40" i="17"/>
  <c r="Q40" i="17"/>
  <c r="N42" i="17"/>
  <c r="O42" i="17"/>
  <c r="M43" i="17"/>
  <c r="R42" i="17"/>
  <c r="N50" i="15"/>
  <c r="O49" i="15"/>
  <c r="P41" i="17"/>
  <c r="Q41" i="17"/>
  <c r="M44" i="17"/>
  <c r="R43" i="17"/>
  <c r="N43" i="17"/>
  <c r="O43" i="17"/>
  <c r="N51" i="15"/>
  <c r="O50" i="15"/>
  <c r="P42" i="17"/>
  <c r="Q42" i="17"/>
  <c r="N52" i="15"/>
  <c r="O51" i="15"/>
  <c r="P43" i="17"/>
  <c r="Q43" i="17"/>
  <c r="N44" i="17"/>
  <c r="O44" i="17"/>
  <c r="M45" i="17"/>
  <c r="N45" i="17"/>
  <c r="O45" i="17"/>
  <c r="M46" i="17"/>
  <c r="R45" i="17"/>
  <c r="P44" i="17"/>
  <c r="Q44" i="17"/>
  <c r="R44" i="17"/>
  <c r="N53" i="15"/>
  <c r="O52" i="15"/>
  <c r="N54" i="15"/>
  <c r="O53" i="15"/>
  <c r="M47" i="17"/>
  <c r="N46" i="17"/>
  <c r="O46" i="17"/>
  <c r="P45" i="17"/>
  <c r="Q45" i="17"/>
  <c r="M48" i="17"/>
  <c r="R47" i="17"/>
  <c r="N47" i="17"/>
  <c r="O47" i="17"/>
  <c r="P46" i="17"/>
  <c r="Q46" i="17"/>
  <c r="R46" i="17"/>
  <c r="N55" i="15"/>
  <c r="O54" i="15"/>
  <c r="N56" i="15"/>
  <c r="P47" i="17"/>
  <c r="Q47" i="17"/>
  <c r="M49" i="17"/>
  <c r="N48" i="17"/>
  <c r="O48" i="17"/>
  <c r="R48" i="17"/>
  <c r="P48" i="17"/>
  <c r="Q48" i="17"/>
  <c r="N49" i="17"/>
  <c r="O49" i="17"/>
  <c r="M50" i="17"/>
  <c r="R49" i="17"/>
  <c r="N57" i="15"/>
  <c r="O56" i="15"/>
  <c r="N58" i="15"/>
  <c r="O57" i="15"/>
  <c r="M51" i="17"/>
  <c r="N50" i="17"/>
  <c r="O50" i="17"/>
  <c r="P49" i="17"/>
  <c r="Q49" i="17"/>
  <c r="P50" i="17"/>
  <c r="Q50" i="17"/>
  <c r="R50" i="17"/>
  <c r="M52" i="17"/>
  <c r="N51" i="17"/>
  <c r="O51" i="17"/>
  <c r="N59" i="15"/>
  <c r="O58" i="15"/>
  <c r="P51" i="17"/>
  <c r="Q51" i="17"/>
  <c r="N60" i="15"/>
  <c r="O59" i="15"/>
  <c r="R51" i="17"/>
  <c r="M53" i="17"/>
  <c r="N52" i="17"/>
  <c r="O52" i="17"/>
  <c r="N53" i="17"/>
  <c r="O53" i="17"/>
  <c r="M54" i="17"/>
  <c r="R53" i="17"/>
  <c r="N61" i="15"/>
  <c r="O60" i="15"/>
  <c r="P52" i="17"/>
  <c r="Q52" i="17"/>
  <c r="R52" i="17"/>
  <c r="N62" i="15"/>
  <c r="O61" i="15"/>
  <c r="M55" i="17"/>
  <c r="N54" i="17"/>
  <c r="O54" i="17"/>
  <c r="P53" i="17"/>
  <c r="Q53" i="17"/>
  <c r="R54" i="17"/>
  <c r="M56" i="17"/>
  <c r="N55" i="17"/>
  <c r="P54" i="17"/>
  <c r="Q54" i="17"/>
  <c r="N63" i="15"/>
  <c r="O62" i="15"/>
  <c r="P55" i="17"/>
  <c r="Q55" i="17"/>
  <c r="N64" i="15"/>
  <c r="O63" i="15"/>
  <c r="N56" i="17"/>
  <c r="O56" i="17"/>
  <c r="M57" i="17"/>
  <c r="R55" i="17"/>
  <c r="P56" i="17"/>
  <c r="Q56" i="17"/>
  <c r="R56" i="17"/>
  <c r="N57" i="17"/>
  <c r="O57" i="17"/>
  <c r="M58" i="17"/>
  <c r="R57" i="17"/>
  <c r="N65" i="15"/>
  <c r="O64" i="15"/>
  <c r="N66" i="15"/>
  <c r="O65" i="15"/>
  <c r="N58" i="17"/>
  <c r="O58" i="17"/>
  <c r="M59" i="17"/>
  <c r="R58" i="17"/>
  <c r="P57" i="17"/>
  <c r="Q57" i="17"/>
  <c r="N59" i="17"/>
  <c r="O59" i="17"/>
  <c r="M60" i="17"/>
  <c r="R59" i="17"/>
  <c r="P58" i="17"/>
  <c r="Q58" i="17"/>
  <c r="N67" i="15"/>
  <c r="O66" i="15"/>
  <c r="N60" i="17"/>
  <c r="O60" i="17"/>
  <c r="R60" i="17"/>
  <c r="M61" i="17"/>
  <c r="N68" i="15"/>
  <c r="O67" i="15"/>
  <c r="P59" i="17"/>
  <c r="Q59" i="17"/>
  <c r="N69" i="15"/>
  <c r="O68" i="15"/>
  <c r="N61" i="17"/>
  <c r="O61" i="17"/>
  <c r="M62" i="17"/>
  <c r="P60" i="17"/>
  <c r="Q60" i="17"/>
  <c r="P61" i="17"/>
  <c r="Q61" i="17"/>
  <c r="N62" i="17"/>
  <c r="O62" i="17"/>
  <c r="M63" i="17"/>
  <c r="R61" i="17"/>
  <c r="N70" i="15"/>
  <c r="O69" i="15"/>
  <c r="N71" i="15"/>
  <c r="O70" i="15"/>
  <c r="P62" i="17"/>
  <c r="Q62" i="17"/>
  <c r="R62" i="17"/>
  <c r="N63" i="17"/>
  <c r="O63" i="17"/>
  <c r="M64" i="17"/>
  <c r="R63" i="17"/>
  <c r="R64" i="17"/>
  <c r="N64" i="17"/>
  <c r="O64" i="17"/>
  <c r="M65" i="17"/>
  <c r="P63" i="17"/>
  <c r="Q63" i="17"/>
  <c r="N72" i="15"/>
  <c r="O71" i="15"/>
  <c r="N73" i="15"/>
  <c r="O72" i="15"/>
  <c r="N65" i="17"/>
  <c r="O65" i="17"/>
  <c r="M66" i="17"/>
  <c r="P64" i="17"/>
  <c r="Q64" i="17"/>
  <c r="M67" i="17"/>
  <c r="R66" i="17"/>
  <c r="N66" i="17"/>
  <c r="O66" i="17"/>
  <c r="P65" i="17"/>
  <c r="Q65" i="17"/>
  <c r="R65" i="17"/>
  <c r="N74" i="15"/>
  <c r="O73" i="15"/>
  <c r="N75" i="15"/>
  <c r="O74" i="15"/>
  <c r="P66" i="17"/>
  <c r="Q66" i="17"/>
  <c r="N67" i="17"/>
  <c r="O67" i="17"/>
  <c r="M68" i="17"/>
  <c r="P67" i="17"/>
  <c r="Q67" i="17"/>
  <c r="R67" i="17"/>
  <c r="M69" i="17"/>
  <c r="N68" i="17"/>
  <c r="O68" i="17"/>
  <c r="N76" i="15"/>
  <c r="O75" i="15"/>
  <c r="R68" i="17"/>
  <c r="N77" i="15"/>
  <c r="O76" i="15"/>
  <c r="P68" i="17"/>
  <c r="Q68" i="17"/>
  <c r="N69" i="17"/>
  <c r="O69" i="17"/>
  <c r="M70" i="17"/>
  <c r="M71" i="17"/>
  <c r="R70" i="17"/>
  <c r="N70" i="17"/>
  <c r="O70" i="17"/>
  <c r="N78" i="15"/>
  <c r="O77" i="15"/>
  <c r="P69" i="17"/>
  <c r="Q69" i="17"/>
  <c r="R69" i="17"/>
  <c r="N79" i="15"/>
  <c r="O78" i="15"/>
  <c r="P70" i="17"/>
  <c r="Q70" i="17"/>
  <c r="N71" i="17"/>
  <c r="O71" i="17"/>
  <c r="M72" i="17"/>
  <c r="R71" i="17"/>
  <c r="P71" i="17"/>
  <c r="Q71" i="17"/>
  <c r="M73" i="17"/>
  <c r="N72" i="17"/>
  <c r="O72" i="17"/>
  <c r="N80" i="15"/>
  <c r="O79" i="15"/>
  <c r="N81" i="15"/>
  <c r="O80" i="15"/>
  <c r="P72" i="17"/>
  <c r="Q72" i="17"/>
  <c r="R72" i="17"/>
  <c r="R73" i="17"/>
  <c r="N73" i="17"/>
  <c r="O73" i="17"/>
  <c r="M74" i="17"/>
  <c r="M75" i="17"/>
  <c r="R74" i="17"/>
  <c r="N74" i="17"/>
  <c r="O74" i="17"/>
  <c r="P73" i="17"/>
  <c r="Q73" i="17"/>
  <c r="N82" i="15"/>
  <c r="O81" i="15"/>
  <c r="N83" i="15"/>
  <c r="O82" i="15"/>
  <c r="P74" i="17"/>
  <c r="Q74" i="17"/>
  <c r="N75" i="17"/>
  <c r="O75" i="17"/>
  <c r="M76" i="17"/>
  <c r="R75" i="17"/>
  <c r="P75" i="17"/>
  <c r="Q75" i="17"/>
  <c r="M77" i="17"/>
  <c r="N76" i="17"/>
  <c r="O76" i="17"/>
  <c r="N84" i="15"/>
  <c r="O83" i="15"/>
  <c r="N85" i="15"/>
  <c r="O84" i="15"/>
  <c r="R76" i="17"/>
  <c r="P76" i="17"/>
  <c r="Q76" i="17"/>
  <c r="N77" i="17"/>
  <c r="O77" i="17"/>
  <c r="M78" i="17"/>
  <c r="P77" i="17"/>
  <c r="Q77" i="17"/>
  <c r="M79" i="17"/>
  <c r="N78" i="17"/>
  <c r="O78" i="17"/>
  <c r="R77" i="17"/>
  <c r="N86" i="15"/>
  <c r="O85" i="15"/>
  <c r="N87" i="15"/>
  <c r="O86" i="15"/>
  <c r="R78" i="17"/>
  <c r="N79" i="17"/>
  <c r="O79" i="17"/>
  <c r="M80" i="17"/>
  <c r="R79" i="17"/>
  <c r="P78" i="17"/>
  <c r="Q78" i="17"/>
  <c r="M81" i="17"/>
  <c r="N80" i="17"/>
  <c r="O80" i="17"/>
  <c r="P79" i="17"/>
  <c r="Q79" i="17"/>
  <c r="N88" i="15"/>
  <c r="O87" i="15"/>
  <c r="N89" i="15"/>
  <c r="O88" i="15"/>
  <c r="P80" i="17"/>
  <c r="Q80" i="17"/>
  <c r="R80" i="17"/>
  <c r="N81" i="17"/>
  <c r="O81" i="17"/>
  <c r="M82" i="17"/>
  <c r="M83" i="17"/>
  <c r="R82" i="17"/>
  <c r="N82" i="17"/>
  <c r="O82" i="17"/>
  <c r="R81" i="17"/>
  <c r="P81" i="17"/>
  <c r="Q81" i="17"/>
  <c r="N90" i="15"/>
  <c r="O89" i="15"/>
  <c r="P82" i="17"/>
  <c r="Q82" i="17"/>
  <c r="N91" i="15"/>
  <c r="O90" i="15"/>
  <c r="N83" i="17"/>
  <c r="O83" i="17"/>
  <c r="M84" i="17"/>
  <c r="R83" i="17"/>
  <c r="P83" i="17"/>
  <c r="Q83" i="17"/>
  <c r="N92" i="15"/>
  <c r="O91" i="15"/>
  <c r="N84" i="17"/>
  <c r="O84" i="17"/>
  <c r="M85" i="17"/>
  <c r="R84" i="17"/>
  <c r="N85" i="17"/>
  <c r="O85" i="17"/>
  <c r="M86" i="17"/>
  <c r="N93" i="15"/>
  <c r="O92" i="15"/>
  <c r="P84" i="17"/>
  <c r="Q84" i="17"/>
  <c r="N94" i="15"/>
  <c r="O93" i="15"/>
  <c r="N86" i="17"/>
  <c r="O86" i="17"/>
  <c r="M87" i="17"/>
  <c r="R86" i="17"/>
  <c r="P85" i="17"/>
  <c r="Q85" i="17"/>
  <c r="R85" i="17"/>
  <c r="N87" i="17"/>
  <c r="O87" i="17"/>
  <c r="M88" i="17"/>
  <c r="P86" i="17"/>
  <c r="Q86" i="17"/>
  <c r="N95" i="15"/>
  <c r="O94" i="15"/>
  <c r="N96" i="15"/>
  <c r="O95" i="15"/>
  <c r="R87" i="17"/>
  <c r="N88" i="17"/>
  <c r="O88" i="17"/>
  <c r="M89" i="17"/>
  <c r="P87" i="17"/>
  <c r="Q87" i="17"/>
  <c r="R88" i="17"/>
  <c r="R89" i="17"/>
  <c r="N89" i="17"/>
  <c r="O89" i="17"/>
  <c r="M90" i="17"/>
  <c r="P88" i="17"/>
  <c r="Q88" i="17"/>
  <c r="N97" i="15"/>
  <c r="O96" i="15"/>
  <c r="N98" i="15"/>
  <c r="O97" i="15"/>
  <c r="N90" i="17"/>
  <c r="O90" i="17"/>
  <c r="M91" i="17"/>
  <c r="R90" i="17"/>
  <c r="P89" i="17"/>
  <c r="Q89" i="17"/>
  <c r="N91" i="17"/>
  <c r="O91" i="17"/>
  <c r="M92" i="17"/>
  <c r="P90" i="17"/>
  <c r="Q90" i="17"/>
  <c r="N99" i="15"/>
  <c r="O98" i="15"/>
  <c r="N100" i="15"/>
  <c r="O99" i="15"/>
  <c r="R91" i="17"/>
  <c r="N92" i="17"/>
  <c r="O92" i="17"/>
  <c r="M93" i="17"/>
  <c r="P91" i="17"/>
  <c r="Q91" i="17"/>
  <c r="N93" i="17"/>
  <c r="O93" i="17"/>
  <c r="M94" i="17"/>
  <c r="P92" i="17"/>
  <c r="Q92" i="17"/>
  <c r="R92" i="17"/>
  <c r="N101" i="15"/>
  <c r="O100" i="15"/>
  <c r="N102" i="15"/>
  <c r="O101" i="15"/>
  <c r="R94" i="17"/>
  <c r="N94" i="17"/>
  <c r="O94" i="17"/>
  <c r="M95" i="17"/>
  <c r="P93" i="17"/>
  <c r="Q93" i="17"/>
  <c r="R93" i="17"/>
  <c r="N95" i="17"/>
  <c r="O95" i="17"/>
  <c r="M96" i="17"/>
  <c r="R95" i="17"/>
  <c r="P94" i="17"/>
  <c r="Q94" i="17"/>
  <c r="N103" i="15"/>
  <c r="O102" i="15"/>
  <c r="N96" i="17"/>
  <c r="O96" i="17"/>
  <c r="M97" i="17"/>
  <c r="N104" i="15"/>
  <c r="O104" i="15"/>
  <c r="O103" i="15"/>
  <c r="P95" i="17"/>
  <c r="Q95" i="17"/>
  <c r="N97" i="17"/>
  <c r="O97" i="17"/>
  <c r="M98" i="17"/>
  <c r="P96" i="17"/>
  <c r="Q96" i="17"/>
  <c r="R96" i="17"/>
  <c r="P97" i="17"/>
  <c r="Q97" i="17"/>
  <c r="M99" i="17"/>
  <c r="N98" i="17"/>
  <c r="O98" i="17"/>
  <c r="R97" i="17"/>
  <c r="P98" i="17"/>
  <c r="Q98" i="17"/>
  <c r="R98" i="17"/>
  <c r="N99" i="17"/>
  <c r="O99" i="17"/>
  <c r="M100" i="17"/>
  <c r="R99" i="17"/>
  <c r="M101" i="17"/>
  <c r="N100" i="17"/>
  <c r="O100" i="17"/>
  <c r="P99" i="17"/>
  <c r="Q99" i="17"/>
  <c r="R100" i="17"/>
  <c r="P100" i="17"/>
  <c r="Q100" i="17"/>
  <c r="N101" i="17"/>
  <c r="O101" i="17"/>
  <c r="M102" i="17"/>
  <c r="R101" i="17"/>
  <c r="P101" i="17"/>
  <c r="Q101" i="17"/>
  <c r="M103" i="17"/>
  <c r="N102" i="17"/>
  <c r="O102" i="17"/>
  <c r="N103" i="17"/>
  <c r="O103" i="17"/>
  <c r="M104" i="17"/>
  <c r="R103" i="17"/>
  <c r="R102" i="17"/>
  <c r="P102" i="17"/>
  <c r="Q102" i="17"/>
  <c r="M105" i="17"/>
  <c r="N104" i="17"/>
  <c r="O104" i="17"/>
  <c r="P103" i="17"/>
  <c r="Q103" i="17"/>
  <c r="R104" i="17"/>
  <c r="P104" i="17"/>
  <c r="Q104" i="17"/>
  <c r="N105" i="17"/>
  <c r="O105" i="17"/>
  <c r="M106" i="17"/>
  <c r="P105" i="17"/>
  <c r="Q105" i="17"/>
  <c r="R105" i="17"/>
  <c r="M107" i="17"/>
  <c r="N106" i="17"/>
  <c r="O106" i="17"/>
  <c r="P106" i="17"/>
  <c r="Q106" i="17"/>
  <c r="N107" i="17"/>
  <c r="O107" i="17"/>
  <c r="M108" i="17"/>
  <c r="R107" i="17"/>
  <c r="R106" i="17"/>
  <c r="M109" i="17"/>
  <c r="N108" i="17"/>
  <c r="O108" i="17"/>
  <c r="P107" i="17"/>
  <c r="Q107" i="17"/>
  <c r="R108" i="17"/>
  <c r="P108" i="17"/>
  <c r="Q108" i="17"/>
  <c r="N109" i="17"/>
  <c r="O109" i="17"/>
  <c r="M110" i="17"/>
  <c r="P109" i="17"/>
  <c r="Q109" i="17"/>
  <c r="M111" i="17"/>
  <c r="N110" i="17"/>
  <c r="O110" i="17"/>
  <c r="R109" i="17"/>
  <c r="P110" i="17"/>
  <c r="Q110" i="17"/>
  <c r="N111" i="17"/>
  <c r="O111" i="17"/>
  <c r="M112" i="17"/>
  <c r="R110" i="17"/>
  <c r="R111" i="17"/>
  <c r="P111" i="17"/>
  <c r="Q111" i="17"/>
  <c r="M113" i="17"/>
  <c r="N112" i="17"/>
  <c r="O112" i="17"/>
  <c r="N113" i="17"/>
  <c r="O113" i="17"/>
  <c r="M114" i="17"/>
  <c r="P112" i="17"/>
  <c r="Q112" i="17"/>
  <c r="R112" i="17"/>
  <c r="M115" i="17"/>
  <c r="N114" i="17"/>
  <c r="O114" i="17"/>
  <c r="P113" i="17"/>
  <c r="Q113" i="17"/>
  <c r="R113" i="17"/>
  <c r="P114" i="17"/>
  <c r="Q114" i="17"/>
  <c r="R114" i="17"/>
  <c r="N115" i="17"/>
  <c r="O115" i="17"/>
  <c r="M116" i="17"/>
  <c r="R115" i="17"/>
  <c r="N116" i="17"/>
  <c r="O116" i="17"/>
  <c r="M117" i="17"/>
  <c r="R116" i="17"/>
  <c r="P115" i="17"/>
  <c r="Q115" i="17"/>
  <c r="N117" i="17"/>
  <c r="O117" i="17"/>
  <c r="M118" i="17"/>
  <c r="P116" i="17"/>
  <c r="Q116" i="17"/>
  <c r="N118" i="17"/>
  <c r="O118" i="17"/>
  <c r="M119" i="17"/>
  <c r="R118" i="17"/>
  <c r="P117" i="17"/>
  <c r="Q117" i="17"/>
  <c r="R117" i="17"/>
  <c r="N119" i="17"/>
  <c r="O119" i="17"/>
  <c r="M120" i="17"/>
  <c r="R119" i="17"/>
  <c r="P118" i="17"/>
  <c r="Q118" i="17"/>
  <c r="N120" i="17"/>
  <c r="O120" i="17"/>
  <c r="M121" i="17"/>
  <c r="R120" i="17"/>
  <c r="P119" i="17"/>
  <c r="Q119" i="17"/>
  <c r="N121" i="17"/>
  <c r="O121" i="17"/>
  <c r="M122" i="17"/>
  <c r="P120" i="17"/>
  <c r="Q120" i="17"/>
  <c r="N122" i="17"/>
  <c r="O122" i="17"/>
  <c r="M123" i="17"/>
  <c r="R122" i="17"/>
  <c r="P121" i="17"/>
  <c r="Q121" i="17"/>
  <c r="R121" i="17"/>
  <c r="N123" i="17"/>
  <c r="O123" i="17"/>
  <c r="M124" i="17"/>
  <c r="P122" i="17"/>
  <c r="Q122" i="17"/>
  <c r="R123" i="17"/>
  <c r="N124" i="17"/>
  <c r="O124" i="17"/>
  <c r="M125" i="17"/>
  <c r="R124" i="17"/>
  <c r="P123" i="17"/>
  <c r="Q123" i="17"/>
  <c r="N125" i="17"/>
  <c r="O125" i="17"/>
  <c r="M126" i="17"/>
  <c r="P124" i="17"/>
  <c r="Q124" i="17"/>
  <c r="P125" i="17"/>
  <c r="Q125" i="17"/>
  <c r="N126" i="17"/>
  <c r="O126" i="17"/>
  <c r="M127" i="17"/>
  <c r="R125" i="17"/>
  <c r="P126" i="17"/>
  <c r="Q126" i="17"/>
  <c r="N127" i="17"/>
  <c r="O127" i="17"/>
  <c r="M128" i="17"/>
  <c r="R127" i="17"/>
  <c r="R126" i="17"/>
  <c r="N128" i="17"/>
  <c r="O128" i="17"/>
  <c r="M129" i="17"/>
  <c r="P127" i="17"/>
  <c r="Q127" i="17"/>
  <c r="N129" i="17"/>
  <c r="O129" i="17"/>
  <c r="M130" i="17"/>
  <c r="P128" i="17"/>
  <c r="Q128" i="17"/>
  <c r="R128" i="17"/>
  <c r="P129" i="17"/>
  <c r="Q129" i="17"/>
  <c r="M131" i="17"/>
  <c r="N130" i="17"/>
  <c r="O130" i="17"/>
  <c r="R129" i="17"/>
  <c r="P130" i="17"/>
  <c r="Q130" i="17"/>
  <c r="R130" i="17"/>
  <c r="N131" i="17"/>
  <c r="O131" i="17"/>
  <c r="M132" i="17"/>
  <c r="R131" i="17"/>
  <c r="M133" i="17"/>
  <c r="N132" i="17"/>
  <c r="O132" i="17"/>
  <c r="P131" i="17"/>
  <c r="Q131" i="17"/>
  <c r="R132" i="17"/>
  <c r="P132" i="17"/>
  <c r="Q132" i="17"/>
  <c r="N133" i="17"/>
  <c r="O133" i="17"/>
  <c r="M134" i="17"/>
  <c r="M135" i="17"/>
  <c r="N134" i="17"/>
  <c r="O134" i="17"/>
  <c r="R133" i="17"/>
  <c r="P133" i="17"/>
  <c r="Q133" i="17"/>
  <c r="P134" i="17"/>
  <c r="Q134" i="17"/>
  <c r="R134" i="17"/>
  <c r="N135" i="17"/>
  <c r="O135" i="17"/>
  <c r="M136" i="17"/>
  <c r="R135" i="17"/>
  <c r="M137" i="17"/>
  <c r="N136" i="17"/>
  <c r="O136" i="17"/>
  <c r="P135" i="17"/>
  <c r="Q135" i="17"/>
  <c r="P136" i="17"/>
  <c r="Q136" i="17"/>
  <c r="R136" i="17"/>
  <c r="N137" i="17"/>
  <c r="O137" i="17"/>
  <c r="M138" i="17"/>
  <c r="M139" i="17"/>
  <c r="N138" i="17"/>
  <c r="O138" i="17"/>
  <c r="P137" i="17"/>
  <c r="Q137" i="17"/>
  <c r="R137" i="17"/>
  <c r="R138" i="17"/>
  <c r="P138" i="17"/>
  <c r="Q138" i="17"/>
  <c r="N139" i="17"/>
  <c r="O139" i="17"/>
  <c r="M140" i="17"/>
  <c r="R139" i="17"/>
  <c r="M141" i="17"/>
  <c r="N140" i="17"/>
  <c r="O140" i="17"/>
  <c r="P139" i="17"/>
  <c r="Q139" i="17"/>
  <c r="P140" i="17"/>
  <c r="Q140" i="17"/>
  <c r="R140" i="17"/>
  <c r="N141" i="17"/>
  <c r="O141" i="17"/>
  <c r="M142" i="17"/>
  <c r="M143" i="17"/>
  <c r="N142" i="17"/>
  <c r="O142" i="17"/>
  <c r="P141" i="17"/>
  <c r="Q141" i="17"/>
  <c r="R141" i="17"/>
  <c r="R142" i="17"/>
  <c r="P142" i="17"/>
  <c r="Q142" i="17"/>
  <c r="N143" i="17"/>
  <c r="O143" i="17"/>
  <c r="M144" i="17"/>
  <c r="P143" i="17"/>
  <c r="Q143" i="17"/>
  <c r="R143" i="17"/>
  <c r="M145" i="17"/>
  <c r="N144" i="17"/>
  <c r="O144" i="17"/>
  <c r="P144" i="17"/>
  <c r="Q144" i="17"/>
  <c r="R144" i="17"/>
  <c r="N145" i="17"/>
  <c r="O145" i="17"/>
  <c r="M146" i="17"/>
  <c r="P145" i="17"/>
  <c r="Q145" i="17"/>
  <c r="M147" i="17"/>
  <c r="N146" i="17"/>
  <c r="O146" i="17"/>
  <c r="R145" i="17"/>
  <c r="R146" i="17"/>
  <c r="P146" i="17"/>
  <c r="Q146" i="17"/>
  <c r="N147" i="17"/>
  <c r="O147" i="17"/>
  <c r="M148" i="17"/>
  <c r="P147" i="17"/>
  <c r="Q147" i="17"/>
  <c r="R147" i="17"/>
  <c r="N148" i="17"/>
  <c r="O148" i="17"/>
  <c r="M149" i="17"/>
  <c r="R148" i="17"/>
  <c r="N149" i="17"/>
  <c r="O149" i="17"/>
  <c r="M150" i="17"/>
  <c r="P148" i="17"/>
  <c r="Q148" i="17"/>
  <c r="P149" i="17"/>
  <c r="Q149" i="17"/>
  <c r="N150" i="17"/>
  <c r="O150" i="17"/>
  <c r="M151" i="17"/>
  <c r="R150" i="17"/>
  <c r="R149" i="17"/>
  <c r="N151" i="17"/>
  <c r="O151" i="17"/>
  <c r="M152" i="17"/>
  <c r="R151" i="17"/>
  <c r="P150" i="17"/>
  <c r="Q150" i="17"/>
  <c r="M153" i="17"/>
  <c r="N152" i="17"/>
  <c r="O152" i="17"/>
  <c r="P151" i="17"/>
  <c r="Q151" i="17"/>
  <c r="P152" i="17"/>
  <c r="Q152" i="17"/>
  <c r="R152" i="17"/>
  <c r="N153" i="17"/>
  <c r="O153" i="17"/>
  <c r="P153" i="17"/>
  <c r="Q153" i="17"/>
  <c r="R153" i="17"/>
  <c r="M17" i="20"/>
  <c r="N17" i="20"/>
  <c r="D3" i="27"/>
  <c r="I16" i="27"/>
  <c r="T16" i="27"/>
  <c r="J16" i="27" a="1"/>
  <c r="J16" i="27"/>
  <c r="K16" i="27"/>
  <c r="L16" i="27" a="1"/>
  <c r="L16" i="27"/>
  <c r="N16" i="27"/>
  <c r="I13" i="27"/>
  <c r="I20" i="27"/>
  <c r="I6" i="27"/>
  <c r="I18" i="27"/>
  <c r="I19" i="27"/>
  <c r="I15" i="27"/>
  <c r="I17" i="27"/>
  <c r="I8" i="27"/>
  <c r="I7" i="27"/>
  <c r="I12" i="27"/>
  <c r="I14" i="27"/>
  <c r="I11" i="27"/>
  <c r="I4" i="27"/>
  <c r="I10" i="27"/>
  <c r="I9" i="27"/>
  <c r="I5" i="27"/>
  <c r="I3" i="27"/>
  <c r="L6" i="27" a="1"/>
  <c r="L6" i="27"/>
  <c r="N6" i="27"/>
  <c r="T6" i="27"/>
  <c r="J6" i="27" a="1"/>
  <c r="J6" i="27"/>
  <c r="K6" i="27"/>
  <c r="L20" i="27" a="1"/>
  <c r="L20" i="27"/>
  <c r="N20" i="27"/>
  <c r="T20" i="27"/>
  <c r="J20" i="27" a="1"/>
  <c r="J20" i="27"/>
  <c r="K20" i="27"/>
  <c r="L11" i="27" a="1"/>
  <c r="L11" i="27"/>
  <c r="N11" i="27"/>
  <c r="J11" i="27" a="1"/>
  <c r="J11" i="27"/>
  <c r="K11" i="27"/>
  <c r="T11" i="27"/>
  <c r="T14" i="27"/>
  <c r="J14" i="27" a="1"/>
  <c r="J14" i="27"/>
  <c r="K14" i="27"/>
  <c r="L14" i="27" a="1"/>
  <c r="L14" i="27"/>
  <c r="N14" i="27"/>
  <c r="T7" i="27"/>
  <c r="L7" i="27" a="1"/>
  <c r="L7" i="27"/>
  <c r="N7" i="27"/>
  <c r="J7" i="27" a="1"/>
  <c r="J7" i="27"/>
  <c r="K7" i="27"/>
  <c r="T13" i="27"/>
  <c r="J13" i="27" a="1"/>
  <c r="J13" i="27"/>
  <c r="K13" i="27"/>
  <c r="L13" i="27" a="1"/>
  <c r="L13" i="27"/>
  <c r="N13" i="27"/>
  <c r="J3" i="27" a="1"/>
  <c r="J3" i="27"/>
  <c r="K3" i="27"/>
  <c r="L3" i="27" a="1"/>
  <c r="L3" i="27"/>
  <c r="N3" i="27"/>
  <c r="T3" i="27"/>
  <c r="J5" i="27" a="1"/>
  <c r="J5" i="27"/>
  <c r="K5" i="27"/>
  <c r="T5" i="27"/>
  <c r="L5" i="27" a="1"/>
  <c r="L5" i="27"/>
  <c r="N5" i="27"/>
  <c r="L8" i="27" a="1"/>
  <c r="L8" i="27"/>
  <c r="N8" i="27"/>
  <c r="T8" i="27"/>
  <c r="J8" i="27" a="1"/>
  <c r="J8" i="27"/>
  <c r="K8" i="27"/>
  <c r="M16" i="27"/>
  <c r="O16" i="27"/>
  <c r="L18" i="27" a="1"/>
  <c r="L18" i="27"/>
  <c r="N18" i="27"/>
  <c r="T18" i="27"/>
  <c r="J18" i="27" a="1"/>
  <c r="J18" i="27"/>
  <c r="K18" i="27"/>
  <c r="J12" i="27" a="1"/>
  <c r="J12" i="27"/>
  <c r="K12" i="27"/>
  <c r="L12" i="27" a="1"/>
  <c r="L12" i="27"/>
  <c r="N12" i="27"/>
  <c r="T12" i="27"/>
  <c r="L9" i="27" a="1"/>
  <c r="L9" i="27"/>
  <c r="N9" i="27"/>
  <c r="T9" i="27"/>
  <c r="J9" i="27" a="1"/>
  <c r="J9" i="27"/>
  <c r="K9" i="27"/>
  <c r="T17" i="27"/>
  <c r="J17" i="27" a="1"/>
  <c r="J17" i="27"/>
  <c r="K17" i="27"/>
  <c r="L17" i="27" a="1"/>
  <c r="L17" i="27"/>
  <c r="N17" i="27"/>
  <c r="L10" i="27" a="1"/>
  <c r="L10" i="27"/>
  <c r="N10" i="27"/>
  <c r="J10" i="27" a="1"/>
  <c r="J10" i="27"/>
  <c r="K10" i="27"/>
  <c r="T10" i="27"/>
  <c r="J15" i="27" a="1"/>
  <c r="J15" i="27"/>
  <c r="K15" i="27"/>
  <c r="L15" i="27" a="1"/>
  <c r="L15" i="27"/>
  <c r="N15" i="27"/>
  <c r="T15" i="27"/>
  <c r="T4" i="27"/>
  <c r="J4" i="27" a="1"/>
  <c r="J4" i="27"/>
  <c r="K4" i="27"/>
  <c r="L4" i="27" a="1"/>
  <c r="L4" i="27"/>
  <c r="N4" i="27"/>
  <c r="T19" i="27"/>
  <c r="J19" i="27" a="1"/>
  <c r="J19" i="27"/>
  <c r="K19" i="27"/>
  <c r="L19" i="27" a="1"/>
  <c r="L19" i="27"/>
  <c r="N19" i="27"/>
  <c r="U16" i="27"/>
  <c r="P16" i="27"/>
  <c r="Q16" i="27"/>
  <c r="M7" i="27"/>
  <c r="O7" i="27"/>
  <c r="P7" i="27"/>
  <c r="Q7" i="27"/>
  <c r="M20" i="27"/>
  <c r="O20" i="27"/>
  <c r="P20" i="27"/>
  <c r="Q20" i="27"/>
  <c r="U7" i="27"/>
  <c r="M8" i="27"/>
  <c r="O8" i="27"/>
  <c r="M13" i="27"/>
  <c r="O13" i="27"/>
  <c r="U20" i="27"/>
  <c r="M17" i="27"/>
  <c r="O17" i="27"/>
  <c r="M19" i="27"/>
  <c r="O19" i="27"/>
  <c r="M10" i="27"/>
  <c r="O10" i="27"/>
  <c r="M18" i="27"/>
  <c r="O18" i="27"/>
  <c r="M4" i="27"/>
  <c r="O4" i="27"/>
  <c r="M9" i="27"/>
  <c r="O9" i="27"/>
  <c r="M14" i="27"/>
  <c r="O14" i="27"/>
  <c r="M5" i="27"/>
  <c r="O5" i="27"/>
  <c r="M15" i="27"/>
  <c r="O15" i="27"/>
  <c r="M12" i="27"/>
  <c r="O12" i="27"/>
  <c r="M3" i="27"/>
  <c r="O3" i="27"/>
  <c r="M11" i="27"/>
  <c r="O11" i="27"/>
  <c r="M6" i="27"/>
  <c r="O6" i="27"/>
  <c r="U14" i="27"/>
  <c r="P14" i="27"/>
  <c r="Q14" i="27"/>
  <c r="U13" i="27"/>
  <c r="P13" i="27"/>
  <c r="Q13" i="27"/>
  <c r="U6" i="27"/>
  <c r="P6" i="27"/>
  <c r="Q6" i="27"/>
  <c r="U5" i="27"/>
  <c r="P5" i="27"/>
  <c r="Q5" i="27"/>
  <c r="U8" i="27"/>
  <c r="P8" i="27"/>
  <c r="Q8" i="27"/>
  <c r="U11" i="27"/>
  <c r="P11" i="27"/>
  <c r="Q11" i="27"/>
  <c r="U18" i="27"/>
  <c r="P18" i="27"/>
  <c r="Q18" i="27"/>
  <c r="U9" i="27"/>
  <c r="P9" i="27"/>
  <c r="Q9" i="27"/>
  <c r="U10" i="27"/>
  <c r="P10" i="27"/>
  <c r="Q10" i="27"/>
  <c r="U4" i="27"/>
  <c r="P4" i="27"/>
  <c r="Q4" i="27"/>
  <c r="U12" i="27"/>
  <c r="P12" i="27"/>
  <c r="Q12" i="27"/>
  <c r="U19" i="27"/>
  <c r="P19" i="27"/>
  <c r="Q19" i="27"/>
  <c r="U3" i="27"/>
  <c r="P3" i="27"/>
  <c r="Q3" i="27"/>
  <c r="U15" i="27"/>
  <c r="P15" i="27"/>
  <c r="Q15" i="27"/>
  <c r="U17" i="27"/>
  <c r="P17" i="27"/>
  <c r="Q17" i="27"/>
  <c r="G17" i="20"/>
  <c r="G13" i="20"/>
  <c r="H17" i="20"/>
  <c r="J17" i="20"/>
  <c r="K17" i="20"/>
  <c r="L17" i="20"/>
  <c r="O17" i="20"/>
  <c r="P17" i="20"/>
  <c r="AD17" i="20"/>
  <c r="AE17" i="20"/>
  <c r="AF17" i="20"/>
  <c r="AG17" i="20"/>
  <c r="AH17" i="20"/>
  <c r="AI17" i="20"/>
  <c r="G12" i="20"/>
  <c r="H13" i="20"/>
  <c r="G22" i="20"/>
  <c r="J13" i="20"/>
  <c r="AD13" i="20"/>
  <c r="H23" i="20"/>
  <c r="H24" i="20"/>
  <c r="J3" i="20"/>
  <c r="J5" i="20"/>
  <c r="H12" i="20"/>
  <c r="G10" i="20"/>
  <c r="Q3" i="20"/>
  <c r="J12" i="20"/>
  <c r="K12" i="20"/>
  <c r="L12" i="20"/>
  <c r="M12" i="20"/>
  <c r="AD12" i="20"/>
  <c r="AE12" i="20"/>
  <c r="AE13" i="20"/>
  <c r="AD23" i="20"/>
  <c r="K13" i="20"/>
  <c r="J23" i="20"/>
  <c r="AD10" i="20"/>
  <c r="AD25" i="20"/>
  <c r="H10" i="20"/>
  <c r="AE10" i="20"/>
  <c r="AG10" i="20"/>
  <c r="AD11" i="20"/>
  <c r="AF10" i="20"/>
  <c r="AF11" i="20"/>
  <c r="J24" i="20"/>
  <c r="J22" i="20"/>
  <c r="L13" i="20"/>
  <c r="AD24" i="20"/>
  <c r="AD22" i="20"/>
  <c r="AF13" i="20"/>
  <c r="AG13" i="20"/>
  <c r="AG12" i="20"/>
  <c r="AH12" i="20"/>
  <c r="AF12" i="20"/>
  <c r="N12" i="20"/>
  <c r="O12" i="20"/>
  <c r="K3" i="20"/>
  <c r="K5" i="20"/>
  <c r="H11" i="20"/>
  <c r="J10" i="20"/>
  <c r="J11" i="20"/>
  <c r="U9" i="20"/>
  <c r="P12" i="20"/>
  <c r="Q12" i="20"/>
  <c r="R12" i="20"/>
  <c r="S12" i="20"/>
  <c r="O13" i="20"/>
  <c r="AH13" i="20"/>
  <c r="AI13" i="20"/>
  <c r="P13" i="20"/>
  <c r="AI22" i="20"/>
  <c r="AI23" i="20"/>
  <c r="AI12" i="20"/>
  <c r="AE30" i="20"/>
  <c r="AE31" i="20"/>
  <c r="AH21" i="20" a="1"/>
  <c r="AH21" i="20" s="1"/>
  <c r="D3" i="25"/>
  <c r="E3" i="25"/>
  <c r="M28" i="25"/>
  <c r="H3" i="25"/>
  <c r="I3" i="25"/>
  <c r="F7" i="25"/>
  <c r="F8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I7" i="25"/>
  <c r="M7" i="25"/>
  <c r="N7" i="25"/>
  <c r="M10" i="25"/>
  <c r="M13" i="25"/>
  <c r="M14" i="25"/>
  <c r="M17" i="25"/>
  <c r="M20" i="25"/>
  <c r="M21" i="25"/>
  <c r="M24" i="25"/>
  <c r="M27" i="25"/>
  <c r="M31" i="25"/>
  <c r="M34" i="25"/>
  <c r="M37" i="25"/>
  <c r="M38" i="25"/>
  <c r="M39" i="25"/>
  <c r="M45" i="25"/>
  <c r="M46" i="25"/>
  <c r="M47" i="25"/>
  <c r="M53" i="25"/>
  <c r="M54" i="25"/>
  <c r="M55" i="25"/>
  <c r="M61" i="25"/>
  <c r="M62" i="25"/>
  <c r="M63" i="25"/>
  <c r="N8" i="25"/>
  <c r="I8" i="25"/>
  <c r="F9" i="25"/>
  <c r="M30" i="25"/>
  <c r="M43" i="25"/>
  <c r="M58" i="25"/>
  <c r="M49" i="25"/>
  <c r="M8" i="25"/>
  <c r="M68" i="25"/>
  <c r="M44" i="25"/>
  <c r="M33" i="25"/>
  <c r="M67" i="25"/>
  <c r="M26" i="25"/>
  <c r="M66" i="25"/>
  <c r="M22" i="25"/>
  <c r="M25" i="25"/>
  <c r="M16" i="25"/>
  <c r="M9" i="25"/>
  <c r="M59" i="25"/>
  <c r="M36" i="25"/>
  <c r="M12" i="25"/>
  <c r="M50" i="25"/>
  <c r="M15" i="25"/>
  <c r="M65" i="25"/>
  <c r="M18" i="25"/>
  <c r="M52" i="25"/>
  <c r="M23" i="25"/>
  <c r="M19" i="25"/>
  <c r="M29" i="25"/>
  <c r="M57" i="25"/>
  <c r="M64" i="25"/>
  <c r="M56" i="25"/>
  <c r="M48" i="25"/>
  <c r="M40" i="25"/>
  <c r="M35" i="25"/>
  <c r="M11" i="25"/>
  <c r="M60" i="25"/>
  <c r="M51" i="25"/>
  <c r="M42" i="25"/>
  <c r="M41" i="25"/>
  <c r="M32" i="25"/>
  <c r="I9" i="25"/>
  <c r="F10" i="25"/>
  <c r="N9" i="25"/>
  <c r="N10" i="25"/>
  <c r="I10" i="25"/>
  <c r="F11" i="25"/>
  <c r="I11" i="25"/>
  <c r="N11" i="25"/>
  <c r="F12" i="25"/>
  <c r="N12" i="25"/>
  <c r="F13" i="25"/>
  <c r="I12" i="25"/>
  <c r="I13" i="25"/>
  <c r="F14" i="25"/>
  <c r="N13" i="25"/>
  <c r="I14" i="25"/>
  <c r="N14" i="25"/>
  <c r="F15" i="25"/>
  <c r="N15" i="25"/>
  <c r="I15" i="25"/>
  <c r="F16" i="25"/>
  <c r="F17" i="25"/>
  <c r="I16" i="25"/>
  <c r="N16" i="25"/>
  <c r="I17" i="25"/>
  <c r="N17" i="25"/>
  <c r="F18" i="25"/>
  <c r="F19" i="25"/>
  <c r="I18" i="25"/>
  <c r="N18" i="25"/>
  <c r="I19" i="25"/>
  <c r="N19" i="25"/>
  <c r="F20" i="25"/>
  <c r="N20" i="25"/>
  <c r="I20" i="25"/>
  <c r="F21" i="25"/>
  <c r="N21" i="25"/>
  <c r="F22" i="25"/>
  <c r="I21" i="25"/>
  <c r="F23" i="25"/>
  <c r="I22" i="25"/>
  <c r="N22" i="25"/>
  <c r="N23" i="25"/>
  <c r="I23" i="25"/>
  <c r="F24" i="25"/>
  <c r="F25" i="25"/>
  <c r="N24" i="25"/>
  <c r="I24" i="25"/>
  <c r="N25" i="25"/>
  <c r="I25" i="25"/>
  <c r="F26" i="25"/>
  <c r="N26" i="25"/>
  <c r="F27" i="25"/>
  <c r="I26" i="25"/>
  <c r="N27" i="25"/>
  <c r="F28" i="25"/>
  <c r="I27" i="25"/>
  <c r="N28" i="25"/>
  <c r="F29" i="25"/>
  <c r="I28" i="25"/>
  <c r="I29" i="25"/>
  <c r="F30" i="25"/>
  <c r="N29" i="25"/>
  <c r="I30" i="25"/>
  <c r="F31" i="25"/>
  <c r="N30" i="25"/>
  <c r="I31" i="25"/>
  <c r="F32" i="25"/>
  <c r="N31" i="25"/>
  <c r="F33" i="25"/>
  <c r="N32" i="25"/>
  <c r="I32" i="25"/>
  <c r="F34" i="25"/>
  <c r="I33" i="25"/>
  <c r="N33" i="25"/>
  <c r="F35" i="25"/>
  <c r="I34" i="25"/>
  <c r="N34" i="25"/>
  <c r="I35" i="25"/>
  <c r="N35" i="25"/>
  <c r="F36" i="25"/>
  <c r="N36" i="25"/>
  <c r="I36" i="25"/>
  <c r="F37" i="25"/>
  <c r="I37" i="25"/>
  <c r="N37" i="25"/>
  <c r="M20" i="16"/>
  <c r="M18" i="16"/>
  <c r="P20" i="16"/>
  <c r="P8" i="16"/>
  <c r="P6" i="16"/>
  <c r="M6" i="16"/>
  <c r="M15" i="16"/>
  <c r="M7" i="16"/>
  <c r="M16" i="16"/>
  <c r="P7" i="16"/>
  <c r="M12" i="16"/>
  <c r="P12" i="16"/>
  <c r="P15" i="16"/>
  <c r="M17" i="16"/>
  <c r="M34" i="16"/>
  <c r="G11" i="48"/>
  <c r="H11" i="48"/>
  <c r="I11" i="48"/>
  <c r="J11" i="48"/>
  <c r="H18" i="48"/>
  <c r="H19" i="48"/>
  <c r="K11" i="48"/>
  <c r="J12" i="48"/>
  <c r="I12" i="48"/>
  <c r="I18" i="48"/>
  <c r="H25" i="20"/>
  <c r="AG11" i="20"/>
  <c r="AH10" i="20"/>
  <c r="R9" i="20"/>
  <c r="W9" i="20"/>
  <c r="K10" i="20"/>
  <c r="O9" i="20"/>
  <c r="M9" i="20"/>
  <c r="Y9" i="20"/>
  <c r="AE11" i="20"/>
  <c r="G3" i="25"/>
  <c r="J25" i="20"/>
  <c r="H23" i="48"/>
  <c r="I23" i="48"/>
  <c r="I19" i="48"/>
  <c r="H12" i="48"/>
  <c r="L11" i="48"/>
  <c r="K12" i="48"/>
  <c r="AI10" i="20"/>
  <c r="AH11" i="20"/>
  <c r="P47" i="25"/>
  <c r="P45" i="25"/>
  <c r="P40" i="25"/>
  <c r="P42" i="25"/>
  <c r="P20" i="25"/>
  <c r="P26" i="25"/>
  <c r="P53" i="25"/>
  <c r="P41" i="25"/>
  <c r="P14" i="25"/>
  <c r="P32" i="25"/>
  <c r="P54" i="25"/>
  <c r="P7" i="25"/>
  <c r="P55" i="25"/>
  <c r="P67" i="25"/>
  <c r="P15" i="25"/>
  <c r="P21" i="25"/>
  <c r="P27" i="25"/>
  <c r="P57" i="25"/>
  <c r="P10" i="25"/>
  <c r="P28" i="25"/>
  <c r="P23" i="25"/>
  <c r="P44" i="25"/>
  <c r="P16" i="25"/>
  <c r="P22" i="25"/>
  <c r="P34" i="25"/>
  <c r="P11" i="25"/>
  <c r="P64" i="25"/>
  <c r="P17" i="25"/>
  <c r="P35" i="25"/>
  <c r="P9" i="25"/>
  <c r="P33" i="25"/>
  <c r="P62" i="25"/>
  <c r="P68" i="25"/>
  <c r="P59" i="25"/>
  <c r="P63" i="25"/>
  <c r="P48" i="25"/>
  <c r="P8" i="25"/>
  <c r="P29" i="25"/>
  <c r="P58" i="25"/>
  <c r="P43" i="25"/>
  <c r="P38" i="25"/>
  <c r="P66" i="25"/>
  <c r="P61" i="25"/>
  <c r="P12" i="25"/>
  <c r="P36" i="25"/>
  <c r="P50" i="25"/>
  <c r="P52" i="25"/>
  <c r="P24" i="25"/>
  <c r="P39" i="25"/>
  <c r="P18" i="25"/>
  <c r="P30" i="25"/>
  <c r="P60" i="25"/>
  <c r="P49" i="25"/>
  <c r="P65" i="25"/>
  <c r="P25" i="25"/>
  <c r="P46" i="25"/>
  <c r="P56" i="25"/>
  <c r="P51" i="25"/>
  <c r="P19" i="25"/>
  <c r="P37" i="25"/>
  <c r="P13" i="25"/>
  <c r="P31" i="25"/>
  <c r="K11" i="20"/>
  <c r="L10" i="20"/>
  <c r="M11" i="48"/>
  <c r="L12" i="48"/>
  <c r="AI25" i="20"/>
  <c r="AI11" i="20"/>
  <c r="M10" i="20"/>
  <c r="L11" i="20"/>
  <c r="O11" i="48"/>
  <c r="M12" i="48"/>
  <c r="N10" i="20"/>
  <c r="P11" i="48"/>
  <c r="O12" i="48"/>
  <c r="O10" i="20"/>
  <c r="Q11" i="48"/>
  <c r="P12" i="48"/>
  <c r="P10" i="20"/>
  <c r="O11" i="20"/>
  <c r="R11" i="48"/>
  <c r="Q12" i="48"/>
  <c r="P11" i="20"/>
  <c r="S11" i="48"/>
  <c r="R12" i="48"/>
  <c r="S12" i="48"/>
  <c r="T11" i="48"/>
  <c r="U11" i="48"/>
  <c r="T12" i="48"/>
  <c r="V11" i="48"/>
  <c r="U12" i="48"/>
  <c r="W11" i="48"/>
  <c r="V12" i="48"/>
  <c r="X11" i="48"/>
  <c r="W12" i="48"/>
  <c r="Y11" i="48"/>
  <c r="X12" i="48"/>
  <c r="Z11" i="48"/>
  <c r="Y12" i="48"/>
  <c r="AA11" i="48"/>
  <c r="Z12" i="48"/>
  <c r="AB11" i="48"/>
  <c r="AA12" i="48"/>
  <c r="AC11" i="48"/>
  <c r="AC12" i="48"/>
  <c r="AB12" i="48"/>
  <c r="B20" i="52"/>
  <c r="R10" i="52"/>
  <c r="G26" i="20" a="1"/>
  <c r="P32" i="48" a="1"/>
  <c r="U32" i="48" a="1"/>
  <c r="L14" i="20" a="1"/>
  <c r="E19" i="52" a="1"/>
  <c r="AE14" i="20" a="1"/>
  <c r="AF14" i="20" a="1"/>
  <c r="K19" i="52" a="1"/>
  <c r="AH14" i="20" a="1"/>
  <c r="AB11" i="16" a="1"/>
  <c r="AB20" i="16" a="1"/>
  <c r="AA32" i="48" a="1"/>
  <c r="AF26" i="20" a="1"/>
  <c r="T19" i="52" a="1"/>
  <c r="AH26" i="20" a="1"/>
  <c r="O14" i="20" a="1"/>
  <c r="AI26" i="20" a="1"/>
  <c r="G32" i="48" a="1"/>
  <c r="O32" i="48" a="1"/>
  <c r="S32" i="48" a="1"/>
  <c r="W32" i="48" a="1"/>
  <c r="B19" i="52" a="1"/>
  <c r="H14" i="20" a="1"/>
  <c r="I9" i="29" a="1"/>
  <c r="I19" i="52" a="1"/>
  <c r="Z32" i="48" a="1"/>
  <c r="H26" i="20" a="1"/>
  <c r="AE19" i="16" a="1"/>
  <c r="O26" i="20" a="1"/>
  <c r="AB12" i="16" a="1"/>
  <c r="AG14" i="20" a="1"/>
  <c r="AE35" i="20" a="1"/>
  <c r="H32" i="48" a="1"/>
  <c r="J14" i="20" a="1"/>
  <c r="X32" i="48" a="1"/>
  <c r="AB32" i="48" a="1"/>
  <c r="K26" i="20" a="1"/>
  <c r="M5" i="20" a="1"/>
  <c r="L26" i="20" a="1"/>
  <c r="AD26" i="20" a="1"/>
  <c r="AI14" i="20" a="1"/>
  <c r="AD14" i="20" a="1"/>
  <c r="K14" i="20" a="1"/>
  <c r="J26" i="20" a="1"/>
  <c r="J11" i="29" a="1"/>
  <c r="J19" i="52" a="1"/>
  <c r="Y32" i="48" a="1"/>
  <c r="AB28" i="16" a="1"/>
  <c r="B11" i="52" a="1"/>
  <c r="AB37" i="16" a="1"/>
  <c r="V32" i="48" a="1"/>
  <c r="AE28" i="16" a="1"/>
  <c r="I32" i="48" a="1"/>
  <c r="AE26" i="20" a="1"/>
  <c r="F19" i="52" a="1"/>
  <c r="J32" i="48" a="1"/>
  <c r="C19" i="52" a="1"/>
  <c r="I8" i="29" a="1"/>
  <c r="AG26" i="20" a="1"/>
  <c r="R32" i="48" a="1"/>
  <c r="Q32" i="48" a="1"/>
  <c r="B17" i="52" a="1"/>
  <c r="AB10" i="16" a="1"/>
  <c r="P26" i="20" a="1"/>
  <c r="AE12" i="16" a="1"/>
  <c r="L32" i="48" a="1"/>
  <c r="K11" i="29" a="1"/>
  <c r="J8" i="29" a="1"/>
  <c r="J9" i="29" a="1"/>
  <c r="K30" i="20" a="1"/>
  <c r="AC32" i="48" a="1"/>
  <c r="I11" i="29" a="1"/>
  <c r="G14" i="20" a="1"/>
  <c r="D19" i="52" a="1"/>
  <c r="M32" i="48" a="1"/>
  <c r="K32" i="48" a="1"/>
  <c r="T32" i="48" a="1"/>
  <c r="P14" i="20" a="1"/>
  <c r="M26" i="20" a="1"/>
  <c r="M14" i="20" a="1"/>
  <c r="F11" i="55" l="1"/>
  <c r="H11" i="55" s="1"/>
  <c r="E9" i="58"/>
  <c r="G9" i="58" s="1"/>
  <c r="E14" i="58"/>
  <c r="G14" i="58" s="1"/>
  <c r="F21" i="55"/>
  <c r="E16" i="58"/>
  <c r="F20" i="55"/>
  <c r="H20" i="55" s="1"/>
  <c r="E15" i="58"/>
  <c r="G15" i="58" s="1"/>
  <c r="F14" i="55"/>
  <c r="H14" i="55" s="1"/>
  <c r="E12" i="58"/>
  <c r="G12" i="58" s="1"/>
  <c r="F13" i="55"/>
  <c r="H13" i="55" s="1"/>
  <c r="E11" i="58"/>
  <c r="G11" i="58" s="1"/>
  <c r="F12" i="55"/>
  <c r="H12" i="55" s="1"/>
  <c r="E10" i="58"/>
  <c r="G10" i="58" s="1"/>
  <c r="F10" i="55"/>
  <c r="H10" i="55" s="1"/>
  <c r="E8" i="58"/>
  <c r="G8" i="58" s="1"/>
  <c r="F9" i="55"/>
  <c r="H9" i="55" s="1"/>
  <c r="E7" i="58"/>
  <c r="G7" i="58" s="1"/>
  <c r="F8" i="55"/>
  <c r="H8" i="55" s="1"/>
  <c r="E6" i="58"/>
  <c r="G6" i="58" s="1"/>
  <c r="F7" i="55"/>
  <c r="H7" i="55" s="1"/>
  <c r="E5" i="58"/>
  <c r="G5" i="58" s="1"/>
  <c r="F6" i="55"/>
  <c r="H6" i="55" s="1"/>
  <c r="E4" i="58"/>
  <c r="G4" i="58" s="1"/>
  <c r="F5" i="55"/>
  <c r="E3" i="58"/>
  <c r="F15" i="55"/>
  <c r="H15" i="55" s="1"/>
  <c r="E13" i="58"/>
  <c r="G13" i="58" s="1"/>
  <c r="F25" i="55"/>
  <c r="H25" i="55" s="1"/>
  <c r="H5" i="55"/>
  <c r="F24" i="55"/>
  <c r="H24" i="55" s="1"/>
  <c r="H21" i="55"/>
  <c r="F19" i="55"/>
  <c r="H19" i="55" s="1"/>
  <c r="B26" i="34"/>
  <c r="Y16" i="33"/>
  <c r="Z16" i="33" s="1"/>
  <c r="J16" i="33"/>
  <c r="K16" i="33" s="1"/>
  <c r="S15" i="33"/>
  <c r="R15" i="33"/>
  <c r="J15" i="33"/>
  <c r="K15" i="33" s="1"/>
  <c r="Y15" i="33"/>
  <c r="Z15" i="33" s="1"/>
  <c r="C24" i="39"/>
  <c r="D24" i="39" s="1"/>
  <c r="B25" i="39"/>
  <c r="B24" i="37"/>
  <c r="L8" i="39"/>
  <c r="F39" i="42"/>
  <c r="G38" i="42"/>
  <c r="G37" i="42"/>
  <c r="Y14" i="33"/>
  <c r="Z14" i="33" s="1"/>
  <c r="R14" i="33"/>
  <c r="J14" i="33"/>
  <c r="K14" i="33" s="1"/>
  <c r="J7" i="33"/>
  <c r="K7" i="33" s="1"/>
  <c r="R7" i="33"/>
  <c r="Y7" i="33"/>
  <c r="Z7" i="33" s="1"/>
  <c r="B9" i="56" a="1"/>
  <c r="B9" i="56" s="1"/>
  <c r="C9" i="56" s="1"/>
  <c r="F11" i="38"/>
  <c r="B11" i="54"/>
  <c r="C11" i="54" s="1"/>
  <c r="C25" i="38"/>
  <c r="D25" i="38" s="1"/>
  <c r="C27" i="38"/>
  <c r="D27" i="38" s="1"/>
  <c r="B28" i="38"/>
  <c r="C26" i="38"/>
  <c r="D26" i="38" s="1"/>
  <c r="R12" i="33"/>
  <c r="J12" i="33"/>
  <c r="K12" i="33" s="1"/>
  <c r="Y12" i="33"/>
  <c r="Z12" i="33" s="1"/>
  <c r="B26" i="35"/>
  <c r="B27" i="35" s="1"/>
  <c r="C25" i="35"/>
  <c r="D25" i="35" s="1"/>
  <c r="C24" i="35"/>
  <c r="D24" i="35" s="1"/>
  <c r="B28" i="35"/>
  <c r="C27" i="35"/>
  <c r="D27" i="35" s="1"/>
  <c r="C17" i="36"/>
  <c r="D17" i="36" s="1"/>
  <c r="C18" i="36"/>
  <c r="D18" i="36" s="1"/>
  <c r="B19" i="36"/>
  <c r="J19" i="33"/>
  <c r="K19" i="33" s="1"/>
  <c r="R19" i="33"/>
  <c r="R11" i="33"/>
  <c r="C11" i="34"/>
  <c r="D11" i="34" s="1"/>
  <c r="Y11" i="33"/>
  <c r="Z11" i="33" s="1"/>
  <c r="J11" i="33"/>
  <c r="K11" i="33" s="1"/>
  <c r="E11" i="38"/>
  <c r="I11" i="38" s="1"/>
  <c r="E11" i="37"/>
  <c r="H11" i="37" s="1"/>
  <c r="F16" i="37" s="1"/>
  <c r="F11" i="37"/>
  <c r="H4" i="42"/>
  <c r="F18" i="42" s="1"/>
  <c r="H5" i="42" s="1"/>
  <c r="G5" i="42" s="1"/>
  <c r="R10" i="33"/>
  <c r="J10" i="33"/>
  <c r="K10" i="33" s="1"/>
  <c r="I11" i="37"/>
  <c r="C8" i="36"/>
  <c r="C11" i="36" s="1"/>
  <c r="D11" i="36" s="1"/>
  <c r="L8" i="36" s="1"/>
  <c r="Y19" i="33"/>
  <c r="Z19" i="33" s="1"/>
  <c r="H13" i="42"/>
  <c r="H36" i="42"/>
  <c r="H32" i="42"/>
  <c r="H34" i="42"/>
  <c r="H35" i="42"/>
  <c r="H18" i="42"/>
  <c r="L22" i="42" s="1"/>
  <c r="H38" i="42"/>
  <c r="H37" i="42"/>
  <c r="H30" i="42"/>
  <c r="H31" i="42"/>
  <c r="H29" i="42"/>
  <c r="H33" i="42"/>
  <c r="G18" i="42"/>
  <c r="G22" i="42"/>
  <c r="H22" i="42" s="1"/>
  <c r="F11" i="56"/>
  <c r="E11" i="56"/>
  <c r="L8" i="56"/>
  <c r="B18" i="56"/>
  <c r="C17" i="56"/>
  <c r="D17" i="56" s="1"/>
  <c r="C16" i="56"/>
  <c r="D16" i="56" s="1"/>
  <c r="L10" i="43"/>
  <c r="J8" i="33"/>
  <c r="K8" i="33" s="1"/>
  <c r="R8" i="33"/>
  <c r="Y8" i="33"/>
  <c r="Z8" i="33" s="1"/>
  <c r="B9" i="37" a="1"/>
  <c r="B9" i="37" s="1"/>
  <c r="C9" i="37" s="1"/>
  <c r="B9" i="38" a="1"/>
  <c r="B9" i="38" s="1"/>
  <c r="C9" i="38" s="1"/>
  <c r="B9" i="39" a="1"/>
  <c r="B9" i="39" s="1"/>
  <c r="C9" i="39" s="1"/>
  <c r="E11" i="39"/>
  <c r="H11" i="39" s="1"/>
  <c r="O14" i="52"/>
  <c r="R12" i="52"/>
  <c r="AH23" i="20"/>
  <c r="AH24" i="20" s="1"/>
  <c r="R32" i="48"/>
  <c r="F19" i="52"/>
  <c r="AB20" i="16"/>
  <c r="J9" i="29"/>
  <c r="H26" i="20"/>
  <c r="K14" i="20"/>
  <c r="AC32" i="48"/>
  <c r="K19" i="52"/>
  <c r="L14" i="20"/>
  <c r="AF26" i="20"/>
  <c r="AB32" i="48"/>
  <c r="E19" i="52"/>
  <c r="K30" i="20"/>
  <c r="K31" i="20" s="1"/>
  <c r="K33" i="20" s="1"/>
  <c r="J14" i="20"/>
  <c r="J32" i="48"/>
  <c r="J19" i="52"/>
  <c r="O14" i="20"/>
  <c r="AE19" i="16"/>
  <c r="O32" i="48"/>
  <c r="T19" i="52"/>
  <c r="AI14" i="20"/>
  <c r="G32" i="48"/>
  <c r="I8" i="29"/>
  <c r="B11" i="52"/>
  <c r="AG14" i="20"/>
  <c r="Q32" i="48"/>
  <c r="D19" i="52"/>
  <c r="O26" i="20"/>
  <c r="AB37" i="16"/>
  <c r="M32" i="48"/>
  <c r="C19" i="52"/>
  <c r="H14" i="20"/>
  <c r="X32" i="48"/>
  <c r="B19" i="52"/>
  <c r="B17" i="52"/>
  <c r="B18" i="52" s="1"/>
  <c r="B14" i="52" s="1"/>
  <c r="B13" i="52" s="1"/>
  <c r="L26" i="20"/>
  <c r="J8" i="29"/>
  <c r="AE26" i="20"/>
  <c r="P32" i="48"/>
  <c r="U32" i="48"/>
  <c r="S32" i="48"/>
  <c r="V32" i="48"/>
  <c r="Z32" i="48"/>
  <c r="AB11" i="16"/>
  <c r="Y32" i="48"/>
  <c r="G14" i="20"/>
  <c r="AE12" i="16"/>
  <c r="K32" i="48"/>
  <c r="M5" i="20"/>
  <c r="AG26" i="20"/>
  <c r="J26" i="20"/>
  <c r="I9" i="29"/>
  <c r="AB10" i="16"/>
  <c r="AF14" i="20"/>
  <c r="AE28" i="16"/>
  <c r="P26" i="20"/>
  <c r="K26" i="20"/>
  <c r="I11" i="29"/>
  <c r="AH26" i="20"/>
  <c r="AE35" i="20"/>
  <c r="AI21" i="20" s="1"/>
  <c r="K11" i="29"/>
  <c r="AB12" i="16"/>
  <c r="G26" i="20"/>
  <c r="AH14" i="20"/>
  <c r="AB28" i="16"/>
  <c r="J11" i="29"/>
  <c r="I32" i="48"/>
  <c r="H32" i="48"/>
  <c r="AD14" i="20"/>
  <c r="P14" i="20"/>
  <c r="AD26" i="20"/>
  <c r="AI26" i="20"/>
  <c r="AE14" i="20"/>
  <c r="T32" i="48"/>
  <c r="L32" i="48"/>
  <c r="W32" i="48"/>
  <c r="AA32" i="48"/>
  <c r="I19" i="52"/>
  <c r="S10" i="55"/>
  <c r="H19" i="33"/>
  <c r="N19" i="33"/>
  <c r="S19" i="33"/>
  <c r="M19" i="33"/>
  <c r="B8" i="36"/>
  <c r="S17" i="33"/>
  <c r="N17" i="33"/>
  <c r="H17" i="33"/>
  <c r="M17" i="33"/>
  <c r="S16" i="33"/>
  <c r="N16" i="33"/>
  <c r="H16" i="33"/>
  <c r="M16" i="33"/>
  <c r="W15" i="33"/>
  <c r="X15" i="33"/>
  <c r="S14" i="33"/>
  <c r="H14" i="33"/>
  <c r="N14" i="33"/>
  <c r="M14" i="33"/>
  <c r="H13" i="33"/>
  <c r="N13" i="33"/>
  <c r="S13" i="33"/>
  <c r="M13" i="33"/>
  <c r="M12" i="33"/>
  <c r="N12" i="33"/>
  <c r="S12" i="33"/>
  <c r="H12" i="33"/>
  <c r="M11" i="33"/>
  <c r="S11" i="33"/>
  <c r="H11" i="33"/>
  <c r="N11" i="33"/>
  <c r="N10" i="33"/>
  <c r="S10" i="33"/>
  <c r="H10" i="33"/>
  <c r="M10" i="33"/>
  <c r="H9" i="33"/>
  <c r="S9" i="33"/>
  <c r="N9" i="33"/>
  <c r="M9" i="33"/>
  <c r="H8" i="33"/>
  <c r="S8" i="33"/>
  <c r="N8" i="33"/>
  <c r="M8" i="33"/>
  <c r="N15" i="33"/>
  <c r="M15" i="33"/>
  <c r="H15" i="33"/>
  <c r="M7" i="33"/>
  <c r="S7" i="33"/>
  <c r="N7" i="33"/>
  <c r="H7" i="33"/>
  <c r="Y18" i="33"/>
  <c r="Z18" i="33" s="1"/>
  <c r="J18" i="33"/>
  <c r="K18" i="33" s="1"/>
  <c r="R18" i="33"/>
  <c r="C8" i="35"/>
  <c r="C11" i="35" s="1"/>
  <c r="D11" i="35" s="1"/>
  <c r="B8" i="35"/>
  <c r="B9" i="35" s="1"/>
  <c r="C9" i="35" s="1"/>
  <c r="S18" i="33"/>
  <c r="N18" i="33"/>
  <c r="M18" i="33"/>
  <c r="H18" i="33"/>
  <c r="H2" i="43"/>
  <c r="M6" i="43"/>
  <c r="O6" i="43" s="1"/>
  <c r="I6" i="43"/>
  <c r="I7" i="43" s="1"/>
  <c r="I8" i="43" s="1"/>
  <c r="I9" i="43" s="1"/>
  <c r="I10" i="43" s="1"/>
  <c r="I11" i="43" s="1"/>
  <c r="I12" i="43" s="1"/>
  <c r="I13" i="43" s="1"/>
  <c r="I14" i="43" s="1"/>
  <c r="I15" i="43" s="1"/>
  <c r="I16" i="43" s="1"/>
  <c r="I17" i="43" s="1"/>
  <c r="I18" i="43" s="1"/>
  <c r="I19" i="43" s="1"/>
  <c r="I20" i="43" s="1"/>
  <c r="I21" i="43" s="1"/>
  <c r="I22" i="43" s="1"/>
  <c r="I23" i="43" s="1"/>
  <c r="I24" i="43" s="1"/>
  <c r="I25" i="43" s="1"/>
  <c r="I26" i="43" s="1"/>
  <c r="M11" i="20"/>
  <c r="N13" i="20"/>
  <c r="O23" i="20" s="1"/>
  <c r="O22" i="20" s="1"/>
  <c r="M26" i="20"/>
  <c r="M14" i="20"/>
  <c r="N14" i="20" a="1"/>
  <c r="N26" i="20" a="1"/>
  <c r="G3" i="58" l="1"/>
  <c r="H3" i="58" s="1"/>
  <c r="H4" i="58" s="1"/>
  <c r="H5" i="58" s="1"/>
  <c r="H6" i="58" s="1"/>
  <c r="H7" i="58" s="1"/>
  <c r="H8" i="58" s="1"/>
  <c r="H9" i="58" s="1"/>
  <c r="H10" i="58" s="1"/>
  <c r="H11" i="58" s="1"/>
  <c r="H12" i="58" s="1"/>
  <c r="H13" i="58" s="1"/>
  <c r="H14" i="58" s="1"/>
  <c r="H15" i="58" s="1"/>
  <c r="E18" i="58"/>
  <c r="G18" i="58" s="1"/>
  <c r="G16" i="58"/>
  <c r="E17" i="58"/>
  <c r="G17" i="58" s="1"/>
  <c r="H2" i="55"/>
  <c r="T4" i="55" s="1"/>
  <c r="S7" i="55" s="1"/>
  <c r="I5" i="55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K8" i="29"/>
  <c r="C26" i="34"/>
  <c r="D26" i="34" s="1"/>
  <c r="B27" i="34"/>
  <c r="B26" i="39"/>
  <c r="C25" i="39"/>
  <c r="D25" i="39" s="1"/>
  <c r="B25" i="37"/>
  <c r="C24" i="37"/>
  <c r="D24" i="37" s="1"/>
  <c r="G39" i="42"/>
  <c r="H39" i="42" s="1"/>
  <c r="F40" i="42"/>
  <c r="B29" i="38"/>
  <c r="C28" i="38"/>
  <c r="D28" i="38" s="1"/>
  <c r="C26" i="35"/>
  <c r="D26" i="35" s="1"/>
  <c r="C28" i="35"/>
  <c r="D28" i="35" s="1"/>
  <c r="B29" i="35"/>
  <c r="B11" i="36"/>
  <c r="B20" i="36"/>
  <c r="C19" i="36"/>
  <c r="D19" i="36" s="1"/>
  <c r="E11" i="36"/>
  <c r="H11" i="36" s="1"/>
  <c r="B11" i="34"/>
  <c r="E11" i="34" s="1"/>
  <c r="I11" i="34" s="1"/>
  <c r="H11" i="38"/>
  <c r="F22" i="38" s="1"/>
  <c r="B9" i="34"/>
  <c r="C9" i="34" s="1"/>
  <c r="L8" i="34"/>
  <c r="F11" i="34"/>
  <c r="F22" i="37"/>
  <c r="F19" i="37"/>
  <c r="F20" i="37"/>
  <c r="F21" i="37"/>
  <c r="F15" i="37"/>
  <c r="F17" i="37"/>
  <c r="F18" i="37"/>
  <c r="I10" i="29"/>
  <c r="I12" i="29" s="1"/>
  <c r="F23" i="37"/>
  <c r="F11" i="36"/>
  <c r="H23" i="42"/>
  <c r="G23" i="42" s="1"/>
  <c r="K21" i="42"/>
  <c r="K22" i="42" s="1"/>
  <c r="K23" i="42" s="1"/>
  <c r="H33" i="20"/>
  <c r="N33" i="20" s="1"/>
  <c r="I11" i="56"/>
  <c r="H11" i="56"/>
  <c r="B19" i="56"/>
  <c r="C18" i="56"/>
  <c r="D18" i="56" s="1"/>
  <c r="I11" i="39"/>
  <c r="F19" i="39"/>
  <c r="K32" i="20"/>
  <c r="H34" i="20"/>
  <c r="N34" i="20" s="1"/>
  <c r="Q15" i="20"/>
  <c r="Q18" i="20" s="1"/>
  <c r="Q17" i="20" s="1"/>
  <c r="J10" i="29"/>
  <c r="J12" i="29" s="1"/>
  <c r="AH22" i="20"/>
  <c r="H30" i="20"/>
  <c r="I13" i="29"/>
  <c r="I15" i="29" s="1"/>
  <c r="I18" i="29" s="1"/>
  <c r="B15" i="52"/>
  <c r="B16" i="52" s="1"/>
  <c r="B9" i="36"/>
  <c r="C9" i="36" s="1"/>
  <c r="X19" i="33"/>
  <c r="W19" i="33"/>
  <c r="X10" i="33"/>
  <c r="W10" i="33"/>
  <c r="O19" i="33"/>
  <c r="T19" i="33"/>
  <c r="L19" i="33" s="1"/>
  <c r="X14" i="33"/>
  <c r="W14" i="33"/>
  <c r="T11" i="33"/>
  <c r="L11" i="33" s="1"/>
  <c r="O11" i="33"/>
  <c r="O16" i="33"/>
  <c r="T16" i="33"/>
  <c r="L16" i="33" s="1"/>
  <c r="T8" i="33"/>
  <c r="L8" i="33" s="1"/>
  <c r="O8" i="33"/>
  <c r="X11" i="33"/>
  <c r="W11" i="33"/>
  <c r="G11" i="34" s="1"/>
  <c r="X8" i="33"/>
  <c r="W8" i="33"/>
  <c r="W16" i="33"/>
  <c r="X16" i="33"/>
  <c r="T17" i="33"/>
  <c r="L17" i="33" s="1"/>
  <c r="O17" i="33"/>
  <c r="O14" i="33"/>
  <c r="T14" i="33"/>
  <c r="L14" i="33" s="1"/>
  <c r="T15" i="33"/>
  <c r="L15" i="33" s="1"/>
  <c r="O15" i="33"/>
  <c r="T12" i="33"/>
  <c r="L12" i="33" s="1"/>
  <c r="O12" i="33"/>
  <c r="W12" i="33"/>
  <c r="X12" i="33"/>
  <c r="X9" i="33"/>
  <c r="W9" i="33"/>
  <c r="X13" i="33"/>
  <c r="W13" i="33"/>
  <c r="X17" i="33"/>
  <c r="W17" i="33"/>
  <c r="O9" i="33"/>
  <c r="T9" i="33"/>
  <c r="L9" i="33" s="1"/>
  <c r="T10" i="33"/>
  <c r="L10" i="33" s="1"/>
  <c r="O10" i="33"/>
  <c r="O13" i="33"/>
  <c r="T13" i="33"/>
  <c r="L13" i="33" s="1"/>
  <c r="O7" i="33"/>
  <c r="T7" i="33"/>
  <c r="L7" i="33" s="1"/>
  <c r="X7" i="33"/>
  <c r="W7" i="33"/>
  <c r="T18" i="33"/>
  <c r="L18" i="33" s="1"/>
  <c r="O18" i="33"/>
  <c r="L8" i="35"/>
  <c r="F11" i="35"/>
  <c r="X18" i="33"/>
  <c r="W18" i="33"/>
  <c r="B11" i="35"/>
  <c r="E11" i="35" s="1"/>
  <c r="N14" i="20"/>
  <c r="H32" i="20" s="1"/>
  <c r="N32" i="20" s="1"/>
  <c r="N30" i="20" s="1"/>
  <c r="N26" i="20"/>
  <c r="N11" i="20"/>
  <c r="Q26" i="20" a="1"/>
  <c r="Q14" i="20" a="1"/>
  <c r="E14" i="29" a="1"/>
  <c r="H16" i="58" l="1"/>
  <c r="H17" i="58" s="1"/>
  <c r="H18" i="58" s="1"/>
  <c r="E14" i="29"/>
  <c r="K5" i="29" s="1"/>
  <c r="B28" i="34"/>
  <c r="C27" i="34"/>
  <c r="D27" i="34" s="1"/>
  <c r="S8" i="55"/>
  <c r="U7" i="55"/>
  <c r="M14" i="55" s="1"/>
  <c r="O14" i="55" s="1"/>
  <c r="C26" i="39"/>
  <c r="D26" i="39" s="1"/>
  <c r="B27" i="39"/>
  <c r="B26" i="37"/>
  <c r="C25" i="37"/>
  <c r="F24" i="37"/>
  <c r="F21" i="39"/>
  <c r="F23" i="39"/>
  <c r="F15" i="39"/>
  <c r="F22" i="39"/>
  <c r="F16" i="39"/>
  <c r="F20" i="39"/>
  <c r="F25" i="39"/>
  <c r="F17" i="39"/>
  <c r="F41" i="42"/>
  <c r="G40" i="42"/>
  <c r="H40" i="42" s="1"/>
  <c r="F28" i="38"/>
  <c r="C29" i="38"/>
  <c r="D29" i="38" s="1"/>
  <c r="B30" i="38"/>
  <c r="B30" i="35"/>
  <c r="C29" i="35"/>
  <c r="D29" i="35" s="1"/>
  <c r="B21" i="36"/>
  <c r="C20" i="36"/>
  <c r="D20" i="36" s="1"/>
  <c r="I11" i="36"/>
  <c r="H11" i="34"/>
  <c r="F18" i="38"/>
  <c r="F16" i="38"/>
  <c r="F17" i="38"/>
  <c r="F19" i="38"/>
  <c r="F25" i="38"/>
  <c r="F15" i="38"/>
  <c r="F23" i="38"/>
  <c r="F26" i="38"/>
  <c r="F21" i="38"/>
  <c r="F24" i="38"/>
  <c r="F20" i="38"/>
  <c r="F27" i="38"/>
  <c r="Q10" i="20"/>
  <c r="E8" i="36"/>
  <c r="G11" i="36" s="1"/>
  <c r="G11" i="35"/>
  <c r="F18" i="39"/>
  <c r="F24" i="39"/>
  <c r="B20" i="56"/>
  <c r="C19" i="56"/>
  <c r="D19" i="56" s="1"/>
  <c r="F18" i="56"/>
  <c r="F17" i="56"/>
  <c r="F16" i="56"/>
  <c r="F19" i="56"/>
  <c r="F15" i="56"/>
  <c r="Q26" i="20"/>
  <c r="Q14" i="20"/>
  <c r="AH25" i="20"/>
  <c r="I14" i="29"/>
  <c r="I16" i="29" s="1"/>
  <c r="I17" i="29" s="1"/>
  <c r="I19" i="29" s="1"/>
  <c r="I20" i="29" s="1"/>
  <c r="R10" i="20"/>
  <c r="C3" i="25"/>
  <c r="B3" i="25"/>
  <c r="Q11" i="20"/>
  <c r="H11" i="35"/>
  <c r="I11" i="35"/>
  <c r="K9" i="29" a="1"/>
  <c r="M12" i="55" l="1"/>
  <c r="O12" i="55" s="1"/>
  <c r="M20" i="55"/>
  <c r="O20" i="55" s="1"/>
  <c r="M16" i="55"/>
  <c r="O16" i="55" s="1"/>
  <c r="M6" i="55"/>
  <c r="O6" i="55" s="1"/>
  <c r="M9" i="55"/>
  <c r="O9" i="55" s="1"/>
  <c r="M26" i="55"/>
  <c r="O26" i="55" s="1"/>
  <c r="M18" i="55"/>
  <c r="O18" i="55" s="1"/>
  <c r="M8" i="55"/>
  <c r="O8" i="55" s="1"/>
  <c r="M17" i="55"/>
  <c r="O17" i="55" s="1"/>
  <c r="U10" i="55"/>
  <c r="M11" i="55"/>
  <c r="O11" i="55" s="1"/>
  <c r="M7" i="55"/>
  <c r="O7" i="55" s="1"/>
  <c r="M24" i="55"/>
  <c r="O24" i="55" s="1"/>
  <c r="M25" i="55"/>
  <c r="O25" i="55" s="1"/>
  <c r="M22" i="55"/>
  <c r="O22" i="55" s="1"/>
  <c r="M21" i="55"/>
  <c r="O21" i="55" s="1"/>
  <c r="M15" i="55"/>
  <c r="O15" i="55" s="1"/>
  <c r="U8" i="55"/>
  <c r="K9" i="29"/>
  <c r="K10" i="29" s="1"/>
  <c r="K12" i="29" s="1"/>
  <c r="M13" i="55"/>
  <c r="O13" i="55" s="1"/>
  <c r="M23" i="55"/>
  <c r="O23" i="55" s="1"/>
  <c r="K5" i="55"/>
  <c r="L5" i="55" s="1"/>
  <c r="N5" i="55" s="1"/>
  <c r="K6" i="55"/>
  <c r="L6" i="55" s="1"/>
  <c r="N6" i="55" s="1"/>
  <c r="K7" i="55"/>
  <c r="L7" i="55" s="1"/>
  <c r="N7" i="55" s="1"/>
  <c r="K8" i="55"/>
  <c r="L8" i="55" s="1"/>
  <c r="N8" i="55" s="1"/>
  <c r="K9" i="55"/>
  <c r="L9" i="55" s="1"/>
  <c r="N9" i="55" s="1"/>
  <c r="K10" i="55"/>
  <c r="L10" i="55" s="1"/>
  <c r="N10" i="55" s="1"/>
  <c r="K11" i="55"/>
  <c r="L11" i="55" s="1"/>
  <c r="N11" i="55" s="1"/>
  <c r="K12" i="55"/>
  <c r="L12" i="55" s="1"/>
  <c r="N12" i="55" s="1"/>
  <c r="K13" i="55"/>
  <c r="L13" i="55" s="1"/>
  <c r="N13" i="55" s="1"/>
  <c r="K14" i="55"/>
  <c r="L14" i="55" s="1"/>
  <c r="N14" i="55" s="1"/>
  <c r="K15" i="55"/>
  <c r="L15" i="55" s="1"/>
  <c r="N15" i="55" s="1"/>
  <c r="K16" i="55"/>
  <c r="L16" i="55" s="1"/>
  <c r="N16" i="55" s="1"/>
  <c r="K17" i="55"/>
  <c r="L17" i="55" s="1"/>
  <c r="N17" i="55" s="1"/>
  <c r="K18" i="55"/>
  <c r="L18" i="55" s="1"/>
  <c r="N18" i="55" s="1"/>
  <c r="K19" i="55"/>
  <c r="L19" i="55" s="1"/>
  <c r="N19" i="55" s="1"/>
  <c r="K20" i="55"/>
  <c r="L20" i="55" s="1"/>
  <c r="N20" i="55" s="1"/>
  <c r="K21" i="55"/>
  <c r="L21" i="55" s="1"/>
  <c r="N21" i="55" s="1"/>
  <c r="K22" i="55"/>
  <c r="L22" i="55" s="1"/>
  <c r="N22" i="55" s="1"/>
  <c r="K23" i="55"/>
  <c r="L23" i="55" s="1"/>
  <c r="N23" i="55" s="1"/>
  <c r="K24" i="55"/>
  <c r="L24" i="55" s="1"/>
  <c r="N24" i="55" s="1"/>
  <c r="K25" i="55"/>
  <c r="L25" i="55" s="1"/>
  <c r="N25" i="55" s="1"/>
  <c r="K26" i="55"/>
  <c r="L26" i="55" s="1"/>
  <c r="N26" i="55" s="1"/>
  <c r="B29" i="34"/>
  <c r="C28" i="34"/>
  <c r="D28" i="34" s="1"/>
  <c r="F19" i="34"/>
  <c r="M5" i="55"/>
  <c r="O5" i="55" s="1"/>
  <c r="M19" i="55"/>
  <c r="O19" i="55" s="1"/>
  <c r="M10" i="55"/>
  <c r="O10" i="55" s="1"/>
  <c r="F26" i="39"/>
  <c r="B28" i="39"/>
  <c r="C27" i="39"/>
  <c r="D25" i="37"/>
  <c r="F25" i="37"/>
  <c r="B27" i="37"/>
  <c r="C26" i="37"/>
  <c r="G41" i="42"/>
  <c r="H41" i="42" s="1"/>
  <c r="F42" i="42"/>
  <c r="B31" i="38"/>
  <c r="C30" i="38"/>
  <c r="F29" i="38"/>
  <c r="C30" i="35"/>
  <c r="D30" i="35" s="1"/>
  <c r="B31" i="35"/>
  <c r="C21" i="36"/>
  <c r="D21" i="36" s="1"/>
  <c r="F26" i="34"/>
  <c r="F23" i="34"/>
  <c r="F17" i="34"/>
  <c r="F22" i="34"/>
  <c r="F15" i="34"/>
  <c r="F21" i="34"/>
  <c r="F18" i="34"/>
  <c r="F28" i="34"/>
  <c r="F27" i="34"/>
  <c r="F20" i="34"/>
  <c r="F24" i="34"/>
  <c r="F16" i="34"/>
  <c r="F25" i="34"/>
  <c r="F20" i="36"/>
  <c r="F21" i="36"/>
  <c r="F17" i="36"/>
  <c r="F19" i="36"/>
  <c r="F18" i="36"/>
  <c r="F16" i="36"/>
  <c r="F15" i="36"/>
  <c r="F22" i="35"/>
  <c r="B18" i="33" s="1"/>
  <c r="F19" i="35"/>
  <c r="B21" i="56"/>
  <c r="C20" i="56"/>
  <c r="AE36" i="20"/>
  <c r="AE32" i="20"/>
  <c r="AE33" i="20" s="1"/>
  <c r="P3" i="20"/>
  <c r="E12" i="29"/>
  <c r="Q68" i="25"/>
  <c r="Q63" i="25"/>
  <c r="Q19" i="25"/>
  <c r="Q18" i="25"/>
  <c r="Q9" i="25"/>
  <c r="Q33" i="25"/>
  <c r="Q22" i="25"/>
  <c r="Q15" i="25"/>
  <c r="Q60" i="25"/>
  <c r="Q62" i="25"/>
  <c r="Q40" i="25"/>
  <c r="Q11" i="25"/>
  <c r="Q28" i="25"/>
  <c r="Q30" i="25"/>
  <c r="Q64" i="25"/>
  <c r="Q16" i="25"/>
  <c r="Q35" i="25"/>
  <c r="Q25" i="25"/>
  <c r="Q57" i="25"/>
  <c r="Q20" i="25"/>
  <c r="Q27" i="25"/>
  <c r="Q39" i="25"/>
  <c r="Q58" i="25"/>
  <c r="Q66" i="25"/>
  <c r="Q12" i="25"/>
  <c r="Q8" i="25"/>
  <c r="Q21" i="25"/>
  <c r="Q42" i="25"/>
  <c r="Q14" i="25"/>
  <c r="Q41" i="25"/>
  <c r="Q47" i="25"/>
  <c r="Q55" i="25"/>
  <c r="Q29" i="25"/>
  <c r="Q13" i="25"/>
  <c r="Q34" i="25"/>
  <c r="Q48" i="25"/>
  <c r="Q59" i="25"/>
  <c r="Q31" i="25"/>
  <c r="Q17" i="25"/>
  <c r="Q44" i="25"/>
  <c r="Q24" i="25"/>
  <c r="Q65" i="25"/>
  <c r="Q10" i="25"/>
  <c r="Q67" i="25"/>
  <c r="Q51" i="25"/>
  <c r="Q7" i="25"/>
  <c r="Q43" i="25"/>
  <c r="Q38" i="25"/>
  <c r="Q53" i="25"/>
  <c r="Q46" i="25"/>
  <c r="Q61" i="25"/>
  <c r="Q36" i="25"/>
  <c r="Q26" i="25"/>
  <c r="Q49" i="25"/>
  <c r="Q45" i="25"/>
  <c r="Q52" i="25"/>
  <c r="Q37" i="25"/>
  <c r="Q56" i="25"/>
  <c r="Q23" i="25"/>
  <c r="Q32" i="25"/>
  <c r="Q50" i="25"/>
  <c r="Q54" i="25"/>
  <c r="R15" i="20"/>
  <c r="S10" i="20"/>
  <c r="R13" i="20"/>
  <c r="F18" i="35"/>
  <c r="F20" i="35"/>
  <c r="F24" i="35"/>
  <c r="F28" i="35"/>
  <c r="F27" i="35"/>
  <c r="F29" i="35"/>
  <c r="F21" i="35"/>
  <c r="F15" i="35"/>
  <c r="F23" i="35"/>
  <c r="F26" i="35"/>
  <c r="F16" i="35"/>
  <c r="F17" i="35"/>
  <c r="F25" i="35"/>
  <c r="R26" i="20" a="1"/>
  <c r="R14" i="20" a="1"/>
  <c r="E13" i="29" a="1"/>
  <c r="C29" i="34" l="1"/>
  <c r="B30" i="34"/>
  <c r="D27" i="39"/>
  <c r="F27" i="39"/>
  <c r="B29" i="39"/>
  <c r="C28" i="39"/>
  <c r="D26" i="37"/>
  <c r="F26" i="37"/>
  <c r="B28" i="37"/>
  <c r="C27" i="37"/>
  <c r="F43" i="42"/>
  <c r="G42" i="42"/>
  <c r="H42" i="42" s="1"/>
  <c r="D30" i="38"/>
  <c r="F30" i="38"/>
  <c r="B32" i="38"/>
  <c r="C31" i="38"/>
  <c r="F30" i="35"/>
  <c r="B32" i="35"/>
  <c r="C31" i="35"/>
  <c r="C22" i="36"/>
  <c r="D20" i="56"/>
  <c r="F20" i="56"/>
  <c r="C21" i="56"/>
  <c r="R26" i="20"/>
  <c r="R14" i="20"/>
  <c r="E13" i="29"/>
  <c r="J3" i="29" s="1"/>
  <c r="R18" i="20"/>
  <c r="R17" i="20" s="1"/>
  <c r="J16" i="29"/>
  <c r="T10" i="20"/>
  <c r="S15" i="20"/>
  <c r="S13" i="20"/>
  <c r="R11" i="20"/>
  <c r="S26" i="20" a="1"/>
  <c r="S14" i="20" a="1"/>
  <c r="B31" i="34" l="1"/>
  <c r="C30" i="34"/>
  <c r="D29" i="34"/>
  <c r="F29" i="34"/>
  <c r="D28" i="39"/>
  <c r="F28" i="39"/>
  <c r="B30" i="39"/>
  <c r="C29" i="39"/>
  <c r="D27" i="37"/>
  <c r="F27" i="37"/>
  <c r="C28" i="37"/>
  <c r="B29" i="37"/>
  <c r="G43" i="42"/>
  <c r="H43" i="42" s="1"/>
  <c r="F44" i="42"/>
  <c r="D31" i="38"/>
  <c r="F31" i="38"/>
  <c r="B33" i="38"/>
  <c r="C32" i="38"/>
  <c r="C32" i="35"/>
  <c r="B33" i="35"/>
  <c r="D31" i="35"/>
  <c r="F31" i="35"/>
  <c r="B24" i="36"/>
  <c r="C23" i="36"/>
  <c r="D22" i="36"/>
  <c r="F22" i="36"/>
  <c r="B19" i="33" s="1"/>
  <c r="D21" i="56"/>
  <c r="F21" i="56"/>
  <c r="B23" i="56"/>
  <c r="C22" i="56"/>
  <c r="S14" i="20"/>
  <c r="T14" i="20" s="1"/>
  <c r="N43" i="20" s="1"/>
  <c r="S26" i="20"/>
  <c r="S18" i="20"/>
  <c r="S17" i="20" s="1"/>
  <c r="S11" i="20"/>
  <c r="J13" i="29"/>
  <c r="U10" i="20"/>
  <c r="T15" i="20"/>
  <c r="T13" i="20" a="1"/>
  <c r="D30" i="34" l="1"/>
  <c r="F30" i="34"/>
  <c r="C31" i="34"/>
  <c r="B32" i="34"/>
  <c r="D29" i="39"/>
  <c r="F29" i="39"/>
  <c r="C30" i="39"/>
  <c r="B31" i="39"/>
  <c r="D28" i="37"/>
  <c r="F28" i="37"/>
  <c r="C29" i="37"/>
  <c r="B30" i="37"/>
  <c r="G44" i="42"/>
  <c r="H44" i="42" s="1"/>
  <c r="F45" i="42"/>
  <c r="D32" i="38"/>
  <c r="F32" i="38"/>
  <c r="B34" i="38"/>
  <c r="C33" i="38"/>
  <c r="D32" i="35"/>
  <c r="F32" i="35"/>
  <c r="B34" i="35"/>
  <c r="C33" i="35"/>
  <c r="D23" i="36"/>
  <c r="F23" i="36"/>
  <c r="C24" i="36"/>
  <c r="B25" i="36"/>
  <c r="D22" i="56"/>
  <c r="F22" i="56"/>
  <c r="B24" i="56"/>
  <c r="C23" i="56"/>
  <c r="T13" i="20"/>
  <c r="U13" i="20" s="1"/>
  <c r="J15" i="29"/>
  <c r="J14" i="29"/>
  <c r="T18" i="20"/>
  <c r="T17" i="20" s="1"/>
  <c r="V10" i="20"/>
  <c r="U15" i="20"/>
  <c r="T26" i="20" a="1"/>
  <c r="U14" i="20" a="1"/>
  <c r="T12" i="20" a="1"/>
  <c r="U26" i="20" a="1"/>
  <c r="B33" i="34" l="1"/>
  <c r="C32" i="34"/>
  <c r="D31" i="34"/>
  <c r="F31" i="34"/>
  <c r="C31" i="39"/>
  <c r="B32" i="39"/>
  <c r="D30" i="39"/>
  <c r="F30" i="39"/>
  <c r="B31" i="37"/>
  <c r="C30" i="37"/>
  <c r="D29" i="37"/>
  <c r="F29" i="37"/>
  <c r="F46" i="42"/>
  <c r="G45" i="42"/>
  <c r="H45" i="42" s="1"/>
  <c r="D33" i="38"/>
  <c r="F33" i="38"/>
  <c r="C34" i="38"/>
  <c r="B35" i="38"/>
  <c r="D33" i="35"/>
  <c r="F33" i="35"/>
  <c r="C34" i="35"/>
  <c r="B35" i="35"/>
  <c r="B26" i="36"/>
  <c r="C25" i="36"/>
  <c r="D24" i="36"/>
  <c r="F24" i="36"/>
  <c r="B25" i="56"/>
  <c r="C24" i="56"/>
  <c r="D23" i="56"/>
  <c r="F23" i="56"/>
  <c r="U26" i="20"/>
  <c r="U14" i="20"/>
  <c r="V14" i="20" s="1"/>
  <c r="N44" i="20" s="1"/>
  <c r="T12" i="20"/>
  <c r="T11" i="20" s="1"/>
  <c r="T26" i="20"/>
  <c r="U18" i="20"/>
  <c r="U17" i="20" s="1"/>
  <c r="J17" i="29"/>
  <c r="J18" i="29"/>
  <c r="N36" i="20"/>
  <c r="W10" i="20"/>
  <c r="V15" i="20"/>
  <c r="V13" i="20" a="1"/>
  <c r="D32" i="34" l="1"/>
  <c r="F32" i="34"/>
  <c r="B34" i="34"/>
  <c r="C33" i="34"/>
  <c r="C32" i="39"/>
  <c r="B33" i="39"/>
  <c r="D31" i="39"/>
  <c r="F31" i="39"/>
  <c r="D30" i="37"/>
  <c r="F30" i="37"/>
  <c r="C31" i="37"/>
  <c r="B32" i="37"/>
  <c r="F47" i="42"/>
  <c r="G46" i="42"/>
  <c r="H46" i="42" s="1"/>
  <c r="C35" i="38"/>
  <c r="B36" i="38"/>
  <c r="D34" i="38"/>
  <c r="F34" i="38"/>
  <c r="B36" i="35"/>
  <c r="C35" i="35"/>
  <c r="D34" i="35"/>
  <c r="F34" i="35"/>
  <c r="D25" i="36"/>
  <c r="F25" i="36"/>
  <c r="C26" i="36"/>
  <c r="B27" i="36"/>
  <c r="D24" i="56"/>
  <c r="F24" i="56"/>
  <c r="B26" i="56"/>
  <c r="C25" i="56"/>
  <c r="V13" i="20"/>
  <c r="W13" i="20" s="1"/>
  <c r="V18" i="20"/>
  <c r="V17" i="20" s="1"/>
  <c r="U12" i="20"/>
  <c r="U11" i="20" s="1"/>
  <c r="O36" i="20"/>
  <c r="J19" i="29"/>
  <c r="K19" i="29" s="1"/>
  <c r="X10" i="20"/>
  <c r="W15" i="20"/>
  <c r="W14" i="20" a="1"/>
  <c r="V26" i="20" a="1"/>
  <c r="W26" i="20" a="1"/>
  <c r="D33" i="34" l="1"/>
  <c r="F33" i="34"/>
  <c r="B35" i="34"/>
  <c r="C34" i="34"/>
  <c r="D32" i="39"/>
  <c r="F32" i="39"/>
  <c r="C33" i="39"/>
  <c r="B34" i="39"/>
  <c r="B33" i="37"/>
  <c r="C32" i="37"/>
  <c r="D31" i="37"/>
  <c r="F31" i="37"/>
  <c r="G47" i="42"/>
  <c r="H47" i="42" s="1"/>
  <c r="F48" i="42"/>
  <c r="B37" i="38"/>
  <c r="C36" i="38"/>
  <c r="D35" i="38"/>
  <c r="F35" i="38"/>
  <c r="B37" i="35"/>
  <c r="C36" i="35"/>
  <c r="D35" i="35"/>
  <c r="F35" i="35"/>
  <c r="D26" i="36"/>
  <c r="F26" i="36"/>
  <c r="B28" i="36"/>
  <c r="C27" i="36"/>
  <c r="B27" i="56"/>
  <c r="C26" i="56"/>
  <c r="D25" i="56"/>
  <c r="F25" i="56"/>
  <c r="W14" i="20"/>
  <c r="X14" i="20" s="1"/>
  <c r="N45" i="20" s="1"/>
  <c r="W26" i="20"/>
  <c r="V26" i="20"/>
  <c r="W18" i="20"/>
  <c r="W17" i="20" s="1"/>
  <c r="J20" i="29"/>
  <c r="E15" i="29" s="1"/>
  <c r="E16" i="29" s="1"/>
  <c r="K3" i="29" s="1"/>
  <c r="N37" i="20"/>
  <c r="V12" i="20" s="1"/>
  <c r="Y10" i="20"/>
  <c r="X15" i="20"/>
  <c r="X13" i="20" a="1"/>
  <c r="D34" i="34" l="1"/>
  <c r="F34" i="34"/>
  <c r="C35" i="34"/>
  <c r="B36" i="34"/>
  <c r="B35" i="39"/>
  <c r="C34" i="39"/>
  <c r="D33" i="39"/>
  <c r="F33" i="39"/>
  <c r="D32" i="37"/>
  <c r="F32" i="37"/>
  <c r="C33" i="37"/>
  <c r="B34" i="37"/>
  <c r="G48" i="42"/>
  <c r="H48" i="42" s="1"/>
  <c r="F49" i="42"/>
  <c r="G49" i="42" s="1"/>
  <c r="H49" i="42" s="1"/>
  <c r="D36" i="38"/>
  <c r="F36" i="38"/>
  <c r="C37" i="38"/>
  <c r="B38" i="38"/>
  <c r="D36" i="35"/>
  <c r="F36" i="35"/>
  <c r="B38" i="35"/>
  <c r="C37" i="35"/>
  <c r="F27" i="36"/>
  <c r="D27" i="36"/>
  <c r="B29" i="36"/>
  <c r="C28" i="36"/>
  <c r="D26" i="56"/>
  <c r="F26" i="56"/>
  <c r="C27" i="56"/>
  <c r="B28" i="56"/>
  <c r="X13" i="20"/>
  <c r="Y13" i="20" s="1"/>
  <c r="K13" i="29"/>
  <c r="X18" i="20"/>
  <c r="X17" i="20" s="1"/>
  <c r="V11" i="20"/>
  <c r="W12" i="20"/>
  <c r="W11" i="20" s="1"/>
  <c r="Z10" i="20"/>
  <c r="Y15" i="20"/>
  <c r="Y18" i="20" s="1"/>
  <c r="Y17" i="20" s="1"/>
  <c r="X26" i="20" a="1"/>
  <c r="Y26" i="20" a="1"/>
  <c r="Y14" i="20" a="1"/>
  <c r="D35" i="34" l="1"/>
  <c r="F35" i="34"/>
  <c r="B37" i="34"/>
  <c r="C36" i="34"/>
  <c r="D34" i="39"/>
  <c r="F34" i="39"/>
  <c r="C35" i="39"/>
  <c r="B36" i="39"/>
  <c r="D33" i="37"/>
  <c r="F33" i="37"/>
  <c r="C34" i="37"/>
  <c r="B35" i="37"/>
  <c r="C38" i="38"/>
  <c r="B39" i="38"/>
  <c r="D37" i="38"/>
  <c r="F37" i="38"/>
  <c r="D37" i="35"/>
  <c r="F37" i="35"/>
  <c r="B39" i="35"/>
  <c r="C38" i="35"/>
  <c r="D28" i="36"/>
  <c r="F28" i="36"/>
  <c r="B30" i="36"/>
  <c r="C29" i="36"/>
  <c r="B29" i="56"/>
  <c r="C28" i="56"/>
  <c r="D27" i="56"/>
  <c r="F27" i="56"/>
  <c r="N38" i="20"/>
  <c r="N40" i="20" s="1"/>
  <c r="X26" i="20"/>
  <c r="K14" i="29"/>
  <c r="K15" i="29"/>
  <c r="AA10" i="20"/>
  <c r="Z15" i="20"/>
  <c r="Z18" i="20" s="1"/>
  <c r="Z17" i="20" s="1"/>
  <c r="Y26" i="20"/>
  <c r="Y14" i="20"/>
  <c r="Z13" i="20"/>
  <c r="Z14" i="20" a="1"/>
  <c r="Z26" i="20" a="1"/>
  <c r="D36" i="34" l="1"/>
  <c r="F36" i="34"/>
  <c r="B38" i="34"/>
  <c r="C37" i="34"/>
  <c r="C36" i="39"/>
  <c r="B37" i="39"/>
  <c r="D35" i="39"/>
  <c r="F35" i="39"/>
  <c r="C35" i="37"/>
  <c r="B36" i="37"/>
  <c r="D34" i="37"/>
  <c r="F34" i="37"/>
  <c r="B40" i="38"/>
  <c r="C39" i="38"/>
  <c r="D38" i="38"/>
  <c r="F38" i="38"/>
  <c r="B40" i="35"/>
  <c r="C39" i="35"/>
  <c r="D38" i="35"/>
  <c r="F38" i="35"/>
  <c r="F29" i="36"/>
  <c r="D29" i="36"/>
  <c r="B31" i="36"/>
  <c r="C30" i="36"/>
  <c r="D28" i="56"/>
  <c r="F28" i="56"/>
  <c r="B30" i="56"/>
  <c r="C29" i="56"/>
  <c r="X12" i="20"/>
  <c r="Y12" i="20" s="1"/>
  <c r="E17" i="29"/>
  <c r="K16" i="29" s="1"/>
  <c r="K18" i="29"/>
  <c r="AB10" i="20"/>
  <c r="AB15" i="20" s="1"/>
  <c r="AB18" i="20" s="1"/>
  <c r="AB17" i="20" s="1"/>
  <c r="AA30" i="20" s="1"/>
  <c r="AA15" i="20"/>
  <c r="AA18" i="20" s="1"/>
  <c r="AA17" i="20" s="1"/>
  <c r="Z14" i="20"/>
  <c r="Z26" i="20"/>
  <c r="AA13" i="20"/>
  <c r="AA26" i="20" a="1"/>
  <c r="AA14" i="20" a="1"/>
  <c r="D37" i="34" l="1"/>
  <c r="F37" i="34"/>
  <c r="C38" i="34"/>
  <c r="B39" i="34"/>
  <c r="B38" i="39"/>
  <c r="C37" i="39"/>
  <c r="D36" i="39"/>
  <c r="F36" i="39"/>
  <c r="B37" i="37"/>
  <c r="C36" i="37"/>
  <c r="D35" i="37"/>
  <c r="F35" i="37"/>
  <c r="C40" i="38"/>
  <c r="B41" i="38"/>
  <c r="D39" i="38"/>
  <c r="F39" i="38"/>
  <c r="D39" i="35"/>
  <c r="F39" i="35"/>
  <c r="C40" i="35"/>
  <c r="B41" i="35"/>
  <c r="D30" i="36"/>
  <c r="F30" i="36"/>
  <c r="B32" i="36"/>
  <c r="C31" i="36"/>
  <c r="D29" i="56"/>
  <c r="F29" i="56"/>
  <c r="B31" i="56"/>
  <c r="C30" i="56"/>
  <c r="K20" i="29"/>
  <c r="E18" i="29" s="1"/>
  <c r="X11" i="20"/>
  <c r="K6" i="29"/>
  <c r="E20" i="29" s="1"/>
  <c r="E19" i="29"/>
  <c r="K17" i="29"/>
  <c r="AA26" i="20"/>
  <c r="AA14" i="20"/>
  <c r="AB13" i="20"/>
  <c r="P5" i="20"/>
  <c r="Z12" i="20"/>
  <c r="Y11" i="20"/>
  <c r="AB14" i="20" a="1"/>
  <c r="AB26" i="20" a="1"/>
  <c r="B40" i="34" l="1"/>
  <c r="C39" i="34"/>
  <c r="D38" i="34"/>
  <c r="F38" i="34"/>
  <c r="D37" i="39"/>
  <c r="F37" i="39"/>
  <c r="C38" i="39"/>
  <c r="B39" i="39"/>
  <c r="D36" i="37"/>
  <c r="F36" i="37"/>
  <c r="B38" i="37"/>
  <c r="C37" i="37"/>
  <c r="B42" i="38"/>
  <c r="C41" i="38"/>
  <c r="D40" i="38"/>
  <c r="F40" i="38"/>
  <c r="C41" i="35"/>
  <c r="B42" i="35"/>
  <c r="D40" i="35"/>
  <c r="F40" i="35"/>
  <c r="B33" i="36"/>
  <c r="C32" i="36"/>
  <c r="F31" i="36"/>
  <c r="D31" i="36"/>
  <c r="D30" i="56"/>
  <c r="F30" i="56"/>
  <c r="B32" i="56"/>
  <c r="C31" i="56"/>
  <c r="F51" i="29"/>
  <c r="F26" i="29"/>
  <c r="AB14" i="20"/>
  <c r="AB26" i="20"/>
  <c r="AA31" i="20"/>
  <c r="AA21" i="20" s="1" a="1"/>
  <c r="AA21" i="20" s="1"/>
  <c r="AA12" i="20"/>
  <c r="AA11" i="20" s="1"/>
  <c r="Z11" i="20"/>
  <c r="AB22" i="20"/>
  <c r="D39" i="34" l="1"/>
  <c r="F39" i="34"/>
  <c r="B41" i="34"/>
  <c r="C40" i="34"/>
  <c r="C39" i="39"/>
  <c r="B40" i="39"/>
  <c r="D38" i="39"/>
  <c r="F38" i="39"/>
  <c r="D37" i="37"/>
  <c r="F37" i="37"/>
  <c r="B39" i="37"/>
  <c r="C38" i="37"/>
  <c r="D41" i="38"/>
  <c r="F41" i="38"/>
  <c r="B43" i="38"/>
  <c r="C42" i="38"/>
  <c r="D41" i="35"/>
  <c r="F41" i="35"/>
  <c r="B43" i="35"/>
  <c r="C42" i="35"/>
  <c r="B34" i="36"/>
  <c r="C33" i="36"/>
  <c r="D32" i="36"/>
  <c r="F32" i="36"/>
  <c r="D31" i="56"/>
  <c r="F31" i="56"/>
  <c r="B33" i="56"/>
  <c r="C32" i="56"/>
  <c r="AB36" i="20"/>
  <c r="AB23" i="20"/>
  <c r="AB12" i="20" s="1"/>
  <c r="AA23" i="20"/>
  <c r="AA24" i="20" s="1"/>
  <c r="C41" i="34" l="1"/>
  <c r="B42" i="34"/>
  <c r="D40" i="34"/>
  <c r="F40" i="34"/>
  <c r="C40" i="39"/>
  <c r="B41" i="39"/>
  <c r="D39" i="39"/>
  <c r="F39" i="39"/>
  <c r="D38" i="37"/>
  <c r="F38" i="37"/>
  <c r="B40" i="37"/>
  <c r="C39" i="37"/>
  <c r="C43" i="38"/>
  <c r="B44" i="38"/>
  <c r="D42" i="38"/>
  <c r="F42" i="38"/>
  <c r="D42" i="35"/>
  <c r="F42" i="35"/>
  <c r="C43" i="35"/>
  <c r="B44" i="35"/>
  <c r="F33" i="36"/>
  <c r="D33" i="36"/>
  <c r="B35" i="36"/>
  <c r="C34" i="36"/>
  <c r="D32" i="56"/>
  <c r="F32" i="56"/>
  <c r="C33" i="56"/>
  <c r="B34" i="56"/>
  <c r="AA22" i="20"/>
  <c r="AB11" i="20"/>
  <c r="AB25" i="20"/>
  <c r="AA35" i="20" a="1"/>
  <c r="C42" i="34" l="1"/>
  <c r="B43" i="34"/>
  <c r="D41" i="34"/>
  <c r="F41" i="34"/>
  <c r="D40" i="39"/>
  <c r="F40" i="39"/>
  <c r="B42" i="39"/>
  <c r="C41" i="39"/>
  <c r="D39" i="37"/>
  <c r="F39" i="37"/>
  <c r="C40" i="37"/>
  <c r="B41" i="37"/>
  <c r="C44" i="38"/>
  <c r="B45" i="38"/>
  <c r="D43" i="38"/>
  <c r="F43" i="38"/>
  <c r="B45" i="35"/>
  <c r="C44" i="35"/>
  <c r="D43" i="35"/>
  <c r="F43" i="35"/>
  <c r="D34" i="36"/>
  <c r="F34" i="36"/>
  <c r="C35" i="36"/>
  <c r="B36" i="36"/>
  <c r="B35" i="56"/>
  <c r="C34" i="56"/>
  <c r="D33" i="56"/>
  <c r="F33" i="56"/>
  <c r="AA35" i="20"/>
  <c r="AB21" i="20" s="1"/>
  <c r="O5" i="20"/>
  <c r="AA25" i="20"/>
  <c r="AA32" i="20" s="1"/>
  <c r="AA33" i="20" s="1"/>
  <c r="B44" i="34" l="1"/>
  <c r="C43" i="34"/>
  <c r="D42" i="34"/>
  <c r="F42" i="34"/>
  <c r="D41" i="39"/>
  <c r="F41" i="39"/>
  <c r="C42" i="39"/>
  <c r="B43" i="39"/>
  <c r="D40" i="37"/>
  <c r="F40" i="37"/>
  <c r="C41" i="37"/>
  <c r="B42" i="37"/>
  <c r="B46" i="38"/>
  <c r="C45" i="38"/>
  <c r="D44" i="38"/>
  <c r="F44" i="38"/>
  <c r="D44" i="35"/>
  <c r="F44" i="35"/>
  <c r="C45" i="35"/>
  <c r="B46" i="35"/>
  <c r="B37" i="36"/>
  <c r="C36" i="36"/>
  <c r="D35" i="36"/>
  <c r="F35" i="36"/>
  <c r="D34" i="56"/>
  <c r="F34" i="56"/>
  <c r="B36" i="56"/>
  <c r="C35" i="56"/>
  <c r="O3" i="20"/>
  <c r="I3" i="20" s="1"/>
  <c r="G3" i="20" s="1"/>
  <c r="AA36" i="20"/>
  <c r="D43" i="34" l="1"/>
  <c r="F43" i="34"/>
  <c r="B45" i="34"/>
  <c r="C44" i="34"/>
  <c r="C43" i="39"/>
  <c r="B44" i="39"/>
  <c r="D42" i="39"/>
  <c r="F42" i="39"/>
  <c r="C42" i="37"/>
  <c r="B43" i="37"/>
  <c r="D41" i="37"/>
  <c r="F41" i="37"/>
  <c r="D45" i="38"/>
  <c r="F45" i="38"/>
  <c r="B47" i="38"/>
  <c r="C46" i="38"/>
  <c r="C46" i="35"/>
  <c r="B47" i="35"/>
  <c r="D45" i="35"/>
  <c r="F45" i="35"/>
  <c r="D36" i="36"/>
  <c r="F36" i="36"/>
  <c r="B38" i="36"/>
  <c r="C37" i="36"/>
  <c r="D35" i="56"/>
  <c r="F35" i="56"/>
  <c r="B37" i="56"/>
  <c r="C36" i="56"/>
  <c r="I5" i="20"/>
  <c r="G5" i="20" s="1"/>
  <c r="F3" i="20"/>
  <c r="L3" i="20"/>
  <c r="M3" i="20" s="1"/>
  <c r="D44" i="34" l="1"/>
  <c r="F44" i="34"/>
  <c r="B46" i="34"/>
  <c r="C45" i="34"/>
  <c r="C44" i="39"/>
  <c r="B45" i="39"/>
  <c r="D43" i="39"/>
  <c r="F43" i="39"/>
  <c r="C43" i="37"/>
  <c r="B44" i="37"/>
  <c r="D42" i="37"/>
  <c r="F42" i="37"/>
  <c r="D46" i="38"/>
  <c r="F46" i="38"/>
  <c r="C47" i="38"/>
  <c r="B48" i="38"/>
  <c r="D46" i="35"/>
  <c r="F46" i="35"/>
  <c r="B48" i="35"/>
  <c r="C47" i="35"/>
  <c r="B39" i="36"/>
  <c r="C38" i="36"/>
  <c r="D37" i="36"/>
  <c r="F37" i="36"/>
  <c r="D36" i="56"/>
  <c r="F36" i="56"/>
  <c r="B38" i="56"/>
  <c r="C37" i="56"/>
  <c r="F5" i="20"/>
  <c r="L5" i="20"/>
  <c r="D45" i="34" l="1"/>
  <c r="F45" i="34"/>
  <c r="C46" i="34"/>
  <c r="B47" i="34"/>
  <c r="C45" i="39"/>
  <c r="B46" i="39"/>
  <c r="D44" i="39"/>
  <c r="F44" i="39"/>
  <c r="B45" i="37"/>
  <c r="C44" i="37"/>
  <c r="D43" i="37"/>
  <c r="F43" i="37"/>
  <c r="B49" i="38"/>
  <c r="C48" i="38"/>
  <c r="D47" i="38"/>
  <c r="F47" i="38"/>
  <c r="B49" i="35"/>
  <c r="C48" i="35"/>
  <c r="D47" i="35"/>
  <c r="F47" i="35"/>
  <c r="C39" i="36"/>
  <c r="B40" i="36"/>
  <c r="D38" i="36"/>
  <c r="F38" i="36"/>
  <c r="D37" i="56"/>
  <c r="F37" i="56"/>
  <c r="B39" i="56"/>
  <c r="C38" i="56"/>
  <c r="C47" i="34" l="1"/>
  <c r="B48" i="34"/>
  <c r="D46" i="34"/>
  <c r="F46" i="34"/>
  <c r="D45" i="39"/>
  <c r="F45" i="39"/>
  <c r="C46" i="39"/>
  <c r="B47" i="39"/>
  <c r="D44" i="37"/>
  <c r="F44" i="37"/>
  <c r="B46" i="37"/>
  <c r="C45" i="37"/>
  <c r="C49" i="38"/>
  <c r="B50" i="38"/>
  <c r="D48" i="38"/>
  <c r="F48" i="38"/>
  <c r="D48" i="35"/>
  <c r="F48" i="35"/>
  <c r="C49" i="35"/>
  <c r="B50" i="35"/>
  <c r="D39" i="36"/>
  <c r="F39" i="36"/>
  <c r="C40" i="36"/>
  <c r="B41" i="36"/>
  <c r="D38" i="56"/>
  <c r="F38" i="56"/>
  <c r="C39" i="56"/>
  <c r="B40" i="56"/>
  <c r="B49" i="34" l="1"/>
  <c r="C48" i="34"/>
  <c r="D47" i="34"/>
  <c r="F47" i="34"/>
  <c r="C47" i="39"/>
  <c r="B48" i="39"/>
  <c r="D46" i="39"/>
  <c r="F46" i="39"/>
  <c r="D45" i="37"/>
  <c r="F45" i="37"/>
  <c r="C46" i="37"/>
  <c r="B47" i="37"/>
  <c r="B51" i="38"/>
  <c r="C51" i="38" s="1"/>
  <c r="C50" i="38"/>
  <c r="D49" i="38"/>
  <c r="F49" i="38"/>
  <c r="C50" i="35"/>
  <c r="B51" i="35"/>
  <c r="C51" i="35" s="1"/>
  <c r="D49" i="35"/>
  <c r="F49" i="35"/>
  <c r="D40" i="36"/>
  <c r="F40" i="36"/>
  <c r="B42" i="36"/>
  <c r="C41" i="36"/>
  <c r="B41" i="56"/>
  <c r="C40" i="56"/>
  <c r="D39" i="56"/>
  <c r="F39" i="56"/>
  <c r="D48" i="34" l="1"/>
  <c r="F48" i="34"/>
  <c r="C49" i="34"/>
  <c r="B50" i="34"/>
  <c r="D47" i="39"/>
  <c r="F47" i="39"/>
  <c r="B49" i="39"/>
  <c r="C48" i="39"/>
  <c r="D46" i="37"/>
  <c r="F46" i="37"/>
  <c r="B48" i="37"/>
  <c r="C47" i="37"/>
  <c r="D51" i="38"/>
  <c r="F51" i="38"/>
  <c r="D50" i="38"/>
  <c r="F50" i="38"/>
  <c r="D51" i="35"/>
  <c r="F51" i="35"/>
  <c r="D50" i="35"/>
  <c r="F50" i="35"/>
  <c r="D41" i="36"/>
  <c r="F41" i="36"/>
  <c r="B43" i="36"/>
  <c r="C42" i="36"/>
  <c r="D40" i="56"/>
  <c r="F40" i="56"/>
  <c r="B42" i="56"/>
  <c r="C41" i="56"/>
  <c r="B51" i="34" l="1"/>
  <c r="C51" i="34" s="1"/>
  <c r="C50" i="34"/>
  <c r="D49" i="34"/>
  <c r="F49" i="34"/>
  <c r="D48" i="39"/>
  <c r="F48" i="39"/>
  <c r="B50" i="39"/>
  <c r="C49" i="39"/>
  <c r="D47" i="37"/>
  <c r="F47" i="37"/>
  <c r="B49" i="37"/>
  <c r="C48" i="37"/>
  <c r="C43" i="36"/>
  <c r="B44" i="36"/>
  <c r="D42" i="36"/>
  <c r="F42" i="36"/>
  <c r="D41" i="56"/>
  <c r="F41" i="56"/>
  <c r="B43" i="56"/>
  <c r="C42" i="56"/>
  <c r="D50" i="34" l="1"/>
  <c r="F50" i="34"/>
  <c r="D51" i="34"/>
  <c r="F51" i="34"/>
  <c r="C50" i="39"/>
  <c r="B51" i="39"/>
  <c r="C51" i="39" s="1"/>
  <c r="D49" i="39"/>
  <c r="F49" i="39"/>
  <c r="D48" i="37"/>
  <c r="F48" i="37"/>
  <c r="C49" i="37"/>
  <c r="B50" i="37"/>
  <c r="B45" i="36"/>
  <c r="C44" i="36"/>
  <c r="F43" i="36"/>
  <c r="D43" i="36"/>
  <c r="D42" i="56"/>
  <c r="F42" i="56"/>
  <c r="B44" i="56"/>
  <c r="C43" i="56"/>
  <c r="D51" i="39" l="1"/>
  <c r="F51" i="39"/>
  <c r="D50" i="39"/>
  <c r="F50" i="39"/>
  <c r="D49" i="37"/>
  <c r="F49" i="37"/>
  <c r="C50" i="37"/>
  <c r="B51" i="37"/>
  <c r="C51" i="37" s="1"/>
  <c r="D44" i="36"/>
  <c r="F44" i="36"/>
  <c r="B46" i="36"/>
  <c r="C45" i="36"/>
  <c r="D43" i="56"/>
  <c r="F43" i="56"/>
  <c r="B45" i="56"/>
  <c r="C44" i="56"/>
  <c r="D51" i="37" l="1"/>
  <c r="F51" i="37"/>
  <c r="D50" i="37"/>
  <c r="F50" i="37"/>
  <c r="F45" i="36"/>
  <c r="D45" i="36"/>
  <c r="B47" i="36"/>
  <c r="C46" i="36"/>
  <c r="D44" i="56"/>
  <c r="F44" i="56"/>
  <c r="C45" i="56"/>
  <c r="B46" i="56"/>
  <c r="D46" i="36" l="1"/>
  <c r="F46" i="36"/>
  <c r="B48" i="36"/>
  <c r="C47" i="36"/>
  <c r="B47" i="56"/>
  <c r="C46" i="56"/>
  <c r="D45" i="56"/>
  <c r="F45" i="56"/>
  <c r="D47" i="36" l="1"/>
  <c r="F47" i="36"/>
  <c r="C48" i="36"/>
  <c r="B49" i="36"/>
  <c r="D46" i="56"/>
  <c r="F46" i="56"/>
  <c r="B48" i="56"/>
  <c r="C47" i="56"/>
  <c r="B50" i="36" l="1"/>
  <c r="C49" i="36"/>
  <c r="D48" i="36"/>
  <c r="F48" i="36"/>
  <c r="D47" i="56"/>
  <c r="F47" i="56"/>
  <c r="B49" i="56"/>
  <c r="C48" i="56"/>
  <c r="D49" i="36" l="1"/>
  <c r="F49" i="36"/>
  <c r="C50" i="36"/>
  <c r="B51" i="36"/>
  <c r="C51" i="36" s="1"/>
  <c r="D48" i="56"/>
  <c r="F48" i="56"/>
  <c r="B50" i="56"/>
  <c r="C49" i="56"/>
  <c r="F51" i="36" l="1"/>
  <c r="D51" i="36"/>
  <c r="D50" i="36"/>
  <c r="F50" i="36"/>
  <c r="D49" i="56"/>
  <c r="F49" i="56"/>
  <c r="B51" i="56"/>
  <c r="C51" i="56" s="1"/>
  <c r="C50" i="56"/>
  <c r="D50" i="56" l="1"/>
  <c r="F50" i="56"/>
  <c r="D51" i="56"/>
  <c r="F51" i="56"/>
  <c r="R6" i="52"/>
  <c r="U15" i="52"/>
  <c r="U16" i="52"/>
  <c r="S6" i="52"/>
  <c r="V14" i="52"/>
  <c r="U6" i="52"/>
  <c r="V16" i="52"/>
  <c r="V15" i="52"/>
  <c r="X17" i="52"/>
  <c r="X18" i="52"/>
  <c r="X13" i="52"/>
  <c r="U13" i="52"/>
  <c r="U18" i="52"/>
  <c r="U14" i="52"/>
  <c r="V13" i="52"/>
  <c r="V17" i="52"/>
  <c r="V18" i="52"/>
  <c r="W16" i="52"/>
  <c r="W15" i="52"/>
  <c r="V6" i="52"/>
  <c r="X14" i="52"/>
  <c r="X10" i="52"/>
  <c r="S17" i="52"/>
  <c r="W13" i="52"/>
  <c r="W18" i="52"/>
  <c r="U17" i="52"/>
  <c r="W17" i="52"/>
  <c r="U10" i="52"/>
  <c r="V10" i="52"/>
  <c r="W10" i="52"/>
  <c r="W14" i="52"/>
  <c r="X16" i="52"/>
  <c r="X15" i="52"/>
  <c r="U9" i="52"/>
  <c r="V9" i="52"/>
  <c r="W9" i="52"/>
  <c r="X9" i="52"/>
  <c r="W6" i="52"/>
  <c r="R5" i="52"/>
  <c r="S5" i="52"/>
  <c r="U5" i="52"/>
  <c r="V5" i="52"/>
  <c r="W5" i="52"/>
  <c r="X5" i="52"/>
  <c r="X6" i="52"/>
  <c r="N11" i="52"/>
  <c r="M11" i="52"/>
  <c r="L11" i="52"/>
  <c r="L11" i="52" a="1"/>
  <c r="N6" i="52"/>
  <c r="R11" i="52"/>
  <c r="R11" i="52" a="1"/>
  <c r="S11" i="52"/>
  <c r="U11" i="52"/>
  <c r="M6" i="52"/>
  <c r="M5" i="52"/>
  <c r="N5" i="52"/>
  <c r="O5" i="52"/>
  <c r="O6" i="52"/>
  <c r="L5" i="52"/>
  <c r="L6" i="52"/>
  <c r="K6" i="52"/>
  <c r="S9" i="52"/>
  <c r="S15" i="52"/>
  <c r="S16" i="52"/>
  <c r="K11" i="52"/>
  <c r="K11" i="52" a="1"/>
  <c r="K14" i="52"/>
  <c r="K17" i="52"/>
  <c r="K10" i="52"/>
  <c r="K17" i="52" a="1"/>
  <c r="K18" i="52"/>
  <c r="K13" i="52"/>
  <c r="K16" i="52"/>
  <c r="K15" i="52"/>
  <c r="K9" i="52"/>
  <c r="J16" i="52"/>
  <c r="J15" i="52"/>
  <c r="J13" i="52"/>
  <c r="J18" i="52"/>
  <c r="J17" i="52"/>
  <c r="J17" i="52" a="1"/>
  <c r="J14" i="52"/>
  <c r="J11" i="52"/>
  <c r="J10" i="52"/>
  <c r="J11" i="52" a="1"/>
  <c r="R9" i="52"/>
  <c r="R15" i="52"/>
  <c r="R16" i="52"/>
  <c r="I13" i="52"/>
  <c r="I18" i="52"/>
  <c r="I17" i="52"/>
  <c r="I17" i="52" a="1"/>
  <c r="I14" i="52"/>
  <c r="I11" i="52"/>
  <c r="I10" i="52"/>
  <c r="I11" i="52" a="1"/>
  <c r="I16" i="52"/>
  <c r="I15" i="52"/>
  <c r="T6" i="52"/>
  <c r="T5" i="52"/>
  <c r="O9" i="52"/>
  <c r="O15" i="52"/>
  <c r="O16" i="52"/>
  <c r="F16" i="52"/>
  <c r="F15" i="52"/>
  <c r="T16" i="52"/>
  <c r="T15" i="52"/>
  <c r="T9" i="52"/>
  <c r="F20" i="52"/>
  <c r="F5" i="52"/>
  <c r="F6" i="52"/>
  <c r="J20" i="52"/>
  <c r="I5" i="52"/>
  <c r="I6" i="52"/>
  <c r="E6" i="52"/>
  <c r="J7" i="52"/>
  <c r="E20" i="52"/>
  <c r="J6" i="52"/>
  <c r="T11" i="52"/>
  <c r="T11" i="52" a="1"/>
  <c r="T14" i="52"/>
  <c r="T17" i="52"/>
  <c r="T10" i="52"/>
  <c r="T17" i="52" a="1"/>
  <c r="T18" i="52"/>
  <c r="T13" i="52"/>
  <c r="F14" i="52"/>
  <c r="F11" i="52"/>
  <c r="F11" i="52" a="1"/>
  <c r="F17" i="52"/>
  <c r="F10" i="52"/>
  <c r="F17" i="52" a="1"/>
  <c r="F18" i="52"/>
  <c r="F13" i="52"/>
  <c r="N9" i="52"/>
  <c r="N15" i="52"/>
  <c r="N16" i="52"/>
  <c r="D16" i="52"/>
  <c r="D15" i="52"/>
  <c r="E11" i="52"/>
  <c r="E11" i="52" a="1"/>
  <c r="E14" i="52"/>
  <c r="E17" i="52"/>
  <c r="E13" i="52"/>
  <c r="E10" i="52"/>
  <c r="E17" i="52" a="1"/>
  <c r="E18" i="52"/>
  <c r="D13" i="52"/>
  <c r="D18" i="52"/>
  <c r="D17" i="52"/>
  <c r="D17" i="52" a="1"/>
  <c r="D14" i="52"/>
  <c r="D11" i="52"/>
  <c r="D11" i="52" a="1"/>
  <c r="D21" i="52"/>
  <c r="C16" i="52"/>
  <c r="C15" i="52"/>
  <c r="C5" i="52"/>
  <c r="C21" i="52"/>
  <c r="L15" i="52"/>
  <c r="L16" i="52"/>
  <c r="C13" i="52"/>
  <c r="E9" i="52"/>
  <c r="E15" i="52"/>
  <c r="E16" i="52"/>
  <c r="C9" i="52"/>
  <c r="D9" i="52"/>
  <c r="F9" i="52"/>
  <c r="I9" i="52"/>
  <c r="J9" i="52"/>
  <c r="L9" i="52"/>
  <c r="M9" i="52"/>
  <c r="M15" i="52"/>
  <c r="M16" i="52"/>
  <c r="S17" i="52" a="1"/>
  <c r="S18" i="52"/>
  <c r="S13" i="52"/>
  <c r="L17" i="52"/>
  <c r="L13" i="52"/>
  <c r="L17" i="52" a="1"/>
  <c r="L18" i="52"/>
  <c r="L14" i="52"/>
  <c r="R17" i="52"/>
  <c r="R19" i="52"/>
  <c r="R19" i="52" a="1"/>
  <c r="R13" i="52"/>
  <c r="R8" i="52"/>
  <c r="R17" i="52" a="1"/>
  <c r="R18" i="52"/>
  <c r="R14" i="52"/>
  <c r="M13" i="52"/>
  <c r="M18" i="52"/>
  <c r="M17" i="52"/>
  <c r="M17" i="52" a="1"/>
  <c r="M19" i="52"/>
  <c r="M19" i="52" a="1"/>
  <c r="M10" i="52"/>
  <c r="M8" i="52"/>
  <c r="M10" i="52" a="1"/>
  <c r="M14" i="52"/>
  <c r="S14" i="52"/>
  <c r="S10" i="52"/>
  <c r="S10" i="52" a="1"/>
  <c r="S19" i="52"/>
  <c r="S19" i="52" a="1"/>
  <c r="W11" i="52"/>
  <c r="W11" i="52" a="1"/>
  <c r="W19" i="52"/>
  <c r="W19" i="52" a="1"/>
  <c r="X11" i="52"/>
  <c r="X11" i="52" a="1"/>
  <c r="X19" i="52"/>
  <c r="W8" i="52"/>
  <c r="X8" i="52"/>
  <c r="X19" i="52" a="1"/>
  <c r="V19" i="52"/>
  <c r="V19" i="52" a="1"/>
  <c r="V11" i="52"/>
  <c r="V8" i="52"/>
  <c r="V11" i="52" a="1"/>
  <c r="U19" i="52"/>
  <c r="S8" i="52"/>
  <c r="U8" i="52"/>
  <c r="U19" i="52" a="1"/>
  <c r="N14" i="52"/>
  <c r="N10" i="52"/>
  <c r="N10" i="52" a="1"/>
  <c r="N17" i="52"/>
  <c r="N17" i="52" a="1"/>
  <c r="N19" i="52"/>
  <c r="N8" i="52"/>
  <c r="N19" i="52" a="1"/>
  <c r="N13" i="52"/>
  <c r="C14" i="52"/>
  <c r="C11" i="52"/>
  <c r="C11" i="52" a="1"/>
  <c r="C17" i="52"/>
  <c r="L19" i="52"/>
  <c r="L19" i="52" a="1"/>
  <c r="O17" i="52"/>
  <c r="O17" i="52" a="1"/>
  <c r="W48" i="16"/>
  <c r="W48" i="16" a="1"/>
  <c r="O11" i="52"/>
  <c r="O11" i="52" a="1"/>
  <c r="O19" i="52"/>
  <c r="C17" i="52" a="1"/>
  <c r="C18" i="52"/>
  <c r="C10" i="52"/>
  <c r="D10" i="52"/>
  <c r="D5" i="52"/>
  <c r="E5" i="52"/>
  <c r="J5" i="52"/>
  <c r="K5" i="52"/>
  <c r="L8" i="52"/>
  <c r="O8" i="52"/>
  <c r="O19" i="52" a="1"/>
  <c r="O13" i="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<sst xmlns="http://schemas.openxmlformats.org/spreadsheetml/2006/main" count="1743" uniqueCount="762">
  <si>
    <t>Constants</t>
  </si>
  <si>
    <t>Pref [kPa]</t>
  </si>
  <si>
    <t>Tref [K]</t>
  </si>
  <si>
    <t>R [J/(kg-K)]</t>
  </si>
  <si>
    <t>gamma</t>
  </si>
  <si>
    <t>AR 4 - l-39=4.4 t-5=3-4</t>
  </si>
  <si>
    <t>International Standard Atmosphere</t>
  </si>
  <si>
    <t>Alt [ft]</t>
  </si>
  <si>
    <t>Alt [m]</t>
  </si>
  <si>
    <t>T[K]</t>
  </si>
  <si>
    <t>P [kPa]</t>
  </si>
  <si>
    <t>rho/rho_ref</t>
  </si>
  <si>
    <t>nu [m2/s]</t>
  </si>
  <si>
    <t>k [W/mK]</t>
  </si>
  <si>
    <t>a [m/s]</t>
  </si>
  <si>
    <t>Initial Guesses from Mattingly. Use only initially.</t>
  </si>
  <si>
    <t>Empirical (Mattingly, Simplified) Airframe Drag</t>
  </si>
  <si>
    <t>Ambient Conditions</t>
  </si>
  <si>
    <r>
      <t>Thrust Lapse (</t>
    </r>
    <r>
      <rPr>
        <b/>
        <sz val="11"/>
        <color theme="1"/>
        <rFont val="Aptos Narrow"/>
        <family val="2"/>
      </rPr>
      <t>α</t>
    </r>
    <r>
      <rPr>
        <b/>
        <sz val="9.35"/>
        <color theme="1"/>
        <rFont val="Aptos Narrow"/>
        <family val="2"/>
      </rPr>
      <t>)</t>
    </r>
  </si>
  <si>
    <r>
      <t>TSFC/TSFC</t>
    </r>
    <r>
      <rPr>
        <b/>
        <sz val="8"/>
        <color theme="1"/>
        <rFont val="Aptos Narrow"/>
        <family val="2"/>
        <scheme val="minor"/>
      </rPr>
      <t>SLS</t>
    </r>
  </si>
  <si>
    <t>Transport</t>
  </si>
  <si>
    <t>Fighter</t>
  </si>
  <si>
    <t>dT ISA [K]</t>
  </si>
  <si>
    <t>M</t>
  </si>
  <si>
    <t>Patm [kPa]</t>
  </si>
  <si>
    <t>Tatm [K]</t>
  </si>
  <si>
    <r>
      <t>ρ</t>
    </r>
    <r>
      <rPr>
        <b/>
        <sz val="9"/>
        <color theme="1"/>
        <rFont val="Aptos Narrow"/>
        <family val="2"/>
        <scheme val="minor"/>
      </rPr>
      <t>atm</t>
    </r>
    <r>
      <rPr>
        <b/>
        <sz val="11"/>
        <color theme="1"/>
        <rFont val="Aptos Narrow"/>
        <family val="2"/>
        <scheme val="minor"/>
      </rPr>
      <t xml:space="preserve"> [kg/m3]</t>
    </r>
  </si>
  <si>
    <t>Dens. Alt. [ft]</t>
  </si>
  <si>
    <t>Vinf [m/s]</t>
  </si>
  <si>
    <t>VTAS [kt]</t>
  </si>
  <si>
    <t>VEAS [kt]</t>
  </si>
  <si>
    <t>VCAS [kt]</t>
  </si>
  <si>
    <t>Pt-Ps [kPa]</t>
  </si>
  <si>
    <t>q [kPa]</t>
  </si>
  <si>
    <t>Tt/Ts</t>
  </si>
  <si>
    <t>Pt/Ps</t>
  </si>
  <si>
    <r>
      <t>Tt/Tref (</t>
    </r>
    <r>
      <rPr>
        <sz val="11"/>
        <color theme="1"/>
        <rFont val="Aptos Narrow"/>
        <family val="2"/>
        <scheme val="minor"/>
      </rPr>
      <t>ϑ</t>
    </r>
    <r>
      <rPr>
        <sz val="8"/>
        <color theme="1"/>
        <rFont val="Aptos Narrow"/>
        <family val="2"/>
        <scheme val="minor"/>
      </rPr>
      <t>0</t>
    </r>
    <r>
      <rPr>
        <b/>
        <sz val="11"/>
        <color theme="1"/>
        <rFont val="Aptos Narrow"/>
        <family val="2"/>
        <scheme val="minor"/>
      </rPr>
      <t>)</t>
    </r>
  </si>
  <si>
    <r>
      <t>Pt/Pref (</t>
    </r>
    <r>
      <rPr>
        <sz val="11"/>
        <color theme="1"/>
        <rFont val="Aptos Narrow"/>
        <family val="2"/>
        <scheme val="minor"/>
      </rPr>
      <t>δ</t>
    </r>
    <r>
      <rPr>
        <sz val="8"/>
        <color theme="1"/>
        <rFont val="Aptos Narrow"/>
        <family val="2"/>
        <scheme val="minor"/>
      </rPr>
      <t>0</t>
    </r>
    <r>
      <rPr>
        <b/>
        <sz val="11"/>
        <color theme="1"/>
        <rFont val="Aptos Narrow"/>
        <family val="2"/>
        <scheme val="minor"/>
      </rPr>
      <t>)</t>
    </r>
  </si>
  <si>
    <r>
      <t>ρ/ρ</t>
    </r>
    <r>
      <rPr>
        <b/>
        <sz val="8"/>
        <color theme="1"/>
        <rFont val="Aptos Narrow"/>
        <family val="2"/>
        <scheme val="minor"/>
      </rPr>
      <t>ref</t>
    </r>
    <r>
      <rPr>
        <b/>
        <sz val="11"/>
        <color theme="1"/>
        <rFont val="Aptos Narrow"/>
        <family val="2"/>
        <scheme val="minor"/>
      </rPr>
      <t xml:space="preserve"> (</t>
    </r>
    <r>
      <rPr>
        <sz val="11"/>
        <color theme="1"/>
        <rFont val="Aptos Narrow"/>
        <family val="2"/>
        <scheme val="minor"/>
      </rPr>
      <t>σ</t>
    </r>
    <r>
      <rPr>
        <b/>
        <sz val="11"/>
        <color theme="1"/>
        <rFont val="Aptos Narrow"/>
        <family val="2"/>
        <scheme val="minor"/>
      </rPr>
      <t>)</t>
    </r>
  </si>
  <si>
    <t>AB OFF</t>
  </si>
  <si>
    <t>AB ON</t>
  </si>
  <si>
    <t>AR</t>
  </si>
  <si>
    <t>e(oswald)</t>
  </si>
  <si>
    <r>
      <t>C</t>
    </r>
    <r>
      <rPr>
        <b/>
        <vertAlign val="subscript"/>
        <sz val="11"/>
        <color theme="1"/>
        <rFont val="Aptos Narrow"/>
        <family val="2"/>
        <scheme val="minor"/>
      </rPr>
      <t>D0</t>
    </r>
  </si>
  <si>
    <t>K1</t>
  </si>
  <si>
    <t>K2</t>
  </si>
  <si>
    <t>Service</t>
  </si>
  <si>
    <t>ABS</t>
  </si>
  <si>
    <t>Airframe</t>
  </si>
  <si>
    <r>
      <t>C</t>
    </r>
    <r>
      <rPr>
        <b/>
        <vertAlign val="subscript"/>
        <sz val="11"/>
        <color theme="1"/>
        <rFont val="Aptos Narrow"/>
        <family val="2"/>
        <scheme val="minor"/>
      </rPr>
      <t>DR</t>
    </r>
  </si>
  <si>
    <t>g [m/s2]</t>
  </si>
  <si>
    <t>Flight Conditions</t>
  </si>
  <si>
    <t>Flight Phase Assumptions</t>
  </si>
  <si>
    <t>Performance Required</t>
  </si>
  <si>
    <t>Minf</t>
  </si>
  <si>
    <t>Thrust Lapse (α)</t>
  </si>
  <si>
    <r>
      <t>Weight Factor (</t>
    </r>
    <r>
      <rPr>
        <b/>
        <sz val="11"/>
        <color theme="1"/>
        <rFont val="Aptos Narrow"/>
        <family val="2"/>
      </rPr>
      <t>β)</t>
    </r>
  </si>
  <si>
    <t>Load factor (n)</t>
  </si>
  <si>
    <t>Vertical Speed [m/s]</t>
  </si>
  <si>
    <r>
      <t>Accel [m/s</t>
    </r>
    <r>
      <rPr>
        <b/>
        <vertAlign val="super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>]</t>
    </r>
  </si>
  <si>
    <t>VS (fpm)</t>
  </si>
  <si>
    <t>VTAS [Kt]</t>
  </si>
  <si>
    <t>rho [kg/m3]</t>
  </si>
  <si>
    <t>q  [Pa]</t>
  </si>
  <si>
    <t>dz/dt [m/s]</t>
  </si>
  <si>
    <t>β/α</t>
  </si>
  <si>
    <t>q/β</t>
  </si>
  <si>
    <t>nβ/q</t>
  </si>
  <si>
    <r>
      <t>Wing Loading (W</t>
    </r>
    <r>
      <rPr>
        <b/>
        <sz val="8"/>
        <color theme="1"/>
        <rFont val="Aptos Narrow"/>
        <family val="2"/>
        <scheme val="minor"/>
      </rPr>
      <t>TO/</t>
    </r>
    <r>
      <rPr>
        <b/>
        <sz val="11"/>
        <color theme="1"/>
        <rFont val="Aptos Narrow"/>
        <family val="2"/>
        <scheme val="minor"/>
      </rPr>
      <t>S</t>
    </r>
    <r>
      <rPr>
        <b/>
        <sz val="8"/>
        <color theme="1"/>
        <rFont val="Aptos Narrow"/>
        <family val="2"/>
        <scheme val="minor"/>
      </rPr>
      <t>ref</t>
    </r>
    <r>
      <rPr>
        <b/>
        <sz val="11"/>
        <color theme="1"/>
        <rFont val="Aptos Narrow"/>
        <family val="2"/>
        <scheme val="minor"/>
      </rPr>
      <t xml:space="preserve"> ) </t>
    </r>
  </si>
  <si>
    <t xml:space="preserve">Thrust Loading </t>
  </si>
  <si>
    <t>[lbf/ft2]</t>
  </si>
  <si>
    <t>[Pa]</t>
  </si>
  <si>
    <t>[kg/m2]</t>
  </si>
  <si>
    <r>
      <t>(T</t>
    </r>
    <r>
      <rPr>
        <b/>
        <sz val="8"/>
        <color theme="1"/>
        <rFont val="Aptos Narrow"/>
        <family val="2"/>
        <scheme val="minor"/>
      </rPr>
      <t>SLS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)</t>
    </r>
  </si>
  <si>
    <t>Initial Preliminary Weight Fractions</t>
  </si>
  <si>
    <t>Leg</t>
  </si>
  <si>
    <t>Weight Fraction</t>
  </si>
  <si>
    <t>Warm up</t>
  </si>
  <si>
    <t>Take off</t>
  </si>
  <si>
    <t>Top of Climb</t>
  </si>
  <si>
    <t>Cruise Climb</t>
  </si>
  <si>
    <t>Descent</t>
  </si>
  <si>
    <t>Maneuvers</t>
  </si>
  <si>
    <t>Landing</t>
  </si>
  <si>
    <t>These are to be used for initial guidance only, when no other data exists.</t>
  </si>
  <si>
    <r>
      <t>(Tsls/W</t>
    </r>
    <r>
      <rPr>
        <b/>
        <sz val="9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)</t>
    </r>
    <r>
      <rPr>
        <b/>
        <sz val="9"/>
        <color theme="1"/>
        <rFont val="Aptos Narrow"/>
        <family val="2"/>
        <scheme val="minor"/>
      </rPr>
      <t>des</t>
    </r>
  </si>
  <si>
    <r>
      <t>(W</t>
    </r>
    <r>
      <rPr>
        <b/>
        <sz val="9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/Sref)</t>
    </r>
    <r>
      <rPr>
        <b/>
        <sz val="9"/>
        <color theme="1"/>
        <rFont val="Aptos Narrow"/>
        <family val="2"/>
        <scheme val="minor"/>
      </rPr>
      <t xml:space="preserve">des </t>
    </r>
    <r>
      <rPr>
        <b/>
        <sz val="11"/>
        <color theme="1"/>
        <rFont val="Aptos Narrow"/>
        <family val="2"/>
        <scheme val="minor"/>
      </rPr>
      <t>[lbm/ft2]</t>
    </r>
  </si>
  <si>
    <r>
      <t>(W</t>
    </r>
    <r>
      <rPr>
        <b/>
        <sz val="9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/Sref)</t>
    </r>
    <r>
      <rPr>
        <b/>
        <sz val="9"/>
        <color theme="1"/>
        <rFont val="Aptos Narrow"/>
        <family val="2"/>
        <scheme val="minor"/>
      </rPr>
      <t xml:space="preserve">des </t>
    </r>
    <r>
      <rPr>
        <b/>
        <sz val="11"/>
        <color theme="1"/>
        <rFont val="Aptos Narrow"/>
        <family val="2"/>
        <scheme val="minor"/>
      </rPr>
      <t>[kPa]</t>
    </r>
  </si>
  <si>
    <t>Vs0 [knots]</t>
  </si>
  <si>
    <t>Load Factor (n)</t>
  </si>
  <si>
    <r>
      <t>Weight Fraction (</t>
    </r>
    <r>
      <rPr>
        <b/>
        <sz val="11"/>
        <color theme="1"/>
        <rFont val="Aptos Narrow"/>
        <family val="2"/>
      </rPr>
      <t>β</t>
    </r>
    <r>
      <rPr>
        <b/>
        <sz val="11"/>
        <color theme="1"/>
        <rFont val="Aptos Narrow"/>
        <family val="2"/>
        <scheme val="minor"/>
      </rPr>
      <t>)</t>
    </r>
  </si>
  <si>
    <t>Ps [m/s]</t>
  </si>
  <si>
    <t>Mattingly Empirical Correlations (Initial guesses before cycle models available)</t>
  </si>
  <si>
    <t>for HBPR</t>
  </si>
  <si>
    <r>
      <t>Thrust Lapse Rate (</t>
    </r>
    <r>
      <rPr>
        <b/>
        <sz val="11"/>
        <color theme="1"/>
        <rFont val="Aptos Narrow"/>
        <family val="2"/>
      </rPr>
      <t>α)</t>
    </r>
  </si>
  <si>
    <t>TSFC [(lbm/hr)/lbf]</t>
  </si>
  <si>
    <t>BPR (5-15)</t>
  </si>
  <si>
    <t>HBPR</t>
  </si>
  <si>
    <t>LBPR</t>
  </si>
  <si>
    <t>LBPR AB on</t>
  </si>
  <si>
    <t xml:space="preserve">LBPR </t>
  </si>
  <si>
    <t>VEAS [knots]</t>
  </si>
  <si>
    <t>Specific Excess Power [m/s], Including Stall Boundary</t>
  </si>
  <si>
    <t>Specific Excess Power [fpm], Including Stall Boundary</t>
  </si>
  <si>
    <t>Mach/Alt [ft]</t>
  </si>
  <si>
    <t>Alitude &amp; Airspeed for Steady Level Flight</t>
  </si>
  <si>
    <t>* Assuming lapse only a function of (δ0) (as for LBPR or T-J).</t>
  </si>
  <si>
    <r>
      <t xml:space="preserve"> (W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/S</t>
    </r>
    <r>
      <rPr>
        <b/>
        <sz val="8"/>
        <color theme="1"/>
        <rFont val="Aptos Narrow"/>
        <family val="2"/>
        <scheme val="minor"/>
      </rPr>
      <t>ref</t>
    </r>
    <r>
      <rPr>
        <b/>
        <sz val="11"/>
        <color theme="1"/>
        <rFont val="Aptos Narrow"/>
        <family val="2"/>
        <scheme val="minor"/>
      </rPr>
      <t xml:space="preserve"> ) [lb/ft^2]</t>
    </r>
  </si>
  <si>
    <t>Ps [kPa]</t>
  </si>
  <si>
    <t>Ts [K]</t>
  </si>
  <si>
    <t>rhos [kg/m3]</t>
  </si>
  <si>
    <t>V [m/s]</t>
  </si>
  <si>
    <t>q [Pa]</t>
  </si>
  <si>
    <t>VEAS [m/s]</t>
  </si>
  <si>
    <r>
      <t>Pt/Pref (δ</t>
    </r>
    <r>
      <rPr>
        <b/>
        <sz val="8"/>
        <color theme="1"/>
        <rFont val="Aptos Narrow"/>
        <family val="2"/>
        <scheme val="minor"/>
      </rPr>
      <t>0</t>
    </r>
    <r>
      <rPr>
        <b/>
        <sz val="11"/>
        <color theme="1"/>
        <rFont val="Aptos Narrow"/>
        <family val="2"/>
        <scheme val="minor"/>
      </rPr>
      <t>)</t>
    </r>
  </si>
  <si>
    <r>
      <t>(T</t>
    </r>
    <r>
      <rPr>
        <b/>
        <sz val="8"/>
        <color theme="1"/>
        <rFont val="Aptos Narrow"/>
        <family val="2"/>
        <scheme val="minor"/>
      </rPr>
      <t>SLS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)req*</t>
    </r>
  </si>
  <si>
    <r>
      <t xml:space="preserve"> (W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/S</t>
    </r>
    <r>
      <rPr>
        <b/>
        <sz val="8"/>
        <color theme="1"/>
        <rFont val="Aptos Narrow"/>
        <family val="2"/>
        <scheme val="minor"/>
      </rPr>
      <t>ref</t>
    </r>
    <r>
      <rPr>
        <b/>
        <sz val="11"/>
        <color theme="1"/>
        <rFont val="Aptos Narrow"/>
        <family val="2"/>
        <scheme val="minor"/>
      </rPr>
      <t xml:space="preserve"> ) [Pa]</t>
    </r>
  </si>
  <si>
    <t>Installation effects factor:</t>
  </si>
  <si>
    <t>*</t>
  </si>
  <si>
    <t>**</t>
  </si>
  <si>
    <t>***</t>
  </si>
  <si>
    <t>[lbm]</t>
  </si>
  <si>
    <t>CASE</t>
  </si>
  <si>
    <t>[lbf/lbf]</t>
  </si>
  <si>
    <t>TSFC [(lbm/hr)/lbf)]</t>
  </si>
  <si>
    <t>[hr]</t>
  </si>
  <si>
    <t>[lbm/lbf]</t>
  </si>
  <si>
    <r>
      <t>Weight Fraction (</t>
    </r>
    <r>
      <rPr>
        <b/>
        <sz val="11"/>
        <color theme="1"/>
        <rFont val="Aptos Narrow"/>
        <family val="2"/>
      </rPr>
      <t>β)</t>
    </r>
  </si>
  <si>
    <t>Actual Installed Thust Required [lbf]</t>
  </si>
  <si>
    <t>Actual Fuel Burn [lbm]</t>
  </si>
  <si>
    <t>Actual Net Thust Required [kN]</t>
  </si>
  <si>
    <t>Actual Fuel Burn [kg]</t>
  </si>
  <si>
    <t>Type</t>
  </si>
  <si>
    <r>
      <t>W</t>
    </r>
    <r>
      <rPr>
        <b/>
        <sz val="8"/>
        <color theme="1"/>
        <rFont val="Aptos Narrow"/>
        <family val="2"/>
        <scheme val="minor"/>
      </rPr>
      <t>P</t>
    </r>
  </si>
  <si>
    <r>
      <t>W</t>
    </r>
    <r>
      <rPr>
        <b/>
        <sz val="8"/>
        <color theme="1"/>
        <rFont val="Aptos Narrow"/>
        <family val="2"/>
        <scheme val="minor"/>
      </rPr>
      <t>F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</si>
  <si>
    <r>
      <t>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 xml:space="preserve"> Guess</t>
    </r>
  </si>
  <si>
    <r>
      <t>(T</t>
    </r>
    <r>
      <rPr>
        <b/>
        <sz val="8"/>
        <color theme="1"/>
        <rFont val="Aptos Narrow"/>
        <family val="2"/>
        <scheme val="minor"/>
      </rPr>
      <t>SLS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)</t>
    </r>
    <r>
      <rPr>
        <b/>
        <sz val="8"/>
        <color theme="1"/>
        <rFont val="Aptos Narrow"/>
        <family val="2"/>
        <scheme val="minor"/>
      </rPr>
      <t>req</t>
    </r>
  </si>
  <si>
    <r>
      <t>T/T</t>
    </r>
    <r>
      <rPr>
        <b/>
        <sz val="8"/>
        <color theme="1"/>
        <rFont val="Aptos Narrow"/>
        <family val="2"/>
        <scheme val="minor"/>
      </rPr>
      <t>SLS</t>
    </r>
  </si>
  <si>
    <r>
      <t>W</t>
    </r>
    <r>
      <rPr>
        <b/>
        <sz val="8"/>
        <color theme="1"/>
        <rFont val="Aptos Narrow"/>
        <family val="2"/>
        <scheme val="minor"/>
      </rPr>
      <t>F</t>
    </r>
    <r>
      <rPr>
        <b/>
        <sz val="11"/>
        <color theme="1"/>
        <rFont val="Aptos Narrow"/>
        <family val="2"/>
        <scheme val="minor"/>
      </rPr>
      <t>dot/T</t>
    </r>
  </si>
  <si>
    <t>Time</t>
  </si>
  <si>
    <r>
      <t>W/W</t>
    </r>
    <r>
      <rPr>
        <b/>
        <sz val="8"/>
        <color theme="1"/>
        <rFont val="Aptos Narrow"/>
        <family val="2"/>
        <scheme val="minor"/>
      </rPr>
      <t>TO</t>
    </r>
  </si>
  <si>
    <t>Takeoff</t>
  </si>
  <si>
    <t>Climb</t>
  </si>
  <si>
    <r>
      <t>W</t>
    </r>
    <r>
      <rPr>
        <b/>
        <sz val="8"/>
        <color theme="1"/>
        <rFont val="Aptos Narrow"/>
        <family val="2"/>
        <scheme val="minor"/>
      </rPr>
      <t>E</t>
    </r>
  </si>
  <si>
    <r>
      <t>W</t>
    </r>
    <r>
      <rPr>
        <b/>
        <sz val="8"/>
        <color theme="1"/>
        <rFont val="Aptos Narrow"/>
        <family val="2"/>
        <scheme val="minor"/>
      </rPr>
      <t>F</t>
    </r>
  </si>
  <si>
    <r>
      <t>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 xml:space="preserve"> Calc</t>
    </r>
  </si>
  <si>
    <t>[kg]</t>
  </si>
  <si>
    <r>
      <t>W</t>
    </r>
    <r>
      <rPr>
        <b/>
        <sz val="8"/>
        <color theme="1"/>
        <rFont val="Aptos Narrow"/>
        <family val="2"/>
        <scheme val="minor"/>
      </rPr>
      <t>E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</si>
  <si>
    <r>
      <t>W</t>
    </r>
    <r>
      <rPr>
        <b/>
        <sz val="8"/>
        <color theme="1"/>
        <rFont val="Aptos Narrow"/>
        <family val="2"/>
        <scheme val="minor"/>
      </rPr>
      <t>P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</si>
  <si>
    <t>Error*100</t>
  </si>
  <si>
    <t>TOC</t>
  </si>
  <si>
    <t>&lt;----</t>
  </si>
  <si>
    <r>
      <t>Goal seek to zero by changing W</t>
    </r>
    <r>
      <rPr>
        <sz val="8"/>
        <color theme="1"/>
        <rFont val="Aptos Narrow"/>
        <family val="2"/>
        <scheme val="minor"/>
      </rPr>
      <t>TO</t>
    </r>
    <r>
      <rPr>
        <sz val="11"/>
        <color theme="1"/>
        <rFont val="Aptos Narrow"/>
        <family val="2"/>
        <scheme val="minor"/>
      </rPr>
      <t xml:space="preserve"> Guess.</t>
    </r>
  </si>
  <si>
    <t>Cruise</t>
  </si>
  <si>
    <r>
      <t>Type of aircraft and guessed 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 xml:space="preserve"> yield W</t>
    </r>
    <r>
      <rPr>
        <b/>
        <sz val="8"/>
        <color theme="1"/>
        <rFont val="Aptos Narrow"/>
        <family val="2"/>
        <scheme val="minor"/>
      </rPr>
      <t>E</t>
    </r>
    <r>
      <rPr>
        <b/>
        <sz val="11"/>
        <color theme="1"/>
        <rFont val="Aptos Narrow"/>
        <family val="2"/>
        <scheme val="minor"/>
      </rPr>
      <t>/W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.</t>
    </r>
  </si>
  <si>
    <r>
      <t>These correlations come from Mattingly for W</t>
    </r>
    <r>
      <rPr>
        <b/>
        <sz val="8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 xml:space="preserve"> in [lbm].</t>
    </r>
  </si>
  <si>
    <t>Types</t>
  </si>
  <si>
    <t>Maneuver</t>
  </si>
  <si>
    <t xml:space="preserve"> </t>
  </si>
  <si>
    <t>Cargo</t>
  </si>
  <si>
    <t>Passenger</t>
  </si>
  <si>
    <t>Cruise Reserve</t>
  </si>
  <si>
    <t>Traffic pattern</t>
  </si>
  <si>
    <t>Land</t>
  </si>
  <si>
    <t>Ceiling</t>
  </si>
  <si>
    <r>
      <t>Note: In SI, a fuel consumption in g (grams) should be converted to kN to arrive at W</t>
    </r>
    <r>
      <rPr>
        <b/>
        <sz val="8"/>
        <rFont val="Aptos Narrow"/>
        <family val="2"/>
        <scheme val="minor"/>
      </rPr>
      <t>F</t>
    </r>
    <r>
      <rPr>
        <b/>
        <sz val="11"/>
        <rFont val="Aptos Narrow"/>
        <family val="2"/>
        <scheme val="minor"/>
      </rPr>
      <t>/W</t>
    </r>
    <r>
      <rPr>
        <b/>
        <sz val="9"/>
        <rFont val="Aptos Narrow"/>
        <family val="2"/>
        <scheme val="minor"/>
      </rPr>
      <t xml:space="preserve">TO. </t>
    </r>
    <r>
      <rPr>
        <b/>
        <sz val="11"/>
        <rFont val="Aptos Narrow"/>
        <family val="2"/>
        <scheme val="minor"/>
      </rPr>
      <t>In USC, [lbm/lbf] may be considerered dimensionless. Note that SI units for TSFC are [(g/s)/kN].</t>
    </r>
  </si>
  <si>
    <r>
      <t xml:space="preserve">This is the </t>
    </r>
    <r>
      <rPr>
        <u/>
        <sz val="11"/>
        <color theme="1"/>
        <rFont val="Aptos Narrow"/>
        <family val="2"/>
        <scheme val="minor"/>
      </rPr>
      <t>required</t>
    </r>
    <r>
      <rPr>
        <sz val="11"/>
        <color theme="1"/>
        <rFont val="Aptos Narrow"/>
        <family val="2"/>
        <scheme val="minor"/>
      </rPr>
      <t xml:space="preserve"> thrust loading for that particular maneuver, not the available thrust loading. </t>
    </r>
  </si>
  <si>
    <t>This is the thust lapse due to altitude and Mach number. Initially correlations can be used, but an offdesign model can be used to generate a better correlation.</t>
  </si>
  <si>
    <t>This TSFC may intiailly be an estimate or correlation, but should be replaced by the actual value from a performance model run at the conditions corresponding to the mission phase and at a power setting matching the actual thrust (with consideration of installation effects). If TSFC is obtained from a performance model for an uninstalled engine, it should be factored according to factor installation.</t>
  </si>
  <si>
    <t>Climb1</t>
  </si>
  <si>
    <t>Climb2</t>
  </si>
  <si>
    <t>Climb3</t>
  </si>
  <si>
    <t>Climb4</t>
  </si>
  <si>
    <t>TOC5</t>
  </si>
  <si>
    <t>Descent5</t>
  </si>
  <si>
    <t>Descent4</t>
  </si>
  <si>
    <t>Descent3</t>
  </si>
  <si>
    <t>Descent2</t>
  </si>
  <si>
    <t>Descent1</t>
  </si>
  <si>
    <t>Traffic pattern1</t>
  </si>
  <si>
    <t>Mass flow rate (mdot0)</t>
  </si>
  <si>
    <t>Specific Thrust</t>
  </si>
  <si>
    <t>calculate later</t>
  </si>
  <si>
    <t>Climb 1</t>
  </si>
  <si>
    <t>Climb 2</t>
  </si>
  <si>
    <t>Climb 3</t>
  </si>
  <si>
    <t>Climb 4</t>
  </si>
  <si>
    <t>Climb 5/TOC</t>
  </si>
  <si>
    <t>Descent 5</t>
  </si>
  <si>
    <t>Descent 4</t>
  </si>
  <si>
    <t>Descent 3</t>
  </si>
  <si>
    <t>Descent 2</t>
  </si>
  <si>
    <t>Descent 1</t>
  </si>
  <si>
    <t>Traffic Pattern</t>
  </si>
  <si>
    <t>Design points</t>
  </si>
  <si>
    <t>DP, Cruise</t>
  </si>
  <si>
    <t>Serv Ceil</t>
  </si>
  <si>
    <t>ABS Ceil</t>
  </si>
  <si>
    <t>TO</t>
  </si>
  <si>
    <t>SLS</t>
  </si>
  <si>
    <t>Climb5</t>
  </si>
  <si>
    <t>Descend5</t>
  </si>
  <si>
    <t>Descend4</t>
  </si>
  <si>
    <t>Descend3</t>
  </si>
  <si>
    <t>Descend2</t>
  </si>
  <si>
    <t>Descend1</t>
  </si>
  <si>
    <t>Thrust</t>
  </si>
  <si>
    <t>Lapse Rate</t>
  </si>
  <si>
    <t>SI TSFC</t>
  </si>
  <si>
    <t>USC TSFC</t>
  </si>
  <si>
    <t>Engine Cycle Performance Table</t>
  </si>
  <si>
    <t>Case</t>
  </si>
  <si>
    <t>Pamb [kPa]</t>
  </si>
  <si>
    <t>Tamb [K]</t>
  </si>
  <si>
    <t>M0</t>
  </si>
  <si>
    <t>TET [K]</t>
  </si>
  <si>
    <t>OPR</t>
  </si>
  <si>
    <t>FPR</t>
  </si>
  <si>
    <t>BPR</t>
  </si>
  <si>
    <t>Fnet [kN]</t>
  </si>
  <si>
    <t>Fnet [lbf]</t>
  </si>
  <si>
    <t>Sp. Thrust [m/s]</t>
  </si>
  <si>
    <t>Sp. Thrust [ft/min]</t>
  </si>
  <si>
    <t>TSFC [g/kNs]</t>
  </si>
  <si>
    <t>FAR</t>
  </si>
  <si>
    <t>RTO</t>
  </si>
  <si>
    <t>CRZ</t>
  </si>
  <si>
    <t>.</t>
  </si>
  <si>
    <t>Turbomachinery Duty Table (Fan)</t>
  </si>
  <si>
    <t>Ptin [kPa]</t>
  </si>
  <si>
    <t>Ttin [K]</t>
  </si>
  <si>
    <t>W [kg/s]</t>
  </si>
  <si>
    <t>Wcorr [kg/s]</t>
  </si>
  <si>
    <t>PR</t>
  </si>
  <si>
    <t>Power [kW]</t>
  </si>
  <si>
    <t>Eff [Poly]</t>
  </si>
  <si>
    <t>Nmech [%]</t>
  </si>
  <si>
    <t>&lt;-- Speed RPM</t>
  </si>
  <si>
    <t>Turbomachinery Duty Table (Comp)</t>
  </si>
  <si>
    <t>Turbomachinery Duty Table (HPT)</t>
  </si>
  <si>
    <t>ER</t>
  </si>
  <si>
    <t>Turbomachinery Duty Table (LPT)</t>
  </si>
  <si>
    <t>W1 [kg/s]</t>
  </si>
  <si>
    <t>Fgparam</t>
  </si>
  <si>
    <t>T0 [K]</t>
  </si>
  <si>
    <t>WF [kg/h]</t>
  </si>
  <si>
    <t>A9 [m2]</t>
  </si>
  <si>
    <t>P0 [kPa]</t>
  </si>
  <si>
    <t>FN [kN]</t>
  </si>
  <si>
    <t>Wfuel_corr [kg/h]</t>
  </si>
  <si>
    <t>ESTIMATED FIRST-ORDER TURBOJET PERFORMANCE AT CONSTANT POWER SETTING</t>
  </si>
  <si>
    <t>Pt/Pref</t>
  </si>
  <si>
    <t>Tt/Tref</t>
  </si>
  <si>
    <t>Wf [kg/h]</t>
  </si>
  <si>
    <t>Wf [kg/s]</t>
  </si>
  <si>
    <t>FG [kN]</t>
  </si>
  <si>
    <t>FRAM [kN]</t>
  </si>
  <si>
    <t>TSFC [(g/s)/kN]</t>
  </si>
  <si>
    <t>SF [m/s]</t>
  </si>
  <si>
    <t>Wf [lbm/h]</t>
  </si>
  <si>
    <t>FN [lbf]</t>
  </si>
  <si>
    <t>TSFC [(lbm/h)/lbf]</t>
  </si>
  <si>
    <t>SF [lbf/(lbm/s)]]</t>
  </si>
  <si>
    <t>Thrust Lapse</t>
  </si>
  <si>
    <t>TSFC Lapse</t>
  </si>
  <si>
    <t>Comparison of turbojet off-design performance calculated with a cycle deck using maps vs. that estimated from corrected parameters. 100% RPM throughout.</t>
  </si>
  <si>
    <t>Envelope</t>
  </si>
  <si>
    <t>Cycle Deck</t>
  </si>
  <si>
    <t>Estimate</t>
  </si>
  <si>
    <r>
      <t>V</t>
    </r>
    <r>
      <rPr>
        <b/>
        <sz val="8"/>
        <color theme="1"/>
        <rFont val="Aptos Narrow"/>
        <family val="2"/>
        <scheme val="minor"/>
      </rPr>
      <t>s0</t>
    </r>
    <r>
      <rPr>
        <b/>
        <sz val="11"/>
        <color theme="1"/>
        <rFont val="Aptos Narrow"/>
        <family val="2"/>
        <scheme val="minor"/>
      </rPr>
      <t xml:space="preserve"> [knots]</t>
    </r>
  </si>
  <si>
    <t>Speeds</t>
  </si>
  <si>
    <t>rho ref [kg/m3]</t>
  </si>
  <si>
    <r>
      <t>Landing config. C</t>
    </r>
    <r>
      <rPr>
        <b/>
        <sz val="8"/>
        <color theme="1"/>
        <rFont val="Aptos Narrow"/>
        <family val="2"/>
        <scheme val="minor"/>
      </rPr>
      <t>lmax</t>
    </r>
  </si>
  <si>
    <t>[knots]</t>
  </si>
  <si>
    <t>[m/s]</t>
  </si>
  <si>
    <r>
      <t>Landing Density Ratio (</t>
    </r>
    <r>
      <rPr>
        <b/>
        <sz val="11"/>
        <color theme="1"/>
        <rFont val="Aptos Narrow"/>
        <family val="2"/>
      </rPr>
      <t>ρ/ρ</t>
    </r>
    <r>
      <rPr>
        <b/>
        <sz val="8"/>
        <color theme="1"/>
        <rFont val="Aptos Narrow"/>
        <family val="2"/>
      </rPr>
      <t>ref</t>
    </r>
    <r>
      <rPr>
        <b/>
        <sz val="11"/>
        <color theme="1"/>
        <rFont val="Aptos Narrow"/>
        <family val="2"/>
      </rPr>
      <t>)</t>
    </r>
  </si>
  <si>
    <r>
      <t>V</t>
    </r>
    <r>
      <rPr>
        <b/>
        <sz val="8"/>
        <color theme="1"/>
        <rFont val="Aptos Narrow"/>
        <family val="2"/>
        <scheme val="minor"/>
      </rPr>
      <t>s0</t>
    </r>
  </si>
  <si>
    <t>Landing Weight Fraction</t>
  </si>
  <si>
    <r>
      <t>V</t>
    </r>
    <r>
      <rPr>
        <b/>
        <sz val="8"/>
        <color theme="1"/>
        <rFont val="Aptos Narrow"/>
        <family val="2"/>
        <scheme val="minor"/>
      </rPr>
      <t>s1</t>
    </r>
  </si>
  <si>
    <r>
      <t>V</t>
    </r>
    <r>
      <rPr>
        <b/>
        <sz val="8"/>
        <color theme="1"/>
        <rFont val="Aptos Narrow"/>
        <family val="2"/>
        <scheme val="minor"/>
      </rPr>
      <t>ref</t>
    </r>
  </si>
  <si>
    <t>Stall speed in landing configuration (flaps, gear, extended).</t>
  </si>
  <si>
    <r>
      <t>Takeoff config. C</t>
    </r>
    <r>
      <rPr>
        <b/>
        <sz val="8"/>
        <color theme="1"/>
        <rFont val="Aptos Narrow"/>
        <family val="2"/>
        <scheme val="minor"/>
      </rPr>
      <t>lmax</t>
    </r>
  </si>
  <si>
    <r>
      <t>V</t>
    </r>
    <r>
      <rPr>
        <b/>
        <sz val="8"/>
        <color theme="1"/>
        <rFont val="Aptos Narrow"/>
        <family val="2"/>
        <scheme val="minor"/>
      </rPr>
      <t>L</t>
    </r>
  </si>
  <si>
    <t>Stall speed in take-off configuration (take-of flaps, etc.).</t>
  </si>
  <si>
    <r>
      <t>Takeoff Density Ratio (</t>
    </r>
    <r>
      <rPr>
        <b/>
        <sz val="11"/>
        <color theme="1"/>
        <rFont val="Aptos Narrow"/>
        <family val="2"/>
      </rPr>
      <t>ρ/ρ</t>
    </r>
    <r>
      <rPr>
        <b/>
        <sz val="8"/>
        <color theme="1"/>
        <rFont val="Aptos Narrow"/>
        <family val="2"/>
      </rPr>
      <t>ref</t>
    </r>
    <r>
      <rPr>
        <b/>
        <sz val="11"/>
        <color theme="1"/>
        <rFont val="Aptos Narrow"/>
        <family val="2"/>
      </rPr>
      <t>)</t>
    </r>
  </si>
  <si>
    <r>
      <t>V</t>
    </r>
    <r>
      <rPr>
        <b/>
        <sz val="8"/>
        <color theme="1"/>
        <rFont val="Aptos Narrow"/>
        <family val="2"/>
        <scheme val="minor"/>
      </rPr>
      <t>R</t>
    </r>
  </si>
  <si>
    <t>Reference speed- approach speed over 50 ft obstacle. 1.3*Vs0.</t>
  </si>
  <si>
    <t>Take-off Weight Fraction</t>
  </si>
  <si>
    <t>Landing touch-down speed.</t>
  </si>
  <si>
    <r>
      <t>V</t>
    </r>
    <r>
      <rPr>
        <b/>
        <sz val="8"/>
        <color theme="1"/>
        <rFont val="Aptos Narrow"/>
        <family val="2"/>
        <scheme val="minor"/>
      </rPr>
      <t>R</t>
    </r>
    <r>
      <rPr>
        <b/>
        <sz val="11"/>
        <color theme="1"/>
        <rFont val="Aptos Narrow"/>
        <family val="2"/>
        <scheme val="minor"/>
      </rPr>
      <t xml:space="preserve">/Vs </t>
    </r>
  </si>
  <si>
    <t>TO Ground Run</t>
  </si>
  <si>
    <t>Rotation speed, assumed same as lift-off speed.</t>
  </si>
  <si>
    <t>Take-off Thrust Lapse Rate</t>
  </si>
  <si>
    <t>[m]</t>
  </si>
  <si>
    <t>[ft]</t>
  </si>
  <si>
    <t>Rotation time [s]</t>
  </si>
  <si>
    <r>
      <t>S</t>
    </r>
    <r>
      <rPr>
        <b/>
        <sz val="8"/>
        <color theme="1"/>
        <rFont val="Aptos Narrow"/>
        <family val="2"/>
        <scheme val="minor"/>
      </rPr>
      <t xml:space="preserve">G </t>
    </r>
    <r>
      <rPr>
        <b/>
        <sz val="11"/>
        <color theme="1"/>
        <rFont val="Aptos Narrow"/>
        <family val="2"/>
        <scheme val="minor"/>
      </rPr>
      <t>+</t>
    </r>
    <r>
      <rPr>
        <b/>
        <sz val="8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</t>
    </r>
    <r>
      <rPr>
        <b/>
        <sz val="8"/>
        <color theme="1"/>
        <rFont val="Aptos Narrow"/>
        <family val="2"/>
        <scheme val="minor"/>
      </rPr>
      <t>R</t>
    </r>
    <r>
      <rPr>
        <b/>
        <sz val="11"/>
        <color theme="1"/>
        <rFont val="Aptos Narrow"/>
        <family val="2"/>
        <scheme val="minor"/>
      </rPr>
      <t xml:space="preserve"> </t>
    </r>
  </si>
  <si>
    <r>
      <t>Total ground run: S</t>
    </r>
    <r>
      <rPr>
        <b/>
        <sz val="8"/>
        <color theme="1"/>
        <rFont val="Aptos Narrow"/>
        <family val="2"/>
        <scheme val="minor"/>
      </rPr>
      <t xml:space="preserve">G </t>
    </r>
    <r>
      <rPr>
        <b/>
        <sz val="11"/>
        <color theme="1"/>
        <rFont val="Aptos Narrow"/>
        <family val="2"/>
        <scheme val="minor"/>
      </rPr>
      <t>+</t>
    </r>
    <r>
      <rPr>
        <b/>
        <sz val="8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</t>
    </r>
    <r>
      <rPr>
        <b/>
        <sz val="8"/>
        <color theme="1"/>
        <rFont val="Aptos Narrow"/>
        <family val="2"/>
        <scheme val="minor"/>
      </rPr>
      <t>R</t>
    </r>
    <r>
      <rPr>
        <b/>
        <sz val="11"/>
        <color theme="1"/>
        <rFont val="Aptos Narrow"/>
        <family val="2"/>
        <scheme val="minor"/>
      </rPr>
      <t xml:space="preserve"> [ft]</t>
    </r>
  </si>
  <si>
    <r>
      <t>S</t>
    </r>
    <r>
      <rPr>
        <b/>
        <sz val="8"/>
        <color theme="1"/>
        <rFont val="Aptos Narrow"/>
        <family val="2"/>
        <scheme val="minor"/>
      </rPr>
      <t>G</t>
    </r>
  </si>
  <si>
    <t>Constraints</t>
  </si>
  <si>
    <t>Wing loading calculated based on stall speed in landing configuration (landing Clmax)</t>
  </si>
  <si>
    <r>
      <t xml:space="preserve">  (W</t>
    </r>
    <r>
      <rPr>
        <b/>
        <sz val="9"/>
        <color theme="1"/>
        <rFont val="Aptos Narrow"/>
        <family val="2"/>
        <scheme val="minor"/>
      </rPr>
      <t>TO</t>
    </r>
    <r>
      <rPr>
        <b/>
        <sz val="11"/>
        <color theme="1"/>
        <rFont val="Aptos Narrow"/>
        <family val="2"/>
        <scheme val="minor"/>
      </rPr>
      <t>/S</t>
    </r>
    <r>
      <rPr>
        <b/>
        <sz val="8"/>
        <color theme="1"/>
        <rFont val="Aptos Narrow"/>
        <family val="2"/>
        <scheme val="minor"/>
      </rPr>
      <t xml:space="preserve">ref </t>
    </r>
    <r>
      <rPr>
        <b/>
        <sz val="11"/>
        <color theme="1"/>
        <rFont val="Aptos Narrow"/>
        <family val="2"/>
        <scheme val="minor"/>
      </rPr>
      <t>)</t>
    </r>
  </si>
  <si>
    <t>Thrust loading calculated based on take off Clmax at max stall wing loading.</t>
  </si>
  <si>
    <t>(No Drag)</t>
  </si>
  <si>
    <t>(Empirical correlation)</t>
  </si>
  <si>
    <t>Cons. Landing Dist. Estimate</t>
  </si>
  <si>
    <t>Plotting Stall Constraint</t>
  </si>
  <si>
    <t>This gives max wing loading acceptable.</t>
  </si>
  <si>
    <r>
      <t>S</t>
    </r>
    <r>
      <rPr>
        <b/>
        <sz val="8"/>
        <color theme="1"/>
        <rFont val="Aptos Narrow"/>
        <family val="2"/>
        <scheme val="minor"/>
      </rPr>
      <t>L, Raymer</t>
    </r>
  </si>
  <si>
    <r>
      <t>S</t>
    </r>
    <r>
      <rPr>
        <b/>
        <sz val="8"/>
        <color theme="1"/>
        <rFont val="Aptos Narrow"/>
        <family val="2"/>
        <scheme val="minor"/>
      </rPr>
      <t>L, Perkins</t>
    </r>
  </si>
  <si>
    <t>No thrust reversers, chute, etc. (conservative).</t>
  </si>
  <si>
    <t>Thermally Perfect Gas per Walsh &amp; Fletcher "Gas Turbine Performance, 2nd. Ed."</t>
  </si>
  <si>
    <t>FAR:</t>
  </si>
  <si>
    <t>Range for Plot</t>
  </si>
  <si>
    <t>T [K]</t>
  </si>
  <si>
    <t xml:space="preserve">cp [J/kg-K] </t>
  </si>
  <si>
    <t>Temp [K]</t>
  </si>
  <si>
    <t>Cp [J/kg-K]</t>
  </si>
  <si>
    <t>Tmin [K]</t>
  </si>
  <si>
    <t>Tmax [K]</t>
  </si>
  <si>
    <t xml:space="preserve">CONA0 </t>
  </si>
  <si>
    <t xml:space="preserve">CONA1 </t>
  </si>
  <si>
    <t xml:space="preserve">CONA2 </t>
  </si>
  <si>
    <t xml:space="preserve">CONA3 </t>
  </si>
  <si>
    <t xml:space="preserve">CONA4 </t>
  </si>
  <si>
    <t xml:space="preserve">CONA5 </t>
  </si>
  <si>
    <t xml:space="preserve">CONA6 </t>
  </si>
  <si>
    <t xml:space="preserve">CONA7 </t>
  </si>
  <si>
    <t xml:space="preserve">CONA8 </t>
  </si>
  <si>
    <t xml:space="preserve">CONB0 </t>
  </si>
  <si>
    <t xml:space="preserve">CONB1 </t>
  </si>
  <si>
    <t xml:space="preserve">CONB2 </t>
  </si>
  <si>
    <t xml:space="preserve">CONB3 </t>
  </si>
  <si>
    <t xml:space="preserve">CONB4 </t>
  </si>
  <si>
    <t xml:space="preserve">CONB5 </t>
  </si>
  <si>
    <t>Can use fit above for approximations in desired range.</t>
  </si>
  <si>
    <t xml:space="preserve">CONB6 </t>
  </si>
  <si>
    <r>
      <rPr>
        <b/>
        <sz val="11"/>
        <color theme="1"/>
        <rFont val="Aptos Narrow"/>
        <family val="2"/>
        <scheme val="minor"/>
      </rPr>
      <t>NB</t>
    </r>
    <r>
      <rPr>
        <sz val="11"/>
        <color theme="1"/>
        <rFont val="Aptos Narrow"/>
        <family val="2"/>
        <scheme val="minor"/>
      </rPr>
      <t>: this is at the constant selected FAR.</t>
    </r>
  </si>
  <si>
    <t xml:space="preserve">CONB7 </t>
  </si>
  <si>
    <t xml:space="preserve">CONC0 </t>
  </si>
  <si>
    <t xml:space="preserve">CONC1 </t>
  </si>
  <si>
    <t xml:space="preserve">CONC2 </t>
  </si>
  <si>
    <t xml:space="preserve">Thermally Perfect Gas per Walsh &amp; Fletcher "Gas Turbine Performance, 2nd. Ed."  </t>
  </si>
  <si>
    <t>Can use the below to calculate thermo at each station. Note reference states used are for convenience and not part of original W&amp;F model. Reference state for enthalpy and entropy is not the same. Only consider deltas.</t>
  </si>
  <si>
    <t>Thermally perfect gas (WF)</t>
  </si>
  <si>
    <t>* Pressure is used for entropy calculation only.</t>
  </si>
  <si>
    <t>INPUTS</t>
  </si>
  <si>
    <t>** Enthalpy is referred to 0 K, while entropy is reffered to 273.15 K, 101.325 kPa.</t>
  </si>
  <si>
    <t xml:space="preserve">Thermo Functions Available </t>
  </si>
  <si>
    <t>Station</t>
  </si>
  <si>
    <t>Press* [kPa]</t>
  </si>
  <si>
    <t>R [J/kg-K]</t>
  </si>
  <si>
    <t>cp/cv</t>
  </si>
  <si>
    <t>ht [kJ/kg]</t>
  </si>
  <si>
    <t>intCpT</t>
  </si>
  <si>
    <t>s [J/kg-K]</t>
  </si>
  <si>
    <t>Constants- Don't touch</t>
  </si>
  <si>
    <t>ht, cp,R functions</t>
  </si>
  <si>
    <t>T from H</t>
  </si>
  <si>
    <t>h [kJ/kg]</t>
  </si>
  <si>
    <t>Thi [K]</t>
  </si>
  <si>
    <t>cp [kJ/kgK]</t>
  </si>
  <si>
    <t>Tlo [K]</t>
  </si>
  <si>
    <t>R [J/kgK]</t>
  </si>
  <si>
    <t>Calc FAR from Temp.Diff.</t>
  </si>
  <si>
    <t>Mach from Pt/Ps</t>
  </si>
  <si>
    <t>T2 [K]</t>
  </si>
  <si>
    <t>T1 [K]</t>
  </si>
  <si>
    <t>LHV [J/kg]</t>
  </si>
  <si>
    <t>Sub (1)/Sup (0)</t>
  </si>
  <si>
    <t>Comb Eff</t>
  </si>
  <si>
    <t>Mach</t>
  </si>
  <si>
    <t>Calc Pt from Temp change</t>
  </si>
  <si>
    <t>Calc Tt from Press ratio.</t>
  </si>
  <si>
    <t>P1 [any]</t>
  </si>
  <si>
    <t>P2 [any]</t>
  </si>
  <si>
    <t>eta_poly</t>
  </si>
  <si>
    <t>CONA9</t>
  </si>
  <si>
    <t>CONB8</t>
  </si>
  <si>
    <t>Mach from flow function</t>
  </si>
  <si>
    <t>CONA10</t>
  </si>
  <si>
    <t>Pt [Pa]</t>
  </si>
  <si>
    <t>CONB9</t>
  </si>
  <si>
    <t>Tt [K]</t>
  </si>
  <si>
    <t>A [m2]</t>
  </si>
  <si>
    <t>Ref ht at 0K</t>
  </si>
  <si>
    <t>Ref intCpT at 273.15 K</t>
  </si>
  <si>
    <t>dht  [kJ/kg]</t>
  </si>
  <si>
    <t>&lt; Iterate to zero</t>
  </si>
  <si>
    <t>Enter values in input cells. Then use goal seek to iterate Mach until Q Error goes to zero.</t>
  </si>
  <si>
    <t>Outputs are isentropic total/static ratios, velocity and static quantities.</t>
  </si>
  <si>
    <t xml:space="preserve">Q </t>
  </si>
  <si>
    <t xml:space="preserve">q </t>
  </si>
  <si>
    <t>V/sqrt(Tt)</t>
  </si>
  <si>
    <t>Gamma</t>
  </si>
  <si>
    <t>R (J/kg-K)</t>
  </si>
  <si>
    <t>Input</t>
  </si>
  <si>
    <t>Zero</t>
  </si>
  <si>
    <t>Mass Flow</t>
  </si>
  <si>
    <t>Pt</t>
  </si>
  <si>
    <t>Tt</t>
  </si>
  <si>
    <t>Area</t>
  </si>
  <si>
    <t>rhot</t>
  </si>
  <si>
    <t>Q</t>
  </si>
  <si>
    <t>Iterate</t>
  </si>
  <si>
    <t>kg/s</t>
  </si>
  <si>
    <t>kPa</t>
  </si>
  <si>
    <t>K</t>
  </si>
  <si>
    <t>m2</t>
  </si>
  <si>
    <t>kg/m3</t>
  </si>
  <si>
    <t>kg/s*r(K)/(kPa*m2)</t>
  </si>
  <si>
    <t>Output</t>
  </si>
  <si>
    <t>Cp</t>
  </si>
  <si>
    <t>Ps</t>
  </si>
  <si>
    <t>Ts</t>
  </si>
  <si>
    <t>V</t>
  </si>
  <si>
    <t>rhos</t>
  </si>
  <si>
    <t>Q Error*1e3</t>
  </si>
  <si>
    <t>J/kg-K</t>
  </si>
  <si>
    <t>m/s</t>
  </si>
  <si>
    <t>Vary Mach to Zero.</t>
  </si>
  <si>
    <t>[kg/s*r(K)/(kPa*m2)]</t>
  </si>
  <si>
    <t>Kacker and Okapuu Efficiency Correlation and "Smith Chart", as developed by Aungier. Aungier "Turbine Aerodynamics".</t>
  </si>
  <si>
    <t>Load Coeff.</t>
  </si>
  <si>
    <t>Flow Coeff.</t>
  </si>
  <si>
    <t>eff_opt</t>
  </si>
  <si>
    <t>Flow_opt</t>
  </si>
  <si>
    <t>Isen. Eff.</t>
  </si>
  <si>
    <t>Does not include tip clearance effects.</t>
  </si>
  <si>
    <t>Tip Clearance Correction</t>
  </si>
  <si>
    <t>Tip Zweiffel</t>
  </si>
  <si>
    <t>Tip. Clr.</t>
  </si>
  <si>
    <t>H/T Ratio</t>
  </si>
  <si>
    <t>Ktip</t>
  </si>
  <si>
    <t>from Bashkarone &amp; Hill.</t>
  </si>
  <si>
    <t>Sp. Thrust. [kN/(kg/s)]</t>
  </si>
  <si>
    <t>Fn [kN]</t>
  </si>
  <si>
    <t>Inlet W [kg/s]</t>
  </si>
  <si>
    <t>Fan dia [m]</t>
  </si>
  <si>
    <t>Thrust Pwr [MW]</t>
  </si>
  <si>
    <t>Propulsive Eff.</t>
  </si>
  <si>
    <t>CN Fg [N]</t>
  </si>
  <si>
    <t>FN Fg [N]</t>
  </si>
  <si>
    <t>Fdrag [N]</t>
  </si>
  <si>
    <t>Sp. Thrust. [lbf/(lbm/s)]</t>
  </si>
  <si>
    <t>Fn [lbf]</t>
  </si>
  <si>
    <t>Inlet W [lbm/s]</t>
  </si>
  <si>
    <t>Fan dia [in]</t>
  </si>
  <si>
    <t>Thrust  Pwr [hp]</t>
  </si>
  <si>
    <t>(V18/V8)id</t>
  </si>
  <si>
    <t>(Pt16/P6)</t>
  </si>
  <si>
    <t>Only if unmixed.</t>
  </si>
  <si>
    <t>Fuel LHV [J/kg]</t>
  </si>
  <si>
    <t>Ambient</t>
  </si>
  <si>
    <t>Inlet face</t>
  </si>
  <si>
    <t>Fan Root Inlet</t>
  </si>
  <si>
    <t>After Fan Root</t>
  </si>
  <si>
    <t>IPC Inlet</t>
  </si>
  <si>
    <t>IPC Exit</t>
  </si>
  <si>
    <t>HPC Inlet</t>
  </si>
  <si>
    <t>HPC Outlet</t>
  </si>
  <si>
    <t>Combustor Inlet</t>
  </si>
  <si>
    <t>Combustor Outlet</t>
  </si>
  <si>
    <t>HPT NGV Throat</t>
  </si>
  <si>
    <t>HPT Rotor In</t>
  </si>
  <si>
    <t>HPT Outlet</t>
  </si>
  <si>
    <t>IPT Inlet</t>
  </si>
  <si>
    <t>IPT Outlet</t>
  </si>
  <si>
    <t>LPT Inlet</t>
  </si>
  <si>
    <t>LPT Outlet</t>
  </si>
  <si>
    <t>Mixer/AB In</t>
  </si>
  <si>
    <t>Core Nozzle In</t>
  </si>
  <si>
    <t>CN Throat</t>
  </si>
  <si>
    <t>CN Outlet</t>
  </si>
  <si>
    <t>Fan Tip Inlet</t>
  </si>
  <si>
    <t>Bypass duct In</t>
  </si>
  <si>
    <t>Mixer (if mixed)</t>
  </si>
  <si>
    <t>Fan Nozzle In</t>
  </si>
  <si>
    <t>FN Throat</t>
  </si>
  <si>
    <t>FN Outlet</t>
  </si>
  <si>
    <t>Engine Inlet Wcorr [kg/s]</t>
  </si>
  <si>
    <t>Offtake Flow [kg/s]</t>
  </si>
  <si>
    <t>Main Cycle Parameters</t>
  </si>
  <si>
    <t>Pt [kPa]</t>
  </si>
  <si>
    <t>HP/IP Split</t>
  </si>
  <si>
    <t>cp [kJ/kg-K]</t>
  </si>
  <si>
    <t>CPR</t>
  </si>
  <si>
    <t>Component Efficiencies</t>
  </si>
  <si>
    <t>Intake Ptot Recovery Tip</t>
  </si>
  <si>
    <t>Intake Ptot Recovery Hub</t>
  </si>
  <si>
    <t>Vax [m/s]</t>
  </si>
  <si>
    <t>OGV Pt Loss</t>
  </si>
  <si>
    <t>Bypass duct Pt loss</t>
  </si>
  <si>
    <t>Fan Tip Eff. Poly. (t-t)</t>
  </si>
  <si>
    <t>Fan Hub. Eff. Poly (t-t)</t>
  </si>
  <si>
    <t>Recalculated. cp [kJ/kg-K]</t>
  </si>
  <si>
    <t>ESS Pt Loss</t>
  </si>
  <si>
    <t>Swan neck loss</t>
  </si>
  <si>
    <t>Core Comp. Poly. Eff. (t-t)</t>
  </si>
  <si>
    <t>Compressors</t>
  </si>
  <si>
    <t>Combustion</t>
  </si>
  <si>
    <t>Turbines</t>
  </si>
  <si>
    <t>Core Nozzle</t>
  </si>
  <si>
    <t>Fan Nozzle</t>
  </si>
  <si>
    <t>Combustion Eff.</t>
  </si>
  <si>
    <t>Total power [MW]</t>
  </si>
  <si>
    <t>M1</t>
  </si>
  <si>
    <t>NPRcrit</t>
  </si>
  <si>
    <t>Comp. Diff. Ps recovery</t>
  </si>
  <si>
    <t>WF [kg/s]</t>
  </si>
  <si>
    <t>M2</t>
  </si>
  <si>
    <t>NPR</t>
  </si>
  <si>
    <t>Combustor Pt Loss</t>
  </si>
  <si>
    <t>HPC Power [MW]</t>
  </si>
  <si>
    <t>WF [lbm/hr]</t>
  </si>
  <si>
    <t>HPT Power [MW]</t>
  </si>
  <si>
    <t>M12</t>
  </si>
  <si>
    <t>Aeff</t>
  </si>
  <si>
    <t>Turbine Poly. Eff. (t-t)</t>
  </si>
  <si>
    <t>IPC Power [MW]</t>
  </si>
  <si>
    <t>WF [MW]</t>
  </si>
  <si>
    <t>IPT Power [MW]</t>
  </si>
  <si>
    <t>Ageo</t>
  </si>
  <si>
    <t>Core Nozzle Cd</t>
  </si>
  <si>
    <t>Fan Power [MW]</t>
  </si>
  <si>
    <t>LPT Power [MW]</t>
  </si>
  <si>
    <t>Core Nozzle Cv</t>
  </si>
  <si>
    <t>Mexh Mach</t>
  </si>
  <si>
    <t>Fan Nozzle Cd</t>
  </si>
  <si>
    <t>HPC PR</t>
  </si>
  <si>
    <t>HPT ER</t>
  </si>
  <si>
    <t>Aratio</t>
  </si>
  <si>
    <t>Fan Nozzle Cv</t>
  </si>
  <si>
    <t>IPC PR</t>
  </si>
  <si>
    <t>IPT ER</t>
  </si>
  <si>
    <t>mech effs</t>
  </si>
  <si>
    <t>Fan PR</t>
  </si>
  <si>
    <t>LPT ER</t>
  </si>
  <si>
    <t>O/all Turbine ER</t>
  </si>
  <si>
    <t>Secondary Air System</t>
  </si>
  <si>
    <t>% core flow</t>
  </si>
  <si>
    <t>HPT dH [kJ/kg]</t>
  </si>
  <si>
    <t>HPT cooling (does work)</t>
  </si>
  <si>
    <t>IPT dH  [kJ/kg]</t>
  </si>
  <si>
    <t>HPT packing (does no work)</t>
  </si>
  <si>
    <t>LPT dH  [kJ/kg]</t>
  </si>
  <si>
    <t>IPT cooling (does work)</t>
  </si>
  <si>
    <t>IPT packing (does no work)</t>
  </si>
  <si>
    <t>LPT cooling (does work)</t>
  </si>
  <si>
    <t>LPT packing (does no work)</t>
  </si>
  <si>
    <t>Customer offtake</t>
  </si>
  <si>
    <t>Total SAS [%]</t>
  </si>
  <si>
    <t>hpt and lpt only, no ipt</t>
  </si>
  <si>
    <t>Chosen</t>
  </si>
  <si>
    <t>Assumption</t>
  </si>
  <si>
    <t>Fan Face</t>
  </si>
  <si>
    <t>Fan Root TE</t>
  </si>
  <si>
    <t>Fan tip TE (bypass)</t>
  </si>
  <si>
    <t>IPC Outlet</t>
  </si>
  <si>
    <t>HPC Disc Diff</t>
  </si>
  <si>
    <t>NGV Cool Pre-Throat</t>
  </si>
  <si>
    <t>NGV Cool post Throat</t>
  </si>
  <si>
    <t>Bypass Duct Exit</t>
  </si>
  <si>
    <t>Ts [k]</t>
  </si>
  <si>
    <t>D [m]</t>
  </si>
  <si>
    <t>Ideal cp [kJ/kg-K]</t>
  </si>
  <si>
    <t>Recalc cp [kJ/kg-K]</t>
  </si>
  <si>
    <t>Pt2/Pt1</t>
  </si>
  <si>
    <t>Turbofan Cycle Inputs (Mixed exhaust, 2-spool baseline)</t>
  </si>
  <si>
    <t>Required Inputs (leave blank)</t>
  </si>
  <si>
    <t>m0</t>
  </si>
  <si>
    <t>Freestream Mach (station 0)</t>
  </si>
  <si>
    <t>Altitude_m</t>
  </si>
  <si>
    <t>Geometric altitude [m] for ISA</t>
  </si>
  <si>
    <t>m1</t>
  </si>
  <si>
    <t>Mach at station 1 (inlet face)</t>
  </si>
  <si>
    <t>Mach at station 2 (fan face)</t>
  </si>
  <si>
    <t>Bypass ratio</t>
  </si>
  <si>
    <t>Fan pressure ratio</t>
  </si>
  <si>
    <t>Mach at 2.1 (core fan/LPC TE)</t>
  </si>
  <si>
    <t>n_work_split</t>
  </si>
  <si>
    <t>IPC/HPC work split fraction (0–1)</t>
  </si>
  <si>
    <t>m3_1</t>
  </si>
  <si>
    <t>Mach at 3.1 (HPC discharge diffuser)</t>
  </si>
  <si>
    <t>m4</t>
  </si>
  <si>
    <t>Mach at 4.0 (combustor outlet)</t>
  </si>
  <si>
    <t>TET_Tt4_K</t>
  </si>
  <si>
    <t>Turbine entry total temperature Tt4 [K]</t>
  </si>
  <si>
    <t>m5</t>
  </si>
  <si>
    <t>Mach at 5.0 (LPT outlet)</t>
  </si>
  <si>
    <t>m15</t>
  </si>
  <si>
    <t>Mach at 15 (bypass duct exit)</t>
  </si>
  <si>
    <t>mdot0_kgps</t>
  </si>
  <si>
    <t>Total inlet mass flow W0 [kg/s]</t>
  </si>
  <si>
    <t>Assumed / Model Parameters (leave blank)</t>
  </si>
  <si>
    <t>Pt2_Pt1</t>
  </si>
  <si>
    <t>Inlet total pressure recovery Pt2/Pt1</t>
  </si>
  <si>
    <t>npLPC</t>
  </si>
  <si>
    <t>Fan/LPC polytropic efficiency</t>
  </si>
  <si>
    <t>npIPC</t>
  </si>
  <si>
    <t>IPC polytropic efficiency</t>
  </si>
  <si>
    <t>w2_6</t>
  </si>
  <si>
    <t>Swan neck loss coefficient (2.4→2.6 and/or bypass duct)</t>
  </si>
  <si>
    <t>Cpr</t>
  </si>
  <si>
    <t>Pressure recovery factor diffuser (3.0→3.1)</t>
  </si>
  <si>
    <t>dPt_Pt_comb</t>
  </si>
  <si>
    <t>Combustor total pressure loss fraction ΔPt/Pt</t>
  </si>
  <si>
    <t>ncomb</t>
  </si>
  <si>
    <t>Combustion efficiency</t>
  </si>
  <si>
    <t>nmechHP</t>
  </si>
  <si>
    <t>HP shaft mechanical efficiency</t>
  </si>
  <si>
    <t>npHPT</t>
  </si>
  <si>
    <t>HPT polytropic efficiency</t>
  </si>
  <si>
    <t>loss_45_48</t>
  </si>
  <si>
    <t>Inter-turbine duct PR (4.5→4.8), 1 if none</t>
  </si>
  <si>
    <t>Pt6_Pt6id</t>
  </si>
  <si>
    <t>Mixer total pressure recovery Pt6/Pt6id</t>
  </si>
  <si>
    <t>Tref_K</t>
  </si>
  <si>
    <t>Corrected flow reference Tt [K] (usually 288.15)</t>
  </si>
  <si>
    <t>Pref_kPa</t>
  </si>
  <si>
    <t>Corrected flow reference Pt [kPa] (usually 101.325)</t>
  </si>
  <si>
    <t>R_air</t>
  </si>
  <si>
    <t>Cold section R [J/kg-K]</t>
  </si>
  <si>
    <t>hPR</t>
  </si>
  <si>
    <t>Fuel lower heating value [J/kg]</t>
  </si>
  <si>
    <t>pi_HPC</t>
  </si>
  <si>
    <t>HPC pressure ratio (2.6→3.0)</t>
  </si>
  <si>
    <t>npHPC</t>
  </si>
  <si>
    <t>HPC polytropic efficiency</t>
  </si>
  <si>
    <t>Derived (auto-calculated)</t>
  </si>
  <si>
    <t>T0_K</t>
  </si>
  <si>
    <t>Ambient static temperature [K] (ISA)</t>
  </si>
  <si>
    <t>P0_kPa</t>
  </si>
  <si>
    <t>Ambient static pressure [kPa] (ISA)</t>
  </si>
  <si>
    <t>LPT Cooling</t>
  </si>
  <si>
    <t>NGV Cooling</t>
  </si>
  <si>
    <t>HPT Cooling</t>
  </si>
  <si>
    <t>Station-by-Station Cycle (requested station numbering; mixed engine)</t>
  </si>
  <si>
    <t>0</t>
  </si>
  <si>
    <t>1</t>
  </si>
  <si>
    <t>2</t>
  </si>
  <si>
    <t>2.1</t>
  </si>
  <si>
    <t>12.1</t>
  </si>
  <si>
    <t>2.6</t>
  </si>
  <si>
    <t>3.0</t>
  </si>
  <si>
    <t>3.1</t>
  </si>
  <si>
    <t>4.0</t>
  </si>
  <si>
    <t>4.05</t>
  </si>
  <si>
    <t>4.1</t>
  </si>
  <si>
    <t>4.4</t>
  </si>
  <si>
    <t>4.5</t>
  </si>
  <si>
    <t>4.7</t>
  </si>
  <si>
    <t>4.8</t>
  </si>
  <si>
    <t>5.0</t>
  </si>
  <si>
    <t>15</t>
  </si>
  <si>
    <t>Ambient conditions</t>
  </si>
  <si>
    <t>Fan face</t>
  </si>
  <si>
    <t>Fan root LPC trailing edge</t>
  </si>
  <si>
    <t>Fan tip trailing edge</t>
  </si>
  <si>
    <t>HPC inlet</t>
  </si>
  <si>
    <t>HPC outlet</t>
  </si>
  <si>
    <t>HPC discharge diffuser</t>
  </si>
  <si>
    <t>Combustor outlet</t>
  </si>
  <si>
    <t>NGV cool pre-throat</t>
  </si>
  <si>
    <t>NGV cool post-throat</t>
  </si>
  <si>
    <t>HPT turbine outlet</t>
  </si>
  <si>
    <t>IPT inlet</t>
  </si>
  <si>
    <t>IPT outlet</t>
  </si>
  <si>
    <t>LPT inlet</t>
  </si>
  <si>
    <t>LPT outlet</t>
  </si>
  <si>
    <t>Bypass duct exit</t>
  </si>
  <si>
    <t>Mixer</t>
  </si>
  <si>
    <t>Core Nozzle Inlet</t>
  </si>
  <si>
    <t>Core Nozzle Throat</t>
  </si>
  <si>
    <t>Core Nozzle Exit</t>
  </si>
  <si>
    <t>rho [kg/m^3]</t>
  </si>
  <si>
    <t>cp [J/kg-K]</t>
  </si>
  <si>
    <t>power</t>
  </si>
  <si>
    <t>Sp Thrust</t>
  </si>
  <si>
    <t>TSFC</t>
  </si>
  <si>
    <t>Pressure</t>
  </si>
  <si>
    <t>amb</t>
  </si>
  <si>
    <t>Pt Excel</t>
  </si>
  <si>
    <t>Pt Gasturb</t>
  </si>
  <si>
    <t>Temp</t>
  </si>
  <si>
    <t>St.5</t>
  </si>
  <si>
    <t>St.15</t>
  </si>
  <si>
    <t>St.6</t>
  </si>
  <si>
    <t>W5 [kg/s]</t>
  </si>
  <si>
    <t>Tt5 [K]</t>
  </si>
  <si>
    <t>Pt5 [kPa]</t>
  </si>
  <si>
    <t xml:space="preserve">M5 </t>
  </si>
  <si>
    <t>FAR 5</t>
  </si>
  <si>
    <t>W15 [kg/s]</t>
  </si>
  <si>
    <t>Pt15 [kPa]</t>
  </si>
  <si>
    <t>Tt15 [K]</t>
  </si>
  <si>
    <t>Required (Pt/Ps)15</t>
  </si>
  <si>
    <t>(g/(g-1))</t>
  </si>
  <si>
    <t>Required M15</t>
  </si>
  <si>
    <t>ht-Ave. Tt6 [K]</t>
  </si>
  <si>
    <t>k factor</t>
  </si>
  <si>
    <t>M6^2</t>
  </si>
  <si>
    <t>Ps6 [kPa]</t>
  </si>
  <si>
    <t>Mom. Def. [N]</t>
  </si>
  <si>
    <t>Ps6/(min(Ps5,Ps15))</t>
  </si>
  <si>
    <t>Ideal Pt6/Pt5</t>
  </si>
  <si>
    <t>mom [N]</t>
  </si>
  <si>
    <t>Pt15/Pt5</t>
  </si>
  <si>
    <t>Pt15</t>
  </si>
  <si>
    <t>Pt5/Pt15</t>
  </si>
  <si>
    <t>Pt5</t>
  </si>
  <si>
    <t>WrTP Turb</t>
  </si>
  <si>
    <t>W2/W4</t>
  </si>
  <si>
    <t>P4/P3</t>
  </si>
  <si>
    <t>P2/P0</t>
  </si>
  <si>
    <t>W2</t>
  </si>
  <si>
    <t>r(PR…)</t>
  </si>
  <si>
    <t>rT2/P3</t>
  </si>
  <si>
    <t>Eff</t>
  </si>
  <si>
    <t>matches work or capacity</t>
  </si>
  <si>
    <t>Wcore</t>
  </si>
  <si>
    <t>TR</t>
  </si>
  <si>
    <t>PR/r(TR)</t>
  </si>
  <si>
    <t>T0</t>
  </si>
  <si>
    <t>P0</t>
  </si>
  <si>
    <t>P0/rT0</t>
  </si>
  <si>
    <t>Work</t>
  </si>
  <si>
    <t>Capacity</t>
  </si>
  <si>
    <t>A0</t>
  </si>
  <si>
    <t>A1</t>
  </si>
  <si>
    <t>A2</t>
  </si>
  <si>
    <t>A8</t>
  </si>
  <si>
    <t>Pt1 [kPa]</t>
  </si>
  <si>
    <t>loss factor</t>
  </si>
  <si>
    <t>AR-1</t>
  </si>
  <si>
    <t>Pt2 [kPa]</t>
  </si>
  <si>
    <t>Ps2 [kPa]</t>
  </si>
  <si>
    <t>rhos2  [kg/m3]</t>
  </si>
  <si>
    <t>Tt1 [K]</t>
  </si>
  <si>
    <t>Tt/Ts)1</t>
  </si>
  <si>
    <t>Pt/Ps)1</t>
  </si>
  <si>
    <t>Ps1 [kPa]</t>
  </si>
  <si>
    <t>Ts1 [K]</t>
  </si>
  <si>
    <t>Tt/Ts)2</t>
  </si>
  <si>
    <t>Pt/Ps)2</t>
  </si>
  <si>
    <t>Ts2 [K]</t>
  </si>
  <si>
    <t>rhos1  [kg/m3]</t>
  </si>
  <si>
    <t>V1 [m/s]</t>
  </si>
  <si>
    <t>V2 [m/s]</t>
  </si>
  <si>
    <t>Cpr** (best at given AR-1)</t>
  </si>
  <si>
    <t>N/R1</t>
  </si>
  <si>
    <t>AR-1 @ Target Cpr:</t>
  </si>
  <si>
    <t>Fn</t>
  </si>
  <si>
    <t>[(g/s)/kN]</t>
  </si>
  <si>
    <t>[(lbm/h)/lbf]</t>
  </si>
  <si>
    <t>kN</t>
  </si>
  <si>
    <t>lbf</t>
  </si>
  <si>
    <t>U [m/s]</t>
  </si>
  <si>
    <t>RPM</t>
  </si>
  <si>
    <t>[rad/s]</t>
  </si>
  <si>
    <t>r [m]</t>
  </si>
  <si>
    <t>r [in]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</si>
</sst>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#,##0.0000"/>
    <numFmt numFmtId="168" formatCode="0.00000"/>
  </numFmts>
  <fonts count="36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vertAlign val="superscript"/>
      <sz val="11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theme="1"/>
      <name val="Aptos Narrow"/>
      <family val="2"/>
    </font>
    <font>
      <i/>
      <sz val="11"/>
      <color theme="1"/>
      <name val="Aptos Narrow"/>
      <family val="2"/>
    </font>
    <font>
      <b/>
      <sz val="10"/>
      <color theme="1"/>
      <name val="Liberation Serif"/>
    </font>
    <font>
      <sz val="10"/>
      <color theme="1"/>
      <name val="Liberation Serif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8"/>
      <name val="Aptos Narrow"/>
      <family val="2"/>
      <scheme val="minor"/>
    </font>
    <font>
      <b/>
      <sz val="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9.35"/>
      <color theme="1"/>
      <name val="Aptos Narrow"/>
      <family val="2"/>
    </font>
    <font>
      <sz val="11"/>
      <color rgb="FF000000"/>
      <name val="Aptos Narrow"/>
      <family val="2"/>
      <scheme val="minor"/>
    </font>
    <font>
      <b/>
      <sz val="14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3"/>
      <name val="Calibri"/>
      <family val="2"/>
    </font>
    <font>
      <sz val="11"/>
      <color theme="1"/>
      <name val="Times New Roman"/>
      <family val="1"/>
    </font>
    <font>
      <sz val="8"/>
      <color theme="1"/>
      <name val="Calibri"/>
      <family val="2"/>
    </font>
    <font>
      <sz val="12"/>
      <color theme="1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C2E0F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theme="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12" fillId="3" borderId="1" applyNumberFormat="0" applyAlignment="0" applyProtection="0"/>
    <xf numFmtId="0" fontId="13" fillId="4" borderId="36" applyNumberFormat="0" applyAlignment="0" applyProtection="0"/>
    <xf numFmtId="0" fontId="14" fillId="0" borderId="0" applyNumberFormat="0" applyFill="0" applyBorder="0" applyAlignment="0" applyProtection="0"/>
    <xf numFmtId="0" fontId="20" fillId="3" borderId="56" applyNumberFormat="0" applyAlignment="0" applyProtection="0"/>
    <xf numFmtId="0" fontId="22" fillId="9" borderId="0" applyNumberFormat="0" applyBorder="0" applyAlignment="0" applyProtection="0"/>
  </cellStyleXfs>
  <cellXfs count="371">
    <xf numFmtId="0" fontId="0" fillId="0" borderId="0" xfId="0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1" fontId="0" fillId="0" borderId="2" xfId="0" applyNumberForma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2" xfId="0" applyFont="1" applyBorder="1" applyAlignment="1">
      <alignment horizontal="center" wrapText="1"/>
    </xf>
    <xf numFmtId="164" fontId="1" fillId="2" borderId="2" xfId="1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2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2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" fillId="2" borderId="8" xfId="1" applyBorder="1"/>
    <xf numFmtId="0" fontId="1" fillId="2" borderId="1" xfId="1"/>
    <xf numFmtId="0" fontId="0" fillId="0" borderId="7" xfId="0" applyBorder="1"/>
    <xf numFmtId="0" fontId="1" fillId="2" borderId="9" xfId="1" applyBorder="1"/>
    <xf numFmtId="0" fontId="1" fillId="2" borderId="10" xfId="1" applyBorder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0" fillId="0" borderId="13" xfId="0" applyBorder="1"/>
    <xf numFmtId="0" fontId="0" fillId="0" borderId="6" xfId="0" applyBorder="1" applyAlignment="1">
      <alignment horizontal="center"/>
    </xf>
    <xf numFmtId="0" fontId="11" fillId="0" borderId="7" xfId="0" applyFont="1" applyBorder="1" applyAlignment="1">
      <alignment horizontal="center" wrapText="1"/>
    </xf>
    <xf numFmtId="0" fontId="0" fillId="0" borderId="13" xfId="0" applyBorder="1" applyAlignment="1">
      <alignment horizontal="center"/>
    </xf>
    <xf numFmtId="0" fontId="11" fillId="0" borderId="11" xfId="0" applyFont="1" applyBorder="1" applyAlignment="1">
      <alignment horizontal="center" wrapText="1"/>
    </xf>
    <xf numFmtId="0" fontId="11" fillId="0" borderId="12" xfId="0" applyFont="1" applyBorder="1" applyAlignment="1">
      <alignment horizontal="center" wrapText="1"/>
    </xf>
    <xf numFmtId="0" fontId="2" fillId="0" borderId="22" xfId="0" applyFont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13" xfId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2" borderId="7" xfId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1" fillId="2" borderId="11" xfId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" fillId="2" borderId="17" xfId="1" applyBorder="1" applyAlignment="1">
      <alignment horizontal="center"/>
    </xf>
    <xf numFmtId="0" fontId="1" fillId="2" borderId="24" xfId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12" fillId="3" borderId="46" xfId="2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0" fillId="0" borderId="43" xfId="0" applyBorder="1"/>
    <xf numFmtId="0" fontId="1" fillId="2" borderId="48" xfId="1" applyBorder="1" applyAlignment="1">
      <alignment horizontal="center"/>
    </xf>
    <xf numFmtId="0" fontId="1" fillId="2" borderId="47" xfId="1" applyBorder="1" applyAlignment="1">
      <alignment horizontal="center"/>
    </xf>
    <xf numFmtId="0" fontId="1" fillId="2" borderId="49" xfId="1" applyBorder="1" applyAlignment="1">
      <alignment horizontal="center"/>
    </xf>
    <xf numFmtId="0" fontId="0" fillId="0" borderId="50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" xfId="0" applyFont="1" applyBorder="1"/>
    <xf numFmtId="0" fontId="0" fillId="0" borderId="25" xfId="0" applyBorder="1"/>
    <xf numFmtId="0" fontId="0" fillId="0" borderId="30" xfId="0" applyBorder="1"/>
    <xf numFmtId="0" fontId="0" fillId="0" borderId="45" xfId="0" applyBorder="1"/>
    <xf numFmtId="0" fontId="0" fillId="0" borderId="41" xfId="0" applyBorder="1"/>
    <xf numFmtId="0" fontId="2" fillId="5" borderId="31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0" borderId="42" xfId="0" applyFont="1" applyBorder="1"/>
    <xf numFmtId="0" fontId="1" fillId="2" borderId="51" xfId="1" applyBorder="1"/>
    <xf numFmtId="0" fontId="2" fillId="0" borderId="43" xfId="0" applyFont="1" applyBorder="1"/>
    <xf numFmtId="0" fontId="1" fillId="2" borderId="52" xfId="1" applyBorder="1"/>
    <xf numFmtId="0" fontId="1" fillId="2" borderId="34" xfId="1" applyBorder="1" applyAlignment="1">
      <alignment horizontal="center" vertical="center"/>
    </xf>
    <xf numFmtId="0" fontId="13" fillId="4" borderId="39" xfId="3" applyBorder="1" applyAlignment="1">
      <alignment horizontal="center" vertical="center"/>
    </xf>
    <xf numFmtId="0" fontId="2" fillId="0" borderId="53" xfId="0" applyFont="1" applyBorder="1" applyAlignment="1">
      <alignment horizontal="center"/>
    </xf>
    <xf numFmtId="0" fontId="12" fillId="3" borderId="39" xfId="2" applyBorder="1" applyAlignment="1">
      <alignment horizontal="center" vertical="center"/>
    </xf>
    <xf numFmtId="0" fontId="19" fillId="0" borderId="45" xfId="0" applyFont="1" applyBorder="1" applyAlignment="1">
      <alignment horizontal="center"/>
    </xf>
    <xf numFmtId="0" fontId="19" fillId="0" borderId="40" xfId="0" applyFont="1" applyBorder="1" applyAlignment="1">
      <alignment horizontal="center"/>
    </xf>
    <xf numFmtId="0" fontId="19" fillId="0" borderId="54" xfId="0" applyFon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1" fillId="2" borderId="9" xfId="1" applyBorder="1" applyAlignment="1">
      <alignment horizontal="center"/>
    </xf>
    <xf numFmtId="0" fontId="1" fillId="2" borderId="10" xfId="1" applyBorder="1" applyAlignment="1">
      <alignment horizontal="center"/>
    </xf>
    <xf numFmtId="0" fontId="1" fillId="2" borderId="55" xfId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4" xfId="0" applyBorder="1" applyAlignment="1">
      <alignment horizontal="center"/>
    </xf>
    <xf numFmtId="0" fontId="14" fillId="0" borderId="54" xfId="4" applyBorder="1" applyAlignment="1">
      <alignment horizontal="center"/>
    </xf>
    <xf numFmtId="0" fontId="0" fillId="0" borderId="40" xfId="0" applyBorder="1" applyAlignment="1">
      <alignment horizontal="center"/>
    </xf>
    <xf numFmtId="0" fontId="13" fillId="4" borderId="54" xfId="3" applyBorder="1" applyAlignment="1">
      <alignment horizontal="center"/>
    </xf>
    <xf numFmtId="0" fontId="12" fillId="3" borderId="9" xfId="2" applyBorder="1" applyAlignment="1">
      <alignment horizontal="center"/>
    </xf>
    <xf numFmtId="0" fontId="0" fillId="0" borderId="41" xfId="0" applyBorder="1" applyAlignment="1">
      <alignment horizontal="center"/>
    </xf>
    <xf numFmtId="1" fontId="2" fillId="0" borderId="47" xfId="0" applyNumberFormat="1" applyFont="1" applyBorder="1" applyAlignment="1">
      <alignment horizontal="center"/>
    </xf>
    <xf numFmtId="2" fontId="0" fillId="0" borderId="0" xfId="0" applyNumberFormat="1"/>
    <xf numFmtId="0" fontId="0" fillId="0" borderId="40" xfId="0" applyBorder="1"/>
    <xf numFmtId="165" fontId="1" fillId="2" borderId="2" xfId="1" applyNumberFormat="1" applyBorder="1" applyAlignment="1">
      <alignment horizontal="center"/>
    </xf>
    <xf numFmtId="0" fontId="20" fillId="3" borderId="56" xfId="5"/>
    <xf numFmtId="0" fontId="2" fillId="0" borderId="31" xfId="0" applyFont="1" applyBorder="1"/>
    <xf numFmtId="0" fontId="20" fillId="3" borderId="57" xfId="5" applyBorder="1"/>
    <xf numFmtId="0" fontId="20" fillId="3" borderId="2" xfId="5" applyBorder="1"/>
    <xf numFmtId="0" fontId="0" fillId="0" borderId="0" xfId="0" applyAlignment="1">
      <alignment wrapText="1"/>
    </xf>
    <xf numFmtId="0" fontId="1" fillId="2" borderId="2" xfId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0" fillId="6" borderId="2" xfId="0" applyFill="1" applyBorder="1"/>
    <xf numFmtId="0" fontId="20" fillId="3" borderId="56" xfId="5" applyAlignment="1">
      <alignment horizontal="center"/>
    </xf>
    <xf numFmtId="2" fontId="20" fillId="3" borderId="56" xfId="5" applyNumberFormat="1" applyAlignment="1">
      <alignment horizontal="center"/>
    </xf>
    <xf numFmtId="3" fontId="20" fillId="3" borderId="56" xfId="5" applyNumberFormat="1" applyAlignment="1">
      <alignment horizontal="center"/>
    </xf>
    <xf numFmtId="166" fontId="0" fillId="0" borderId="2" xfId="0" applyNumberFormat="1" applyBorder="1"/>
    <xf numFmtId="0" fontId="0" fillId="0" borderId="2" xfId="0" applyBorder="1" applyAlignment="1">
      <alignment horizontal="right"/>
    </xf>
    <xf numFmtId="0" fontId="0" fillId="7" borderId="2" xfId="0" applyFill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0" fillId="0" borderId="47" xfId="0" applyBorder="1"/>
    <xf numFmtId="0" fontId="0" fillId="0" borderId="59" xfId="0" applyBorder="1"/>
    <xf numFmtId="0" fontId="0" fillId="0" borderId="60" xfId="0" applyBorder="1"/>
    <xf numFmtId="0" fontId="0" fillId="0" borderId="18" xfId="0" applyBorder="1"/>
    <xf numFmtId="0" fontId="0" fillId="0" borderId="27" xfId="0" applyBorder="1"/>
    <xf numFmtId="0" fontId="0" fillId="0" borderId="28" xfId="0" applyBorder="1"/>
    <xf numFmtId="0" fontId="2" fillId="0" borderId="18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1" fillId="2" borderId="39" xfId="1" applyBorder="1" applyAlignment="1">
      <alignment horizontal="center"/>
    </xf>
    <xf numFmtId="0" fontId="0" fillId="0" borderId="61" xfId="0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21" fillId="0" borderId="2" xfId="1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164" fontId="21" fillId="8" borderId="2" xfId="0" applyNumberFormat="1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0" fillId="5" borderId="0" xfId="0" applyFill="1"/>
    <xf numFmtId="0" fontId="22" fillId="9" borderId="2" xfId="6" applyBorder="1"/>
    <xf numFmtId="3" fontId="0" fillId="0" borderId="0" xfId="0" applyNumberFormat="1"/>
    <xf numFmtId="3" fontId="0" fillId="0" borderId="2" xfId="0" applyNumberFormat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0" fillId="5" borderId="2" xfId="0" applyFill="1" applyBorder="1"/>
    <xf numFmtId="0" fontId="2" fillId="0" borderId="62" xfId="0" applyFont="1" applyBorder="1" applyAlignment="1">
      <alignment horizontal="center"/>
    </xf>
    <xf numFmtId="1" fontId="2" fillId="0" borderId="62" xfId="0" applyNumberFormat="1" applyFont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1" fillId="2" borderId="2" xfId="1" applyBorder="1"/>
    <xf numFmtId="0" fontId="0" fillId="0" borderId="62" xfId="0" applyBorder="1"/>
    <xf numFmtId="0" fontId="12" fillId="3" borderId="2" xfId="2" applyBorder="1"/>
    <xf numFmtId="0" fontId="23" fillId="2" borderId="1" xfId="1" applyFont="1" applyAlignment="1">
      <alignment horizontal="center"/>
    </xf>
    <xf numFmtId="0" fontId="2" fillId="0" borderId="37" xfId="0" applyFont="1" applyBorder="1" applyAlignment="1">
      <alignment horizontal="center"/>
    </xf>
    <xf numFmtId="0" fontId="0" fillId="0" borderId="25" xfId="0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4" xfId="0" applyBorder="1"/>
    <xf numFmtId="0" fontId="0" fillId="0" borderId="42" xfId="0" applyBorder="1"/>
    <xf numFmtId="0" fontId="0" fillId="0" borderId="48" xfId="0" applyBorder="1"/>
    <xf numFmtId="0" fontId="2" fillId="10" borderId="66" xfId="0" applyFont="1" applyFill="1" applyBorder="1" applyAlignment="1">
      <alignment horizontal="center" vertical="center" wrapText="1"/>
    </xf>
    <xf numFmtId="0" fontId="2" fillId="10" borderId="67" xfId="0" applyFont="1" applyFill="1" applyBorder="1" applyAlignment="1">
      <alignment horizontal="center" vertical="center" wrapText="1"/>
    </xf>
    <xf numFmtId="0" fontId="0" fillId="10" borderId="66" xfId="0" applyFill="1" applyBorder="1" applyAlignment="1">
      <alignment horizontal="center" vertical="center" wrapText="1"/>
    </xf>
    <xf numFmtId="0" fontId="0" fillId="10" borderId="67" xfId="0" applyFill="1" applyBorder="1" applyAlignment="1">
      <alignment horizontal="center" vertical="center" wrapText="1"/>
    </xf>
    <xf numFmtId="0" fontId="0" fillId="10" borderId="68" xfId="0" applyFill="1" applyBorder="1" applyAlignment="1">
      <alignment horizontal="center" vertical="center" wrapText="1"/>
    </xf>
    <xf numFmtId="0" fontId="0" fillId="10" borderId="69" xfId="0" applyFill="1" applyBorder="1" applyAlignment="1">
      <alignment horizontal="center" vertical="center" wrapText="1"/>
    </xf>
    <xf numFmtId="2" fontId="1" fillId="2" borderId="1" xfId="1" applyNumberFormat="1" applyAlignment="1">
      <alignment horizontal="center"/>
    </xf>
    <xf numFmtId="166" fontId="1" fillId="2" borderId="1" xfId="1" applyNumberFormat="1" applyAlignment="1">
      <alignment horizontal="center"/>
    </xf>
    <xf numFmtId="11" fontId="1" fillId="2" borderId="1" xfId="1" applyNumberFormat="1"/>
    <xf numFmtId="0" fontId="1" fillId="2" borderId="72" xfId="1" applyBorder="1"/>
    <xf numFmtId="0" fontId="0" fillId="0" borderId="40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1" fillId="0" borderId="0" xfId="1" applyFill="1" applyBorder="1" applyAlignment="1">
      <alignment horizontal="center"/>
    </xf>
    <xf numFmtId="2" fontId="1" fillId="2" borderId="2" xfId="1" applyNumberFormat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79" xfId="0" applyBorder="1" applyAlignment="1">
      <alignment horizontal="center" vertical="center"/>
    </xf>
    <xf numFmtId="0" fontId="0" fillId="0" borderId="80" xfId="0" applyBorder="1"/>
    <xf numFmtId="0" fontId="27" fillId="11" borderId="0" xfId="0" applyFont="1" applyFill="1"/>
    <xf numFmtId="0" fontId="0" fillId="12" borderId="0" xfId="0" applyFill="1"/>
    <xf numFmtId="0" fontId="0" fillId="12" borderId="18" xfId="0" applyFill="1" applyBorder="1"/>
    <xf numFmtId="0" fontId="0" fillId="12" borderId="2" xfId="0" applyFill="1" applyBorder="1"/>
    <xf numFmtId="0" fontId="0" fillId="11" borderId="0" xfId="0" applyFill="1"/>
    <xf numFmtId="0" fontId="0" fillId="0" borderId="81" xfId="0" applyBorder="1" applyAlignment="1">
      <alignment horizontal="left" vertical="center" wrapText="1"/>
    </xf>
    <xf numFmtId="0" fontId="0" fillId="15" borderId="81" xfId="0" applyFill="1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/>
    </xf>
    <xf numFmtId="0" fontId="2" fillId="16" borderId="76" xfId="0" applyFont="1" applyFill="1" applyBorder="1" applyAlignment="1">
      <alignment horizontal="center" vertical="center"/>
    </xf>
    <xf numFmtId="0" fontId="0" fillId="16" borderId="47" xfId="0" applyFill="1" applyBorder="1"/>
    <xf numFmtId="0" fontId="0" fillId="16" borderId="2" xfId="0" applyFill="1" applyBorder="1"/>
    <xf numFmtId="0" fontId="0" fillId="16" borderId="18" xfId="0" applyFill="1" applyBorder="1"/>
    <xf numFmtId="0" fontId="30" fillId="0" borderId="81" xfId="0" applyFont="1" applyBorder="1" applyAlignment="1">
      <alignment horizontal="left" vertical="center" wrapText="1"/>
    </xf>
    <xf numFmtId="0" fontId="31" fillId="14" borderId="81" xfId="0" applyFont="1" applyFill="1" applyBorder="1" applyAlignment="1">
      <alignment horizontal="center" vertical="center" wrapText="1"/>
    </xf>
    <xf numFmtId="0" fontId="32" fillId="0" borderId="0" xfId="0" applyFont="1"/>
    <xf numFmtId="0" fontId="29" fillId="16" borderId="2" xfId="0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31" fillId="14" borderId="2" xfId="0" applyFont="1" applyFill="1" applyBorder="1" applyAlignment="1">
      <alignment horizontal="center" vertical="center" wrapText="1"/>
    </xf>
    <xf numFmtId="0" fontId="29" fillId="13" borderId="2" xfId="0" applyFont="1" applyFill="1" applyBorder="1"/>
    <xf numFmtId="0" fontId="29" fillId="13" borderId="2" xfId="0" applyFont="1" applyFill="1" applyBorder="1" applyAlignment="1">
      <alignment horizontal="center" vertical="center" wrapText="1"/>
    </xf>
    <xf numFmtId="0" fontId="30" fillId="16" borderId="2" xfId="0" applyFont="1" applyFill="1" applyBorder="1" applyAlignment="1">
      <alignment horizontal="center" vertical="center" wrapText="1"/>
    </xf>
    <xf numFmtId="0" fontId="30" fillId="0" borderId="62" xfId="0" applyFont="1" applyBorder="1" applyAlignment="1">
      <alignment horizontal="left" vertical="center" wrapText="1"/>
    </xf>
    <xf numFmtId="0" fontId="31" fillId="0" borderId="2" xfId="0" applyFont="1" applyBorder="1" applyAlignment="1">
      <alignment horizontal="center" vertical="center" wrapText="1"/>
    </xf>
    <xf numFmtId="0" fontId="29" fillId="17" borderId="2" xfId="0" applyFont="1" applyFill="1" applyBorder="1" applyAlignment="1">
      <alignment horizontal="center" vertical="center" wrapText="1"/>
    </xf>
    <xf numFmtId="0" fontId="21" fillId="16" borderId="2" xfId="0" applyFont="1" applyFill="1" applyBorder="1" applyAlignment="1">
      <alignment horizontal="center" vertical="center" wrapText="1"/>
    </xf>
    <xf numFmtId="0" fontId="13" fillId="17" borderId="2" xfId="0" applyFont="1" applyFill="1" applyBorder="1" applyAlignment="1">
      <alignment horizontal="center" vertical="center" wrapText="1"/>
    </xf>
    <xf numFmtId="0" fontId="16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9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center"/>
    </xf>
    <xf numFmtId="0" fontId="1" fillId="18" borderId="13" xfId="0" applyFont="1" applyFill="1" applyBorder="1" applyAlignment="1">
      <alignment horizontal="center"/>
    </xf>
    <xf numFmtId="0" fontId="1" fillId="18" borderId="11" xfId="0" applyFont="1" applyFill="1" applyBorder="1" applyAlignment="1">
      <alignment horizontal="center"/>
    </xf>
    <xf numFmtId="0" fontId="1" fillId="18" borderId="24" xfId="0" applyFont="1" applyFill="1" applyBorder="1" applyAlignment="1">
      <alignment horizontal="center"/>
    </xf>
    <xf numFmtId="0" fontId="0" fillId="0" borderId="86" xfId="0" applyBorder="1"/>
    <xf numFmtId="0" fontId="2" fillId="0" borderId="87" xfId="0" applyFont="1" applyBorder="1" applyAlignment="1">
      <alignment horizontal="center"/>
    </xf>
    <xf numFmtId="0" fontId="2" fillId="0" borderId="86" xfId="0" applyFont="1" applyBorder="1" applyAlignment="1">
      <alignment horizontal="center" vertical="center"/>
    </xf>
    <xf numFmtId="166" fontId="0" fillId="0" borderId="86" xfId="0" applyNumberFormat="1" applyBorder="1"/>
    <xf numFmtId="168" fontId="0" fillId="0" borderId="86" xfId="0" applyNumberFormat="1" applyBorder="1"/>
    <xf numFmtId="2" fontId="0" fillId="0" borderId="86" xfId="0" applyNumberFormat="1" applyBorder="1"/>
    <xf numFmtId="166" fontId="1" fillId="18" borderId="47" xfId="0" applyNumberFormat="1" applyFont="1" applyFill="1" applyBorder="1" applyAlignment="1">
      <alignment horizontal="center"/>
    </xf>
    <xf numFmtId="166" fontId="1" fillId="18" borderId="2" xfId="0" applyNumberFormat="1" applyFont="1" applyFill="1" applyBorder="1" applyAlignment="1">
      <alignment horizontal="center"/>
    </xf>
    <xf numFmtId="2" fontId="1" fillId="18" borderId="49" xfId="0" applyNumberFormat="1" applyFont="1" applyFill="1" applyBorder="1" applyAlignment="1">
      <alignment horizontal="center"/>
    </xf>
    <xf numFmtId="2" fontId="1" fillId="18" borderId="17" xfId="0" applyNumberFormat="1" applyFont="1" applyFill="1" applyBorder="1" applyAlignment="1">
      <alignment horizontal="center"/>
    </xf>
    <xf numFmtId="164" fontId="1" fillId="18" borderId="48" xfId="0" applyNumberFormat="1" applyFont="1" applyFill="1" applyBorder="1" applyAlignment="1">
      <alignment horizontal="center"/>
    </xf>
    <xf numFmtId="164" fontId="1" fillId="18" borderId="6" xfId="0" applyNumberFormat="1" applyFont="1" applyFill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2" fillId="0" borderId="90" xfId="0" applyFont="1" applyBorder="1" applyAlignment="1">
      <alignment horizontal="center"/>
    </xf>
    <xf numFmtId="0" fontId="2" fillId="0" borderId="91" xfId="0" applyFont="1" applyBorder="1" applyAlignment="1">
      <alignment horizontal="center"/>
    </xf>
    <xf numFmtId="0" fontId="2" fillId="0" borderId="92" xfId="0" applyFont="1" applyBorder="1" applyAlignment="1">
      <alignment horizontal="center"/>
    </xf>
    <xf numFmtId="0" fontId="2" fillId="0" borderId="93" xfId="0" applyFont="1" applyBorder="1" applyAlignment="1">
      <alignment horizontal="center"/>
    </xf>
    <xf numFmtId="0" fontId="2" fillId="0" borderId="94" xfId="0" applyFont="1" applyBorder="1" applyAlignment="1">
      <alignment horizontal="center"/>
    </xf>
    <xf numFmtId="0" fontId="2" fillId="0" borderId="96" xfId="0" applyFon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4" fontId="1" fillId="18" borderId="103" xfId="0" applyNumberFormat="1" applyFont="1" applyFill="1" applyBorder="1" applyAlignment="1">
      <alignment horizontal="center"/>
    </xf>
    <xf numFmtId="166" fontId="1" fillId="18" borderId="104" xfId="0" applyNumberFormat="1" applyFont="1" applyFill="1" applyBorder="1" applyAlignment="1">
      <alignment horizontal="center"/>
    </xf>
    <xf numFmtId="2" fontId="1" fillId="18" borderId="105" xfId="0" applyNumberFormat="1" applyFont="1" applyFill="1" applyBorder="1" applyAlignment="1">
      <alignment horizontal="center"/>
    </xf>
    <xf numFmtId="168" fontId="0" fillId="0" borderId="106" xfId="0" applyNumberFormat="1" applyBorder="1" applyAlignment="1">
      <alignment horizontal="center"/>
    </xf>
    <xf numFmtId="166" fontId="0" fillId="0" borderId="107" xfId="0" applyNumberFormat="1" applyBorder="1" applyAlignment="1">
      <alignment horizontal="center"/>
    </xf>
    <xf numFmtId="0" fontId="33" fillId="0" borderId="43" xfId="0" applyFont="1" applyBorder="1" applyAlignment="1">
      <alignment horizontal="center" vertical="center" wrapText="1"/>
    </xf>
    <xf numFmtId="0" fontId="34" fillId="0" borderId="0" xfId="0" applyFont="1" applyAlignment="1">
      <alignment vertical="center"/>
    </xf>
    <xf numFmtId="166" fontId="0" fillId="0" borderId="0" xfId="0" applyNumberFormat="1"/>
    <xf numFmtId="0" fontId="25" fillId="10" borderId="64" xfId="0" applyFont="1" applyFill="1" applyBorder="1" applyAlignment="1">
      <alignment horizontal="center" vertical="center"/>
    </xf>
    <xf numFmtId="0" fontId="0" fillId="0" borderId="65" xfId="0" applyBorder="1"/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6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5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/>
    </xf>
    <xf numFmtId="0" fontId="16" fillId="0" borderId="26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45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0" fontId="16" fillId="0" borderId="41" xfId="0" applyFont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29" xfId="0" applyBorder="1" applyAlignment="1">
      <alignment horizontal="center"/>
    </xf>
    <xf numFmtId="0" fontId="25" fillId="10" borderId="65" xfId="0" applyFont="1" applyFill="1" applyBorder="1" applyAlignment="1">
      <alignment horizontal="center" vertical="center"/>
    </xf>
    <xf numFmtId="0" fontId="0" fillId="0" borderId="82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 wrapText="1"/>
    </xf>
    <xf numFmtId="0" fontId="2" fillId="0" borderId="83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2" fillId="0" borderId="85" xfId="0" applyFont="1" applyBorder="1" applyAlignment="1">
      <alignment horizontal="center" wrapText="1"/>
    </xf>
    <xf numFmtId="0" fontId="0" fillId="0" borderId="2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0" borderId="14" xfId="0" applyFont="1" applyBorder="1" applyAlignment="1">
      <alignment horizontal="center" wrapText="1"/>
    </xf>
    <xf numFmtId="0" fontId="2" fillId="0" borderId="84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88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7" xfId="0" applyBorder="1" applyAlignment="1">
      <alignment horizontal="center"/>
    </xf>
    <xf numFmtId="0" fontId="2" fillId="0" borderId="86" xfId="0" applyFont="1" applyBorder="1" applyAlignment="1">
      <alignment horizontal="center"/>
    </xf>
    <xf numFmtId="0" fontId="2" fillId="19" borderId="86" xfId="0" applyFont="1" applyFill="1" applyBorder="1" applyAlignment="1">
      <alignment horizontal="center"/>
    </xf>
    <xf numFmtId="0" fontId="2" fillId="20" borderId="86" xfId="0" applyFont="1" applyFill="1" applyBorder="1" applyAlignment="1">
      <alignment horizontal="center"/>
    </xf>
    <xf numFmtId="0" fontId="2" fillId="11" borderId="86" xfId="0" applyFont="1" applyFill="1" applyBorder="1" applyAlignment="1">
      <alignment horizontal="center"/>
    </xf>
    <xf numFmtId="0" fontId="2" fillId="21" borderId="8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2" fillId="0" borderId="2" xfId="0" applyFont="1" applyBorder="1" applyAlignment="1">
      <alignment horizontal="center" vertical="center" textRotation="90"/>
    </xf>
    <xf numFmtId="0" fontId="0" fillId="5" borderId="42" xfId="0" applyFill="1" applyBorder="1" applyAlignment="1">
      <alignment horizontal="center"/>
    </xf>
    <xf numFmtId="0" fontId="0" fillId="5" borderId="43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6" borderId="42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19" fillId="0" borderId="40" xfId="0" applyFont="1" applyBorder="1" applyAlignment="1">
      <alignment horizontal="center"/>
    </xf>
    <xf numFmtId="0" fontId="2" fillId="0" borderId="2" xfId="0" applyFont="1" applyBorder="1" applyAlignment="1">
      <alignment horizontal="center" wrapText="1"/>
    </xf>
    <xf numFmtId="0" fontId="2" fillId="0" borderId="58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8" fillId="0" borderId="0" xfId="0" applyFont="1"/>
    <xf numFmtId="0" fontId="0" fillId="0" borderId="0" xfId="0"/>
    <xf numFmtId="0" fontId="29" fillId="13" borderId="0" xfId="0" applyFont="1" applyFill="1"/>
    <xf numFmtId="0" fontId="32" fillId="0" borderId="0" xfId="0" applyFont="1"/>
    <xf numFmtId="0" fontId="0" fillId="0" borderId="0" xfId="0" applyAlignment="1">
      <alignment horizontal="center" wrapText="1"/>
    </xf>
    <xf numFmtId="0" fontId="35" fillId="0" borderId="0" xfId="0" applyFont="1" applyAlignment="1">
      <alignment horizontal="center" vertical="center" wrapText="1"/>
    </xf>
  </cellXfs>
  <cellStyles count="7">
    <cellStyle name="Calculation" xfId="2" builtinId="22"/>
    <cellStyle name="Check Cell" xfId="3" builtinId="23"/>
    <cellStyle name="Explanatory Text" xfId="4" builtinId="53"/>
    <cellStyle name="Good" xfId="6" builtinId="26"/>
    <cellStyle name="Input" xfId="1" builtinId="20"/>
    <cellStyle name="Normal" xfId="0" builtinId="0"/>
    <cellStyle name="Output" xfId="5" builtinId="2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F4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FLIGHTPERF!$B$15:$B$35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62.5</c:v>
                </c:pt>
                <c:pt idx="9">
                  <c:v>67.5</c:v>
                </c:pt>
                <c:pt idx="10">
                  <c:v>72.5</c:v>
                </c:pt>
                <c:pt idx="11">
                  <c:v>77.5</c:v>
                </c:pt>
                <c:pt idx="12">
                  <c:v>82.5</c:v>
                </c:pt>
                <c:pt idx="13">
                  <c:v>87.5</c:v>
                </c:pt>
                <c:pt idx="14">
                  <c:v>92.5</c:v>
                </c:pt>
                <c:pt idx="15">
                  <c:v>97.5</c:v>
                </c:pt>
                <c:pt idx="16">
                  <c:v>102.5</c:v>
                </c:pt>
                <c:pt idx="17">
                  <c:v>107.5</c:v>
                </c:pt>
                <c:pt idx="18">
                  <c:v>112.5</c:v>
                </c:pt>
                <c:pt idx="19">
                  <c:v>117.5</c:v>
                </c:pt>
                <c:pt idx="20">
                  <c:v>122.5</c:v>
                </c:pt>
              </c:numCache>
            </c:numRef>
          </c:xVal>
          <c:yVal>
            <c:numRef>
              <c:f>FLIGHTPERF!$F$15:$F$35</c:f>
              <c:numCache>
                <c:formatCode>General</c:formatCode>
                <c:ptCount val="21"/>
                <c:pt idx="0">
                  <c:v>0.65132108972011293</c:v>
                </c:pt>
                <c:pt idx="1">
                  <c:v>0.56459391619122823</c:v>
                </c:pt>
                <c:pt idx="2">
                  <c:v>0.5068925627313009</c:v>
                </c:pt>
                <c:pt idx="3">
                  <c:v>0.46577739216792058</c:v>
                </c:pt>
                <c:pt idx="4">
                  <c:v>0.43502858591488214</c:v>
                </c:pt>
                <c:pt idx="5">
                  <c:v>0.41119068920207152</c:v>
                </c:pt>
                <c:pt idx="6">
                  <c:v>0.39219042916742058</c:v>
                </c:pt>
                <c:pt idx="7">
                  <c:v>0.36999999999999994</c:v>
                </c:pt>
                <c:pt idx="8">
                  <c:v>0.35823516177963977</c:v>
                </c:pt>
                <c:pt idx="9">
                  <c:v>0.34826515687755322</c:v>
                </c:pt>
                <c:pt idx="10">
                  <c:v>0.33971864046926997</c:v>
                </c:pt>
                <c:pt idx="11">
                  <c:v>0.33232009865276357</c:v>
                </c:pt>
                <c:pt idx="12">
                  <c:v>0.32586080877498363</c:v>
                </c:pt>
                <c:pt idx="13">
                  <c:v>0.32017975621786282</c:v>
                </c:pt>
                <c:pt idx="14">
                  <c:v>0.31515074033480767</c:v>
                </c:pt>
                <c:pt idx="15">
                  <c:v>0.3106734477913467</c:v>
                </c:pt>
                <c:pt idx="16">
                  <c:v>0.30666713858656347</c:v>
                </c:pt>
                <c:pt idx="17">
                  <c:v>0.30306609411506136</c:v>
                </c:pt>
                <c:pt idx="18">
                  <c:v>0.29981627907906927</c:v>
                </c:pt>
                <c:pt idx="19">
                  <c:v>0.29687285567830957</c:v>
                </c:pt>
                <c:pt idx="20">
                  <c:v>0.29419830656969242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1-4910-B86D-466B50A81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'Service Ceiling'!$B$15:$B$35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'Service Ceiling'!$F$15:$F$35</c:f>
              <c:numCache>
                <c:formatCode>General</c:formatCode>
                <c:ptCount val="21"/>
                <c:pt idx="0">
                  <c:v>0.51195019004094078</c:v>
                </c:pt>
                <c:pt idx="1">
                  <c:v>0.44216364110219525</c:v>
                </c:pt>
                <c:pt idx="2">
                  <c:v>0.40140147999862813</c:v>
                </c:pt>
                <c:pt idx="3">
                  <c:v>0.37722468337230597</c:v>
                </c:pt>
                <c:pt idx="4">
                  <c:v>0.36341373954426176</c:v>
                </c:pt>
                <c:pt idx="5">
                  <c:v>0.35651336424840291</c:v>
                </c:pt>
                <c:pt idx="6">
                  <c:v>0.35445038692507375</c:v>
                </c:pt>
                <c:pt idx="7">
                  <c:v>0.35766557046946662</c:v>
                </c:pt>
                <c:pt idx="8">
                  <c:v>0.35999922822347497</c:v>
                </c:pt>
                <c:pt idx="9">
                  <c:v>0.36612261669981161</c:v>
                </c:pt>
                <c:pt idx="10">
                  <c:v>0.37384075176049864</c:v>
                </c:pt>
                <c:pt idx="11">
                  <c:v>0.38283468408866606</c:v>
                </c:pt>
                <c:pt idx="12">
                  <c:v>0.39286520169666128</c:v>
                </c:pt>
                <c:pt idx="13">
                  <c:v>0.40374937777039704</c:v>
                </c:pt>
                <c:pt idx="14">
                  <c:v>0.41534493589891675</c:v>
                </c:pt>
                <c:pt idx="15">
                  <c:v>0.42753955259988569</c:v>
                </c:pt>
                <c:pt idx="16">
                  <c:v>0.44024336908743689</c:v>
                </c:pt>
                <c:pt idx="17">
                  <c:v>0.45338364253491548</c:v>
                </c:pt>
                <c:pt idx="18">
                  <c:v>0.46690085608414966</c:v>
                </c:pt>
                <c:pt idx="19">
                  <c:v>0.48074584363491035</c:v>
                </c:pt>
                <c:pt idx="20">
                  <c:v>0.49487763343700708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F-46F6-AD24-FE53FD7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'ABS Ceiling'!$B$15:$B$35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'ABS Ceiling'!$F$15:$F$35</c:f>
              <c:numCache>
                <c:formatCode>General</c:formatCode>
                <c:ptCount val="21"/>
                <c:pt idx="0">
                  <c:v>0.5614588302208835</c:v>
                </c:pt>
                <c:pt idx="1">
                  <c:v>0.47834681859946393</c:v>
                </c:pt>
                <c:pt idx="2">
                  <c:v>0.42834246907828749</c:v>
                </c:pt>
                <c:pt idx="3">
                  <c:v>0.39725678361439276</c:v>
                </c:pt>
                <c:pt idx="4">
                  <c:v>0.37799526318629917</c:v>
                </c:pt>
                <c:pt idx="5">
                  <c:v>0.36661651944873958</c:v>
                </c:pt>
                <c:pt idx="6">
                  <c:v>0.36075571939455381</c:v>
                </c:pt>
                <c:pt idx="7">
                  <c:v>0.35916183716115402</c:v>
                </c:pt>
                <c:pt idx="8">
                  <c:v>0.36007000665292982</c:v>
                </c:pt>
                <c:pt idx="9">
                  <c:v>0.36354726513983826</c:v>
                </c:pt>
                <c:pt idx="10">
                  <c:v>0.36884362593994691</c:v>
                </c:pt>
                <c:pt idx="11">
                  <c:v>0.37559526859061559</c:v>
                </c:pt>
                <c:pt idx="12">
                  <c:v>0.38352932774486442</c:v>
                </c:pt>
                <c:pt idx="13">
                  <c:v>0.39243714166676746</c:v>
                </c:pt>
                <c:pt idx="14">
                  <c:v>0.40215641789504913</c:v>
                </c:pt>
                <c:pt idx="15">
                  <c:v>0.41255903080238604</c:v>
                </c:pt>
                <c:pt idx="16">
                  <c:v>0.42354247988692045</c:v>
                </c:pt>
                <c:pt idx="17">
                  <c:v>0.4350237885519096</c:v>
                </c:pt>
                <c:pt idx="18">
                  <c:v>0.44693506685456424</c:v>
                </c:pt>
                <c:pt idx="19">
                  <c:v>0.45922023179866717</c:v>
                </c:pt>
                <c:pt idx="20">
                  <c:v>0.4718325475540372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5E-4B30-99FD-90B921FA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'FLIGHTPERF Maneuver'!$B$15:$B$35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Maneuver'!$F$15:$F$35</c:f>
              <c:numCache>
                <c:formatCode>General</c:formatCode>
                <c:ptCount val="21"/>
                <c:pt idx="0">
                  <c:v>0.48117756185770338</c:v>
                </c:pt>
                <c:pt idx="1">
                  <c:v>0.42004324073492932</c:v>
                </c:pt>
                <c:pt idx="2">
                  <c:v>0.38578724725470354</c:v>
                </c:pt>
                <c:pt idx="3">
                  <c:v>0.36689029814164797</c:v>
                </c:pt>
                <c:pt idx="4">
                  <c:v>0.35759275175807409</c:v>
                </c:pt>
                <c:pt idx="5">
                  <c:v>0.35469480719415436</c:v>
                </c:pt>
                <c:pt idx="6">
                  <c:v>0.35627658390399264</c:v>
                </c:pt>
                <c:pt idx="7">
                  <c:v>0.3644923636736519</c:v>
                </c:pt>
                <c:pt idx="8">
                  <c:v>0.36839957987118538</c:v>
                </c:pt>
                <c:pt idx="9">
                  <c:v>0.37756242335199874</c:v>
                </c:pt>
                <c:pt idx="10">
                  <c:v>0.38820209802196315</c:v>
                </c:pt>
                <c:pt idx="11">
                  <c:v>0.40002323764324843</c:v>
                </c:pt>
                <c:pt idx="12">
                  <c:v>0.41280431753748181</c:v>
                </c:pt>
                <c:pt idx="13">
                  <c:v>0.42637593648002547</c:v>
                </c:pt>
                <c:pt idx="14">
                  <c:v>0.44060633796282761</c:v>
                </c:pt>
                <c:pt idx="15">
                  <c:v>0.45539150369005787</c:v>
                </c:pt>
                <c:pt idx="16">
                  <c:v>0.47064821902505227</c:v>
                </c:pt>
                <c:pt idx="17">
                  <c:v>0.48630911973813001</c:v>
                </c:pt>
                <c:pt idx="18">
                  <c:v>0.50231908964137095</c:v>
                </c:pt>
                <c:pt idx="19">
                  <c:v>0.51863259797084038</c:v>
                </c:pt>
                <c:pt idx="20">
                  <c:v>0.53521170242325988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89-4E3C-A821-2AABD5111617}"/>
            </c:ext>
          </c:extLst>
        </c:ser>
        <c:ser>
          <c:idx val="1"/>
          <c:order val="1"/>
          <c:spPr>
            <a:ln w="38100">
              <a:noFill/>
            </a:ln>
          </c:spPr>
          <c:xVal>
            <c:numRef>
              <c:f>'FLIGHTPERF Maneuver'!$B$15:$B$35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Maneuver'!$F$15:$F$35</c:f>
              <c:numCache>
                <c:formatCode>General</c:formatCode>
                <c:ptCount val="21"/>
                <c:pt idx="0">
                  <c:v>0.48117756185770338</c:v>
                </c:pt>
                <c:pt idx="1">
                  <c:v>0.42004324073492932</c:v>
                </c:pt>
                <c:pt idx="2">
                  <c:v>0.38578724725470354</c:v>
                </c:pt>
                <c:pt idx="3">
                  <c:v>0.36689029814164797</c:v>
                </c:pt>
                <c:pt idx="4">
                  <c:v>0.35759275175807409</c:v>
                </c:pt>
                <c:pt idx="5">
                  <c:v>0.35469480719415436</c:v>
                </c:pt>
                <c:pt idx="6">
                  <c:v>0.35627658390399264</c:v>
                </c:pt>
                <c:pt idx="7">
                  <c:v>0.3644923636736519</c:v>
                </c:pt>
                <c:pt idx="8">
                  <c:v>0.36839957987118538</c:v>
                </c:pt>
                <c:pt idx="9">
                  <c:v>0.37756242335199874</c:v>
                </c:pt>
                <c:pt idx="10">
                  <c:v>0.38820209802196315</c:v>
                </c:pt>
                <c:pt idx="11">
                  <c:v>0.40002323764324843</c:v>
                </c:pt>
                <c:pt idx="12">
                  <c:v>0.41280431753748181</c:v>
                </c:pt>
                <c:pt idx="13">
                  <c:v>0.42637593648002547</c:v>
                </c:pt>
                <c:pt idx="14">
                  <c:v>0.44060633796282761</c:v>
                </c:pt>
                <c:pt idx="15">
                  <c:v>0.45539150369005787</c:v>
                </c:pt>
                <c:pt idx="16">
                  <c:v>0.47064821902505227</c:v>
                </c:pt>
                <c:pt idx="17">
                  <c:v>0.48630911973813001</c:v>
                </c:pt>
                <c:pt idx="18">
                  <c:v>0.50231908964137095</c:v>
                </c:pt>
                <c:pt idx="19">
                  <c:v>0.51863259797084038</c:v>
                </c:pt>
                <c:pt idx="20">
                  <c:v>0.53521170242325988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89-4E3C-A821-2AABD511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'FLIGHTPERF Cruise'!$B$15:$B$35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Cruise'!$F$15:$F$35</c:f>
              <c:numCache>
                <c:formatCode>General</c:formatCode>
                <c:ptCount val="21"/>
                <c:pt idx="0">
                  <c:v>0.3601729021688877</c:v>
                </c:pt>
                <c:pt idx="1">
                  <c:v>0.31810652298544645</c:v>
                </c:pt>
                <c:pt idx="2">
                  <c:v>0.29561193709469591</c:v>
                </c:pt>
                <c:pt idx="3">
                  <c:v>0.28430123308548316</c:v>
                </c:pt>
                <c:pt idx="4">
                  <c:v>0.27998045525223142</c:v>
                </c:pt>
                <c:pt idx="5">
                  <c:v>0.2803196282029537</c:v>
                </c:pt>
                <c:pt idx="6">
                  <c:v>0.28392076670245775</c:v>
                </c:pt>
                <c:pt idx="7">
                  <c:v>0.29357721212403781</c:v>
                </c:pt>
                <c:pt idx="8">
                  <c:v>0.2976469747990293</c:v>
                </c:pt>
                <c:pt idx="9">
                  <c:v>0.30676836268877949</c:v>
                </c:pt>
                <c:pt idx="10">
                  <c:v>0.31696512383636988</c:v>
                </c:pt>
                <c:pt idx="11">
                  <c:v>0.32802218359023222</c:v>
                </c:pt>
                <c:pt idx="12">
                  <c:v>0.33977823596169088</c:v>
                </c:pt>
                <c:pt idx="13">
                  <c:v>0.35210992931234619</c:v>
                </c:pt>
                <c:pt idx="14">
                  <c:v>0.36492132347899892</c:v>
                </c:pt>
                <c:pt idx="15">
                  <c:v>0.37813667622754393</c:v>
                </c:pt>
                <c:pt idx="16">
                  <c:v>0.39169539377069784</c:v>
                </c:pt>
                <c:pt idx="17">
                  <c:v>0.40554842399494462</c:v>
                </c:pt>
                <c:pt idx="18">
                  <c:v>0.41965563335286266</c:v>
                </c:pt>
                <c:pt idx="19">
                  <c:v>0.43398386804440819</c:v>
                </c:pt>
                <c:pt idx="20">
                  <c:v>0.44850549990287736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D3-4FED-A316-DE9A2EEA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'FLIGHTPERF Climb'!$B$15:$B$35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Climb'!$F$15:$F$35</c:f>
              <c:numCache>
                <c:formatCode>General</c:formatCode>
                <c:ptCount val="21"/>
                <c:pt idx="0">
                  <c:v>0.58674628022575548</c:v>
                </c:pt>
                <c:pt idx="1">
                  <c:v>0.51259423027943041</c:v>
                </c:pt>
                <c:pt idx="2">
                  <c:v>0.46418490078350383</c:v>
                </c:pt>
                <c:pt idx="3">
                  <c:v>0.43048569725923347</c:v>
                </c:pt>
                <c:pt idx="4">
                  <c:v>0.40598032246724824</c:v>
                </c:pt>
                <c:pt idx="5">
                  <c:v>0.38760416683011983</c:v>
                </c:pt>
                <c:pt idx="6">
                  <c:v>0.37351846460139115</c:v>
                </c:pt>
                <c:pt idx="7">
                  <c:v>0.35798615483447177</c:v>
                </c:pt>
                <c:pt idx="8">
                  <c:v>0.35392796696073325</c:v>
                </c:pt>
                <c:pt idx="9">
                  <c:v>0.34710303203852721</c:v>
                </c:pt>
                <c:pt idx="10">
                  <c:v>0.34169253230590357</c:v>
                </c:pt>
                <c:pt idx="11">
                  <c:v>0.33741358072494565</c:v>
                </c:pt>
                <c:pt idx="12">
                  <c:v>0.33405401201721635</c:v>
                </c:pt>
                <c:pt idx="13">
                  <c:v>0.33145158214626347</c:v>
                </c:pt>
                <c:pt idx="14">
                  <c:v>0.32948010130595762</c:v>
                </c:pt>
                <c:pt idx="15">
                  <c:v>0.32803994596514396</c:v>
                </c:pt>
                <c:pt idx="16">
                  <c:v>0.32705141729889869</c:v>
                </c:pt>
                <c:pt idx="17">
                  <c:v>0.32644999721085488</c:v>
                </c:pt>
                <c:pt idx="18">
                  <c:v>0.32618289816762147</c:v>
                </c:pt>
                <c:pt idx="19">
                  <c:v>0.32620651307639709</c:v>
                </c:pt>
                <c:pt idx="20">
                  <c:v>0.32648450269318052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6-4CE8-93EE-641DB9163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'FLIGHTPERF Descent'!$B$15:$B$35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62.5</c:v>
                </c:pt>
                <c:pt idx="9">
                  <c:v>67.5</c:v>
                </c:pt>
                <c:pt idx="10">
                  <c:v>72.5</c:v>
                </c:pt>
                <c:pt idx="11">
                  <c:v>77.5</c:v>
                </c:pt>
                <c:pt idx="12">
                  <c:v>82.5</c:v>
                </c:pt>
                <c:pt idx="13">
                  <c:v>87.5</c:v>
                </c:pt>
                <c:pt idx="14">
                  <c:v>92.5</c:v>
                </c:pt>
                <c:pt idx="15">
                  <c:v>97.5</c:v>
                </c:pt>
                <c:pt idx="16">
                  <c:v>102.5</c:v>
                </c:pt>
                <c:pt idx="17">
                  <c:v>107.5</c:v>
                </c:pt>
                <c:pt idx="18">
                  <c:v>112.5</c:v>
                </c:pt>
                <c:pt idx="19">
                  <c:v>117.5</c:v>
                </c:pt>
                <c:pt idx="20">
                  <c:v>122.5</c:v>
                </c:pt>
              </c:numCache>
            </c:numRef>
          </c:xVal>
          <c:yVal>
            <c:numRef>
              <c:f>'FLIGHTPERF Descent'!$F$15:$F$35</c:f>
              <c:numCache>
                <c:formatCode>General</c:formatCode>
                <c:ptCount val="21"/>
                <c:pt idx="0">
                  <c:v>0.45261769717196171</c:v>
                </c:pt>
                <c:pt idx="1">
                  <c:v>0.36329459072684683</c:v>
                </c:pt>
                <c:pt idx="2">
                  <c:v>0.30460744911526405</c:v>
                </c:pt>
                <c:pt idx="3">
                  <c:v>0.2634265731228424</c:v>
                </c:pt>
                <c:pt idx="4">
                  <c:v>0.2331871131423966</c:v>
                </c:pt>
                <c:pt idx="5">
                  <c:v>0.21024193050326778</c:v>
                </c:pt>
                <c:pt idx="6">
                  <c:v>0.19240274200306104</c:v>
                </c:pt>
                <c:pt idx="7">
                  <c:v>0.17230395160786655</c:v>
                </c:pt>
                <c:pt idx="8">
                  <c:v>0.16210155434152579</c:v>
                </c:pt>
                <c:pt idx="9">
                  <c:v>0.15379355490064014</c:v>
                </c:pt>
                <c:pt idx="10">
                  <c:v>0.14698800890752925</c:v>
                </c:pt>
                <c:pt idx="11">
                  <c:v>0.14139411892068826</c:v>
                </c:pt>
                <c:pt idx="12">
                  <c:v>0.13679158384806817</c:v>
                </c:pt>
                <c:pt idx="13">
                  <c:v>0.1330104571329454</c:v>
                </c:pt>
                <c:pt idx="14">
                  <c:v>0.12991753742005011</c:v>
                </c:pt>
                <c:pt idx="15">
                  <c:v>0.12740694670903957</c:v>
                </c:pt>
                <c:pt idx="16">
                  <c:v>0.12539346612158919</c:v>
                </c:pt>
                <c:pt idx="17">
                  <c:v>0.12380773145441158</c:v>
                </c:pt>
                <c:pt idx="18">
                  <c:v>0.12259270991813694</c:v>
                </c:pt>
                <c:pt idx="19">
                  <c:v>0.1217010764322245</c:v>
                </c:pt>
                <c:pt idx="20">
                  <c:v>0.12109323245989524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A-4A5F-BB3D-69450047F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4262029746281722"/>
              <c:y val="0.9222001729552592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2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2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2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2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2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7265683663164728"/>
          <c:y val="1.86611664839182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8297773043330059E-2"/>
          <c:y val="0.11177650690545508"/>
          <c:w val="0.91491715922051231"/>
          <c:h val="0.73675014678330053"/>
        </c:manualLayout>
      </c:layout>
      <c:scatterChart>
        <c:scatterStyle val="smoothMarker"/>
        <c:varyColors val="0"/>
        <c:ser>
          <c:idx val="0"/>
          <c:order val="0"/>
          <c:tx>
            <c:v>Maneuver</c:v>
          </c:tx>
          <c:marker>
            <c:symbol val="none"/>
          </c:marker>
          <c:xVal>
            <c:numRef>
              <c:f>'FLIGHTPERF Maneuver'!$B$15:$B$35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Maneuver'!$F$15:$F$35</c:f>
              <c:numCache>
                <c:formatCode>General</c:formatCode>
                <c:ptCount val="21"/>
                <c:pt idx="0">
                  <c:v>0.48117756185770338</c:v>
                </c:pt>
                <c:pt idx="1">
                  <c:v>0.42004324073492932</c:v>
                </c:pt>
                <c:pt idx="2">
                  <c:v>0.38578724725470354</c:v>
                </c:pt>
                <c:pt idx="3">
                  <c:v>0.36689029814164797</c:v>
                </c:pt>
                <c:pt idx="4">
                  <c:v>0.35759275175807409</c:v>
                </c:pt>
                <c:pt idx="5">
                  <c:v>0.35469480719415436</c:v>
                </c:pt>
                <c:pt idx="6">
                  <c:v>0.35627658390399264</c:v>
                </c:pt>
                <c:pt idx="7">
                  <c:v>0.3644923636736519</c:v>
                </c:pt>
                <c:pt idx="8">
                  <c:v>0.36839957987118538</c:v>
                </c:pt>
                <c:pt idx="9">
                  <c:v>0.37756242335199874</c:v>
                </c:pt>
                <c:pt idx="10">
                  <c:v>0.38820209802196315</c:v>
                </c:pt>
                <c:pt idx="11">
                  <c:v>0.40002323764324843</c:v>
                </c:pt>
                <c:pt idx="12">
                  <c:v>0.41280431753748181</c:v>
                </c:pt>
                <c:pt idx="13">
                  <c:v>0.42637593648002547</c:v>
                </c:pt>
                <c:pt idx="14">
                  <c:v>0.44060633796282761</c:v>
                </c:pt>
                <c:pt idx="15">
                  <c:v>0.45539150369005787</c:v>
                </c:pt>
                <c:pt idx="16">
                  <c:v>0.47064821902505227</c:v>
                </c:pt>
                <c:pt idx="17">
                  <c:v>0.48630911973813001</c:v>
                </c:pt>
                <c:pt idx="18">
                  <c:v>0.50231908964137095</c:v>
                </c:pt>
                <c:pt idx="19">
                  <c:v>0.51863259797084038</c:v>
                </c:pt>
                <c:pt idx="20">
                  <c:v>0.53521170242325988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A-4C01-AC38-2BE4F87D7097}"/>
            </c:ext>
          </c:extLst>
        </c:ser>
        <c:ser>
          <c:idx val="2"/>
          <c:order val="1"/>
          <c:tx>
            <c:v>Landing</c:v>
          </c:tx>
          <c:marker>
            <c:symbol val="none"/>
          </c:marker>
          <c:xVal>
            <c:numRef>
              <c:f>TOLDG!$F$29:$F$49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TOLDG!$H$29:$H$49</c:f>
              <c:numCache>
                <c:formatCode>0.000</c:formatCode>
                <c:ptCount val="21"/>
                <c:pt idx="0">
                  <c:v>0.12435619170040613</c:v>
                </c:pt>
                <c:pt idx="1">
                  <c:v>0.15544523962550766</c:v>
                </c:pt>
                <c:pt idx="2">
                  <c:v>0.18653428755060919</c:v>
                </c:pt>
                <c:pt idx="3">
                  <c:v>0.21762333547571075</c:v>
                </c:pt>
                <c:pt idx="4">
                  <c:v>0.24871238340081225</c:v>
                </c:pt>
                <c:pt idx="5">
                  <c:v>0.27980143132591384</c:v>
                </c:pt>
                <c:pt idx="6">
                  <c:v>0.31089047925101532</c:v>
                </c:pt>
                <c:pt idx="7">
                  <c:v>0.35752405113866764</c:v>
                </c:pt>
                <c:pt idx="8">
                  <c:v>0.37306857510121838</c:v>
                </c:pt>
                <c:pt idx="9">
                  <c:v>0.40415762302632002</c:v>
                </c:pt>
                <c:pt idx="10">
                  <c:v>0.4352466709514215</c:v>
                </c:pt>
                <c:pt idx="11">
                  <c:v>0.46633571887652303</c:v>
                </c:pt>
                <c:pt idx="12">
                  <c:v>0.49742476680162451</c:v>
                </c:pt>
                <c:pt idx="13">
                  <c:v>0.52851381472672609</c:v>
                </c:pt>
                <c:pt idx="14">
                  <c:v>0.55960286265182768</c:v>
                </c:pt>
                <c:pt idx="15">
                  <c:v>0.59069191057692916</c:v>
                </c:pt>
                <c:pt idx="16">
                  <c:v>0.62178095850203063</c:v>
                </c:pt>
                <c:pt idx="17">
                  <c:v>0.65287000642713211</c:v>
                </c:pt>
                <c:pt idx="18">
                  <c:v>0.6839590543522337</c:v>
                </c:pt>
                <c:pt idx="19">
                  <c:v>0.71504810227733528</c:v>
                </c:pt>
                <c:pt idx="20">
                  <c:v>0.74613715020243676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A-4C01-AC38-2BE4F87D7097}"/>
            </c:ext>
          </c:extLst>
        </c:ser>
        <c:ser>
          <c:idx val="3"/>
          <c:order val="2"/>
          <c:tx>
            <c:v>Takeoff</c:v>
          </c:tx>
          <c:marker>
            <c:symbol val="none"/>
          </c:marker>
          <c:xVal>
            <c:numRef>
              <c:f>TOLDG!$K$21:$K$23</c:f>
              <c:numCache>
                <c:formatCode>0.00</c:formatCode>
                <c:ptCount val="3"/>
                <c:pt idx="0">
                  <c:v>77.855264391193927</c:v>
                </c:pt>
                <c:pt idx="1">
                  <c:v>77.855264391193927</c:v>
                </c:pt>
                <c:pt idx="2">
                  <c:v>77.855264391193927</c:v>
                </c:pt>
              </c:numCache>
            </c:numRef>
          </c:xVal>
          <c:yVal>
            <c:numRef>
              <c:f>TOLDG!$L$21:$L$23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0.48408920917585579</c:v>
                </c:pt>
                <c:pt idx="2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C2-4DA2-ABFC-78A748ACA54F}"/>
            </c:ext>
          </c:extLst>
        </c:ser>
        <c:ser>
          <c:idx val="4"/>
          <c:order val="3"/>
          <c:tx>
            <c:v>Cruise</c:v>
          </c:tx>
          <c:marker>
            <c:symbol val="none"/>
          </c:marker>
          <c:xVal>
            <c:numRef>
              <c:f>'FLIGHTPERF Cruise'!$B$15:$B$35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Cruise'!$F$15:$F$35</c:f>
              <c:numCache>
                <c:formatCode>General</c:formatCode>
                <c:ptCount val="21"/>
                <c:pt idx="0">
                  <c:v>0.3601729021688877</c:v>
                </c:pt>
                <c:pt idx="1">
                  <c:v>0.31810652298544645</c:v>
                </c:pt>
                <c:pt idx="2">
                  <c:v>0.29561193709469591</c:v>
                </c:pt>
                <c:pt idx="3">
                  <c:v>0.28430123308548316</c:v>
                </c:pt>
                <c:pt idx="4">
                  <c:v>0.27998045525223142</c:v>
                </c:pt>
                <c:pt idx="5">
                  <c:v>0.2803196282029537</c:v>
                </c:pt>
                <c:pt idx="6">
                  <c:v>0.28392076670245775</c:v>
                </c:pt>
                <c:pt idx="7">
                  <c:v>0.29357721212403781</c:v>
                </c:pt>
                <c:pt idx="8">
                  <c:v>0.2976469747990293</c:v>
                </c:pt>
                <c:pt idx="9">
                  <c:v>0.30676836268877949</c:v>
                </c:pt>
                <c:pt idx="10">
                  <c:v>0.31696512383636988</c:v>
                </c:pt>
                <c:pt idx="11">
                  <c:v>0.32802218359023222</c:v>
                </c:pt>
                <c:pt idx="12">
                  <c:v>0.33977823596169088</c:v>
                </c:pt>
                <c:pt idx="13">
                  <c:v>0.35210992931234619</c:v>
                </c:pt>
                <c:pt idx="14">
                  <c:v>0.36492132347899892</c:v>
                </c:pt>
                <c:pt idx="15">
                  <c:v>0.37813667622754393</c:v>
                </c:pt>
                <c:pt idx="16">
                  <c:v>0.39169539377069784</c:v>
                </c:pt>
                <c:pt idx="17">
                  <c:v>0.40554842399494462</c:v>
                </c:pt>
                <c:pt idx="18">
                  <c:v>0.41965563335286266</c:v>
                </c:pt>
                <c:pt idx="19">
                  <c:v>0.43398386804440819</c:v>
                </c:pt>
                <c:pt idx="20">
                  <c:v>0.44850549990287736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2A-4C01-AC38-2BE4F87D7097}"/>
            </c:ext>
          </c:extLst>
        </c:ser>
        <c:ser>
          <c:idx val="5"/>
          <c:order val="4"/>
          <c:tx>
            <c:v>Climb</c:v>
          </c:tx>
          <c:marker>
            <c:symbol val="none"/>
          </c:marker>
          <c:xVal>
            <c:numRef>
              <c:f>'FLIGHTPERF Climb'!$B$15:$B$35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'FLIGHTPERF Climb'!$F$15:$F$35</c:f>
              <c:numCache>
                <c:formatCode>General</c:formatCode>
                <c:ptCount val="21"/>
                <c:pt idx="0">
                  <c:v>0.58674628022575548</c:v>
                </c:pt>
                <c:pt idx="1">
                  <c:v>0.51259423027943041</c:v>
                </c:pt>
                <c:pt idx="2">
                  <c:v>0.46418490078350383</c:v>
                </c:pt>
                <c:pt idx="3">
                  <c:v>0.43048569725923347</c:v>
                </c:pt>
                <c:pt idx="4">
                  <c:v>0.40598032246724824</c:v>
                </c:pt>
                <c:pt idx="5">
                  <c:v>0.38760416683011983</c:v>
                </c:pt>
                <c:pt idx="6">
                  <c:v>0.37351846460139115</c:v>
                </c:pt>
                <c:pt idx="7">
                  <c:v>0.35798615483447177</c:v>
                </c:pt>
                <c:pt idx="8">
                  <c:v>0.35392796696073325</c:v>
                </c:pt>
                <c:pt idx="9">
                  <c:v>0.34710303203852721</c:v>
                </c:pt>
                <c:pt idx="10">
                  <c:v>0.34169253230590357</c:v>
                </c:pt>
                <c:pt idx="11">
                  <c:v>0.33741358072494565</c:v>
                </c:pt>
                <c:pt idx="12">
                  <c:v>0.33405401201721635</c:v>
                </c:pt>
                <c:pt idx="13">
                  <c:v>0.33145158214626347</c:v>
                </c:pt>
                <c:pt idx="14">
                  <c:v>0.32948010130595762</c:v>
                </c:pt>
                <c:pt idx="15">
                  <c:v>0.32803994596514396</c:v>
                </c:pt>
                <c:pt idx="16">
                  <c:v>0.32705141729889869</c:v>
                </c:pt>
                <c:pt idx="17">
                  <c:v>0.32644999721085488</c:v>
                </c:pt>
                <c:pt idx="18">
                  <c:v>0.32618289816762147</c:v>
                </c:pt>
                <c:pt idx="19">
                  <c:v>0.32620651307639709</c:v>
                </c:pt>
                <c:pt idx="20">
                  <c:v>0.32648450269318052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2A-4C01-AC38-2BE4F87D7097}"/>
            </c:ext>
          </c:extLst>
        </c:ser>
        <c:ser>
          <c:idx val="7"/>
          <c:order val="5"/>
          <c:tx>
            <c:v>ABS Ceiling</c:v>
          </c:tx>
          <c:marker>
            <c:symbol val="none"/>
          </c:marker>
          <c:xVal>
            <c:numRef>
              <c:f>'ABS Ceiling'!$B$15:$B$35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'ABS Ceiling'!$F$15:$F$35</c:f>
              <c:numCache>
                <c:formatCode>General</c:formatCode>
                <c:ptCount val="21"/>
                <c:pt idx="0">
                  <c:v>0.5614588302208835</c:v>
                </c:pt>
                <c:pt idx="1">
                  <c:v>0.47834681859946393</c:v>
                </c:pt>
                <c:pt idx="2">
                  <c:v>0.42834246907828749</c:v>
                </c:pt>
                <c:pt idx="3">
                  <c:v>0.39725678361439276</c:v>
                </c:pt>
                <c:pt idx="4">
                  <c:v>0.37799526318629917</c:v>
                </c:pt>
                <c:pt idx="5">
                  <c:v>0.36661651944873958</c:v>
                </c:pt>
                <c:pt idx="6">
                  <c:v>0.36075571939455381</c:v>
                </c:pt>
                <c:pt idx="7">
                  <c:v>0.35916183716115402</c:v>
                </c:pt>
                <c:pt idx="8">
                  <c:v>0.36007000665292982</c:v>
                </c:pt>
                <c:pt idx="9">
                  <c:v>0.36354726513983826</c:v>
                </c:pt>
                <c:pt idx="10">
                  <c:v>0.36884362593994691</c:v>
                </c:pt>
                <c:pt idx="11">
                  <c:v>0.37559526859061559</c:v>
                </c:pt>
                <c:pt idx="12">
                  <c:v>0.38352932774486442</c:v>
                </c:pt>
                <c:pt idx="13">
                  <c:v>0.39243714166676746</c:v>
                </c:pt>
                <c:pt idx="14">
                  <c:v>0.40215641789504913</c:v>
                </c:pt>
                <c:pt idx="15">
                  <c:v>0.41255903080238604</c:v>
                </c:pt>
                <c:pt idx="16">
                  <c:v>0.42354247988692045</c:v>
                </c:pt>
                <c:pt idx="17">
                  <c:v>0.4350237885519096</c:v>
                </c:pt>
                <c:pt idx="18">
                  <c:v>0.44693506685456424</c:v>
                </c:pt>
                <c:pt idx="19">
                  <c:v>0.45922023179866717</c:v>
                </c:pt>
                <c:pt idx="20">
                  <c:v>0.4718325475540372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2A-4C01-AC38-2BE4F87D7097}"/>
            </c:ext>
          </c:extLst>
        </c:ser>
        <c:ser>
          <c:idx val="1"/>
          <c:order val="6"/>
          <c:tx>
            <c:v>Service Ceiling</c:v>
          </c:tx>
          <c:marker>
            <c:symbol val="none"/>
          </c:marker>
          <c:xVal>
            <c:numRef>
              <c:f>'Service Ceiling'!$B$15:$B$35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'Service Ceiling'!$F$15:$F$35</c:f>
              <c:numCache>
                <c:formatCode>General</c:formatCode>
                <c:ptCount val="21"/>
                <c:pt idx="0">
                  <c:v>0.51195019004094078</c:v>
                </c:pt>
                <c:pt idx="1">
                  <c:v>0.44216364110219525</c:v>
                </c:pt>
                <c:pt idx="2">
                  <c:v>0.40140147999862813</c:v>
                </c:pt>
                <c:pt idx="3">
                  <c:v>0.37722468337230597</c:v>
                </c:pt>
                <c:pt idx="4">
                  <c:v>0.36341373954426176</c:v>
                </c:pt>
                <c:pt idx="5">
                  <c:v>0.35651336424840291</c:v>
                </c:pt>
                <c:pt idx="6">
                  <c:v>0.35445038692507375</c:v>
                </c:pt>
                <c:pt idx="7">
                  <c:v>0.35766557046946662</c:v>
                </c:pt>
                <c:pt idx="8">
                  <c:v>0.35999922822347497</c:v>
                </c:pt>
                <c:pt idx="9">
                  <c:v>0.36612261669981161</c:v>
                </c:pt>
                <c:pt idx="10">
                  <c:v>0.37384075176049864</c:v>
                </c:pt>
                <c:pt idx="11">
                  <c:v>0.38283468408866606</c:v>
                </c:pt>
                <c:pt idx="12">
                  <c:v>0.39286520169666128</c:v>
                </c:pt>
                <c:pt idx="13">
                  <c:v>0.40374937777039704</c:v>
                </c:pt>
                <c:pt idx="14">
                  <c:v>0.41534493589891675</c:v>
                </c:pt>
                <c:pt idx="15">
                  <c:v>0.42753955259988569</c:v>
                </c:pt>
                <c:pt idx="16">
                  <c:v>0.44024336908743689</c:v>
                </c:pt>
                <c:pt idx="17">
                  <c:v>0.45338364253491548</c:v>
                </c:pt>
                <c:pt idx="18">
                  <c:v>0.46690085608414966</c:v>
                </c:pt>
                <c:pt idx="19">
                  <c:v>0.48074584363491035</c:v>
                </c:pt>
                <c:pt idx="20">
                  <c:v>0.49487763343700708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2A-4C01-AC38-2BE4F87D7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7"/>
                <c:tx>
                  <c:v>FLIGHTPERF</c:v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FLIGHTPERF!$B$15:$B$35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20</c:v>
                      </c:pt>
                      <c:pt idx="1">
                        <c:v>25</c:v>
                      </c:pt>
                      <c:pt idx="2">
                        <c:v>30</c:v>
                      </c:pt>
                      <c:pt idx="3">
                        <c:v>35</c:v>
                      </c:pt>
                      <c:pt idx="4">
                        <c:v>40</c:v>
                      </c:pt>
                      <c:pt idx="5">
                        <c:v>45</c:v>
                      </c:pt>
                      <c:pt idx="6">
                        <c:v>50</c:v>
                      </c:pt>
                      <c:pt idx="7">
                        <c:v>57.5</c:v>
                      </c:pt>
                      <c:pt idx="8">
                        <c:v>62.5</c:v>
                      </c:pt>
                      <c:pt idx="9">
                        <c:v>67.5</c:v>
                      </c:pt>
                      <c:pt idx="10">
                        <c:v>72.5</c:v>
                      </c:pt>
                      <c:pt idx="11">
                        <c:v>77.5</c:v>
                      </c:pt>
                      <c:pt idx="12">
                        <c:v>82.5</c:v>
                      </c:pt>
                      <c:pt idx="13">
                        <c:v>87.5</c:v>
                      </c:pt>
                      <c:pt idx="14">
                        <c:v>92.5</c:v>
                      </c:pt>
                      <c:pt idx="15">
                        <c:v>97.5</c:v>
                      </c:pt>
                      <c:pt idx="16">
                        <c:v>102.5</c:v>
                      </c:pt>
                      <c:pt idx="17">
                        <c:v>107.5</c:v>
                      </c:pt>
                      <c:pt idx="18">
                        <c:v>112.5</c:v>
                      </c:pt>
                      <c:pt idx="19">
                        <c:v>117.5</c:v>
                      </c:pt>
                      <c:pt idx="20">
                        <c:v>122.5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FLIGHTPERF!$F$15:$F$35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0.65132108972011293</c:v>
                      </c:pt>
                      <c:pt idx="1">
                        <c:v>0.56459391619122823</c:v>
                      </c:pt>
                      <c:pt idx="2">
                        <c:v>0.5068925627313009</c:v>
                      </c:pt>
                      <c:pt idx="3">
                        <c:v>0.46577739216792058</c:v>
                      </c:pt>
                      <c:pt idx="4">
                        <c:v>0.43502858591488214</c:v>
                      </c:pt>
                      <c:pt idx="5">
                        <c:v>0.41119068920207152</c:v>
                      </c:pt>
                      <c:pt idx="6">
                        <c:v>0.39219042916742058</c:v>
                      </c:pt>
                      <c:pt idx="7">
                        <c:v>0.36999999999999994</c:v>
                      </c:pt>
                      <c:pt idx="8">
                        <c:v>0.35823516177963977</c:v>
                      </c:pt>
                      <c:pt idx="9">
                        <c:v>0.34826515687755322</c:v>
                      </c:pt>
                      <c:pt idx="10">
                        <c:v>0.33971864046926997</c:v>
                      </c:pt>
                      <c:pt idx="11">
                        <c:v>0.33232009865276357</c:v>
                      </c:pt>
                      <c:pt idx="12">
                        <c:v>0.32586080877498363</c:v>
                      </c:pt>
                      <c:pt idx="13">
                        <c:v>0.32017975621786282</c:v>
                      </c:pt>
                      <c:pt idx="14">
                        <c:v>0.31515074033480767</c:v>
                      </c:pt>
                      <c:pt idx="15">
                        <c:v>0.3106734477913467</c:v>
                      </c:pt>
                      <c:pt idx="16">
                        <c:v>0.30666713858656347</c:v>
                      </c:pt>
                      <c:pt idx="17">
                        <c:v>0.30306609411506136</c:v>
                      </c:pt>
                      <c:pt idx="18">
                        <c:v>0.29981627907906927</c:v>
                      </c:pt>
                      <c:pt idx="19">
                        <c:v>0.29687285567830957</c:v>
                      </c:pt>
                      <c:pt idx="20">
                        <c:v>0.29419830656969242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582-4AC6-AFB2-9B24DF759268}"/>
                  </c:ext>
                </c:extLst>
              </c15:ser>
            </c15:filteredScatterSeries>
          </c:ext>
        </c:extLst>
      </c:scatterChart>
      <c:valAx>
        <c:axId val="890975536"/>
        <c:scaling>
          <c:orientation val="minMax"/>
          <c:max val="10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800" b="1"/>
                </a:pPr>
                <a:r>
                  <a:rPr lang="en-US" b="1"/>
                  <a:t>Wing Loading</a:t>
                </a:r>
                <a:r>
                  <a:rPr lang="en-US" b="1" baseline="0"/>
                  <a:t> </a:t>
                </a:r>
                <a:r>
                  <a:rPr lang="en-US" b="1"/>
                  <a:t>[lbf/ft2]</a:t>
                </a:r>
              </a:p>
            </c:rich>
          </c:tx>
          <c:layout>
            <c:manualLayout>
              <c:xMode val="edge"/>
              <c:yMode val="edge"/>
              <c:x val="0.41227923793768484"/>
              <c:y val="0.8873205385940953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  <c:majorUnit val="10"/>
      </c:valAx>
      <c:valAx>
        <c:axId val="89097457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800" b="1"/>
                </a:pPr>
                <a:r>
                  <a:rPr lang="en-US" b="1"/>
                  <a:t>Thrust Loading</a:t>
                </a:r>
              </a:p>
            </c:rich>
          </c:tx>
          <c:layout>
            <c:manualLayout>
              <c:xMode val="edge"/>
              <c:yMode val="edge"/>
              <c:x val="1.6334394370916402E-3"/>
              <c:y val="0.3555349875990271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6.337297218804322E-2"/>
          <c:y val="0.94289117187344795"/>
          <c:w val="0.89999997032452217"/>
          <c:h val="5.6463174003625917E-2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Aircraft Weight vs</a:t>
            </a:r>
            <a:r>
              <a:rPr lang="en-US" baseline="0"/>
              <a:t> Mission Time</a:t>
            </a:r>
            <a:endParaRPr lang="en-US"/>
          </a:p>
        </c:rich>
      </c:tx>
      <c:layout>
        <c:manualLayout>
          <c:xMode val="edge"/>
          <c:yMode val="edge"/>
          <c:x val="0.35596892759149118"/>
          <c:y val="5.54939118372155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'MISSION (2)'!$C$58:$C$73</c:f>
              <c:numCache>
                <c:formatCode>General</c:formatCode>
                <c:ptCount val="16"/>
                <c:pt idx="0">
                  <c:v>0.02</c:v>
                </c:pt>
                <c:pt idx="1">
                  <c:v>0.05</c:v>
                </c:pt>
                <c:pt idx="2">
                  <c:v>0.08</c:v>
                </c:pt>
                <c:pt idx="3">
                  <c:v>0.11</c:v>
                </c:pt>
                <c:pt idx="4">
                  <c:v>0.14000000000000001</c:v>
                </c:pt>
                <c:pt idx="5">
                  <c:v>0.17</c:v>
                </c:pt>
                <c:pt idx="6">
                  <c:v>1.67</c:v>
                </c:pt>
                <c:pt idx="7">
                  <c:v>1.77</c:v>
                </c:pt>
                <c:pt idx="8">
                  <c:v>1.87</c:v>
                </c:pt>
                <c:pt idx="9">
                  <c:v>1.9700000000000002</c:v>
                </c:pt>
                <c:pt idx="10">
                  <c:v>2.14</c:v>
                </c:pt>
                <c:pt idx="11">
                  <c:v>2.89</c:v>
                </c:pt>
                <c:pt idx="12">
                  <c:v>2.99</c:v>
                </c:pt>
                <c:pt idx="13">
                  <c:v>3.0900000000000003</c:v>
                </c:pt>
                <c:pt idx="14">
                  <c:v>3.14</c:v>
                </c:pt>
                <c:pt idx="15">
                  <c:v>3.1550000000000002</c:v>
                </c:pt>
              </c:numCache>
            </c:numRef>
          </c:cat>
          <c:val>
            <c:numRef>
              <c:f>'MISSION (2)'!$D$58:$D$73</c:f>
              <c:numCache>
                <c:formatCode>General</c:formatCode>
                <c:ptCount val="16"/>
                <c:pt idx="0">
                  <c:v>13291.014571255278</c:v>
                </c:pt>
                <c:pt idx="1">
                  <c:v>13182.652433591762</c:v>
                </c:pt>
                <c:pt idx="2">
                  <c:v>13093.697427263898</c:v>
                </c:pt>
                <c:pt idx="3">
                  <c:v>13019.323538328757</c:v>
                </c:pt>
                <c:pt idx="4">
                  <c:v>12956.729487743834</c:v>
                </c:pt>
                <c:pt idx="5">
                  <c:v>12910.193267188142</c:v>
                </c:pt>
                <c:pt idx="6">
                  <c:v>11573.655777428901</c:v>
                </c:pt>
                <c:pt idx="7">
                  <c:v>11533.601339130833</c:v>
                </c:pt>
                <c:pt idx="8">
                  <c:v>11488.742761212261</c:v>
                </c:pt>
                <c:pt idx="9">
                  <c:v>11433.771706442043</c:v>
                </c:pt>
                <c:pt idx="10">
                  <c:v>11138.741758945225</c:v>
                </c:pt>
                <c:pt idx="11">
                  <c:v>10470.473014065605</c:v>
                </c:pt>
                <c:pt idx="12">
                  <c:v>10394.848303536361</c:v>
                </c:pt>
                <c:pt idx="13">
                  <c:v>10281.631972316047</c:v>
                </c:pt>
                <c:pt idx="14">
                  <c:v>10203.878023912561</c:v>
                </c:pt>
                <c:pt idx="15">
                  <c:v>10187.875187109219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3-4D69-BC6B-3BF514643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303327"/>
        <c:axId val="1718304287"/>
      </c:lineChart>
      <c:lineChart>
        <c:grouping val="stacked"/>
        <c:varyColors val="0"/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'MISSION (2)'!$G$58:$G$73</c:f>
              <c:strCache>
                <c:ptCount val="16"/>
                <c:pt idx="0">
                  <c:v>Takeoff</c:v>
                </c:pt>
                <c:pt idx="1">
                  <c:v>Climb1</c:v>
                </c:pt>
                <c:pt idx="2">
                  <c:v>Climb2</c:v>
                </c:pt>
                <c:pt idx="3">
                  <c:v>Climb3</c:v>
                </c:pt>
                <c:pt idx="4">
                  <c:v>Climb4</c:v>
                </c:pt>
                <c:pt idx="5">
                  <c:v>TOC5</c:v>
                </c:pt>
                <c:pt idx="6">
                  <c:v>Cruise</c:v>
                </c:pt>
                <c:pt idx="7">
                  <c:v>Descent5</c:v>
                </c:pt>
                <c:pt idx="8">
                  <c:v>Descent4</c:v>
                </c:pt>
                <c:pt idx="9">
                  <c:v>Descent3</c:v>
                </c:pt>
                <c:pt idx="10">
                  <c:v>Maneuver</c:v>
                </c:pt>
                <c:pt idx="11">
                  <c:v>Cruise Reserve</c:v>
                </c:pt>
                <c:pt idx="12">
                  <c:v>Descent2</c:v>
                </c:pt>
                <c:pt idx="13">
                  <c:v>Descent1</c:v>
                </c:pt>
                <c:pt idx="14">
                  <c:v>Traffic pattern1</c:v>
                </c:pt>
                <c:pt idx="15">
                  <c:v>Land</c:v>
                </c:pt>
              </c:strCache>
            </c:strRef>
          </c:cat>
          <c:val>
            <c:numRef>
              <c:f>'MISSION (2)'!$D$58:$D$73</c:f>
              <c:numCache>
                <c:formatCode>General</c:formatCode>
                <c:ptCount val="16"/>
                <c:pt idx="0">
                  <c:v>13291.014571255278</c:v>
                </c:pt>
                <c:pt idx="1">
                  <c:v>13182.652433591762</c:v>
                </c:pt>
                <c:pt idx="2">
                  <c:v>13093.697427263898</c:v>
                </c:pt>
                <c:pt idx="3">
                  <c:v>13019.323538328757</c:v>
                </c:pt>
                <c:pt idx="4">
                  <c:v>12956.729487743834</c:v>
                </c:pt>
                <c:pt idx="5">
                  <c:v>12910.193267188142</c:v>
                </c:pt>
                <c:pt idx="6">
                  <c:v>11573.655777428901</c:v>
                </c:pt>
                <c:pt idx="7">
                  <c:v>11533.601339130833</c:v>
                </c:pt>
                <c:pt idx="8">
                  <c:v>11488.742761212261</c:v>
                </c:pt>
                <c:pt idx="9">
                  <c:v>11433.771706442043</c:v>
                </c:pt>
                <c:pt idx="10">
                  <c:v>11138.741758945225</c:v>
                </c:pt>
                <c:pt idx="11">
                  <c:v>10470.473014065605</c:v>
                </c:pt>
                <c:pt idx="12">
                  <c:v>10394.848303536361</c:v>
                </c:pt>
                <c:pt idx="13">
                  <c:v>10281.631972316047</c:v>
                </c:pt>
                <c:pt idx="14">
                  <c:v>10203.878023912561</c:v>
                </c:pt>
                <c:pt idx="15">
                  <c:v>10187.875187109219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25-4F51-801A-942BC1D50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4250288"/>
        <c:axId val="1494249328"/>
      </c:lineChart>
      <c:catAx>
        <c:axId val="171830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04287"/>
        <c:crosses val="autoZero"/>
        <c:auto val="1"/>
        <c:lblAlgn val="ctr"/>
        <c:lblOffset val="100"/>
        <c:tickMarkSkip val="1"/>
        <c:noMultiLvlLbl val="1"/>
      </c:catAx>
      <c:valAx>
        <c:axId val="1718304287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03327"/>
        <c:crosses val="autoZero"/>
        <c:crossBetween val="between"/>
      </c:valAx>
      <c:valAx>
        <c:axId val="1494249328"/>
        <c:scaling>
          <c:orientation val="minMax"/>
          <c:min val="10000"/>
        </c:scaling>
        <c:delete val="1"/>
        <c:axPos val="r"/>
        <c:numFmt formatCode="General" sourceLinked="1"/>
        <c:majorTickMark val="out"/>
        <c:minorTickMark val="none"/>
        <c:tickLblPos val="nextTo"/>
        <c:crossAx val="1494250288"/>
        <c:crosses val="max"/>
        <c:crossBetween val="between"/>
      </c:valAx>
      <c:catAx>
        <c:axId val="149425028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249328"/>
        <c:crosses val="max"/>
        <c:auto val="1"/>
        <c:lblAlgn val="ctr"/>
        <c:lblOffset val="100"/>
        <c:tickMarkSkip val="1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469816272965878E-2"/>
          <c:y val="5.0925925925925923E-2"/>
          <c:w val="0.83247703412073482"/>
          <c:h val="0.81426727909011376"/>
        </c:manualLayout>
      </c:layout>
      <c:scatterChart>
        <c:scatterStyle val="lineMarker"/>
        <c:varyColors val="0"/>
        <c:ser>
          <c:idx val="0"/>
          <c:order val="0"/>
          <c:tx>
            <c:v>Fn [lbf]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ESTPERF!$D$7:$D$19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0.95</c:v>
                </c:pt>
              </c:numCache>
            </c:numRef>
          </c:xVal>
          <c:yVal>
            <c:numRef>
              <c:f>ESTPERF!$AH$7:$AH$19</c:f>
              <c:numCache>
                <c:formatCode>0.000</c:formatCode>
                <c:ptCount val="13"/>
                <c:pt idx="0">
                  <c:v>0</c:v>
                </c:pt>
                <c:pt idx="1">
                  <c:v>798.44324449541489</c:v>
                </c:pt>
                <c:pt idx="2">
                  <c:v>788.69724609108982</c:v>
                </c:pt>
                <c:pt idx="3">
                  <c:v>775.65531849123249</c:v>
                </c:pt>
                <c:pt idx="4">
                  <c:v>761.15509197068309</c:v>
                </c:pt>
                <c:pt idx="5">
                  <c:v>761.57634079560478</c:v>
                </c:pt>
                <c:pt idx="6">
                  <c:v>776.65678673230059</c:v>
                </c:pt>
                <c:pt idx="7">
                  <c:v>806.53328648034665</c:v>
                </c:pt>
                <c:pt idx="8">
                  <c:v>851.7312357662953</c:v>
                </c:pt>
                <c:pt idx="9">
                  <c:v>913.16452687098001</c:v>
                </c:pt>
                <c:pt idx="10">
                  <c:v>992.14540659107854</c:v>
                </c:pt>
                <c:pt idx="11">
                  <c:v>1090.4037501362113</c:v>
                </c:pt>
                <c:pt idx="12">
                  <c:v>1147.4235482631177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88-43D8-A301-7FE634047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138527"/>
        <c:axId val="1046139967"/>
      </c:scatterChart>
      <c:scatterChart>
        <c:scatterStyle val="lineMarker"/>
        <c:varyColors val="0"/>
        <c:ser>
          <c:idx val="1"/>
          <c:order val="1"/>
          <c:tx>
            <c:v>TSFC [(lbm/h)/lbf]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ESTPERF!$D$7:$D$19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0.95</c:v>
                </c:pt>
              </c:numCache>
            </c:numRef>
          </c:xVal>
          <c:yVal>
            <c:numRef>
              <c:f>ESTPERF!$AI$7:$AI$19</c:f>
              <c:numCache>
                <c:formatCode>0.000</c:formatCode>
                <c:ptCount val="13"/>
                <c:pt idx="0">
                  <c:v>0</c:v>
                </c:pt>
                <c:pt idx="1">
                  <c:v>0.96350714308403063</c:v>
                </c:pt>
                <c:pt idx="2">
                  <c:v>0.97705287786264106</c:v>
                </c:pt>
                <c:pt idx="3">
                  <c:v>0.99945243911681536</c:v>
                </c:pt>
                <c:pt idx="4">
                  <c:v>1.043107317769163</c:v>
                </c:pt>
                <c:pt idx="5">
                  <c:v>1.0845203087225255</c:v>
                </c:pt>
                <c:pt idx="6">
                  <c:v>1.1231807933185174</c:v>
                </c:pt>
                <c:pt idx="7">
                  <c:v>1.1590306509165185</c:v>
                </c:pt>
                <c:pt idx="8">
                  <c:v>1.1924401422161788</c:v>
                </c:pt>
                <c:pt idx="9">
                  <c:v>1.2241097267583081</c:v>
                </c:pt>
                <c:pt idx="10">
                  <c:v>1.2549345995839849</c:v>
                </c:pt>
                <c:pt idx="11">
                  <c:v>1.2858703920093297</c:v>
                </c:pt>
                <c:pt idx="12">
                  <c:v>1.3016679985945181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88-43D8-A301-7FE634047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588271"/>
        <c:axId val="779406959"/>
      </c:scatterChart>
      <c:valAx>
        <c:axId val="104613852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139967"/>
        <c:crosses val="autoZero"/>
        <c:crossBetween val="midCat"/>
      </c:valAx>
      <c:valAx>
        <c:axId val="1046139967"/>
        <c:scaling>
          <c:orientation val="minMax"/>
          <c:min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Fn</a:t>
                </a:r>
              </a:p>
            </c:rich>
          </c:tx>
          <c:layout>
            <c:manualLayout>
              <c:xMode val="edge"/>
              <c:yMode val="edge"/>
              <c:x val="1.9989036892239517E-2"/>
              <c:y val="8.700204107627164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138527"/>
        <c:crosses val="autoZero"/>
        <c:crossBetween val="midCat"/>
      </c:valAx>
      <c:valAx>
        <c:axId val="779406959"/>
        <c:scaling>
          <c:orientation val="minMax"/>
          <c:min val="0.8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TSFC</a:t>
                </a:r>
              </a:p>
            </c:rich>
          </c:tx>
          <c:layout>
            <c:manualLayout>
              <c:xMode val="edge"/>
              <c:yMode val="edge"/>
              <c:x val="0.92232901969799941"/>
              <c:y val="7.713839242720316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88271"/>
        <c:crosses val="max"/>
        <c:crossBetween val="midCat"/>
      </c:valAx>
      <c:valAx>
        <c:axId val="73358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940695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7204877515310588"/>
          <c:y val="0.76909667541557303"/>
          <c:w val="0.45590223097112864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469816272965878E-2"/>
          <c:y val="5.0925925925925923E-2"/>
          <c:w val="0.83247703412073482"/>
          <c:h val="0.8142672790901137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ESTPERF!$B$7:$B$19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ESTPERF!$AH$7:$AH$19</c:f>
              <c:numCache>
                <c:formatCode>0.000</c:formatCode>
                <c:ptCount val="13"/>
                <c:pt idx="0">
                  <c:v>0</c:v>
                </c:pt>
                <c:pt idx="1">
                  <c:v>798.44324449541489</c:v>
                </c:pt>
                <c:pt idx="2">
                  <c:v>788.69724609108982</c:v>
                </c:pt>
                <c:pt idx="3">
                  <c:v>775.65531849123249</c:v>
                </c:pt>
                <c:pt idx="4">
                  <c:v>761.15509197068309</c:v>
                </c:pt>
                <c:pt idx="5">
                  <c:v>761.57634079560478</c:v>
                </c:pt>
                <c:pt idx="6">
                  <c:v>776.65678673230059</c:v>
                </c:pt>
                <c:pt idx="7">
                  <c:v>806.53328648034665</c:v>
                </c:pt>
                <c:pt idx="8">
                  <c:v>851.7312357662953</c:v>
                </c:pt>
                <c:pt idx="9">
                  <c:v>913.16452687098001</c:v>
                </c:pt>
                <c:pt idx="10">
                  <c:v>992.14540659107854</c:v>
                </c:pt>
                <c:pt idx="11">
                  <c:v>1090.4037501362113</c:v>
                </c:pt>
                <c:pt idx="12">
                  <c:v>1147.4235482631177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4-4F34-8346-A7D7E0BC3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138527"/>
        <c:axId val="104613996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ESTPERF!$B$7:$B$19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ESTPERF!$AI$7:$AI$19</c:f>
              <c:numCache>
                <c:formatCode>0.000</c:formatCode>
                <c:ptCount val="13"/>
                <c:pt idx="0">
                  <c:v>0</c:v>
                </c:pt>
                <c:pt idx="1">
                  <c:v>0.96350714308403063</c:v>
                </c:pt>
                <c:pt idx="2">
                  <c:v>0.97705287786264106</c:v>
                </c:pt>
                <c:pt idx="3">
                  <c:v>0.99945243911681536</c:v>
                </c:pt>
                <c:pt idx="4">
                  <c:v>1.043107317769163</c:v>
                </c:pt>
                <c:pt idx="5">
                  <c:v>1.0845203087225255</c:v>
                </c:pt>
                <c:pt idx="6">
                  <c:v>1.1231807933185174</c:v>
                </c:pt>
                <c:pt idx="7">
                  <c:v>1.1590306509165185</c:v>
                </c:pt>
                <c:pt idx="8">
                  <c:v>1.1924401422161788</c:v>
                </c:pt>
                <c:pt idx="9">
                  <c:v>1.2241097267583081</c:v>
                </c:pt>
                <c:pt idx="10">
                  <c:v>1.2549345995839849</c:v>
                </c:pt>
                <c:pt idx="11">
                  <c:v>1.2858703920093297</c:v>
                </c:pt>
                <c:pt idx="12">
                  <c:v>1.3016679985945181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4-4F34-8346-A7D7E0BC3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588271"/>
        <c:axId val="779406959"/>
      </c:scatterChart>
      <c:valAx>
        <c:axId val="104613852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Alt.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139967"/>
        <c:crosses val="autoZero"/>
        <c:crossBetween val="midCat"/>
      </c:valAx>
      <c:valAx>
        <c:axId val="104613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Fn</a:t>
                </a:r>
              </a:p>
            </c:rich>
          </c:tx>
          <c:layout>
            <c:manualLayout>
              <c:xMode val="edge"/>
              <c:yMode val="edge"/>
              <c:x val="9.4444444444444442E-2"/>
              <c:y val="5.74110527850685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138527"/>
        <c:crosses val="autoZero"/>
        <c:crossBetween val="midCat"/>
      </c:valAx>
      <c:valAx>
        <c:axId val="779406959"/>
        <c:scaling>
          <c:orientation val="minMax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TSFC</a:t>
                </a:r>
              </a:p>
            </c:rich>
          </c:tx>
          <c:layout>
            <c:manualLayout>
              <c:xMode val="edge"/>
              <c:yMode val="edge"/>
              <c:x val="0.8425555555555555"/>
              <c:y val="5.74110527850685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88271"/>
        <c:crosses val="max"/>
        <c:crossBetween val="midCat"/>
      </c:valAx>
      <c:valAx>
        <c:axId val="73358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940695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Alt. [ft] vs M0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ESTPERF!$D$7:$D$19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0.95</c:v>
                </c:pt>
              </c:numCache>
            </c:numRef>
          </c:xVal>
          <c:yVal>
            <c:numRef>
              <c:f>ESTPERF!$B$7:$B$19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3-4C40-B1A3-954BE6A1B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813487"/>
        <c:axId val="1181806767"/>
      </c:scatterChart>
      <c:valAx>
        <c:axId val="118181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06767"/>
        <c:crosses val="autoZero"/>
        <c:crossBetween val="midCat"/>
      </c:valAx>
      <c:valAx>
        <c:axId val="118180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1348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Envelope, Alt. [ft] vs. Mach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ESTPERF!$BB$10:$BB$22</c:f>
              <c:numCache>
                <c:formatCode>General</c:formatCode>
                <c:ptCount val="13"/>
                <c:pt idx="0">
                  <c:v>0.8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0.2</c:v>
                </c:pt>
                <c:pt idx="12">
                  <c:v>0</c:v>
                </c:pt>
              </c:numCache>
            </c:numRef>
          </c:xVal>
          <c:yVal>
            <c:numRef>
              <c:f>ESTPERF!$AZ$10:$AZ$22</c:f>
              <c:numCache>
                <c:formatCode>General</c:formatCode>
                <c:ptCount val="13"/>
                <c:pt idx="0">
                  <c:v>35000</c:v>
                </c:pt>
                <c:pt idx="1">
                  <c:v>35000</c:v>
                </c:pt>
                <c:pt idx="2">
                  <c:v>25000</c:v>
                </c:pt>
                <c:pt idx="3">
                  <c:v>20000</c:v>
                </c:pt>
                <c:pt idx="4">
                  <c:v>15000</c:v>
                </c:pt>
                <c:pt idx="5">
                  <c:v>10000</c:v>
                </c:pt>
                <c:pt idx="6">
                  <c:v>10000</c:v>
                </c:pt>
                <c:pt idx="7">
                  <c:v>8000</c:v>
                </c:pt>
                <c:pt idx="8">
                  <c:v>6000</c:v>
                </c:pt>
                <c:pt idx="9">
                  <c:v>4000</c:v>
                </c:pt>
                <c:pt idx="10">
                  <c:v>2000</c:v>
                </c:pt>
                <c:pt idx="11">
                  <c:v>1000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B-4DBA-B0C1-5521B07D2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988815"/>
        <c:axId val="662987855"/>
      </c:scatterChart>
      <c:valAx>
        <c:axId val="66298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7855"/>
        <c:crosses val="autoZero"/>
        <c:crossBetween val="midCat"/>
      </c:valAx>
      <c:valAx>
        <c:axId val="66298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988815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5276590316779E-2"/>
          <c:y val="5.1044083526682132E-2"/>
          <c:w val="0.85330148759334046"/>
          <c:h val="0.81346438423735312"/>
        </c:manualLayout>
      </c:layout>
      <c:scatterChart>
        <c:scatterStyle val="lineMarker"/>
        <c:varyColors val="0"/>
        <c:ser>
          <c:idx val="0"/>
          <c:order val="0"/>
          <c:tx>
            <c:v>Cycle Deck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ESTPERF!$AZ$10:$AZ$22</c:f>
              <c:numCache>
                <c:formatCode>General</c:formatCode>
                <c:ptCount val="13"/>
                <c:pt idx="0">
                  <c:v>35000</c:v>
                </c:pt>
                <c:pt idx="1">
                  <c:v>35000</c:v>
                </c:pt>
                <c:pt idx="2">
                  <c:v>25000</c:v>
                </c:pt>
                <c:pt idx="3">
                  <c:v>20000</c:v>
                </c:pt>
                <c:pt idx="4">
                  <c:v>15000</c:v>
                </c:pt>
                <c:pt idx="5">
                  <c:v>10000</c:v>
                </c:pt>
                <c:pt idx="6">
                  <c:v>10000</c:v>
                </c:pt>
                <c:pt idx="7">
                  <c:v>8000</c:v>
                </c:pt>
                <c:pt idx="8">
                  <c:v>6000</c:v>
                </c:pt>
                <c:pt idx="9">
                  <c:v>4000</c:v>
                </c:pt>
                <c:pt idx="10">
                  <c:v>2000</c:v>
                </c:pt>
                <c:pt idx="11">
                  <c:v>1000</c:v>
                </c:pt>
                <c:pt idx="12">
                  <c:v>0</c:v>
                </c:pt>
              </c:numCache>
            </c:numRef>
          </c:xVal>
          <c:yVal>
            <c:numRef>
              <c:f>ESTPERF!$BC$10:$BC$22</c:f>
              <c:numCache>
                <c:formatCode>General</c:formatCode>
                <c:ptCount val="13"/>
                <c:pt idx="0">
                  <c:v>1.31</c:v>
                </c:pt>
                <c:pt idx="1">
                  <c:v>1.2</c:v>
                </c:pt>
                <c:pt idx="2">
                  <c:v>1.69</c:v>
                </c:pt>
                <c:pt idx="3">
                  <c:v>1.98</c:v>
                </c:pt>
                <c:pt idx="4">
                  <c:v>2.29</c:v>
                </c:pt>
                <c:pt idx="5">
                  <c:v>2.61</c:v>
                </c:pt>
                <c:pt idx="6">
                  <c:v>2.5499999999999998</c:v>
                </c:pt>
                <c:pt idx="7">
                  <c:v>2.69</c:v>
                </c:pt>
                <c:pt idx="8">
                  <c:v>2.83</c:v>
                </c:pt>
                <c:pt idx="9">
                  <c:v>2.98</c:v>
                </c:pt>
                <c:pt idx="10">
                  <c:v>3.13</c:v>
                </c:pt>
                <c:pt idx="11">
                  <c:v>3.26</c:v>
                </c:pt>
                <c:pt idx="12">
                  <c:v>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C-47FF-9C62-87C72BA60988}"/>
            </c:ext>
          </c:extLst>
        </c:ser>
        <c:ser>
          <c:idx val="1"/>
          <c:order val="1"/>
          <c:tx>
            <c:v>Estimate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ESTPERF!$AZ$10:$AZ$22</c:f>
              <c:numCache>
                <c:formatCode>General</c:formatCode>
                <c:ptCount val="13"/>
                <c:pt idx="0">
                  <c:v>35000</c:v>
                </c:pt>
                <c:pt idx="1">
                  <c:v>35000</c:v>
                </c:pt>
                <c:pt idx="2">
                  <c:v>25000</c:v>
                </c:pt>
                <c:pt idx="3">
                  <c:v>20000</c:v>
                </c:pt>
                <c:pt idx="4">
                  <c:v>15000</c:v>
                </c:pt>
                <c:pt idx="5">
                  <c:v>10000</c:v>
                </c:pt>
                <c:pt idx="6">
                  <c:v>10000</c:v>
                </c:pt>
                <c:pt idx="7">
                  <c:v>8000</c:v>
                </c:pt>
                <c:pt idx="8">
                  <c:v>6000</c:v>
                </c:pt>
                <c:pt idx="9">
                  <c:v>4000</c:v>
                </c:pt>
                <c:pt idx="10">
                  <c:v>2000</c:v>
                </c:pt>
                <c:pt idx="11">
                  <c:v>1000</c:v>
                </c:pt>
                <c:pt idx="12">
                  <c:v>0</c:v>
                </c:pt>
              </c:numCache>
            </c:numRef>
          </c:xVal>
          <c:yVal>
            <c:numRef>
              <c:f>ESTPERF!$BD$10:$BD$22</c:f>
              <c:numCache>
                <c:formatCode>0.000</c:formatCode>
                <c:ptCount val="13"/>
                <c:pt idx="0">
                  <c:v>1.0419291095286032</c:v>
                </c:pt>
                <c:pt idx="1">
                  <c:v>0.89446926039686891</c:v>
                </c:pt>
                <c:pt idx="2">
                  <c:v>1.4083114959077527</c:v>
                </c:pt>
                <c:pt idx="3">
                  <c:v>1.7430816024503848</c:v>
                </c:pt>
                <c:pt idx="4">
                  <c:v>2.1394339232014468</c:v>
                </c:pt>
                <c:pt idx="5">
                  <c:v>2.6063095001970447</c:v>
                </c:pt>
                <c:pt idx="6">
                  <c:v>2.3304342599987971</c:v>
                </c:pt>
                <c:pt idx="7">
                  <c:v>2.5169680657679212</c:v>
                </c:pt>
                <c:pt idx="8">
                  <c:v>2.7158963735079777</c:v>
                </c:pt>
                <c:pt idx="9">
                  <c:v>2.9270351661474763</c:v>
                </c:pt>
                <c:pt idx="10">
                  <c:v>3.1506775894358712</c:v>
                </c:pt>
                <c:pt idx="11">
                  <c:v>3.2663165152644567</c:v>
                </c:pt>
                <c:pt idx="12">
                  <c:v>3.5842000000000001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C-47FF-9C62-87C72BA60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61791"/>
        <c:axId val="658173247"/>
      </c:scatterChart>
      <c:valAx>
        <c:axId val="730861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Alt.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3247"/>
        <c:crosses val="autoZero"/>
        <c:crossBetween val="midCat"/>
      </c:valAx>
      <c:valAx>
        <c:axId val="65817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Fn [kN]</a:t>
                </a:r>
              </a:p>
            </c:rich>
          </c:tx>
          <c:layout>
            <c:manualLayout>
              <c:xMode val="edge"/>
              <c:yMode val="edge"/>
              <c:x val="5.5478502080443829E-3"/>
              <c:y val="0.376094049728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861791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1112540544082482"/>
          <c:y val="7.2505252388695041E-2"/>
          <c:w val="0.39876973583274061"/>
          <c:h val="7.92616829377350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81601450304149"/>
          <c:y val="5.1044083526682132E-2"/>
          <c:w val="0.85091768868697237"/>
          <c:h val="0.8134644756890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ESTPERF!$AZ$10:$AZ$22</c:f>
              <c:numCache>
                <c:formatCode>General</c:formatCode>
                <c:ptCount val="13"/>
                <c:pt idx="0">
                  <c:v>35000</c:v>
                </c:pt>
                <c:pt idx="1">
                  <c:v>35000</c:v>
                </c:pt>
                <c:pt idx="2">
                  <c:v>25000</c:v>
                </c:pt>
                <c:pt idx="3">
                  <c:v>20000</c:v>
                </c:pt>
                <c:pt idx="4">
                  <c:v>15000</c:v>
                </c:pt>
                <c:pt idx="5">
                  <c:v>10000</c:v>
                </c:pt>
                <c:pt idx="6">
                  <c:v>10000</c:v>
                </c:pt>
                <c:pt idx="7">
                  <c:v>8000</c:v>
                </c:pt>
                <c:pt idx="8">
                  <c:v>6000</c:v>
                </c:pt>
                <c:pt idx="9">
                  <c:v>4000</c:v>
                </c:pt>
                <c:pt idx="10">
                  <c:v>2000</c:v>
                </c:pt>
                <c:pt idx="11">
                  <c:v>1000</c:v>
                </c:pt>
                <c:pt idx="12">
                  <c:v>0</c:v>
                </c:pt>
              </c:numCache>
            </c:numRef>
          </c:xVal>
          <c:yVal>
            <c:numRef>
              <c:f>ESTPERF!$BE$10:$BE$22</c:f>
              <c:numCache>
                <c:formatCode>General</c:formatCode>
                <c:ptCount val="13"/>
                <c:pt idx="0">
                  <c:v>32.233199999999997</c:v>
                </c:pt>
                <c:pt idx="1">
                  <c:v>30.852499999999999</c:v>
                </c:pt>
                <c:pt idx="2">
                  <c:v>31.741499999999998</c:v>
                </c:pt>
                <c:pt idx="3">
                  <c:v>32.076099999999997</c:v>
                </c:pt>
                <c:pt idx="4">
                  <c:v>32.346400000000003</c:v>
                </c:pt>
                <c:pt idx="5">
                  <c:v>32.621400000000001</c:v>
                </c:pt>
                <c:pt idx="6">
                  <c:v>30.151199999999999</c:v>
                </c:pt>
                <c:pt idx="7">
                  <c:v>30.2271</c:v>
                </c:pt>
                <c:pt idx="8">
                  <c:v>30.307200000000002</c:v>
                </c:pt>
                <c:pt idx="9">
                  <c:v>30.386399999999998</c:v>
                </c:pt>
                <c:pt idx="10">
                  <c:v>30.474399999999999</c:v>
                </c:pt>
                <c:pt idx="11">
                  <c:v>29.436900000000001</c:v>
                </c:pt>
                <c:pt idx="12">
                  <c:v>27.036200000000001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F-44EB-9586-EE021DC9121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ESTPERF!$AZ$10:$AZ$22</c:f>
              <c:numCache>
                <c:formatCode>General</c:formatCode>
                <c:ptCount val="13"/>
                <c:pt idx="0">
                  <c:v>35000</c:v>
                </c:pt>
                <c:pt idx="1">
                  <c:v>35000</c:v>
                </c:pt>
                <c:pt idx="2">
                  <c:v>25000</c:v>
                </c:pt>
                <c:pt idx="3">
                  <c:v>20000</c:v>
                </c:pt>
                <c:pt idx="4">
                  <c:v>15000</c:v>
                </c:pt>
                <c:pt idx="5">
                  <c:v>10000</c:v>
                </c:pt>
                <c:pt idx="6">
                  <c:v>10000</c:v>
                </c:pt>
                <c:pt idx="7">
                  <c:v>8000</c:v>
                </c:pt>
                <c:pt idx="8">
                  <c:v>6000</c:v>
                </c:pt>
                <c:pt idx="9">
                  <c:v>4000</c:v>
                </c:pt>
                <c:pt idx="10">
                  <c:v>2000</c:v>
                </c:pt>
                <c:pt idx="11">
                  <c:v>1000</c:v>
                </c:pt>
                <c:pt idx="12">
                  <c:v>0</c:v>
                </c:pt>
              </c:numCache>
            </c:numRef>
          </c:xVal>
          <c:yVal>
            <c:numRef>
              <c:f>ESTPERF!$BF$10:$BF$22</c:f>
              <c:numCache>
                <c:formatCode>0.000</c:formatCode>
                <c:ptCount val="13"/>
                <c:pt idx="0">
                  <c:v>30.983945096401051</c:v>
                </c:pt>
                <c:pt idx="1">
                  <c:v>29.44097637392311</c:v>
                </c:pt>
                <c:pt idx="2">
                  <c:v>30.7424315181959</c:v>
                </c:pt>
                <c:pt idx="3">
                  <c:v>31.370824859537258</c:v>
                </c:pt>
                <c:pt idx="4">
                  <c:v>31.987766750941976</c:v>
                </c:pt>
                <c:pt idx="5">
                  <c:v>32.597357065173568</c:v>
                </c:pt>
                <c:pt idx="6">
                  <c:v>29.647186887013849</c:v>
                </c:pt>
                <c:pt idx="7">
                  <c:v>29.863099374391417</c:v>
                </c:pt>
                <c:pt idx="8">
                  <c:v>30.081041908671033</c:v>
                </c:pt>
                <c:pt idx="9">
                  <c:v>30.295713102205688</c:v>
                </c:pt>
                <c:pt idx="10">
                  <c:v>30.508212572149709</c:v>
                </c:pt>
                <c:pt idx="11">
                  <c:v>29.444777131712161</c:v>
                </c:pt>
                <c:pt idx="12">
                  <c:v>27.035321689637851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1F-44EB-9586-EE021DC91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61791"/>
        <c:axId val="658173247"/>
      </c:scatterChart>
      <c:valAx>
        <c:axId val="730861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Alt.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3247"/>
        <c:crosses val="autoZero"/>
        <c:crossBetween val="midCat"/>
      </c:valAx>
      <c:valAx>
        <c:axId val="658173247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TSFC [(g/s)/kN]</a:t>
                </a:r>
              </a:p>
            </c:rich>
          </c:tx>
          <c:layout>
            <c:manualLayout>
              <c:xMode val="edge"/>
              <c:yMode val="edge"/>
              <c:x val="1.3869625520110958E-2"/>
              <c:y val="0.30157389074917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861791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97480332771732"/>
          <c:y val="5.1044016125043577E-2"/>
          <c:w val="0.84536983847892788"/>
          <c:h val="0.8134644756890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ESTPERF!$BB$10:$BB$22</c:f>
              <c:numCache>
                <c:formatCode>General</c:formatCode>
                <c:ptCount val="13"/>
                <c:pt idx="0">
                  <c:v>0.8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0.2</c:v>
                </c:pt>
                <c:pt idx="12">
                  <c:v>0</c:v>
                </c:pt>
              </c:numCache>
            </c:numRef>
          </c:xVal>
          <c:yVal>
            <c:numRef>
              <c:f>ESTPERF!$BE$10:$BE$22</c:f>
              <c:numCache>
                <c:formatCode>General</c:formatCode>
                <c:ptCount val="13"/>
                <c:pt idx="0">
                  <c:v>32.233199999999997</c:v>
                </c:pt>
                <c:pt idx="1">
                  <c:v>30.852499999999999</c:v>
                </c:pt>
                <c:pt idx="2">
                  <c:v>31.741499999999998</c:v>
                </c:pt>
                <c:pt idx="3">
                  <c:v>32.076099999999997</c:v>
                </c:pt>
                <c:pt idx="4">
                  <c:v>32.346400000000003</c:v>
                </c:pt>
                <c:pt idx="5">
                  <c:v>32.621400000000001</c:v>
                </c:pt>
                <c:pt idx="6">
                  <c:v>30.151199999999999</c:v>
                </c:pt>
                <c:pt idx="7">
                  <c:v>30.2271</c:v>
                </c:pt>
                <c:pt idx="8">
                  <c:v>30.307200000000002</c:v>
                </c:pt>
                <c:pt idx="9">
                  <c:v>30.386399999999998</c:v>
                </c:pt>
                <c:pt idx="10">
                  <c:v>30.474399999999999</c:v>
                </c:pt>
                <c:pt idx="11">
                  <c:v>29.436900000000001</c:v>
                </c:pt>
                <c:pt idx="12">
                  <c:v>27.036200000000001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2-4B27-8F91-96B8BE3B31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ESTPERF!$BB$10:$BB$22</c:f>
              <c:numCache>
                <c:formatCode>General</c:formatCode>
                <c:ptCount val="13"/>
                <c:pt idx="0">
                  <c:v>0.8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0.2</c:v>
                </c:pt>
                <c:pt idx="12">
                  <c:v>0</c:v>
                </c:pt>
              </c:numCache>
            </c:numRef>
          </c:xVal>
          <c:yVal>
            <c:numRef>
              <c:f>ESTPERF!$BF$10:$BF$22</c:f>
              <c:numCache>
                <c:formatCode>0.000</c:formatCode>
                <c:ptCount val="13"/>
                <c:pt idx="0">
                  <c:v>30.983945096401051</c:v>
                </c:pt>
                <c:pt idx="1">
                  <c:v>29.44097637392311</c:v>
                </c:pt>
                <c:pt idx="2">
                  <c:v>30.7424315181959</c:v>
                </c:pt>
                <c:pt idx="3">
                  <c:v>31.370824859537258</c:v>
                </c:pt>
                <c:pt idx="4">
                  <c:v>31.987766750941976</c:v>
                </c:pt>
                <c:pt idx="5">
                  <c:v>32.597357065173568</c:v>
                </c:pt>
                <c:pt idx="6">
                  <c:v>29.647186887013849</c:v>
                </c:pt>
                <c:pt idx="7">
                  <c:v>29.863099374391417</c:v>
                </c:pt>
                <c:pt idx="8">
                  <c:v>30.081041908671033</c:v>
                </c:pt>
                <c:pt idx="9">
                  <c:v>30.295713102205688</c:v>
                </c:pt>
                <c:pt idx="10">
                  <c:v>30.508212572149709</c:v>
                </c:pt>
                <c:pt idx="11">
                  <c:v>29.444777131712161</c:v>
                </c:pt>
                <c:pt idx="12">
                  <c:v>27.035321689637851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E2-4B27-8F91-96B8BE3B3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61791"/>
        <c:axId val="658173247"/>
      </c:scatterChart>
      <c:valAx>
        <c:axId val="730861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3247"/>
        <c:crosses val="autoZero"/>
        <c:crossBetween val="midCat"/>
      </c:valAx>
      <c:valAx>
        <c:axId val="658173247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TSFC [(g/s)/kN]</a:t>
                </a:r>
              </a:p>
            </c:rich>
          </c:tx>
          <c:layout>
            <c:manualLayout>
              <c:xMode val="edge"/>
              <c:yMode val="edge"/>
              <c:x val="1.1095700416088766E-2"/>
              <c:y val="0.30157371206197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861791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268164294997112E-2"/>
          <c:y val="5.1044083526682132E-2"/>
          <c:w val="0.85646553889501675"/>
          <c:h val="0.813464384237353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ESTPERF!$BB$10:$BB$22</c:f>
              <c:numCache>
                <c:formatCode>General</c:formatCode>
                <c:ptCount val="13"/>
                <c:pt idx="0">
                  <c:v>0.8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0.2</c:v>
                </c:pt>
                <c:pt idx="12">
                  <c:v>0</c:v>
                </c:pt>
              </c:numCache>
            </c:numRef>
          </c:xVal>
          <c:yVal>
            <c:numRef>
              <c:f>ESTPERF!$BC$10:$BC$22</c:f>
              <c:numCache>
                <c:formatCode>General</c:formatCode>
                <c:ptCount val="13"/>
                <c:pt idx="0">
                  <c:v>1.31</c:v>
                </c:pt>
                <c:pt idx="1">
                  <c:v>1.2</c:v>
                </c:pt>
                <c:pt idx="2">
                  <c:v>1.69</c:v>
                </c:pt>
                <c:pt idx="3">
                  <c:v>1.98</c:v>
                </c:pt>
                <c:pt idx="4">
                  <c:v>2.29</c:v>
                </c:pt>
                <c:pt idx="5">
                  <c:v>2.61</c:v>
                </c:pt>
                <c:pt idx="6">
                  <c:v>2.5499999999999998</c:v>
                </c:pt>
                <c:pt idx="7">
                  <c:v>2.69</c:v>
                </c:pt>
                <c:pt idx="8">
                  <c:v>2.83</c:v>
                </c:pt>
                <c:pt idx="9">
                  <c:v>2.98</c:v>
                </c:pt>
                <c:pt idx="10">
                  <c:v>3.13</c:v>
                </c:pt>
                <c:pt idx="11">
                  <c:v>3.26</c:v>
                </c:pt>
                <c:pt idx="12">
                  <c:v>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7-4176-8FAC-1765FF76D97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ESTPERF!$BB$10:$BB$22</c:f>
              <c:numCache>
                <c:formatCode>General</c:formatCode>
                <c:ptCount val="13"/>
                <c:pt idx="0">
                  <c:v>0.8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0.2</c:v>
                </c:pt>
                <c:pt idx="12">
                  <c:v>0</c:v>
                </c:pt>
              </c:numCache>
            </c:numRef>
          </c:xVal>
          <c:yVal>
            <c:numRef>
              <c:f>ESTPERF!$BD$10:$BD$22</c:f>
              <c:numCache>
                <c:formatCode>0.000</c:formatCode>
                <c:ptCount val="13"/>
                <c:pt idx="0">
                  <c:v>1.0419291095286032</c:v>
                </c:pt>
                <c:pt idx="1">
                  <c:v>0.89446926039686891</c:v>
                </c:pt>
                <c:pt idx="2">
                  <c:v>1.4083114959077527</c:v>
                </c:pt>
                <c:pt idx="3">
                  <c:v>1.7430816024503848</c:v>
                </c:pt>
                <c:pt idx="4">
                  <c:v>2.1394339232014468</c:v>
                </c:pt>
                <c:pt idx="5">
                  <c:v>2.6063095001970447</c:v>
                </c:pt>
                <c:pt idx="6">
                  <c:v>2.3304342599987971</c:v>
                </c:pt>
                <c:pt idx="7">
                  <c:v>2.5169680657679212</c:v>
                </c:pt>
                <c:pt idx="8">
                  <c:v>2.7158963735079777</c:v>
                </c:pt>
                <c:pt idx="9">
                  <c:v>2.9270351661474763</c:v>
                </c:pt>
                <c:pt idx="10">
                  <c:v>3.1506775894358712</c:v>
                </c:pt>
                <c:pt idx="11">
                  <c:v>3.2663165152644567</c:v>
                </c:pt>
                <c:pt idx="12">
                  <c:v>3.5842000000000001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37-4176-8FAC-1765FF76D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61791"/>
        <c:axId val="658173247"/>
      </c:scatterChart>
      <c:valAx>
        <c:axId val="730861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3247"/>
        <c:crosses val="autoZero"/>
        <c:crossBetween val="midCat"/>
      </c:valAx>
      <c:valAx>
        <c:axId val="65817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Fn [kN]</a:t>
                </a:r>
              </a:p>
            </c:rich>
          </c:tx>
          <c:layout>
            <c:manualLayout>
              <c:xMode val="edge"/>
              <c:yMode val="edge"/>
              <c:x val="5.5478502080443829E-3"/>
              <c:y val="0.376094049728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861791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(T</a:t>
            </a:r>
            <a:r>
              <a:rPr lang="en-US" baseline="-25000">
                <a:solidFill>
                  <a:sysClr val="windowText" lastClr="000000"/>
                </a:solidFill>
              </a:rPr>
              <a:t>SLS</a:t>
            </a:r>
            <a:r>
              <a:rPr lang="en-US" baseline="0">
                <a:solidFill>
                  <a:sysClr val="windowText" lastClr="000000"/>
                </a:solidFill>
              </a:rPr>
              <a:t>/W</a:t>
            </a:r>
            <a:r>
              <a:rPr lang="en-US" baseline="-25000">
                <a:solidFill>
                  <a:sysClr val="windowText" lastClr="000000"/>
                </a:solidFill>
              </a:rPr>
              <a:t>TO</a:t>
            </a:r>
            <a:r>
              <a:rPr lang="en-US" baseline="0">
                <a:solidFill>
                  <a:sysClr val="windowText" lastClr="000000"/>
                </a:solidFill>
              </a:rPr>
              <a:t>)  vs 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(W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TO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/S</a:t>
            </a:r>
            <a:r>
              <a:rPr lang="en-US" sz="1400" b="0" i="0" u="none" strike="noStrike" kern="1200" spc="0" baseline="-25000">
                <a:solidFill>
                  <a:sysClr val="windowText" lastClr="000000"/>
                </a:solidFill>
              </a:rPr>
              <a:t>ref</a:t>
            </a: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34673600174978125"/>
          <c:y val="2.69749518304431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763648293963253"/>
          <c:y val="0.2404864391951006"/>
          <c:w val="0.81002318460192491"/>
          <c:h val="0.6080402449693787"/>
        </c:manualLayout>
      </c:layout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Ref>
              <c:f>TOLDG!$F$29:$F$49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57.5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TOLDG!$H$29:$H$49</c:f>
              <c:numCache>
                <c:formatCode>0.000</c:formatCode>
                <c:ptCount val="21"/>
                <c:pt idx="0">
                  <c:v>0.12435619170040613</c:v>
                </c:pt>
                <c:pt idx="1">
                  <c:v>0.15544523962550766</c:v>
                </c:pt>
                <c:pt idx="2">
                  <c:v>0.18653428755060919</c:v>
                </c:pt>
                <c:pt idx="3">
                  <c:v>0.21762333547571075</c:v>
                </c:pt>
                <c:pt idx="4">
                  <c:v>0.24871238340081225</c:v>
                </c:pt>
                <c:pt idx="5">
                  <c:v>0.27980143132591384</c:v>
                </c:pt>
                <c:pt idx="6">
                  <c:v>0.31089047925101532</c:v>
                </c:pt>
                <c:pt idx="7">
                  <c:v>0.35752405113866764</c:v>
                </c:pt>
                <c:pt idx="8">
                  <c:v>0.37306857510121838</c:v>
                </c:pt>
                <c:pt idx="9">
                  <c:v>0.40415762302632002</c:v>
                </c:pt>
                <c:pt idx="10">
                  <c:v>0.4352466709514215</c:v>
                </c:pt>
                <c:pt idx="11">
                  <c:v>0.46633571887652303</c:v>
                </c:pt>
                <c:pt idx="12">
                  <c:v>0.49742476680162451</c:v>
                </c:pt>
                <c:pt idx="13">
                  <c:v>0.52851381472672609</c:v>
                </c:pt>
                <c:pt idx="14">
                  <c:v>0.55960286265182768</c:v>
                </c:pt>
                <c:pt idx="15">
                  <c:v>0.59069191057692916</c:v>
                </c:pt>
                <c:pt idx="16">
                  <c:v>0.62178095850203063</c:v>
                </c:pt>
                <c:pt idx="17">
                  <c:v>0.65287000642713211</c:v>
                </c:pt>
                <c:pt idx="18">
                  <c:v>0.6839590543522337</c:v>
                </c:pt>
                <c:pt idx="19">
                  <c:v>0.71504810227733528</c:v>
                </c:pt>
                <c:pt idx="20">
                  <c:v>0.74613715020243676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6-45F0-B3ED-9AB961D11EFA}"/>
            </c:ext>
          </c:extLst>
        </c:ser>
        <c:ser>
          <c:idx val="2"/>
          <c:order val="2"/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TOLDG!$K$21:$K$23</c:f>
              <c:numCache>
                <c:formatCode>0.00</c:formatCode>
                <c:ptCount val="3"/>
                <c:pt idx="0">
                  <c:v>77.855264391193927</c:v>
                </c:pt>
                <c:pt idx="1">
                  <c:v>77.855264391193927</c:v>
                </c:pt>
                <c:pt idx="2">
                  <c:v>77.855264391193927</c:v>
                </c:pt>
              </c:numCache>
            </c:numRef>
          </c:xVal>
          <c:yVal>
            <c:numRef>
              <c:f>TOLDG!$L$21:$L$23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0.48408920917585579</c:v>
                </c:pt>
                <c:pt idx="2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D6-45F0-B3ED-9AB961D11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975536"/>
        <c:axId val="890974576"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74436192"/>
        <c:axId val="974432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spPr>
                  <a:ln w="38100">
                    <a:noFill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TOLDG!$G$29:$G$49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97.648574357485643</c:v>
                      </c:pt>
                      <c:pt idx="1">
                        <c:v>122.06071794685705</c:v>
                      </c:pt>
                      <c:pt idx="2">
                        <c:v>146.47286153622846</c:v>
                      </c:pt>
                      <c:pt idx="3">
                        <c:v>170.88500512559989</c:v>
                      </c:pt>
                      <c:pt idx="4">
                        <c:v>195.29714871497129</c:v>
                      </c:pt>
                      <c:pt idx="5">
                        <c:v>219.70929230434271</c:v>
                      </c:pt>
                      <c:pt idx="6">
                        <c:v>244.12143589371411</c:v>
                      </c:pt>
                      <c:pt idx="7">
                        <c:v>280.73965127777126</c:v>
                      </c:pt>
                      <c:pt idx="8">
                        <c:v>292.94572307245693</c:v>
                      </c:pt>
                      <c:pt idx="9">
                        <c:v>317.35786666182838</c:v>
                      </c:pt>
                      <c:pt idx="10">
                        <c:v>341.77001025119978</c:v>
                      </c:pt>
                      <c:pt idx="11">
                        <c:v>366.18215384057117</c:v>
                      </c:pt>
                      <c:pt idx="12">
                        <c:v>390.59429742994257</c:v>
                      </c:pt>
                      <c:pt idx="13">
                        <c:v>415.00644101931402</c:v>
                      </c:pt>
                      <c:pt idx="14">
                        <c:v>439.41858460868542</c:v>
                      </c:pt>
                      <c:pt idx="15">
                        <c:v>463.83072819805682</c:v>
                      </c:pt>
                      <c:pt idx="16">
                        <c:v>488.24287178742821</c:v>
                      </c:pt>
                      <c:pt idx="17">
                        <c:v>512.65501537679961</c:v>
                      </c:pt>
                      <c:pt idx="18">
                        <c:v>537.06715896617106</c:v>
                      </c:pt>
                      <c:pt idx="19">
                        <c:v>561.47930255554252</c:v>
                      </c:pt>
                      <c:pt idx="20">
                        <c:v>585.89144614491386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TOLDG!$H$29:$H$49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0.12435619170040613</c:v>
                      </c:pt>
                      <c:pt idx="1">
                        <c:v>0.15544523962550766</c:v>
                      </c:pt>
                      <c:pt idx="2">
                        <c:v>0.18653428755060919</c:v>
                      </c:pt>
                      <c:pt idx="3">
                        <c:v>0.21762333547571075</c:v>
                      </c:pt>
                      <c:pt idx="4">
                        <c:v>0.24871238340081225</c:v>
                      </c:pt>
                      <c:pt idx="5">
                        <c:v>0.27980143132591384</c:v>
                      </c:pt>
                      <c:pt idx="6">
                        <c:v>0.31089047925101532</c:v>
                      </c:pt>
                      <c:pt idx="7">
                        <c:v>0.35752405113866764</c:v>
                      </c:pt>
                      <c:pt idx="8">
                        <c:v>0.37306857510121838</c:v>
                      </c:pt>
                      <c:pt idx="9">
                        <c:v>0.40415762302632002</c:v>
                      </c:pt>
                      <c:pt idx="10">
                        <c:v>0.4352466709514215</c:v>
                      </c:pt>
                      <c:pt idx="11">
                        <c:v>0.46633571887652303</c:v>
                      </c:pt>
                      <c:pt idx="12">
                        <c:v>0.49742476680162451</c:v>
                      </c:pt>
                      <c:pt idx="13">
                        <c:v>0.52851381472672609</c:v>
                      </c:pt>
                      <c:pt idx="14">
                        <c:v>0.55960286265182768</c:v>
                      </c:pt>
                      <c:pt idx="15">
                        <c:v>0.59069191057692916</c:v>
                      </c:pt>
                      <c:pt idx="16">
                        <c:v>0.62178095850203063</c:v>
                      </c:pt>
                      <c:pt idx="17">
                        <c:v>0.65287000642713211</c:v>
                      </c:pt>
                      <c:pt idx="18">
                        <c:v>0.6839590543522337</c:v>
                      </c:pt>
                      <c:pt idx="19">
                        <c:v>0.71504810227733528</c:v>
                      </c:pt>
                      <c:pt idx="20">
                        <c:v>0.74613715020243676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AD6-45F0-B3ED-9AB961D11EFA}"/>
                  </c:ext>
                </c:extLst>
              </c15:ser>
            </c15:filteredScatterSeries>
          </c:ext>
        </c:extLst>
      </c:scatterChart>
      <c:valAx>
        <c:axId val="89097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Wing Loading</a:t>
                </a:r>
                <a:r>
                  <a:rPr lang="en-US" b="0" baseline="0"/>
                  <a:t> </a:t>
                </a:r>
                <a:r>
                  <a:rPr lang="en-US" b="0"/>
                  <a:t>[lbf/ft2]</a:t>
                </a:r>
              </a:p>
            </c:rich>
          </c:tx>
          <c:layout>
            <c:manualLayout>
              <c:xMode val="edge"/>
              <c:yMode val="edge"/>
              <c:x val="0.40373140857392825"/>
              <c:y val="0.910639479313640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4576"/>
        <c:crosses val="autoZero"/>
        <c:crossBetween val="midCat"/>
      </c:valAx>
      <c:valAx>
        <c:axId val="890974576"/>
        <c:scaling>
          <c:orientation val="minMax"/>
          <c:max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Thrust Loading</a:t>
                </a:r>
              </a:p>
            </c:rich>
          </c:tx>
          <c:layout>
            <c:manualLayout>
              <c:xMode val="edge"/>
              <c:yMode val="edge"/>
              <c:x val="3.7637795275590551E-3"/>
              <c:y val="0.41657760987968989"/>
            </c:manualLayout>
          </c:layout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975536"/>
        <c:crosses val="autoZero"/>
        <c:crossBetween val="midCat"/>
      </c:valAx>
      <c:valAx>
        <c:axId val="974432832"/>
        <c:scaling>
          <c:orientation val="minMax"/>
        </c:scaling>
        <c:delete val="1"/>
        <c:axPos val="r"/>
        <c:numFmt formatCode="0.000" sourceLinked="1"/>
        <c:majorTickMark val="out"/>
        <c:minorTickMark val="none"/>
        <c:tickLblPos val="nextTo"/>
        <c:crossAx val="974436192"/>
        <c:crosses val="max"/>
        <c:crossBetween val="midCat"/>
      </c:valAx>
      <c:valAx>
        <c:axId val="974436192"/>
        <c:scaling>
          <c:orientation val="minMax"/>
          <c:max val="683.31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Wing Loading [kg/m2]</a:t>
                </a:r>
              </a:p>
            </c:rich>
          </c:tx>
          <c:layout>
            <c:manualLayout>
              <c:xMode val="edge"/>
              <c:yMode val="edge"/>
              <c:x val="0.39532852143482072"/>
              <c:y val="0.108809794729416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974432832"/>
        <c:crosses val="max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 [J/kg-K] vs T [K] in selected 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179636920384952E-2"/>
                  <c:y val="-2.9789752272615214E-2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'WF CP'!$N$4:$N$104</c:f>
              <c:numCache>
                <c:formatCode>General</c:formatCode>
                <c:ptCount val="101"/>
                <c:pt idx="0">
                  <c:v>439</c:v>
                </c:pt>
                <c:pt idx="1">
                  <c:v>447.82</c:v>
                </c:pt>
                <c:pt idx="2">
                  <c:v>456.64</c:v>
                </c:pt>
                <c:pt idx="3">
                  <c:v>465.46</c:v>
                </c:pt>
                <c:pt idx="4">
                  <c:v>474.28</c:v>
                </c:pt>
                <c:pt idx="5">
                  <c:v>483.09999999999997</c:v>
                </c:pt>
                <c:pt idx="6">
                  <c:v>491.91999999999996</c:v>
                </c:pt>
                <c:pt idx="7">
                  <c:v>500.73999999999995</c:v>
                </c:pt>
                <c:pt idx="8">
                  <c:v>509.55999999999995</c:v>
                </c:pt>
                <c:pt idx="9">
                  <c:v>518.38</c:v>
                </c:pt>
                <c:pt idx="10">
                  <c:v>527.20000000000005</c:v>
                </c:pt>
                <c:pt idx="11">
                  <c:v>536.0200000000001</c:v>
                </c:pt>
                <c:pt idx="12">
                  <c:v>544.84000000000015</c:v>
                </c:pt>
                <c:pt idx="13">
                  <c:v>553.6600000000002</c:v>
                </c:pt>
                <c:pt idx="14">
                  <c:v>562.48000000000025</c:v>
                </c:pt>
                <c:pt idx="15">
                  <c:v>571.3000000000003</c:v>
                </c:pt>
                <c:pt idx="16">
                  <c:v>580.12000000000035</c:v>
                </c:pt>
                <c:pt idx="17">
                  <c:v>588.9400000000004</c:v>
                </c:pt>
                <c:pt idx="18">
                  <c:v>597.76000000000045</c:v>
                </c:pt>
                <c:pt idx="19">
                  <c:v>606.5800000000005</c:v>
                </c:pt>
                <c:pt idx="20">
                  <c:v>615.40000000000055</c:v>
                </c:pt>
                <c:pt idx="21">
                  <c:v>624.2200000000006</c:v>
                </c:pt>
                <c:pt idx="22">
                  <c:v>633.04000000000065</c:v>
                </c:pt>
                <c:pt idx="23">
                  <c:v>641.8600000000007</c:v>
                </c:pt>
                <c:pt idx="24">
                  <c:v>650.68000000000075</c:v>
                </c:pt>
                <c:pt idx="25">
                  <c:v>659.5000000000008</c:v>
                </c:pt>
                <c:pt idx="26">
                  <c:v>668.32000000000085</c:v>
                </c:pt>
                <c:pt idx="27">
                  <c:v>677.1400000000009</c:v>
                </c:pt>
                <c:pt idx="28">
                  <c:v>685.96000000000095</c:v>
                </c:pt>
                <c:pt idx="29">
                  <c:v>694.780000000001</c:v>
                </c:pt>
                <c:pt idx="30">
                  <c:v>703.60000000000105</c:v>
                </c:pt>
                <c:pt idx="31">
                  <c:v>712.4200000000011</c:v>
                </c:pt>
                <c:pt idx="32">
                  <c:v>721.24000000000115</c:v>
                </c:pt>
                <c:pt idx="33">
                  <c:v>730.0600000000012</c:v>
                </c:pt>
                <c:pt idx="34">
                  <c:v>738.88000000000125</c:v>
                </c:pt>
                <c:pt idx="35">
                  <c:v>747.7000000000013</c:v>
                </c:pt>
                <c:pt idx="36">
                  <c:v>756.52000000000135</c:v>
                </c:pt>
                <c:pt idx="37">
                  <c:v>765.3400000000014</c:v>
                </c:pt>
                <c:pt idx="38">
                  <c:v>774.16000000000145</c:v>
                </c:pt>
                <c:pt idx="39">
                  <c:v>782.9800000000015</c:v>
                </c:pt>
                <c:pt idx="40">
                  <c:v>791.80000000000155</c:v>
                </c:pt>
                <c:pt idx="41">
                  <c:v>800.6200000000016</c:v>
                </c:pt>
                <c:pt idx="42">
                  <c:v>809.44000000000165</c:v>
                </c:pt>
                <c:pt idx="43">
                  <c:v>818.2600000000017</c:v>
                </c:pt>
                <c:pt idx="44">
                  <c:v>827.08000000000175</c:v>
                </c:pt>
                <c:pt idx="45">
                  <c:v>835.9000000000018</c:v>
                </c:pt>
                <c:pt idx="46">
                  <c:v>844.72000000000185</c:v>
                </c:pt>
                <c:pt idx="47">
                  <c:v>853.5400000000019</c:v>
                </c:pt>
                <c:pt idx="48">
                  <c:v>862.36000000000195</c:v>
                </c:pt>
                <c:pt idx="49">
                  <c:v>871.180000000002</c:v>
                </c:pt>
                <c:pt idx="50">
                  <c:v>880.00000000000205</c:v>
                </c:pt>
                <c:pt idx="51">
                  <c:v>888.8200000000021</c:v>
                </c:pt>
                <c:pt idx="52">
                  <c:v>897.64000000000215</c:v>
                </c:pt>
                <c:pt idx="53">
                  <c:v>906.4600000000022</c:v>
                </c:pt>
                <c:pt idx="54">
                  <c:v>915.28000000000225</c:v>
                </c:pt>
                <c:pt idx="55">
                  <c:v>924.1000000000023</c:v>
                </c:pt>
                <c:pt idx="56">
                  <c:v>932.92000000000235</c:v>
                </c:pt>
                <c:pt idx="57">
                  <c:v>941.7400000000024</c:v>
                </c:pt>
                <c:pt idx="58">
                  <c:v>950.56000000000245</c:v>
                </c:pt>
                <c:pt idx="59">
                  <c:v>959.3800000000025</c:v>
                </c:pt>
                <c:pt idx="60">
                  <c:v>968.20000000000255</c:v>
                </c:pt>
                <c:pt idx="61">
                  <c:v>977.0200000000026</c:v>
                </c:pt>
                <c:pt idx="62">
                  <c:v>985.84000000000265</c:v>
                </c:pt>
                <c:pt idx="63">
                  <c:v>994.6600000000027</c:v>
                </c:pt>
                <c:pt idx="64">
                  <c:v>1003.4800000000027</c:v>
                </c:pt>
                <c:pt idx="65">
                  <c:v>1012.3000000000028</c:v>
                </c:pt>
                <c:pt idx="66">
                  <c:v>1021.1200000000028</c:v>
                </c:pt>
                <c:pt idx="67">
                  <c:v>1029.9400000000028</c:v>
                </c:pt>
                <c:pt idx="68">
                  <c:v>1038.7600000000027</c:v>
                </c:pt>
                <c:pt idx="69">
                  <c:v>1047.5800000000027</c:v>
                </c:pt>
                <c:pt idx="70">
                  <c:v>1056.4000000000026</c:v>
                </c:pt>
                <c:pt idx="71">
                  <c:v>1065.2200000000025</c:v>
                </c:pt>
                <c:pt idx="72">
                  <c:v>1074.0400000000025</c:v>
                </c:pt>
                <c:pt idx="73">
                  <c:v>1082.8600000000024</c:v>
                </c:pt>
                <c:pt idx="74">
                  <c:v>1091.6800000000023</c:v>
                </c:pt>
                <c:pt idx="75">
                  <c:v>1100.5000000000023</c:v>
                </c:pt>
                <c:pt idx="76">
                  <c:v>1109.3200000000022</c:v>
                </c:pt>
                <c:pt idx="77">
                  <c:v>1118.1400000000021</c:v>
                </c:pt>
                <c:pt idx="78">
                  <c:v>1126.9600000000021</c:v>
                </c:pt>
                <c:pt idx="79">
                  <c:v>1135.780000000002</c:v>
                </c:pt>
                <c:pt idx="80">
                  <c:v>1144.600000000002</c:v>
                </c:pt>
                <c:pt idx="81">
                  <c:v>1153.4200000000019</c:v>
                </c:pt>
                <c:pt idx="82">
                  <c:v>1162.2400000000018</c:v>
                </c:pt>
                <c:pt idx="83">
                  <c:v>1171.0600000000018</c:v>
                </c:pt>
                <c:pt idx="84">
                  <c:v>1179.8800000000017</c:v>
                </c:pt>
                <c:pt idx="85">
                  <c:v>1188.7000000000016</c:v>
                </c:pt>
                <c:pt idx="86">
                  <c:v>1197.5200000000016</c:v>
                </c:pt>
                <c:pt idx="87">
                  <c:v>1206.3400000000015</c:v>
                </c:pt>
                <c:pt idx="88">
                  <c:v>1215.1600000000014</c:v>
                </c:pt>
                <c:pt idx="89">
                  <c:v>1223.9800000000014</c:v>
                </c:pt>
                <c:pt idx="90">
                  <c:v>1232.8000000000013</c:v>
                </c:pt>
                <c:pt idx="91">
                  <c:v>1241.6200000000013</c:v>
                </c:pt>
                <c:pt idx="92">
                  <c:v>1250.4400000000012</c:v>
                </c:pt>
                <c:pt idx="93">
                  <c:v>1259.2600000000011</c:v>
                </c:pt>
                <c:pt idx="94">
                  <c:v>1268.0800000000011</c:v>
                </c:pt>
                <c:pt idx="95">
                  <c:v>1276.900000000001</c:v>
                </c:pt>
                <c:pt idx="96">
                  <c:v>1285.7200000000009</c:v>
                </c:pt>
                <c:pt idx="97">
                  <c:v>1294.5400000000009</c:v>
                </c:pt>
                <c:pt idx="98">
                  <c:v>1303.3600000000008</c:v>
                </c:pt>
                <c:pt idx="99">
                  <c:v>1312.1800000000007</c:v>
                </c:pt>
                <c:pt idx="100">
                  <c:v>1321.0000000000007</c:v>
                </c:pt>
              </c:numCache>
            </c:numRef>
          </c:xVal>
          <c:yVal>
            <c:numRef>
              <c:f>'WF CP'!$O$4:$O$104</c:f>
              <c:numCache>
                <c:formatCode>General</c:formatCode>
                <c:ptCount val="101"/>
                <c:pt idx="0">
                  <c:v>1069.9326886200049</c:v>
                </c:pt>
                <c:pt idx="1">
                  <c:v>1071.7747318725501</c:v>
                </c:pt>
                <c:pt idx="2">
                  <c:v>1073.6587169570234</c:v>
                </c:pt>
                <c:pt idx="3">
                  <c:v>1075.5834156886399</c:v>
                </c:pt>
                <c:pt idx="4">
                  <c:v>1077.5475236571251</c:v>
                </c:pt>
                <c:pt idx="5">
                  <c:v>1079.5496687111354</c:v>
                </c:pt>
                <c:pt idx="6">
                  <c:v>1081.5884190438865</c:v>
                </c:pt>
                <c:pt idx="7">
                  <c:v>1083.6622908904153</c:v>
                </c:pt>
                <c:pt idx="8">
                  <c:v>1085.7697558467339</c:v>
                </c:pt>
                <c:pt idx="9">
                  <c:v>1087.9092478210569</c:v>
                </c:pt>
                <c:pt idx="10">
                  <c:v>1090.0791696271203</c:v>
                </c:pt>
                <c:pt idx="11">
                  <c:v>1092.2778992295123</c:v>
                </c:pt>
                <c:pt idx="12">
                  <c:v>1094.5037956508031</c:v>
                </c:pt>
                <c:pt idx="13">
                  <c:v>1096.7552045501373</c:v>
                </c:pt>
                <c:pt idx="14">
                  <c:v>1099.0304634828303</c:v>
                </c:pt>
                <c:pt idx="15">
                  <c:v>1101.3279068503871</c:v>
                </c:pt>
                <c:pt idx="16">
                  <c:v>1103.6458705502366</c:v>
                </c:pt>
                <c:pt idx="17">
                  <c:v>1105.9826963343562</c:v>
                </c:pt>
                <c:pt idx="18">
                  <c:v>1108.3367358858245</c:v>
                </c:pt>
                <c:pt idx="19">
                  <c:v>1110.706354622238</c:v>
                </c:pt>
                <c:pt idx="20">
                  <c:v>1113.089935234784</c:v>
                </c:pt>
                <c:pt idx="21">
                  <c:v>1115.4858809716459</c:v>
                </c:pt>
                <c:pt idx="22">
                  <c:v>1117.8926186743004</c:v>
                </c:pt>
                <c:pt idx="23">
                  <c:v>1120.3086015751312</c:v>
                </c:pt>
                <c:pt idx="24">
                  <c:v>1122.7323118646646</c:v>
                </c:pt>
                <c:pt idx="25">
                  <c:v>1125.1622630366139</c:v>
                </c:pt>
                <c:pt idx="26">
                  <c:v>1127.5970020187899</c:v>
                </c:pt>
                <c:pt idx="27">
                  <c:v>1130.0351110978108</c:v>
                </c:pt>
                <c:pt idx="28">
                  <c:v>1132.4752096454279</c:v>
                </c:pt>
                <c:pt idx="29">
                  <c:v>1134.9159556541513</c:v>
                </c:pt>
                <c:pt idx="30">
                  <c:v>1137.3560470897457</c:v>
                </c:pt>
                <c:pt idx="31">
                  <c:v>1139.7942230680308</c:v>
                </c:pt>
                <c:pt idx="32">
                  <c:v>1142.2292648633118</c:v>
                </c:pt>
                <c:pt idx="33">
                  <c:v>1144.6599967556353</c:v>
                </c:pt>
                <c:pt idx="34">
                  <c:v>1147.0852867239266</c:v>
                </c:pt>
                <c:pt idx="35">
                  <c:v>1149.5040469919807</c:v>
                </c:pt>
                <c:pt idx="36">
                  <c:v>1151.9152344341092</c:v>
                </c:pt>
                <c:pt idx="37">
                  <c:v>1154.3178508471501</c:v>
                </c:pt>
                <c:pt idx="38">
                  <c:v>1156.7109430954308</c:v>
                </c:pt>
                <c:pt idx="39">
                  <c:v>1159.0936031351164</c:v>
                </c:pt>
                <c:pt idx="40">
                  <c:v>1161.4649679242846</c:v>
                </c:pt>
                <c:pt idx="41">
                  <c:v>1163.8242192249361</c:v>
                </c:pt>
                <c:pt idx="42">
                  <c:v>1166.1705833030226</c:v>
                </c:pt>
                <c:pt idx="43">
                  <c:v>1168.50333053244</c:v>
                </c:pt>
                <c:pt idx="44">
                  <c:v>1170.8217749088396</c:v>
                </c:pt>
                <c:pt idx="45">
                  <c:v>1173.1252734789628</c:v>
                </c:pt>
                <c:pt idx="46">
                  <c:v>1175.4132256910841</c:v>
                </c:pt>
                <c:pt idx="47">
                  <c:v>1177.6850726720331</c:v>
                </c:pt>
                <c:pt idx="48">
                  <c:v>1179.9402964361391</c:v>
                </c:pt>
                <c:pt idx="49">
                  <c:v>1182.1784190313008</c:v>
                </c:pt>
                <c:pt idx="50">
                  <c:v>1184.3990016273151</c:v>
                </c:pt>
                <c:pt idx="52">
                  <c:v>1188.7859812756799</c:v>
                </c:pt>
                <c:pt idx="53">
                  <c:v>1190.9516873617056</c:v>
                </c:pt>
                <c:pt idx="54">
                  <c:v>1193.0984693660046</c:v>
                </c:pt>
                <c:pt idx="55">
                  <c:v>1195.2260687117466</c:v>
                </c:pt>
                <c:pt idx="56">
                  <c:v>1197.3342595305157</c:v>
                </c:pt>
                <c:pt idx="57">
                  <c:v>1199.4228474785366</c:v>
                </c:pt>
                <c:pt idx="58">
                  <c:v>1201.4916685314472</c:v>
                </c:pt>
                <c:pt idx="59">
                  <c:v>1203.5405877616017</c:v>
                </c:pt>
                <c:pt idx="60">
                  <c:v>1205.5694981017618</c:v>
                </c:pt>
                <c:pt idx="61">
                  <c:v>1207.5783190989234</c:v>
                </c:pt>
                <c:pt idx="62">
                  <c:v>1209.5669956618581</c:v>
                </c:pt>
                <c:pt idx="63">
                  <c:v>1211.5354968059207</c:v>
                </c:pt>
                <c:pt idx="64">
                  <c:v>1213.4838143984016</c:v>
                </c:pt>
                <c:pt idx="65">
                  <c:v>1215.4119619077633</c:v>
                </c:pt>
                <c:pt idx="66">
                  <c:v>1217.3199731598038</c:v>
                </c:pt>
                <c:pt idx="67">
                  <c:v>1219.2079011037729</c:v>
                </c:pt>
                <c:pt idx="68">
                  <c:v>1221.0758165913107</c:v>
                </c:pt>
                <c:pt idx="69">
                  <c:v>1222.9238071709885</c:v>
                </c:pt>
                <c:pt idx="70">
                  <c:v>1224.7519759009738</c:v>
                </c:pt>
                <c:pt idx="71">
                  <c:v>1226.5604401824694</c:v>
                </c:pt>
                <c:pt idx="72">
                  <c:v>1228.3493306161806</c:v>
                </c:pt>
                <c:pt idx="73">
                  <c:v>1230.1187898841079</c:v>
                </c:pt>
                <c:pt idx="74">
                  <c:v>1231.8689716588497</c:v>
                </c:pt>
                <c:pt idx="75">
                  <c:v>1233.6000395422916</c:v>
                </c:pt>
                <c:pt idx="76">
                  <c:v>1235.3121660357197</c:v>
                </c:pt>
                <c:pt idx="77">
                  <c:v>1237.0055315429934</c:v>
                </c:pt>
                <c:pt idx="78">
                  <c:v>1238.680323408513</c:v>
                </c:pt>
                <c:pt idx="79">
                  <c:v>1240.3367349913981</c:v>
                </c:pt>
                <c:pt idx="80">
                  <c:v>1241.9749647773301</c:v>
                </c:pt>
                <c:pt idx="81">
                  <c:v>1243.595215529353</c:v>
                </c:pt>
                <c:pt idx="82">
                  <c:v>1245.1976934786603</c:v>
                </c:pt>
                <c:pt idx="83">
                  <c:v>1246.7826075565235</c:v>
                </c:pt>
                <c:pt idx="84">
                  <c:v>1248.3501686681723</c:v>
                </c:pt>
                <c:pt idx="85">
                  <c:v>1249.9005890093863</c:v>
                </c:pt>
                <c:pt idx="86">
                  <c:v>1251.4340814265431</c:v>
                </c:pt>
                <c:pt idx="87">
                  <c:v>1252.950858820559</c:v>
                </c:pt>
                <c:pt idx="88">
                  <c:v>1254.4511335951149</c:v>
                </c:pt>
                <c:pt idx="89">
                  <c:v>1255.9351171495414</c:v>
                </c:pt>
                <c:pt idx="90">
                  <c:v>1257.4030194164104</c:v>
                </c:pt>
                <c:pt idx="91">
                  <c:v>1258.8550484439593</c:v>
                </c:pt>
                <c:pt idx="92">
                  <c:v>1260.2914100231594</c:v>
                </c:pt>
                <c:pt idx="93">
                  <c:v>1261.7123073592661</c:v>
                </c:pt>
                <c:pt idx="94">
                  <c:v>1263.1179407875738</c:v>
                </c:pt>
                <c:pt idx="95">
                  <c:v>1264.5085075327358</c:v>
                </c:pt>
                <c:pt idx="96">
                  <c:v>1265.8842015112577</c:v>
                </c:pt>
                <c:pt idx="97">
                  <c:v>1267.2452131763346</c:v>
                </c:pt>
                <c:pt idx="98">
                  <c:v>1268.5917294042511</c:v>
                </c:pt>
                <c:pt idx="99">
                  <c:v>1269.9239334213428</c:v>
                </c:pt>
                <c:pt idx="100">
                  <c:v>1271.2420047704857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3F-44B3-A368-86681D2BC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937608"/>
        <c:axId val="998938920"/>
      </c:scatterChart>
      <c:valAx>
        <c:axId val="99893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938920"/>
        <c:crosses val="autoZero"/>
        <c:crossBetween val="midCat"/>
      </c:valAx>
      <c:valAx>
        <c:axId val="99893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9376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h-s diagram.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THERMO!$P$6:$P$24</c:f>
              <c:numCache>
                <c:formatCode>General</c:formatCode>
                <c:ptCount val="19"/>
                <c:pt idx="0">
                  <c:v>-504.09738842185476</c:v>
                </c:pt>
                <c:pt idx="1">
                  <c:v>-504.10066479253521</c:v>
                </c:pt>
                <c:pt idx="2">
                  <c:v>-498.301477738193</c:v>
                </c:pt>
                <c:pt idx="3">
                  <c:v>-475.18248252186498</c:v>
                </c:pt>
                <c:pt idx="4">
                  <c:v>-475.18248252186498</c:v>
                </c:pt>
                <c:pt idx="5">
                  <c:v>-469.38329539421602</c:v>
                </c:pt>
                <c:pt idx="6">
                  <c:v>-408.83166795958533</c:v>
                </c:pt>
                <c:pt idx="7">
                  <c:v>-408.83166795958533</c:v>
                </c:pt>
                <c:pt idx="8">
                  <c:v>993.47634747197139</c:v>
                </c:pt>
                <c:pt idx="9">
                  <c:v>950.87701385552282</c:v>
                </c:pt>
                <c:pt idx="10">
                  <c:v>851.71296030484086</c:v>
                </c:pt>
                <c:pt idx="11">
                  <c:v>864.09613513172974</c:v>
                </c:pt>
                <c:pt idx="12">
                  <c:v>894.33984124080769</c:v>
                </c:pt>
                <c:pt idx="13">
                  <c:v>867.48448740128526</c:v>
                </c:pt>
                <c:pt idx="14">
                  <c:v>-469.38329539421602</c:v>
                </c:pt>
                <c:pt idx="15">
                  <c:v>563.18127826249713</c:v>
                </c:pt>
                <c:pt idx="16">
                  <c:v>563.18127826249713</c:v>
                </c:pt>
                <c:pt idx="17">
                  <c:v>563.18127826249713</c:v>
                </c:pt>
                <c:pt idx="18">
                  <c:v>563.18127826249713</c:v>
                </c:pt>
              </c:numCache>
            </c:numRef>
          </c:xVal>
          <c:yVal>
            <c:numRef>
              <c:f>THERMO!$N$6:$N$24</c:f>
              <c:numCache>
                <c:formatCode>General</c:formatCode>
                <c:ptCount val="19"/>
                <c:pt idx="0">
                  <c:v>216.87508636133009</c:v>
                </c:pt>
                <c:pt idx="1">
                  <c:v>235.28619974454739</c:v>
                </c:pt>
                <c:pt idx="2">
                  <c:v>235.28619974454739</c:v>
                </c:pt>
                <c:pt idx="3">
                  <c:v>313.11556476641204</c:v>
                </c:pt>
                <c:pt idx="4">
                  <c:v>313.11556476641204</c:v>
                </c:pt>
                <c:pt idx="5">
                  <c:v>313.11556476641204</c:v>
                </c:pt>
                <c:pt idx="6">
                  <c:v>579.94888850925383</c:v>
                </c:pt>
                <c:pt idx="7">
                  <c:v>579.94888850925383</c:v>
                </c:pt>
                <c:pt idx="8">
                  <c:v>1955.6476425900651</c:v>
                </c:pt>
                <c:pt idx="9">
                  <c:v>1884.4057198489822</c:v>
                </c:pt>
                <c:pt idx="10">
                  <c:v>1727.4001913467278</c:v>
                </c:pt>
                <c:pt idx="11">
                  <c:v>1573.5970137263134</c:v>
                </c:pt>
                <c:pt idx="12">
                  <c:v>1573.5970137263134</c:v>
                </c:pt>
                <c:pt idx="13">
                  <c:v>1536.3431196341658</c:v>
                </c:pt>
                <c:pt idx="14">
                  <c:v>313.11556476641204</c:v>
                </c:pt>
                <c:pt idx="15">
                  <c:v>830.51982153638471</c:v>
                </c:pt>
                <c:pt idx="16">
                  <c:v>830.51982153638471</c:v>
                </c:pt>
                <c:pt idx="17">
                  <c:v>830.51982153638471</c:v>
                </c:pt>
                <c:pt idx="18">
                  <c:v>830.51982153638471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71-4CB9-B617-7C8A16603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069120"/>
        <c:axId val="1171070080"/>
      </c:scatterChart>
      <c:valAx>
        <c:axId val="117106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070080"/>
        <c:crosses val="autoZero"/>
        <c:crossBetween val="midCat"/>
      </c:valAx>
      <c:valAx>
        <c:axId val="11710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06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h-s diagram.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THERMO!$P$6:$P$24</c:f>
              <c:numCache>
                <c:formatCode>General</c:formatCode>
                <c:ptCount val="19"/>
                <c:pt idx="0">
                  <c:v>-504.09738842185476</c:v>
                </c:pt>
                <c:pt idx="1">
                  <c:v>-504.10066479253521</c:v>
                </c:pt>
                <c:pt idx="2">
                  <c:v>-498.301477738193</c:v>
                </c:pt>
                <c:pt idx="3">
                  <c:v>-475.18248252186498</c:v>
                </c:pt>
                <c:pt idx="4">
                  <c:v>-475.18248252186498</c:v>
                </c:pt>
                <c:pt idx="5">
                  <c:v>-469.38329539421602</c:v>
                </c:pt>
                <c:pt idx="6">
                  <c:v>-408.83166795958533</c:v>
                </c:pt>
                <c:pt idx="7">
                  <c:v>-408.83166795958533</c:v>
                </c:pt>
                <c:pt idx="8">
                  <c:v>993.47634747197139</c:v>
                </c:pt>
                <c:pt idx="9">
                  <c:v>950.87701385552282</c:v>
                </c:pt>
                <c:pt idx="10">
                  <c:v>851.71296030484086</c:v>
                </c:pt>
                <c:pt idx="11">
                  <c:v>864.09613513172974</c:v>
                </c:pt>
                <c:pt idx="12">
                  <c:v>894.33984124080769</c:v>
                </c:pt>
                <c:pt idx="13">
                  <c:v>867.48448740128526</c:v>
                </c:pt>
                <c:pt idx="14">
                  <c:v>-469.38329539421602</c:v>
                </c:pt>
                <c:pt idx="15">
                  <c:v>563.18127826249713</c:v>
                </c:pt>
                <c:pt idx="16">
                  <c:v>563.18127826249713</c:v>
                </c:pt>
                <c:pt idx="17">
                  <c:v>563.18127826249713</c:v>
                </c:pt>
                <c:pt idx="18">
                  <c:v>563.18127826249713</c:v>
                </c:pt>
              </c:numCache>
            </c:numRef>
          </c:xVal>
          <c:yVal>
            <c:numRef>
              <c:f>THERMO!$I$6:$I$24</c:f>
              <c:numCache>
                <c:formatCode>0.00</c:formatCode>
                <c:ptCount val="19"/>
                <c:pt idx="0">
                  <c:v>216.65</c:v>
                </c:pt>
                <c:pt idx="1">
                  <c:v>235.02428850000001</c:v>
                </c:pt>
                <c:pt idx="2">
                  <c:v>235.02428850000001</c:v>
                </c:pt>
                <c:pt idx="3">
                  <c:v>312.62311019999999</c:v>
                </c:pt>
                <c:pt idx="4">
                  <c:v>312.62311019999999</c:v>
                </c:pt>
                <c:pt idx="5">
                  <c:v>312.62311019999999</c:v>
                </c:pt>
                <c:pt idx="6">
                  <c:v>573.95118760000003</c:v>
                </c:pt>
                <c:pt idx="7">
                  <c:v>573.95118760000003</c:v>
                </c:pt>
                <c:pt idx="8">
                  <c:v>1700</c:v>
                </c:pt>
                <c:pt idx="9">
                  <c:v>1645.0061439999999</c:v>
                </c:pt>
                <c:pt idx="10">
                  <c:v>1522.9326619999999</c:v>
                </c:pt>
                <c:pt idx="11">
                  <c:v>1402.008652</c:v>
                </c:pt>
                <c:pt idx="12">
                  <c:v>1402.008652</c:v>
                </c:pt>
                <c:pt idx="13">
                  <c:v>1372.4911850000001</c:v>
                </c:pt>
                <c:pt idx="14">
                  <c:v>312.62311019999999</c:v>
                </c:pt>
                <c:pt idx="15">
                  <c:v>798.30840809999995</c:v>
                </c:pt>
                <c:pt idx="16">
                  <c:v>798.30840809999995</c:v>
                </c:pt>
                <c:pt idx="17">
                  <c:v>798.30840809999995</c:v>
                </c:pt>
                <c:pt idx="18">
                  <c:v>798.30840809999995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C-4279-A2C6-952802376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069120"/>
        <c:axId val="1171070080"/>
      </c:scatterChart>
      <c:valAx>
        <c:axId val="117106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070080"/>
        <c:crosses val="autoZero"/>
        <c:crossBetween val="midCat"/>
      </c:valAx>
      <c:valAx>
        <c:axId val="11710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06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r>
              <a:rPr lang="en-GB"/>
              <a:t>Q vs Mach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QCURVES!$M$4:$M$153</c:f>
              <c:numCache>
                <c:formatCode>General</c:formatCode>
                <c:ptCount val="15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  <c:pt idx="100">
                  <c:v>1.0100000000000007</c:v>
                </c:pt>
                <c:pt idx="101">
                  <c:v>1.0200000000000007</c:v>
                </c:pt>
                <c:pt idx="102">
                  <c:v>1.0300000000000007</c:v>
                </c:pt>
                <c:pt idx="103">
                  <c:v>1.0400000000000007</c:v>
                </c:pt>
                <c:pt idx="104">
                  <c:v>1.0500000000000007</c:v>
                </c:pt>
                <c:pt idx="105">
                  <c:v>1.0600000000000007</c:v>
                </c:pt>
                <c:pt idx="106">
                  <c:v>1.0700000000000007</c:v>
                </c:pt>
                <c:pt idx="107">
                  <c:v>1.0800000000000007</c:v>
                </c:pt>
                <c:pt idx="108">
                  <c:v>1.0900000000000007</c:v>
                </c:pt>
                <c:pt idx="109">
                  <c:v>1.1000000000000008</c:v>
                </c:pt>
                <c:pt idx="110">
                  <c:v>1.1100000000000008</c:v>
                </c:pt>
                <c:pt idx="111">
                  <c:v>1.1200000000000008</c:v>
                </c:pt>
                <c:pt idx="112">
                  <c:v>1.1300000000000008</c:v>
                </c:pt>
                <c:pt idx="113">
                  <c:v>1.1400000000000008</c:v>
                </c:pt>
                <c:pt idx="114">
                  <c:v>1.1500000000000008</c:v>
                </c:pt>
                <c:pt idx="115">
                  <c:v>1.1600000000000008</c:v>
                </c:pt>
                <c:pt idx="116">
                  <c:v>1.1700000000000008</c:v>
                </c:pt>
                <c:pt idx="117">
                  <c:v>1.1800000000000008</c:v>
                </c:pt>
                <c:pt idx="118">
                  <c:v>1.1900000000000008</c:v>
                </c:pt>
                <c:pt idx="119">
                  <c:v>1.2000000000000008</c:v>
                </c:pt>
                <c:pt idx="120">
                  <c:v>1.2100000000000009</c:v>
                </c:pt>
                <c:pt idx="121">
                  <c:v>1.2200000000000009</c:v>
                </c:pt>
                <c:pt idx="122">
                  <c:v>1.2300000000000009</c:v>
                </c:pt>
                <c:pt idx="123">
                  <c:v>1.2400000000000009</c:v>
                </c:pt>
                <c:pt idx="124">
                  <c:v>1.2500000000000009</c:v>
                </c:pt>
                <c:pt idx="125">
                  <c:v>1.2600000000000009</c:v>
                </c:pt>
                <c:pt idx="126">
                  <c:v>1.2700000000000009</c:v>
                </c:pt>
                <c:pt idx="127">
                  <c:v>1.2800000000000009</c:v>
                </c:pt>
                <c:pt idx="128">
                  <c:v>1.2900000000000009</c:v>
                </c:pt>
                <c:pt idx="129">
                  <c:v>1.3000000000000009</c:v>
                </c:pt>
                <c:pt idx="130">
                  <c:v>1.3100000000000009</c:v>
                </c:pt>
                <c:pt idx="131">
                  <c:v>1.320000000000001</c:v>
                </c:pt>
                <c:pt idx="132">
                  <c:v>1.330000000000001</c:v>
                </c:pt>
                <c:pt idx="133">
                  <c:v>1.340000000000001</c:v>
                </c:pt>
                <c:pt idx="134">
                  <c:v>1.350000000000001</c:v>
                </c:pt>
                <c:pt idx="135">
                  <c:v>1.360000000000001</c:v>
                </c:pt>
                <c:pt idx="136">
                  <c:v>1.370000000000001</c:v>
                </c:pt>
                <c:pt idx="137">
                  <c:v>1.380000000000001</c:v>
                </c:pt>
                <c:pt idx="138">
                  <c:v>1.390000000000001</c:v>
                </c:pt>
                <c:pt idx="139">
                  <c:v>1.400000000000001</c:v>
                </c:pt>
                <c:pt idx="140">
                  <c:v>1.410000000000001</c:v>
                </c:pt>
                <c:pt idx="141">
                  <c:v>1.420000000000001</c:v>
                </c:pt>
                <c:pt idx="142">
                  <c:v>1.430000000000001</c:v>
                </c:pt>
                <c:pt idx="143">
                  <c:v>1.4400000000000011</c:v>
                </c:pt>
                <c:pt idx="144">
                  <c:v>1.4500000000000011</c:v>
                </c:pt>
                <c:pt idx="145">
                  <c:v>1.4600000000000011</c:v>
                </c:pt>
                <c:pt idx="146">
                  <c:v>1.4700000000000011</c:v>
                </c:pt>
                <c:pt idx="147">
                  <c:v>1.4800000000000011</c:v>
                </c:pt>
                <c:pt idx="148">
                  <c:v>1.4900000000000011</c:v>
                </c:pt>
                <c:pt idx="149">
                  <c:v>1.5000000000000011</c:v>
                </c:pt>
              </c:numCache>
            </c:numRef>
          </c:xVal>
          <c:yVal>
            <c:numRef>
              <c:f>QCURVES!$P$4:$P$153</c:f>
              <c:numCache>
                <c:formatCode>General</c:formatCode>
                <c:ptCount val="150"/>
                <c:pt idx="0">
                  <c:v>0.69832406817831461</c:v>
                </c:pt>
                <c:pt idx="1">
                  <c:v>1.3963967748884585</c:v>
                </c:pt>
                <c:pt idx="2">
                  <c:v>2.0939669596846047</c:v>
                </c:pt>
                <c:pt idx="3">
                  <c:v>2.7907838639216087</c:v>
                </c:pt>
                <c:pt idx="4">
                  <c:v>3.4865973309331362</c:v>
                </c:pt>
                <c:pt idx="5">
                  <c:v>4.18115800538716</c:v>
                </c:pt>
                <c:pt idx="6">
                  <c:v>4.8742175315129597</c:v>
                </c:pt>
                <c:pt idx="7">
                  <c:v>5.565528749942751</c:v>
                </c:pt>
                <c:pt idx="8">
                  <c:v>6.254845892879227</c:v>
                </c:pt>
                <c:pt idx="9">
                  <c:v>6.9419247773301391</c:v>
                </c:pt>
                <c:pt idx="10">
                  <c:v>7.6265229961429473</c:v>
                </c:pt>
                <c:pt idx="11">
                  <c:v>8.3084001065797253</c:v>
                </c:pt>
                <c:pt idx="12">
                  <c:v>8.9873178161771818</c:v>
                </c:pt>
                <c:pt idx="13">
                  <c:v>9.6630401656425597</c:v>
                </c:pt>
                <c:pt idx="14">
                  <c:v>10.335333708544605</c:v>
                </c:pt>
                <c:pt idx="15">
                  <c:v>11.003967687562698</c:v>
                </c:pt>
                <c:pt idx="16">
                  <c:v>11.668714207064561</c:v>
                </c:pt>
                <c:pt idx="17">
                  <c:v>12.329348401795396</c:v>
                </c:pt>
                <c:pt idx="18">
                  <c:v>12.985648601459348</c:v>
                </c:pt>
                <c:pt idx="19">
                  <c:v>13.637396490996297</c:v>
                </c:pt>
                <c:pt idx="20">
                  <c:v>14.284377266353284</c:v>
                </c:pt>
                <c:pt idx="21">
                  <c:v>14.926379785566235</c:v>
                </c:pt>
                <c:pt idx="22">
                  <c:v>15.563196714976634</c:v>
                </c:pt>
                <c:pt idx="23">
                  <c:v>16.194624670413379</c:v>
                </c:pt>
                <c:pt idx="24">
                  <c:v>16.820464353187326</c:v>
                </c:pt>
                <c:pt idx="25">
                  <c:v>17.440520680748268</c:v>
                </c:pt>
                <c:pt idx="26">
                  <c:v>18.054602911871029</c:v>
                </c:pt>
                <c:pt idx="27">
                  <c:v>18.662524766245575</c:v>
                </c:pt>
                <c:pt idx="28">
                  <c:v>19.264104538356648</c:v>
                </c:pt>
                <c:pt idx="29">
                  <c:v>19.859165205549328</c:v>
                </c:pt>
                <c:pt idx="30">
                  <c:v>20.447534530190648</c:v>
                </c:pt>
                <c:pt idx="31">
                  <c:v>21.029045155844162</c:v>
                </c:pt>
                <c:pt idx="32">
                  <c:v>21.603534697389943</c:v>
                </c:pt>
                <c:pt idx="33">
                  <c:v>22.170845825030831</c:v>
                </c:pt>
                <c:pt idx="34">
                  <c:v>22.730826342137387</c:v>
                </c:pt>
                <c:pt idx="35">
                  <c:v>23.283329256897375</c:v>
                </c:pt>
                <c:pt idx="36">
                  <c:v>23.828212847742801</c:v>
                </c:pt>
                <c:pt idx="37">
                  <c:v>24.36534072254209</c:v>
                </c:pt>
                <c:pt idx="38">
                  <c:v>24.894581871553815</c:v>
                </c:pt>
                <c:pt idx="39">
                  <c:v>25.415810714149352</c:v>
                </c:pt>
                <c:pt idx="40">
                  <c:v>25.928907139323119</c:v>
                </c:pt>
                <c:pt idx="41">
                  <c:v>26.433756540018102</c:v>
                </c:pt>
                <c:pt idx="42">
                  <c:v>26.930249841305415</c:v>
                </c:pt>
                <c:pt idx="43">
                  <c:v>27.41828352246613</c:v>
                </c:pt>
                <c:pt idx="44">
                  <c:v>27.897759633033004</c:v>
                </c:pt>
                <c:pt idx="45">
                  <c:v>28.368585802859318</c:v>
                </c:pt>
                <c:pt idx="46">
                  <c:v>28.830675246290212</c:v>
                </c:pt>
                <c:pt idx="47">
                  <c:v>29.283946760521861</c:v>
                </c:pt>
                <c:pt idx="48">
                  <c:v>29.728324718240984</c:v>
                </c:pt>
                <c:pt idx="49">
                  <c:v>30.163739054645319</c:v>
                </c:pt>
                <c:pt idx="50">
                  <c:v>30.590125248953548</c:v>
                </c:pt>
                <c:pt idx="51">
                  <c:v>0</c:v>
                </c:pt>
                <c:pt idx="52">
                  <c:v>31.415582699682183</c:v>
                </c:pt>
                <c:pt idx="53">
                  <c:v>31.814552393450541</c:v>
                </c:pt>
                <c:pt idx="54">
                  <c:v>32.204290746208962</c:v>
                </c:pt>
                <c:pt idx="55">
                  <c:v>32.584760495533054</c:v>
                </c:pt>
                <c:pt idx="56">
                  <c:v>32.955929703291368</c:v>
                </c:pt>
                <c:pt idx="57">
                  <c:v>33.317771702174866</c:v>
                </c:pt>
                <c:pt idx="58">
                  <c:v>33.670265037809365</c:v>
                </c:pt>
                <c:pt idx="59">
                  <c:v>34.013393406610774</c:v>
                </c:pt>
                <c:pt idx="60">
                  <c:v>34.347145589545271</c:v>
                </c:pt>
                <c:pt idx="61">
                  <c:v>34.671515381960823</c:v>
                </c:pt>
                <c:pt idx="62">
                  <c:v>34.986501519658042</c:v>
                </c:pt>
                <c:pt idx="63">
                  <c:v>35.292107601371754</c:v>
                </c:pt>
                <c:pt idx="64">
                  <c:v>35.588342007835855</c:v>
                </c:pt>
                <c:pt idx="65">
                  <c:v>35.875217817606554</c:v>
                </c:pt>
                <c:pt idx="66">
                  <c:v>36.152752719819098</c:v>
                </c:pt>
                <c:pt idx="67">
                  <c:v>36.420968924054769</c:v>
                </c:pt>
                <c:pt idx="68">
                  <c:v>36.67989306749547</c:v>
                </c:pt>
                <c:pt idx="69">
                  <c:v>36.929556119542319</c:v>
                </c:pt>
                <c:pt idx="70">
                  <c:v>37.16999328407568</c:v>
                </c:pt>
                <c:pt idx="71">
                  <c:v>37.401243899532503</c:v>
                </c:pt>
                <c:pt idx="72">
                  <c:v>37.623351336976469</c:v>
                </c:pt>
                <c:pt idx="73">
                  <c:v>37.836362896334897</c:v>
                </c:pt>
                <c:pt idx="74">
                  <c:v>38.040329700975128</c:v>
                </c:pt>
                <c:pt idx="75">
                  <c:v>38.235306590790763</c:v>
                </c:pt>
                <c:pt idx="76">
                  <c:v>38.421352013966711</c:v>
                </c:pt>
                <c:pt idx="77">
                  <c:v>38.598527917589003</c:v>
                </c:pt>
                <c:pt idx="78">
                  <c:v>38.766899637263343</c:v>
                </c:pt>
                <c:pt idx="79">
                  <c:v>38.926535785902367</c:v>
                </c:pt>
                <c:pt idx="80">
                  <c:v>39.077508141840624</c:v>
                </c:pt>
                <c:pt idx="81">
                  <c:v>39.219891536430069</c:v>
                </c:pt>
                <c:pt idx="82">
                  <c:v>39.353763741268317</c:v>
                </c:pt>
                <c:pt idx="83">
                  <c:v>39.479205355206311</c:v>
                </c:pt>
                <c:pt idx="84">
                  <c:v>39.596299691278737</c:v>
                </c:pt>
                <c:pt idx="85">
                  <c:v>39.705132663697171</c:v>
                </c:pt>
                <c:pt idx="86">
                  <c:v>39.805792675040756</c:v>
                </c:pt>
                <c:pt idx="87">
                  <c:v>39.898370503776064</c:v>
                </c:pt>
                <c:pt idx="88">
                  <c:v>39.982959192232613</c:v>
                </c:pt>
                <c:pt idx="89">
                  <c:v>40.059653935156412</c:v>
                </c:pt>
                <c:pt idx="90">
                  <c:v>40.128551968959805</c:v>
                </c:pt>
                <c:pt idx="91">
                  <c:v>40.189752461780337</c:v>
                </c:pt>
                <c:pt idx="92">
                  <c:v>40.243356404457664</c:v>
                </c:pt>
                <c:pt idx="93">
                  <c:v>40.28946650253237</c:v>
                </c:pt>
                <c:pt idx="94">
                  <c:v>40.328187069365974</c:v>
                </c:pt>
                <c:pt idx="95">
                  <c:v>40.359623920476487</c:v>
                </c:pt>
                <c:pt idx="96">
                  <c:v>40.383884269179532</c:v>
                </c:pt>
                <c:pt idx="97">
                  <c:v>40.401076623619893</c:v>
                </c:pt>
                <c:pt idx="98">
                  <c:v>40.411310685273762</c:v>
                </c:pt>
                <c:pt idx="99">
                  <c:v>40.414697248997413</c:v>
                </c:pt>
                <c:pt idx="100">
                  <c:v>40.411348104693126</c:v>
                </c:pt>
                <c:pt idx="101">
                  <c:v>40.401375940658511</c:v>
                </c:pt>
                <c:pt idx="102">
                  <c:v>40.384894248681199</c:v>
                </c:pt>
                <c:pt idx="103">
                  <c:v>40.362017230935621</c:v>
                </c:pt>
                <c:pt idx="104">
                  <c:v>40.332859708734951</c:v>
                </c:pt>
                <c:pt idx="105">
                  <c:v>40.297537033186146</c:v>
                </c:pt>
                <c:pt idx="106">
                  <c:v>40.256164997792169</c:v>
                </c:pt>
                <c:pt idx="107">
                  <c:v>40.208859753040997</c:v>
                </c:pt>
                <c:pt idx="108">
                  <c:v>40.155737723017019</c:v>
                </c:pt>
                <c:pt idx="109">
                  <c:v>40.096915524066162</c:v>
                </c:pt>
                <c:pt idx="110">
                  <c:v>40.032509885542382</c:v>
                </c:pt>
                <c:pt idx="111">
                  <c:v>39.962637572658927</c:v>
                </c:pt>
                <c:pt idx="112">
                  <c:v>39.887415311464544</c:v>
                </c:pt>
                <c:pt idx="113">
                  <c:v>39.806959715960502</c:v>
                </c:pt>
                <c:pt idx="114">
                  <c:v>39.721387217371451</c:v>
                </c:pt>
                <c:pt idx="115">
                  <c:v>39.630813995579153</c:v>
                </c:pt>
                <c:pt idx="116">
                  <c:v>39.535355912724953</c:v>
                </c:pt>
                <c:pt idx="117">
                  <c:v>39.435128448984258</c:v>
                </c:pt>
                <c:pt idx="118">
                  <c:v>39.330246640512001</c:v>
                </c:pt>
                <c:pt idx="119">
                  <c:v>39.220825019556443</c:v>
                </c:pt>
                <c:pt idx="120">
                  <c:v>39.106977556734954</c:v>
                </c:pt>
                <c:pt idx="121">
                  <c:v>38.988817605463105</c:v>
                </c:pt>
                <c:pt idx="122">
                  <c:v>38.866457848525691</c:v>
                </c:pt>
                <c:pt idx="123">
                  <c:v>38.740010246775796</c:v>
                </c:pt>
                <c:pt idx="124">
                  <c:v>38.609585989945977</c:v>
                </c:pt>
                <c:pt idx="125">
                  <c:v>38.475295449552988</c:v>
                </c:pt>
                <c:pt idx="126">
                  <c:v>38.337248133875718</c:v>
                </c:pt>
                <c:pt idx="127">
                  <c:v>38.19555264498387</c:v>
                </c:pt>
                <c:pt idx="128">
                  <c:v>38.050316637793152</c:v>
                </c:pt>
                <c:pt idx="129">
                  <c:v>37.901646781120746</c:v>
                </c:pt>
                <c:pt idx="130">
                  <c:v>37.749648720713829</c:v>
                </c:pt>
                <c:pt idx="131">
                  <c:v>37.594427044221327</c:v>
                </c:pt>
                <c:pt idx="132">
                  <c:v>37.436085248079024</c:v>
                </c:pt>
                <c:pt idx="133">
                  <c:v>37.274725706275561</c:v>
                </c:pt>
                <c:pt idx="134">
                  <c:v>37.110449640966486</c:v>
                </c:pt>
                <c:pt idx="135">
                  <c:v>36.943357094902254</c:v>
                </c:pt>
                <c:pt idx="136">
                  <c:v>36.773546905634767</c:v>
                </c:pt>
                <c:pt idx="137">
                  <c:v>36.601116681466571</c:v>
                </c:pt>
                <c:pt idx="138">
                  <c:v>36.426162779105766</c:v>
                </c:pt>
                <c:pt idx="139">
                  <c:v>36.248780282988982</c:v>
                </c:pt>
                <c:pt idx="140">
                  <c:v>36.069062986234321</c:v>
                </c:pt>
                <c:pt idx="141">
                  <c:v>35.887103373185468</c:v>
                </c:pt>
                <c:pt idx="142">
                  <c:v>35.702992603507568</c:v>
                </c:pt>
                <c:pt idx="143">
                  <c:v>35.516820497795734</c:v>
                </c:pt>
                <c:pt idx="144">
                  <c:v>35.328675524655736</c:v>
                </c:pt>
                <c:pt idx="145">
                  <c:v>35.13864478921726</c:v>
                </c:pt>
                <c:pt idx="146">
                  <c:v>34.946814023039067</c:v>
                </c:pt>
                <c:pt idx="147">
                  <c:v>34.753267575366017</c:v>
                </c:pt>
                <c:pt idx="148">
                  <c:v>34.558088405697276</c:v>
                </c:pt>
                <c:pt idx="149">
                  <c:v>34.361358077625567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A5-40CB-BEF7-2754F1B1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494016"/>
        <c:axId val="1000495656"/>
      </c:scatterChart>
      <c:valAx>
        <c:axId val="10004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00495656"/>
        <c:crosses val="autoZero"/>
        <c:crossBetween val="midCat"/>
      </c:valAx>
      <c:valAx>
        <c:axId val="100049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0049401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68348009497984E-2"/>
          <c:y val="0.12033639393691706"/>
          <c:w val="0.88240456179625038"/>
          <c:h val="0.77263584266499541"/>
        </c:manualLayout>
      </c:layout>
      <c:scatterChart>
        <c:scatterStyle val="smoothMarker"/>
        <c:varyColors val="0"/>
        <c:ser>
          <c:idx val="1"/>
          <c:order val="0"/>
          <c:tx>
            <c:v>Tt/Ts</c:v>
          </c:tx>
          <c:marker>
            <c:symbol val="none"/>
          </c:marker>
          <c:xVal>
            <c:numRef>
              <c:f>QCURVES!$M$4:$M$153</c:f>
              <c:numCache>
                <c:formatCode>General</c:formatCode>
                <c:ptCount val="15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  <c:pt idx="100">
                  <c:v>1.0100000000000007</c:v>
                </c:pt>
                <c:pt idx="101">
                  <c:v>1.0200000000000007</c:v>
                </c:pt>
                <c:pt idx="102">
                  <c:v>1.0300000000000007</c:v>
                </c:pt>
                <c:pt idx="103">
                  <c:v>1.0400000000000007</c:v>
                </c:pt>
                <c:pt idx="104">
                  <c:v>1.0500000000000007</c:v>
                </c:pt>
                <c:pt idx="105">
                  <c:v>1.0600000000000007</c:v>
                </c:pt>
                <c:pt idx="106">
                  <c:v>1.0700000000000007</c:v>
                </c:pt>
                <c:pt idx="107">
                  <c:v>1.0800000000000007</c:v>
                </c:pt>
                <c:pt idx="108">
                  <c:v>1.0900000000000007</c:v>
                </c:pt>
                <c:pt idx="109">
                  <c:v>1.1000000000000008</c:v>
                </c:pt>
                <c:pt idx="110">
                  <c:v>1.1100000000000008</c:v>
                </c:pt>
                <c:pt idx="111">
                  <c:v>1.1200000000000008</c:v>
                </c:pt>
                <c:pt idx="112">
                  <c:v>1.1300000000000008</c:v>
                </c:pt>
                <c:pt idx="113">
                  <c:v>1.1400000000000008</c:v>
                </c:pt>
                <c:pt idx="114">
                  <c:v>1.1500000000000008</c:v>
                </c:pt>
                <c:pt idx="115">
                  <c:v>1.1600000000000008</c:v>
                </c:pt>
                <c:pt idx="116">
                  <c:v>1.1700000000000008</c:v>
                </c:pt>
                <c:pt idx="117">
                  <c:v>1.1800000000000008</c:v>
                </c:pt>
                <c:pt idx="118">
                  <c:v>1.1900000000000008</c:v>
                </c:pt>
                <c:pt idx="119">
                  <c:v>1.2000000000000008</c:v>
                </c:pt>
                <c:pt idx="120">
                  <c:v>1.2100000000000009</c:v>
                </c:pt>
                <c:pt idx="121">
                  <c:v>1.2200000000000009</c:v>
                </c:pt>
                <c:pt idx="122">
                  <c:v>1.2300000000000009</c:v>
                </c:pt>
                <c:pt idx="123">
                  <c:v>1.2400000000000009</c:v>
                </c:pt>
                <c:pt idx="124">
                  <c:v>1.2500000000000009</c:v>
                </c:pt>
                <c:pt idx="125">
                  <c:v>1.2600000000000009</c:v>
                </c:pt>
                <c:pt idx="126">
                  <c:v>1.2700000000000009</c:v>
                </c:pt>
                <c:pt idx="127">
                  <c:v>1.2800000000000009</c:v>
                </c:pt>
                <c:pt idx="128">
                  <c:v>1.2900000000000009</c:v>
                </c:pt>
                <c:pt idx="129">
                  <c:v>1.3000000000000009</c:v>
                </c:pt>
                <c:pt idx="130">
                  <c:v>1.3100000000000009</c:v>
                </c:pt>
                <c:pt idx="131">
                  <c:v>1.320000000000001</c:v>
                </c:pt>
                <c:pt idx="132">
                  <c:v>1.330000000000001</c:v>
                </c:pt>
                <c:pt idx="133">
                  <c:v>1.340000000000001</c:v>
                </c:pt>
                <c:pt idx="134">
                  <c:v>1.350000000000001</c:v>
                </c:pt>
                <c:pt idx="135">
                  <c:v>1.360000000000001</c:v>
                </c:pt>
                <c:pt idx="136">
                  <c:v>1.370000000000001</c:v>
                </c:pt>
                <c:pt idx="137">
                  <c:v>1.380000000000001</c:v>
                </c:pt>
                <c:pt idx="138">
                  <c:v>1.390000000000001</c:v>
                </c:pt>
                <c:pt idx="139">
                  <c:v>1.400000000000001</c:v>
                </c:pt>
                <c:pt idx="140">
                  <c:v>1.410000000000001</c:v>
                </c:pt>
                <c:pt idx="141">
                  <c:v>1.420000000000001</c:v>
                </c:pt>
                <c:pt idx="142">
                  <c:v>1.430000000000001</c:v>
                </c:pt>
                <c:pt idx="143">
                  <c:v>1.4400000000000011</c:v>
                </c:pt>
                <c:pt idx="144">
                  <c:v>1.4500000000000011</c:v>
                </c:pt>
                <c:pt idx="145">
                  <c:v>1.4600000000000011</c:v>
                </c:pt>
                <c:pt idx="146">
                  <c:v>1.4700000000000011</c:v>
                </c:pt>
                <c:pt idx="147">
                  <c:v>1.4800000000000011</c:v>
                </c:pt>
                <c:pt idx="148">
                  <c:v>1.4900000000000011</c:v>
                </c:pt>
                <c:pt idx="149">
                  <c:v>1.5000000000000011</c:v>
                </c:pt>
              </c:numCache>
            </c:numRef>
          </c:xVal>
          <c:yVal>
            <c:numRef>
              <c:f>QCURVES!$N$4:$N$153</c:f>
              <c:numCache>
                <c:formatCode>General</c:formatCode>
                <c:ptCount val="150"/>
                <c:pt idx="0">
                  <c:v>1.0000199999999999</c:v>
                </c:pt>
                <c:pt idx="1">
                  <c:v>1.0000800000000001</c:v>
                </c:pt>
                <c:pt idx="2">
                  <c:v>1.0001800000000001</c:v>
                </c:pt>
                <c:pt idx="3">
                  <c:v>1.0003200000000001</c:v>
                </c:pt>
                <c:pt idx="4">
                  <c:v>1.0004999999999999</c:v>
                </c:pt>
                <c:pt idx="5">
                  <c:v>1.0007200000000001</c:v>
                </c:pt>
                <c:pt idx="6">
                  <c:v>1.00098</c:v>
                </c:pt>
                <c:pt idx="7">
                  <c:v>1.0012799999999999</c:v>
                </c:pt>
                <c:pt idx="8">
                  <c:v>1.00162</c:v>
                </c:pt>
                <c:pt idx="9">
                  <c:v>1.002</c:v>
                </c:pt>
                <c:pt idx="10">
                  <c:v>1.0024200000000001</c:v>
                </c:pt>
                <c:pt idx="11">
                  <c:v>1.00288</c:v>
                </c:pt>
                <c:pt idx="12">
                  <c:v>1.0033799999999999</c:v>
                </c:pt>
                <c:pt idx="13">
                  <c:v>1.0039199999999999</c:v>
                </c:pt>
                <c:pt idx="14">
                  <c:v>1.0044999999999999</c:v>
                </c:pt>
                <c:pt idx="15">
                  <c:v>1.00512</c:v>
                </c:pt>
                <c:pt idx="16">
                  <c:v>1.0057799999999999</c:v>
                </c:pt>
                <c:pt idx="17">
                  <c:v>1.00648</c:v>
                </c:pt>
                <c:pt idx="18">
                  <c:v>1.00722</c:v>
                </c:pt>
                <c:pt idx="19">
                  <c:v>1.008</c:v>
                </c:pt>
                <c:pt idx="20">
                  <c:v>1.0088200000000001</c:v>
                </c:pt>
                <c:pt idx="21">
                  <c:v>1.0096799999999999</c:v>
                </c:pt>
                <c:pt idx="22">
                  <c:v>1.01058</c:v>
                </c:pt>
                <c:pt idx="23">
                  <c:v>1.01152</c:v>
                </c:pt>
                <c:pt idx="24">
                  <c:v>1.0125</c:v>
                </c:pt>
                <c:pt idx="25">
                  <c:v>1.01352</c:v>
                </c:pt>
                <c:pt idx="26">
                  <c:v>1.01458</c:v>
                </c:pt>
                <c:pt idx="27">
                  <c:v>1.0156799999999999</c:v>
                </c:pt>
                <c:pt idx="28">
                  <c:v>1.0168200000000001</c:v>
                </c:pt>
                <c:pt idx="29">
                  <c:v>1.018</c:v>
                </c:pt>
                <c:pt idx="30">
                  <c:v>1.01922</c:v>
                </c:pt>
                <c:pt idx="31">
                  <c:v>1.0204800000000001</c:v>
                </c:pt>
                <c:pt idx="32">
                  <c:v>1.0217799999999999</c:v>
                </c:pt>
                <c:pt idx="33">
                  <c:v>1.02312</c:v>
                </c:pt>
                <c:pt idx="34">
                  <c:v>1.0245</c:v>
                </c:pt>
                <c:pt idx="35">
                  <c:v>1.0259199999999999</c:v>
                </c:pt>
                <c:pt idx="36">
                  <c:v>1.02738</c:v>
                </c:pt>
                <c:pt idx="37">
                  <c:v>1.02888</c:v>
                </c:pt>
                <c:pt idx="38">
                  <c:v>1.0304200000000001</c:v>
                </c:pt>
                <c:pt idx="39">
                  <c:v>1.032</c:v>
                </c:pt>
                <c:pt idx="40">
                  <c:v>1.03362</c:v>
                </c:pt>
                <c:pt idx="41">
                  <c:v>1.03528</c:v>
                </c:pt>
                <c:pt idx="42">
                  <c:v>1.03698</c:v>
                </c:pt>
                <c:pt idx="43">
                  <c:v>1.0387200000000001</c:v>
                </c:pt>
                <c:pt idx="44">
                  <c:v>1.0405</c:v>
                </c:pt>
                <c:pt idx="45">
                  <c:v>1.0423200000000001</c:v>
                </c:pt>
                <c:pt idx="46">
                  <c:v>1.0441800000000001</c:v>
                </c:pt>
                <c:pt idx="47">
                  <c:v>1.0460800000000001</c:v>
                </c:pt>
                <c:pt idx="48">
                  <c:v>1.04802</c:v>
                </c:pt>
                <c:pt idx="49">
                  <c:v>1.05</c:v>
                </c:pt>
                <c:pt idx="50">
                  <c:v>1.05202</c:v>
                </c:pt>
                <c:pt idx="51">
                  <c:v>1.0540800000000001</c:v>
                </c:pt>
                <c:pt idx="52">
                  <c:v>1.0561800000000001</c:v>
                </c:pt>
                <c:pt idx="53">
                  <c:v>1.0583200000000001</c:v>
                </c:pt>
                <c:pt idx="54">
                  <c:v>1.0605</c:v>
                </c:pt>
                <c:pt idx="55">
                  <c:v>1.0627200000000001</c:v>
                </c:pt>
                <c:pt idx="56">
                  <c:v>1.06498</c:v>
                </c:pt>
                <c:pt idx="57">
                  <c:v>1.06728</c:v>
                </c:pt>
                <c:pt idx="58">
                  <c:v>1.06962</c:v>
                </c:pt>
                <c:pt idx="59">
                  <c:v>1.0720000000000001</c:v>
                </c:pt>
                <c:pt idx="60">
                  <c:v>1.0744200000000002</c:v>
                </c:pt>
                <c:pt idx="61">
                  <c:v>1.0768800000000001</c:v>
                </c:pt>
                <c:pt idx="62">
                  <c:v>1.07938</c:v>
                </c:pt>
                <c:pt idx="63">
                  <c:v>1.08192</c:v>
                </c:pt>
                <c:pt idx="64">
                  <c:v>1.0845</c:v>
                </c:pt>
                <c:pt idx="65">
                  <c:v>1.0871200000000001</c:v>
                </c:pt>
                <c:pt idx="66">
                  <c:v>1.0897800000000002</c:v>
                </c:pt>
                <c:pt idx="67">
                  <c:v>1.0924800000000001</c:v>
                </c:pt>
                <c:pt idx="68">
                  <c:v>1.0952200000000001</c:v>
                </c:pt>
                <c:pt idx="69">
                  <c:v>1.0980000000000001</c:v>
                </c:pt>
                <c:pt idx="70">
                  <c:v>1.1008200000000001</c:v>
                </c:pt>
                <c:pt idx="71">
                  <c:v>1.1036800000000002</c:v>
                </c:pt>
                <c:pt idx="72">
                  <c:v>1.1065800000000001</c:v>
                </c:pt>
                <c:pt idx="73">
                  <c:v>1.1095200000000001</c:v>
                </c:pt>
                <c:pt idx="74">
                  <c:v>1.1125</c:v>
                </c:pt>
                <c:pt idx="75">
                  <c:v>1.1155200000000001</c:v>
                </c:pt>
                <c:pt idx="76">
                  <c:v>1.1185800000000001</c:v>
                </c:pt>
                <c:pt idx="77">
                  <c:v>1.12168</c:v>
                </c:pt>
                <c:pt idx="78">
                  <c:v>1.1248200000000002</c:v>
                </c:pt>
                <c:pt idx="79">
                  <c:v>1.1280000000000001</c:v>
                </c:pt>
                <c:pt idx="80">
                  <c:v>1.1312200000000001</c:v>
                </c:pt>
                <c:pt idx="81">
                  <c:v>1.1344800000000002</c:v>
                </c:pt>
                <c:pt idx="82">
                  <c:v>1.1377800000000002</c:v>
                </c:pt>
                <c:pt idx="83">
                  <c:v>1.1411200000000001</c:v>
                </c:pt>
                <c:pt idx="84">
                  <c:v>1.1445000000000001</c:v>
                </c:pt>
                <c:pt idx="85">
                  <c:v>1.1479200000000001</c:v>
                </c:pt>
                <c:pt idx="86">
                  <c:v>1.1513800000000001</c:v>
                </c:pt>
                <c:pt idx="87">
                  <c:v>1.1548800000000001</c:v>
                </c:pt>
                <c:pt idx="88">
                  <c:v>1.1584200000000002</c:v>
                </c:pt>
                <c:pt idx="89">
                  <c:v>1.1620000000000001</c:v>
                </c:pt>
                <c:pt idx="90">
                  <c:v>1.1656200000000001</c:v>
                </c:pt>
                <c:pt idx="91">
                  <c:v>1.1692800000000001</c:v>
                </c:pt>
                <c:pt idx="92">
                  <c:v>1.1729800000000001</c:v>
                </c:pt>
                <c:pt idx="93">
                  <c:v>1.1767200000000002</c:v>
                </c:pt>
                <c:pt idx="94">
                  <c:v>1.1805000000000001</c:v>
                </c:pt>
                <c:pt idx="95">
                  <c:v>1.1843200000000003</c:v>
                </c:pt>
                <c:pt idx="96">
                  <c:v>1.1881800000000002</c:v>
                </c:pt>
                <c:pt idx="97">
                  <c:v>1.1920800000000003</c:v>
                </c:pt>
                <c:pt idx="98">
                  <c:v>1.1960200000000003</c:v>
                </c:pt>
                <c:pt idx="99">
                  <c:v>1.2000000000000002</c:v>
                </c:pt>
                <c:pt idx="100">
                  <c:v>1.2040200000000003</c:v>
                </c:pt>
                <c:pt idx="101">
                  <c:v>1.2080800000000003</c:v>
                </c:pt>
                <c:pt idx="102">
                  <c:v>1.2121800000000003</c:v>
                </c:pt>
                <c:pt idx="103">
                  <c:v>1.2163200000000003</c:v>
                </c:pt>
                <c:pt idx="104">
                  <c:v>1.2205000000000004</c:v>
                </c:pt>
                <c:pt idx="105">
                  <c:v>1.2247200000000003</c:v>
                </c:pt>
                <c:pt idx="106">
                  <c:v>1.2289800000000002</c:v>
                </c:pt>
                <c:pt idx="107">
                  <c:v>1.2332800000000004</c:v>
                </c:pt>
                <c:pt idx="108">
                  <c:v>1.2376200000000002</c:v>
                </c:pt>
                <c:pt idx="109">
                  <c:v>1.2420000000000002</c:v>
                </c:pt>
                <c:pt idx="110">
                  <c:v>1.2464200000000003</c:v>
                </c:pt>
                <c:pt idx="111">
                  <c:v>1.2508800000000002</c:v>
                </c:pt>
                <c:pt idx="112">
                  <c:v>1.2553800000000002</c:v>
                </c:pt>
                <c:pt idx="113">
                  <c:v>1.2599200000000004</c:v>
                </c:pt>
                <c:pt idx="114">
                  <c:v>1.2645000000000004</c:v>
                </c:pt>
                <c:pt idx="115">
                  <c:v>1.2691200000000002</c:v>
                </c:pt>
                <c:pt idx="116">
                  <c:v>1.2737800000000004</c:v>
                </c:pt>
                <c:pt idx="117">
                  <c:v>1.2784800000000003</c:v>
                </c:pt>
                <c:pt idx="118">
                  <c:v>1.2832200000000002</c:v>
                </c:pt>
                <c:pt idx="119">
                  <c:v>1.2880000000000003</c:v>
                </c:pt>
                <c:pt idx="120">
                  <c:v>1.2928200000000003</c:v>
                </c:pt>
                <c:pt idx="121">
                  <c:v>1.2976800000000004</c:v>
                </c:pt>
                <c:pt idx="122">
                  <c:v>1.3025800000000003</c:v>
                </c:pt>
                <c:pt idx="123">
                  <c:v>1.3075200000000002</c:v>
                </c:pt>
                <c:pt idx="124">
                  <c:v>1.3125000000000004</c:v>
                </c:pt>
                <c:pt idx="125">
                  <c:v>1.3175200000000005</c:v>
                </c:pt>
                <c:pt idx="126">
                  <c:v>1.3225800000000003</c:v>
                </c:pt>
                <c:pt idx="127">
                  <c:v>1.3276800000000004</c:v>
                </c:pt>
                <c:pt idx="128">
                  <c:v>1.3328200000000003</c:v>
                </c:pt>
                <c:pt idx="129">
                  <c:v>1.3380000000000005</c:v>
                </c:pt>
                <c:pt idx="130">
                  <c:v>1.3432200000000005</c:v>
                </c:pt>
                <c:pt idx="131">
                  <c:v>1.3484800000000003</c:v>
                </c:pt>
                <c:pt idx="132">
                  <c:v>1.3537800000000004</c:v>
                </c:pt>
                <c:pt idx="133">
                  <c:v>1.3591200000000003</c:v>
                </c:pt>
                <c:pt idx="134">
                  <c:v>1.3645000000000005</c:v>
                </c:pt>
                <c:pt idx="135">
                  <c:v>1.3699200000000005</c:v>
                </c:pt>
                <c:pt idx="136">
                  <c:v>1.3753800000000005</c:v>
                </c:pt>
                <c:pt idx="137">
                  <c:v>1.3808800000000003</c:v>
                </c:pt>
                <c:pt idx="138">
                  <c:v>1.3864200000000004</c:v>
                </c:pt>
                <c:pt idx="139">
                  <c:v>1.3920000000000003</c:v>
                </c:pt>
                <c:pt idx="140">
                  <c:v>1.3976200000000005</c:v>
                </c:pt>
                <c:pt idx="141">
                  <c:v>1.4032800000000005</c:v>
                </c:pt>
                <c:pt idx="142">
                  <c:v>1.4089800000000006</c:v>
                </c:pt>
                <c:pt idx="143">
                  <c:v>1.4147200000000004</c:v>
                </c:pt>
                <c:pt idx="144">
                  <c:v>1.4205000000000005</c:v>
                </c:pt>
                <c:pt idx="145">
                  <c:v>1.4263200000000005</c:v>
                </c:pt>
                <c:pt idx="146">
                  <c:v>1.4321800000000007</c:v>
                </c:pt>
                <c:pt idx="147">
                  <c:v>1.4380800000000007</c:v>
                </c:pt>
                <c:pt idx="148">
                  <c:v>1.4440200000000005</c:v>
                </c:pt>
                <c:pt idx="149">
                  <c:v>1.4500000000000006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05-4254-8A74-7D367B0D5262}"/>
            </c:ext>
          </c:extLst>
        </c:ser>
        <c:ser>
          <c:idx val="0"/>
          <c:order val="1"/>
          <c:tx>
            <c:v>Pt/Ps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QCURVES!$M$4:$M$153</c:f>
              <c:numCache>
                <c:formatCode>General</c:formatCode>
                <c:ptCount val="15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  <c:pt idx="32">
                  <c:v>0.33000000000000013</c:v>
                </c:pt>
                <c:pt idx="33">
                  <c:v>0.34000000000000014</c:v>
                </c:pt>
                <c:pt idx="34">
                  <c:v>0.35000000000000014</c:v>
                </c:pt>
                <c:pt idx="35">
                  <c:v>0.36000000000000015</c:v>
                </c:pt>
                <c:pt idx="36">
                  <c:v>0.37000000000000016</c:v>
                </c:pt>
                <c:pt idx="37">
                  <c:v>0.38000000000000017</c:v>
                </c:pt>
                <c:pt idx="38">
                  <c:v>0.39000000000000018</c:v>
                </c:pt>
                <c:pt idx="39">
                  <c:v>0.40000000000000019</c:v>
                </c:pt>
                <c:pt idx="40">
                  <c:v>0.4100000000000002</c:v>
                </c:pt>
                <c:pt idx="41">
                  <c:v>0.42000000000000021</c:v>
                </c:pt>
                <c:pt idx="42">
                  <c:v>0.43000000000000022</c:v>
                </c:pt>
                <c:pt idx="43">
                  <c:v>0.44000000000000022</c:v>
                </c:pt>
                <c:pt idx="44">
                  <c:v>0.45000000000000023</c:v>
                </c:pt>
                <c:pt idx="45">
                  <c:v>0.46000000000000024</c:v>
                </c:pt>
                <c:pt idx="46">
                  <c:v>0.47000000000000025</c:v>
                </c:pt>
                <c:pt idx="47">
                  <c:v>0.48000000000000026</c:v>
                </c:pt>
                <c:pt idx="48">
                  <c:v>0.49000000000000027</c:v>
                </c:pt>
                <c:pt idx="49">
                  <c:v>0.50000000000000022</c:v>
                </c:pt>
                <c:pt idx="50">
                  <c:v>0.51000000000000023</c:v>
                </c:pt>
                <c:pt idx="51">
                  <c:v>0.52000000000000024</c:v>
                </c:pt>
                <c:pt idx="52">
                  <c:v>0.53000000000000025</c:v>
                </c:pt>
                <c:pt idx="53">
                  <c:v>0.54000000000000026</c:v>
                </c:pt>
                <c:pt idx="54">
                  <c:v>0.55000000000000027</c:v>
                </c:pt>
                <c:pt idx="55">
                  <c:v>0.56000000000000028</c:v>
                </c:pt>
                <c:pt idx="56">
                  <c:v>0.57000000000000028</c:v>
                </c:pt>
                <c:pt idx="57">
                  <c:v>0.58000000000000029</c:v>
                </c:pt>
                <c:pt idx="58">
                  <c:v>0.5900000000000003</c:v>
                </c:pt>
                <c:pt idx="59">
                  <c:v>0.60000000000000031</c:v>
                </c:pt>
                <c:pt idx="60">
                  <c:v>0.61000000000000032</c:v>
                </c:pt>
                <c:pt idx="61">
                  <c:v>0.62000000000000033</c:v>
                </c:pt>
                <c:pt idx="62">
                  <c:v>0.63000000000000034</c:v>
                </c:pt>
                <c:pt idx="63">
                  <c:v>0.64000000000000035</c:v>
                </c:pt>
                <c:pt idx="64">
                  <c:v>0.65000000000000036</c:v>
                </c:pt>
                <c:pt idx="65">
                  <c:v>0.66000000000000036</c:v>
                </c:pt>
                <c:pt idx="66">
                  <c:v>0.67000000000000037</c:v>
                </c:pt>
                <c:pt idx="67">
                  <c:v>0.68000000000000038</c:v>
                </c:pt>
                <c:pt idx="68">
                  <c:v>0.69000000000000039</c:v>
                </c:pt>
                <c:pt idx="69">
                  <c:v>0.7000000000000004</c:v>
                </c:pt>
                <c:pt idx="70">
                  <c:v>0.71000000000000041</c:v>
                </c:pt>
                <c:pt idx="71">
                  <c:v>0.72000000000000042</c:v>
                </c:pt>
                <c:pt idx="72">
                  <c:v>0.73000000000000043</c:v>
                </c:pt>
                <c:pt idx="73">
                  <c:v>0.74000000000000044</c:v>
                </c:pt>
                <c:pt idx="74">
                  <c:v>0.75000000000000044</c:v>
                </c:pt>
                <c:pt idx="75">
                  <c:v>0.76000000000000045</c:v>
                </c:pt>
                <c:pt idx="76">
                  <c:v>0.77000000000000046</c:v>
                </c:pt>
                <c:pt idx="77">
                  <c:v>0.78000000000000047</c:v>
                </c:pt>
                <c:pt idx="78">
                  <c:v>0.79000000000000048</c:v>
                </c:pt>
                <c:pt idx="79">
                  <c:v>0.80000000000000049</c:v>
                </c:pt>
                <c:pt idx="80">
                  <c:v>0.8100000000000005</c:v>
                </c:pt>
                <c:pt idx="81">
                  <c:v>0.82000000000000051</c:v>
                </c:pt>
                <c:pt idx="82">
                  <c:v>0.83000000000000052</c:v>
                </c:pt>
                <c:pt idx="83">
                  <c:v>0.84000000000000052</c:v>
                </c:pt>
                <c:pt idx="84">
                  <c:v>0.85000000000000053</c:v>
                </c:pt>
                <c:pt idx="85">
                  <c:v>0.86000000000000054</c:v>
                </c:pt>
                <c:pt idx="86">
                  <c:v>0.87000000000000055</c:v>
                </c:pt>
                <c:pt idx="87">
                  <c:v>0.88000000000000056</c:v>
                </c:pt>
                <c:pt idx="88">
                  <c:v>0.89000000000000057</c:v>
                </c:pt>
                <c:pt idx="89">
                  <c:v>0.90000000000000058</c:v>
                </c:pt>
                <c:pt idx="90">
                  <c:v>0.91000000000000059</c:v>
                </c:pt>
                <c:pt idx="91">
                  <c:v>0.9200000000000006</c:v>
                </c:pt>
                <c:pt idx="92">
                  <c:v>0.9300000000000006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0.96000000000000063</c:v>
                </c:pt>
                <c:pt idx="96">
                  <c:v>0.97000000000000064</c:v>
                </c:pt>
                <c:pt idx="97">
                  <c:v>0.98000000000000065</c:v>
                </c:pt>
                <c:pt idx="98">
                  <c:v>0.99000000000000066</c:v>
                </c:pt>
                <c:pt idx="99">
                  <c:v>1.0000000000000007</c:v>
                </c:pt>
                <c:pt idx="100">
                  <c:v>1.0100000000000007</c:v>
                </c:pt>
                <c:pt idx="101">
                  <c:v>1.0200000000000007</c:v>
                </c:pt>
                <c:pt idx="102">
                  <c:v>1.0300000000000007</c:v>
                </c:pt>
                <c:pt idx="103">
                  <c:v>1.0400000000000007</c:v>
                </c:pt>
                <c:pt idx="104">
                  <c:v>1.0500000000000007</c:v>
                </c:pt>
                <c:pt idx="105">
                  <c:v>1.0600000000000007</c:v>
                </c:pt>
                <c:pt idx="106">
                  <c:v>1.0700000000000007</c:v>
                </c:pt>
                <c:pt idx="107">
                  <c:v>1.0800000000000007</c:v>
                </c:pt>
                <c:pt idx="108">
                  <c:v>1.0900000000000007</c:v>
                </c:pt>
                <c:pt idx="109">
                  <c:v>1.1000000000000008</c:v>
                </c:pt>
                <c:pt idx="110">
                  <c:v>1.1100000000000008</c:v>
                </c:pt>
                <c:pt idx="111">
                  <c:v>1.1200000000000008</c:v>
                </c:pt>
                <c:pt idx="112">
                  <c:v>1.1300000000000008</c:v>
                </c:pt>
                <c:pt idx="113">
                  <c:v>1.1400000000000008</c:v>
                </c:pt>
                <c:pt idx="114">
                  <c:v>1.1500000000000008</c:v>
                </c:pt>
                <c:pt idx="115">
                  <c:v>1.1600000000000008</c:v>
                </c:pt>
                <c:pt idx="116">
                  <c:v>1.1700000000000008</c:v>
                </c:pt>
                <c:pt idx="117">
                  <c:v>1.1800000000000008</c:v>
                </c:pt>
                <c:pt idx="118">
                  <c:v>1.1900000000000008</c:v>
                </c:pt>
                <c:pt idx="119">
                  <c:v>1.2000000000000008</c:v>
                </c:pt>
                <c:pt idx="120">
                  <c:v>1.2100000000000009</c:v>
                </c:pt>
                <c:pt idx="121">
                  <c:v>1.2200000000000009</c:v>
                </c:pt>
                <c:pt idx="122">
                  <c:v>1.2300000000000009</c:v>
                </c:pt>
                <c:pt idx="123">
                  <c:v>1.2400000000000009</c:v>
                </c:pt>
                <c:pt idx="124">
                  <c:v>1.2500000000000009</c:v>
                </c:pt>
                <c:pt idx="125">
                  <c:v>1.2600000000000009</c:v>
                </c:pt>
                <c:pt idx="126">
                  <c:v>1.2700000000000009</c:v>
                </c:pt>
                <c:pt idx="127">
                  <c:v>1.2800000000000009</c:v>
                </c:pt>
                <c:pt idx="128">
                  <c:v>1.2900000000000009</c:v>
                </c:pt>
                <c:pt idx="129">
                  <c:v>1.3000000000000009</c:v>
                </c:pt>
                <c:pt idx="130">
                  <c:v>1.3100000000000009</c:v>
                </c:pt>
                <c:pt idx="131">
                  <c:v>1.320000000000001</c:v>
                </c:pt>
                <c:pt idx="132">
                  <c:v>1.330000000000001</c:v>
                </c:pt>
                <c:pt idx="133">
                  <c:v>1.340000000000001</c:v>
                </c:pt>
                <c:pt idx="134">
                  <c:v>1.350000000000001</c:v>
                </c:pt>
                <c:pt idx="135">
                  <c:v>1.360000000000001</c:v>
                </c:pt>
                <c:pt idx="136">
                  <c:v>1.370000000000001</c:v>
                </c:pt>
                <c:pt idx="137">
                  <c:v>1.380000000000001</c:v>
                </c:pt>
                <c:pt idx="138">
                  <c:v>1.390000000000001</c:v>
                </c:pt>
                <c:pt idx="139">
                  <c:v>1.400000000000001</c:v>
                </c:pt>
                <c:pt idx="140">
                  <c:v>1.410000000000001</c:v>
                </c:pt>
                <c:pt idx="141">
                  <c:v>1.420000000000001</c:v>
                </c:pt>
                <c:pt idx="142">
                  <c:v>1.430000000000001</c:v>
                </c:pt>
                <c:pt idx="143">
                  <c:v>1.4400000000000011</c:v>
                </c:pt>
                <c:pt idx="144">
                  <c:v>1.4500000000000011</c:v>
                </c:pt>
                <c:pt idx="145">
                  <c:v>1.4600000000000011</c:v>
                </c:pt>
                <c:pt idx="146">
                  <c:v>1.4700000000000011</c:v>
                </c:pt>
                <c:pt idx="147">
                  <c:v>1.4800000000000011</c:v>
                </c:pt>
                <c:pt idx="148">
                  <c:v>1.4900000000000011</c:v>
                </c:pt>
                <c:pt idx="149">
                  <c:v>1.5000000000000011</c:v>
                </c:pt>
              </c:numCache>
            </c:numRef>
          </c:xVal>
          <c:yVal>
            <c:numRef>
              <c:f>QCURVES!$O$4:$O$153</c:f>
              <c:numCache>
                <c:formatCode>General</c:formatCode>
                <c:ptCount val="150"/>
                <c:pt idx="0">
                  <c:v>1.0000700017500173</c:v>
                </c:pt>
                <c:pt idx="1">
                  <c:v>1.0002800280011204</c:v>
                </c:pt>
                <c:pt idx="2">
                  <c:v>1.0006301417627581</c:v>
                </c:pt>
                <c:pt idx="3">
                  <c:v>1.0011204480716831</c:v>
                </c:pt>
                <c:pt idx="4">
                  <c:v>1.0017510940234544</c:v>
                </c:pt>
                <c:pt idx="5">
                  <c:v>1.0025222688165536</c:v>
                </c:pt>
                <c:pt idx="6">
                  <c:v>1.0034342038091095</c:v>
                </c:pt>
                <c:pt idx="7">
                  <c:v>1.0044871725882538</c:v>
                </c:pt>
                <c:pt idx="8">
                  <c:v>1.0056814910521004</c:v>
                </c:pt>
                <c:pt idx="9">
                  <c:v>1.0070175175043741</c:v>
                </c:pt>
                <c:pt idx="10">
                  <c:v>1.0084956527616937</c:v>
                </c:pt>
                <c:pt idx="11">
                  <c:v>1.0101163402735263</c:v>
                </c:pt>
                <c:pt idx="12">
                  <c:v>1.0118800662548335</c:v>
                </c:pt>
                <c:pt idx="13">
                  <c:v>1.0137873598314202</c:v>
                </c:pt>
                <c:pt idx="14">
                  <c:v>1.0158387931980133</c:v>
                </c:pt>
                <c:pt idx="15">
                  <c:v>1.0180349817890888</c:v>
                </c:pt>
                <c:pt idx="16">
                  <c:v>1.0203765844624704</c:v>
                </c:pt>
                <c:pt idx="17">
                  <c:v>1.0228643036957314</c:v>
                </c:pt>
                <c:pt idx="18">
                  <c:v>1.0254988857954128</c:v>
                </c:pt>
                <c:pt idx="19">
                  <c:v>1.0282811211191059</c:v>
                </c:pt>
                <c:pt idx="20">
                  <c:v>1.0312118443104115</c:v>
                </c:pt>
                <c:pt idx="21">
                  <c:v>1.0342919345468207</c:v>
                </c:pt>
                <c:pt idx="22">
                  <c:v>1.037522315800548</c:v>
                </c:pt>
                <c:pt idx="23">
                  <c:v>1.0409039571123431</c:v>
                </c:pt>
                <c:pt idx="24">
                  <c:v>1.0444378728783388</c:v>
                </c:pt>
                <c:pt idx="25">
                  <c:v>1.0481251231499533</c:v>
                </c:pt>
                <c:pt idx="26">
                  <c:v>1.0519668139468996</c:v>
                </c:pt>
                <c:pt idx="27">
                  <c:v>1.0559640975833409</c:v>
                </c:pt>
                <c:pt idx="28">
                  <c:v>1.0601181730072402</c:v>
                </c:pt>
                <c:pt idx="29">
                  <c:v>1.0644302861529382</c:v>
                </c:pt>
                <c:pt idx="30">
                  <c:v>1.0689017303070252</c:v>
                </c:pt>
                <c:pt idx="31">
                  <c:v>1.0735338464875384</c:v>
                </c:pt>
                <c:pt idx="32">
                  <c:v>1.0783280238365451</c:v>
                </c:pt>
                <c:pt idx="33">
                  <c:v>1.083285700026166</c:v>
                </c:pt>
                <c:pt idx="34">
                  <c:v>1.0884083616780784</c:v>
                </c:pt>
                <c:pt idx="35">
                  <c:v>1.0936975447965784</c:v>
                </c:pt>
                <c:pt idx="36">
                  <c:v>1.0991548352152345</c:v>
                </c:pt>
                <c:pt idx="37">
                  <c:v>1.1047818690572084</c:v>
                </c:pt>
                <c:pt idx="38">
                  <c:v>1.1105803332092965</c:v>
                </c:pt>
                <c:pt idx="39">
                  <c:v>1.1165519658097534</c:v>
                </c:pt>
                <c:pt idx="40">
                  <c:v>1.1226985567499683</c:v>
                </c:pt>
                <c:pt idx="41">
                  <c:v>1.1290219481900454</c:v>
                </c:pt>
                <c:pt idx="42">
                  <c:v>1.1355240350883702</c:v>
                </c:pt>
                <c:pt idx="43">
                  <c:v>1.1422067657452177</c:v>
                </c:pt>
                <c:pt idx="44">
                  <c:v>1.1490721423604813</c:v>
                </c:pt>
                <c:pt idx="45">
                  <c:v>1.1561222216055884</c:v>
                </c:pt>
                <c:pt idx="46">
                  <c:v>1.1633591152096723</c:v>
                </c:pt>
                <c:pt idx="47">
                  <c:v>1.1707849905600851</c:v>
                </c:pt>
                <c:pt idx="48">
                  <c:v>1.1784020713173153</c:v>
                </c:pt>
                <c:pt idx="49">
                  <c:v>1.1862126380443982</c:v>
                </c:pt>
                <c:pt idx="50">
                  <c:v>1.1942190288508823</c:v>
                </c:pt>
                <c:pt idx="52">
                  <c:v>1.2108289268392765</c:v>
                </c:pt>
                <c:pt idx="53">
                  <c:v>1.21943740397415</c:v>
                </c:pt>
                <c:pt idx="54">
                  <c:v>1.2282516464855568</c:v>
                </c:pt>
                <c:pt idx="55">
                  <c:v>1.2372742903906933</c:v>
                </c:pt>
                <c:pt idx="56">
                  <c:v>1.2465080334275589</c:v>
                </c:pt>
                <c:pt idx="57">
                  <c:v>1.2559556358032122</c:v>
                </c:pt>
                <c:pt idx="58">
                  <c:v>1.2656199209572612</c:v>
                </c:pt>
                <c:pt idx="59">
                  <c:v>1.2755037763406945</c:v>
                </c:pt>
                <c:pt idx="60">
                  <c:v>1.2856101542101386</c:v>
                </c:pt>
                <c:pt idx="61">
                  <c:v>1.2959420724376367</c:v>
                </c:pt>
                <c:pt idx="62">
                  <c:v>1.3065026153360473</c:v>
                </c:pt>
                <c:pt idx="63">
                  <c:v>1.3172949345001499</c:v>
                </c:pt>
                <c:pt idx="64">
                  <c:v>1.328322249663566</c:v>
                </c:pt>
                <c:pt idx="65">
                  <c:v>1.3395878495715867</c:v>
                </c:pt>
                <c:pt idx="66">
                  <c:v>1.3510950928700107</c:v>
                </c:pt>
                <c:pt idx="67">
                  <c:v>1.3628474090100922</c:v>
                </c:pt>
                <c:pt idx="68">
                  <c:v>1.3748482991697044</c:v>
                </c:pt>
                <c:pt idx="69">
                  <c:v>1.3871013371908156</c:v>
                </c:pt>
                <c:pt idx="70">
                  <c:v>1.3996101705333894</c:v>
                </c:pt>
                <c:pt idx="71">
                  <c:v>1.4123785212458138</c:v>
                </c:pt>
                <c:pt idx="72">
                  <c:v>1.425410186951962</c:v>
                </c:pt>
                <c:pt idx="73">
                  <c:v>1.4387090418550035</c:v>
                </c:pt>
                <c:pt idx="74">
                  <c:v>1.4522790377580601</c:v>
                </c:pt>
                <c:pt idx="75">
                  <c:v>1.4661242051018313</c:v>
                </c:pt>
                <c:pt idx="76">
                  <c:v>1.4802486540192938</c:v>
                </c:pt>
                <c:pt idx="77">
                  <c:v>1.4946565754075896</c:v>
                </c:pt>
                <c:pt idx="78">
                  <c:v>1.5093522420172196</c:v>
                </c:pt>
                <c:pt idx="79">
                  <c:v>1.5243400095586486</c:v>
                </c:pt>
                <c:pt idx="80">
                  <c:v>1.5396243178264526</c:v>
                </c:pt>
                <c:pt idx="81">
                  <c:v>1.5552096918411111</c:v>
                </c:pt>
                <c:pt idx="82">
                  <c:v>1.5711007430085719</c:v>
                </c:pt>
                <c:pt idx="83">
                  <c:v>1.5873021702977026</c:v>
                </c:pt>
                <c:pt idx="84">
                  <c:v>1.6038187614357571</c:v>
                </c:pt>
                <c:pt idx="85">
                  <c:v>1.6206553941219635</c:v>
                </c:pt>
                <c:pt idx="86">
                  <c:v>1.6378170372593728</c:v>
                </c:pt>
                <c:pt idx="87">
                  <c:v>1.6553087522050787</c:v>
                </c:pt>
                <c:pt idx="88">
                  <c:v>1.6731356940389412</c:v>
                </c:pt>
                <c:pt idx="89">
                  <c:v>1.6913031128509322</c:v>
                </c:pt>
                <c:pt idx="90">
                  <c:v>1.7098163550472374</c:v>
                </c:pt>
                <c:pt idx="91">
                  <c:v>1.7286808646752323</c:v>
                </c:pt>
                <c:pt idx="92">
                  <c:v>1.7479021847674667</c:v>
                </c:pt>
                <c:pt idx="93">
                  <c:v>1.7674859587047853</c:v>
                </c:pt>
                <c:pt idx="94">
                  <c:v>1.7874379315987108</c:v>
                </c:pt>
                <c:pt idx="95">
                  <c:v>1.8077639516932307</c:v>
                </c:pt>
                <c:pt idx="96">
                  <c:v>1.8284699717860959</c:v>
                </c:pt>
                <c:pt idx="97">
                  <c:v>1.8495620506697996</c:v>
                </c:pt>
                <c:pt idx="98">
                  <c:v>1.8710463545923286</c:v>
                </c:pt>
                <c:pt idx="99">
                  <c:v>1.8929291587378552</c:v>
                </c:pt>
                <c:pt idx="100">
                  <c:v>1.9152168487274885</c:v>
                </c:pt>
                <c:pt idx="101">
                  <c:v>1.9379159221402122</c:v>
                </c:pt>
                <c:pt idx="102">
                  <c:v>1.961032990054173</c:v>
                </c:pt>
                <c:pt idx="103">
                  <c:v>1.9845747786084253</c:v>
                </c:pt>
                <c:pt idx="104">
                  <c:v>2.0085481305852921</c:v>
                </c:pt>
                <c:pt idx="105">
                  <c:v>2.0329600070134677</c:v>
                </c:pt>
                <c:pt idx="106">
                  <c:v>2.0578174887920153</c:v>
                </c:pt>
                <c:pt idx="107">
                  <c:v>2.0831277783353843</c:v>
                </c:pt>
                <c:pt idx="108">
                  <c:v>2.1088982012395907</c:v>
                </c:pt>
                <c:pt idx="109">
                  <c:v>2.1351362079697278</c:v>
                </c:pt>
                <c:pt idx="110">
                  <c:v>2.1618493755688979</c:v>
                </c:pt>
                <c:pt idx="111">
                  <c:v>2.1890454093887635</c:v>
                </c:pt>
                <c:pt idx="112">
                  <c:v>2.2167321448418269</c:v>
                </c:pt>
                <c:pt idx="113">
                  <c:v>2.2449175491755917</c:v>
                </c:pt>
                <c:pt idx="114">
                  <c:v>2.2736097232687484</c:v>
                </c:pt>
                <c:pt idx="115">
                  <c:v>2.3028169034495432</c:v>
                </c:pt>
                <c:pt idx="116">
                  <c:v>2.3325474633364611</c:v>
                </c:pt>
                <c:pt idx="117">
                  <c:v>2.3628099157013649</c:v>
                </c:pt>
                <c:pt idx="118">
                  <c:v>2.3936129143552654</c:v>
                </c:pt>
                <c:pt idx="119">
                  <c:v>2.4249652560568404</c:v>
                </c:pt>
                <c:pt idx="120">
                  <c:v>2.4568758824438692</c:v>
                </c:pt>
                <c:pt idx="121">
                  <c:v>2.4893538819877237</c:v>
                </c:pt>
                <c:pt idx="122">
                  <c:v>2.5224084919710701</c:v>
                </c:pt>
                <c:pt idx="123">
                  <c:v>2.5560491004889343</c:v>
                </c:pt>
                <c:pt idx="124">
                  <c:v>2.5902852484732719</c:v>
                </c:pt>
                <c:pt idx="125">
                  <c:v>2.6251266317411979</c:v>
                </c:pt>
                <c:pt idx="126">
                  <c:v>2.6605831030670406</c:v>
                </c:pt>
                <c:pt idx="127">
                  <c:v>2.6966646742783604</c:v>
                </c:pt>
                <c:pt idx="128">
                  <c:v>2.7333815183760723</c:v>
                </c:pt>
                <c:pt idx="129">
                  <c:v>2.7707439716788684</c:v>
                </c:pt>
                <c:pt idx="130">
                  <c:v>2.8087625359920412</c:v>
                </c:pt>
                <c:pt idx="131">
                  <c:v>2.8474478808009076</c:v>
                </c:pt>
                <c:pt idx="132">
                  <c:v>2.8868108454889687</c:v>
                </c:pt>
                <c:pt idx="133">
                  <c:v>2.9268624415809423</c:v>
                </c:pt>
                <c:pt idx="134">
                  <c:v>2.9676138550108782</c:v>
                </c:pt>
                <c:pt idx="135">
                  <c:v>3.0090764484154375</c:v>
                </c:pt>
                <c:pt idx="136">
                  <c:v>3.0512617634525769</c:v>
                </c:pt>
                <c:pt idx="137">
                  <c:v>3.0941815231457146</c:v>
                </c:pt>
                <c:pt idx="138">
                  <c:v>3.1378476342536024</c:v>
                </c:pt>
                <c:pt idx="139">
                  <c:v>3.1822721896660089</c:v>
                </c:pt>
                <c:pt idx="140">
                  <c:v>3.2274674708254212</c:v>
                </c:pt>
                <c:pt idx="141">
                  <c:v>3.2734459501748718</c:v>
                </c:pt>
                <c:pt idx="142">
                  <c:v>3.3202202936321092</c:v>
                </c:pt>
                <c:pt idx="143">
                  <c:v>3.3678033630902093</c:v>
                </c:pt>
                <c:pt idx="144">
                  <c:v>3.4162082189448522</c:v>
                </c:pt>
                <c:pt idx="145">
                  <c:v>3.4654481226483562</c:v>
                </c:pt>
                <c:pt idx="146">
                  <c:v>3.5155365392907045</c:v>
                </c:pt>
                <c:pt idx="147">
                  <c:v>3.5664871402076477</c:v>
                </c:pt>
                <c:pt idx="148">
                  <c:v>3.6183138056161184</c:v>
                </c:pt>
                <c:pt idx="149">
                  <c:v>3.6710306272770721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05-4254-8A74-7D367B0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494016"/>
        <c:axId val="1000495656"/>
      </c:scatterChart>
      <c:valAx>
        <c:axId val="10004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495656"/>
        <c:crosses val="autoZero"/>
        <c:crossBetween val="midCat"/>
      </c:valAx>
      <c:valAx>
        <c:axId val="1000495656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494016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51969395166875E-2"/>
          <c:y val="0.10569544457512878"/>
          <c:w val="0.88474401650557688"/>
          <c:h val="0.8246042017032563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TURBEFF!$H$8</c:f>
              <c:numCache>
                <c:formatCode>General</c:formatCode>
                <c:ptCount val="1"/>
                <c:pt idx="0">
                  <c:v>0.9</c:v>
                </c:pt>
              </c:numCache>
            </c:numRef>
          </c:xVal>
          <c:yVal>
            <c:numRef>
              <c:f>TURBEFF!$G$8</c:f>
              <c:numCache>
                <c:formatCode>0.0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1-4156-8508-905BC6C21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427184"/>
        <c:axId val="962425744"/>
      </c:scatterChart>
      <c:valAx>
        <c:axId val="962427184"/>
        <c:scaling>
          <c:orientation val="minMax"/>
          <c:max val="1.3"/>
          <c:min val="0.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425744"/>
        <c:crosses val="autoZero"/>
        <c:crossBetween val="midCat"/>
      </c:valAx>
      <c:valAx>
        <c:axId val="962425744"/>
        <c:scaling>
          <c:orientation val="minMax"/>
          <c:max val="2.6"/>
          <c:min val="0.60000000000000009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42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Pressure Comparision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Cycle!$B$61:$P$61</c:f>
              <c:numCache>
                <c:formatCode>General</c:formatCode>
                <c:ptCount val="15"/>
                <c:pt idx="0">
                  <c:v>20.645820539999999</c:v>
                </c:pt>
                <c:pt idx="1">
                  <c:v>27.431357380000001</c:v>
                </c:pt>
                <c:pt idx="2">
                  <c:v>26.882730240000001</c:v>
                </c:pt>
                <c:pt idx="3">
                  <c:v>67.206825589999994</c:v>
                </c:pt>
                <c:pt idx="4">
                  <c:v>67.206825589999994</c:v>
                </c:pt>
                <c:pt idx="5">
                  <c:v>65.862689079999996</c:v>
                </c:pt>
                <c:pt idx="6">
                  <c:v>461.0388236</c:v>
                </c:pt>
                <c:pt idx="7">
                  <c:v>451.8180471</c:v>
                </c:pt>
                <c:pt idx="8">
                  <c:v>451.8180471</c:v>
                </c:pt>
                <c:pt idx="9">
                  <c:v>299.94238410000003</c:v>
                </c:pt>
                <c:pt idx="10">
                  <c:v>269.9481457</c:v>
                </c:pt>
                <c:pt idx="11">
                  <c:v>269.9481457</c:v>
                </c:pt>
                <c:pt idx="12">
                  <c:v>65.862689079999996</c:v>
                </c:pt>
                <c:pt idx="13">
                  <c:v>64.545435299999994</c:v>
                </c:pt>
                <c:pt idx="14">
                  <c:v>64.545435299999994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49-47B7-9940-998624206535}"/>
            </c:ext>
          </c:extLst>
        </c:ser>
        <c:ser>
          <c:idx val="1"/>
          <c:order val="1"/>
          <c:tx>
            <c:v>GasTurb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Cycle!$B$62:$P$62</c:f>
              <c:numCache>
                <c:formatCode>General</c:formatCode>
                <c:ptCount val="15"/>
                <c:pt idx="0">
                  <c:v>20.646000000000001</c:v>
                </c:pt>
                <c:pt idx="1">
                  <c:v>27.43</c:v>
                </c:pt>
                <c:pt idx="2">
                  <c:v>26.882000000000001</c:v>
                </c:pt>
                <c:pt idx="3">
                  <c:v>67.204999999999998</c:v>
                </c:pt>
                <c:pt idx="4">
                  <c:v>67.204999999999998</c:v>
                </c:pt>
                <c:pt idx="5">
                  <c:v>66.533000000000001</c:v>
                </c:pt>
                <c:pt idx="6">
                  <c:v>465.72800000000001</c:v>
                </c:pt>
                <c:pt idx="7">
                  <c:v>451.75599999999997</c:v>
                </c:pt>
                <c:pt idx="8">
                  <c:v>451.75599999999997</c:v>
                </c:pt>
                <c:pt idx="9">
                  <c:v>213.29400000000001</c:v>
                </c:pt>
                <c:pt idx="10">
                  <c:v>209.02799999999999</c:v>
                </c:pt>
                <c:pt idx="11">
                  <c:v>126.032</c:v>
                </c:pt>
                <c:pt idx="12">
                  <c:v>65.188000000000002</c:v>
                </c:pt>
                <c:pt idx="13">
                  <c:v>75.338999999999999</c:v>
                </c:pt>
                <c:pt idx="14">
                  <c:v>75.338999999999999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49-47B7-9940-998624206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389007"/>
        <c:axId val="1983394287"/>
      </c:lineChart>
      <c:catAx>
        <c:axId val="1983389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394287"/>
        <c:crosses val="autoZero"/>
        <c:auto val="1"/>
        <c:lblAlgn val="ctr"/>
        <c:lblOffset val="100"/>
        <c:noMultiLvlLbl val="0"/>
      </c:catAx>
      <c:valAx>
        <c:axId val="198339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38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Temprature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Cycle!$B$70:$P$70</c:f>
              <c:numCache>
                <c:formatCode>General</c:formatCode>
                <c:ptCount val="15"/>
                <c:pt idx="0">
                  <c:v>216.65</c:v>
                </c:pt>
                <c:pt idx="1">
                  <c:v>235.02428850000001</c:v>
                </c:pt>
                <c:pt idx="2">
                  <c:v>235.02428850000001</c:v>
                </c:pt>
                <c:pt idx="3">
                  <c:v>312.62311019999999</c:v>
                </c:pt>
                <c:pt idx="4">
                  <c:v>312.62311019999999</c:v>
                </c:pt>
                <c:pt idx="5">
                  <c:v>312.62311019999999</c:v>
                </c:pt>
                <c:pt idx="6">
                  <c:v>573.95118760000003</c:v>
                </c:pt>
                <c:pt idx="7">
                  <c:v>1700</c:v>
                </c:pt>
                <c:pt idx="8">
                  <c:v>1645.0061439999999</c:v>
                </c:pt>
                <c:pt idx="9">
                  <c:v>1402.008652</c:v>
                </c:pt>
                <c:pt idx="10">
                  <c:v>1402.008652</c:v>
                </c:pt>
                <c:pt idx="11">
                  <c:v>1372.4911850000001</c:v>
                </c:pt>
                <c:pt idx="12">
                  <c:v>312.62311019999999</c:v>
                </c:pt>
                <c:pt idx="13">
                  <c:v>798.30840809999995</c:v>
                </c:pt>
                <c:pt idx="14">
                  <c:v>798.30840809999995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6-4F1B-A846-449190F1F952}"/>
            </c:ext>
          </c:extLst>
        </c:ser>
        <c:ser>
          <c:idx val="1"/>
          <c:order val="1"/>
          <c:tx>
            <c:v>GasTurb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Cycle!$B$71:$P$71</c:f>
              <c:numCache>
                <c:formatCode>General</c:formatCode>
                <c:ptCount val="15"/>
                <c:pt idx="0">
                  <c:v>216.65</c:v>
                </c:pt>
                <c:pt idx="1">
                  <c:v>235</c:v>
                </c:pt>
                <c:pt idx="2">
                  <c:v>235</c:v>
                </c:pt>
                <c:pt idx="3">
                  <c:v>312.42</c:v>
                </c:pt>
                <c:pt idx="4">
                  <c:v>312.42</c:v>
                </c:pt>
                <c:pt idx="5">
                  <c:v>312.42</c:v>
                </c:pt>
                <c:pt idx="6">
                  <c:v>581.99</c:v>
                </c:pt>
                <c:pt idx="7">
                  <c:v>1700</c:v>
                </c:pt>
                <c:pt idx="8">
                  <c:v>1647.37</c:v>
                </c:pt>
                <c:pt idx="9">
                  <c:v>1378.88</c:v>
                </c:pt>
                <c:pt idx="10">
                  <c:v>1378.88</c:v>
                </c:pt>
                <c:pt idx="11">
                  <c:v>1221.25</c:v>
                </c:pt>
                <c:pt idx="12">
                  <c:v>312.42</c:v>
                </c:pt>
                <c:pt idx="13">
                  <c:v>760.92</c:v>
                </c:pt>
                <c:pt idx="14">
                  <c:v>760.92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6-4F1B-A846-449190F1F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389007"/>
        <c:axId val="1983394287"/>
      </c:lineChart>
      <c:catAx>
        <c:axId val="1983389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394287"/>
        <c:crosses val="autoZero"/>
        <c:auto val="1"/>
        <c:lblAlgn val="ctr"/>
        <c:lblOffset val="100"/>
        <c:noMultiLvlLbl val="0"/>
      </c:catAx>
      <c:valAx>
        <c:axId val="198339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Temprature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38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Temprature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Cycle!$B$93:$N$93</c:f>
              <c:numCache>
                <c:formatCode>General</c:formatCode>
                <c:ptCount val="13"/>
                <c:pt idx="0">
                  <c:v>2</c:v>
                </c:pt>
                <c:pt idx="1">
                  <c:v>21</c:v>
                </c:pt>
                <c:pt idx="2">
                  <c:v>25</c:v>
                </c:pt>
                <c:pt idx="3">
                  <c:v>3</c:v>
                </c:pt>
                <c:pt idx="4">
                  <c:v>4</c:v>
                </c:pt>
                <c:pt idx="5">
                  <c:v>44</c:v>
                </c:pt>
                <c:pt idx="6">
                  <c:v>45</c:v>
                </c:pt>
                <c:pt idx="7">
                  <c:v>5</c:v>
                </c:pt>
                <c:pt idx="8">
                  <c:v>6</c:v>
                </c:pt>
                <c:pt idx="9">
                  <c:v>13</c:v>
                </c:pt>
                <c:pt idx="10">
                  <c:v>16</c:v>
                </c:pt>
                <c:pt idx="11">
                  <c:v>64</c:v>
                </c:pt>
                <c:pt idx="12">
                  <c:v>8</c:v>
                </c:pt>
              </c:numCache>
            </c:numRef>
          </c:cat>
          <c:val>
            <c:numRef>
              <c:f>Cycle!$B$94:$N$94</c:f>
              <c:numCache>
                <c:formatCode>General</c:formatCode>
                <c:ptCount val="13"/>
                <c:pt idx="0">
                  <c:v>234.99700000000001</c:v>
                </c:pt>
                <c:pt idx="1">
                  <c:v>323.56900000000002</c:v>
                </c:pt>
                <c:pt idx="2">
                  <c:v>323.56900000000002</c:v>
                </c:pt>
                <c:pt idx="3">
                  <c:v>682.16300000000001</c:v>
                </c:pt>
                <c:pt idx="4">
                  <c:v>1606.68</c:v>
                </c:pt>
                <c:pt idx="5">
                  <c:v>1174.73</c:v>
                </c:pt>
                <c:pt idx="6">
                  <c:v>1174.73</c:v>
                </c:pt>
                <c:pt idx="7">
                  <c:v>954.84900000000005</c:v>
                </c:pt>
                <c:pt idx="8">
                  <c:v>942.15200000000004</c:v>
                </c:pt>
                <c:pt idx="9">
                  <c:v>323.56900000000002</c:v>
                </c:pt>
                <c:pt idx="10">
                  <c:v>323.57</c:v>
                </c:pt>
                <c:pt idx="11">
                  <c:v>595.22900000000004</c:v>
                </c:pt>
                <c:pt idx="12">
                  <c:v>595.22900000000004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7-4175-9917-FDC93DE89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558768"/>
        <c:axId val="991576256"/>
      </c:lineChart>
      <c:catAx>
        <c:axId val="98755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576256"/>
        <c:crosses val="autoZero"/>
        <c:auto val="1"/>
        <c:lblAlgn val="ctr"/>
        <c:lblOffset val="100"/>
        <c:noMultiLvlLbl val="0"/>
      </c:catAx>
      <c:valAx>
        <c:axId val="99157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Temprature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5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Cycle!$B$93:$N$93</c:f>
              <c:numCache>
                <c:formatCode>General</c:formatCode>
                <c:ptCount val="13"/>
                <c:pt idx="0">
                  <c:v>2</c:v>
                </c:pt>
                <c:pt idx="1">
                  <c:v>21</c:v>
                </c:pt>
                <c:pt idx="2">
                  <c:v>25</c:v>
                </c:pt>
                <c:pt idx="3">
                  <c:v>3</c:v>
                </c:pt>
                <c:pt idx="4">
                  <c:v>4</c:v>
                </c:pt>
                <c:pt idx="5">
                  <c:v>44</c:v>
                </c:pt>
                <c:pt idx="6">
                  <c:v>45</c:v>
                </c:pt>
                <c:pt idx="7">
                  <c:v>5</c:v>
                </c:pt>
                <c:pt idx="8">
                  <c:v>6</c:v>
                </c:pt>
                <c:pt idx="9">
                  <c:v>13</c:v>
                </c:pt>
                <c:pt idx="10">
                  <c:v>16</c:v>
                </c:pt>
                <c:pt idx="11">
                  <c:v>64</c:v>
                </c:pt>
                <c:pt idx="12">
                  <c:v>8</c:v>
                </c:pt>
              </c:numCache>
            </c:numRef>
          </c:cat>
          <c:val>
            <c:numRef>
              <c:f>Cycle!$B$96:$N$96</c:f>
              <c:numCache>
                <c:formatCode>General</c:formatCode>
                <c:ptCount val="13"/>
                <c:pt idx="0">
                  <c:v>26.881799999999998</c:v>
                </c:pt>
                <c:pt idx="1">
                  <c:v>75.269199999999998</c:v>
                </c:pt>
                <c:pt idx="2">
                  <c:v>74.516499999999994</c:v>
                </c:pt>
                <c:pt idx="3">
                  <c:v>783.45299999999997</c:v>
                </c:pt>
                <c:pt idx="4">
                  <c:v>759.94899999999996</c:v>
                </c:pt>
                <c:pt idx="5">
                  <c:v>215.59899999999999</c:v>
                </c:pt>
                <c:pt idx="6">
                  <c:v>211.28700000000001</c:v>
                </c:pt>
                <c:pt idx="7">
                  <c:v>90.184399999999997</c:v>
                </c:pt>
                <c:pt idx="8">
                  <c:v>88.380700000000004</c:v>
                </c:pt>
                <c:pt idx="9">
                  <c:v>75.269199999999998</c:v>
                </c:pt>
                <c:pt idx="10">
                  <c:v>73.011099999999999</c:v>
                </c:pt>
                <c:pt idx="11">
                  <c:v>77.872799999999998</c:v>
                </c:pt>
                <c:pt idx="12">
                  <c:v>77.872799999999998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5-4488-95DF-27BE8B15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7280"/>
        <c:axId val="544234400"/>
      </c:lineChart>
      <c:catAx>
        <c:axId val="54423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4400"/>
        <c:crosses val="autoZero"/>
        <c:auto val="1"/>
        <c:lblAlgn val="ctr"/>
        <c:lblOffset val="100"/>
        <c:noMultiLvlLbl val="0"/>
      </c:catAx>
      <c:valAx>
        <c:axId val="5442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38100">
              <a:noFill/>
            </a:ln>
          </c:spPr>
          <c:xVal>
            <c:numRef>
              <c:f>MIXER!$D$28:$D$43</c:f>
              <c:numCache>
                <c:formatCode>General</c:formatCode>
                <c:ptCount val="16"/>
                <c:pt idx="0">
                  <c:v>0.85000000000000009</c:v>
                </c:pt>
                <c:pt idx="1">
                  <c:v>0.90000000000000013</c:v>
                </c:pt>
                <c:pt idx="2">
                  <c:v>0.95000000000000018</c:v>
                </c:pt>
                <c:pt idx="3">
                  <c:v>1.0000000000000002</c:v>
                </c:pt>
                <c:pt idx="4">
                  <c:v>1.0500000000000003</c:v>
                </c:pt>
                <c:pt idx="5">
                  <c:v>1.1000000000000003</c:v>
                </c:pt>
                <c:pt idx="6">
                  <c:v>1.1500000000000004</c:v>
                </c:pt>
                <c:pt idx="7">
                  <c:v>1.2000000000000004</c:v>
                </c:pt>
                <c:pt idx="8">
                  <c:v>1.2500000000000004</c:v>
                </c:pt>
                <c:pt idx="9">
                  <c:v>1.3000000000000005</c:v>
                </c:pt>
                <c:pt idx="10">
                  <c:v>1.3500000000000005</c:v>
                </c:pt>
                <c:pt idx="11">
                  <c:v>1.4000000000000006</c:v>
                </c:pt>
                <c:pt idx="12">
                  <c:v>1.4500000000000006</c:v>
                </c:pt>
                <c:pt idx="13">
                  <c:v>1.5000000000000007</c:v>
                </c:pt>
                <c:pt idx="14">
                  <c:v>1.5500000000000007</c:v>
                </c:pt>
                <c:pt idx="15">
                  <c:v>1.6000000000000008</c:v>
                </c:pt>
              </c:numCache>
            </c:numRef>
          </c:xVal>
          <c:yVal>
            <c:numRef>
              <c:f>MIXER!$F$28:$F$43</c:f>
              <c:numCache>
                <c:formatCode>General</c:formatCode>
                <c:ptCount val="16"/>
                <c:pt idx="0">
                  <c:v>0.99373922743191234</c:v>
                </c:pt>
                <c:pt idx="1">
                  <c:v>0.99373922743191234</c:v>
                </c:pt>
                <c:pt idx="2">
                  <c:v>0.99373922743191234</c:v>
                </c:pt>
                <c:pt idx="3">
                  <c:v>0.99373922743191234</c:v>
                </c:pt>
                <c:pt idx="4">
                  <c:v>0.99373922743191234</c:v>
                </c:pt>
                <c:pt idx="5">
                  <c:v>0.99373922743191234</c:v>
                </c:pt>
                <c:pt idx="6">
                  <c:v>0.99373922743191234</c:v>
                </c:pt>
                <c:pt idx="7">
                  <c:v>0.99373922743191234</c:v>
                </c:pt>
                <c:pt idx="8">
                  <c:v>0.99373922743191234</c:v>
                </c:pt>
                <c:pt idx="9">
                  <c:v>0.99373922743191234</c:v>
                </c:pt>
                <c:pt idx="10">
                  <c:v>0.99373922743191234</c:v>
                </c:pt>
                <c:pt idx="11">
                  <c:v>0.99373922743191234</c:v>
                </c:pt>
                <c:pt idx="12">
                  <c:v>0.99373922743191234</c:v>
                </c:pt>
                <c:pt idx="13">
                  <c:v>0.99373922743191234</c:v>
                </c:pt>
                <c:pt idx="14">
                  <c:v>0.99373922743191234</c:v>
                </c:pt>
                <c:pt idx="15">
                  <c:v>0.99373922743191234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F8-4199-8297-6115EFC44212}"/>
            </c:ext>
          </c:extLst>
        </c:ser>
        <c:ser>
          <c:idx val="0"/>
          <c:order val="1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MIXER!$D$55:$D$65</c:f>
              <c:numCache>
                <c:formatCode>General</c:formatCode>
                <c:ptCount val="11"/>
                <c:pt idx="0">
                  <c:v>0.65000000000000013</c:v>
                </c:pt>
                <c:pt idx="1">
                  <c:v>0.70000000000000018</c:v>
                </c:pt>
                <c:pt idx="2">
                  <c:v>0.75000000000000022</c:v>
                </c:pt>
                <c:pt idx="3">
                  <c:v>0.80000000000000027</c:v>
                </c:pt>
                <c:pt idx="4">
                  <c:v>0.85000000000000031</c:v>
                </c:pt>
                <c:pt idx="5">
                  <c:v>0.90000000000000036</c:v>
                </c:pt>
                <c:pt idx="6">
                  <c:v>0.9500000000000004</c:v>
                </c:pt>
                <c:pt idx="7">
                  <c:v>1.0000000000000004</c:v>
                </c:pt>
                <c:pt idx="8">
                  <c:v>1.0500000000000005</c:v>
                </c:pt>
                <c:pt idx="9">
                  <c:v>1.1000000000000005</c:v>
                </c:pt>
                <c:pt idx="10">
                  <c:v>1.1500000000000006</c:v>
                </c:pt>
              </c:numCache>
            </c:numRef>
          </c:xVal>
          <c:yVal>
            <c:numRef>
              <c:f>MIXER!$F$55:$F$65</c:f>
              <c:numCache>
                <c:formatCode>General</c:formatCode>
                <c:ptCount val="11"/>
                <c:pt idx="0">
                  <c:v>1.3635298198141084</c:v>
                </c:pt>
                <c:pt idx="1">
                  <c:v>1.2948786587176893</c:v>
                </c:pt>
                <c:pt idx="2">
                  <c:v>1.2327138362660162</c:v>
                </c:pt>
                <c:pt idx="3">
                  <c:v>1.1762759608512066</c:v>
                </c:pt>
                <c:pt idx="4">
                  <c:v>1.1248249814975133</c:v>
                </c:pt>
                <c:pt idx="5">
                  <c:v>1.0776708751520596</c:v>
                </c:pt>
                <c:pt idx="6">
                  <c:v>1.0341778012282972</c:v>
                </c:pt>
                <c:pt idx="7">
                  <c:v>0.99373922743191279</c:v>
                </c:pt>
                <c:pt idx="8">
                  <c:v>0.95570865996456433</c:v>
                </c:pt>
                <c:pt idx="9">
                  <c:v>0.91918919962978551</c:v>
                </c:pt>
                <c:pt idx="10">
                  <c:v>0.88190230108573608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F8-4199-8297-6115EFC44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845872"/>
        <c:axId val="1066855472"/>
      </c:scatterChart>
      <c:valAx>
        <c:axId val="1066845872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55472"/>
        <c:crosses val="autoZero"/>
        <c:crossBetween val="midCat"/>
      </c:valAx>
      <c:valAx>
        <c:axId val="1066855472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4587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OPLINE!$Q$7:$Q$68</c:f>
              <c:numCache>
                <c:formatCode>General</c:formatCode>
                <c:ptCount val="62"/>
                <c:pt idx="0">
                  <c:v>18.560379513001827</c:v>
                </c:pt>
                <c:pt idx="1">
                  <c:v>17.79516081528994</c:v>
                </c:pt>
                <c:pt idx="2">
                  <c:v>17.029942117578049</c:v>
                </c:pt>
                <c:pt idx="3">
                  <c:v>16.264723419866165</c:v>
                </c:pt>
                <c:pt idx="4">
                  <c:v>15.499504722154278</c:v>
                </c:pt>
                <c:pt idx="5">
                  <c:v>14.734286024442389</c:v>
                </c:pt>
                <c:pt idx="6">
                  <c:v>13.969067326730503</c:v>
                </c:pt>
                <c:pt idx="7">
                  <c:v>13.203848629018616</c:v>
                </c:pt>
                <c:pt idx="8">
                  <c:v>12.438629931306728</c:v>
                </c:pt>
                <c:pt idx="9">
                  <c:v>11.673411233594843</c:v>
                </c:pt>
                <c:pt idx="10">
                  <c:v>10.908192535882955</c:v>
                </c:pt>
                <c:pt idx="11">
                  <c:v>10.142973838171068</c:v>
                </c:pt>
                <c:pt idx="12">
                  <c:v>9.377755140459179</c:v>
                </c:pt>
                <c:pt idx="13">
                  <c:v>8.6125364427472917</c:v>
                </c:pt>
                <c:pt idx="14">
                  <c:v>7.8473177450354052</c:v>
                </c:pt>
                <c:pt idx="15">
                  <c:v>7.0820990473235179</c:v>
                </c:pt>
                <c:pt idx="16">
                  <c:v>6.3168803496116306</c:v>
                </c:pt>
                <c:pt idx="17">
                  <c:v>5.5516616518997433</c:v>
                </c:pt>
                <c:pt idx="18">
                  <c:v>4.7864429541878568</c:v>
                </c:pt>
                <c:pt idx="19">
                  <c:v>4.0212242564759686</c:v>
                </c:pt>
                <c:pt idx="20">
                  <c:v>3.2560055587640822</c:v>
                </c:pt>
                <c:pt idx="21">
                  <c:v>2.4907868610521948</c:v>
                </c:pt>
                <c:pt idx="22">
                  <c:v>1.7255681633403075</c:v>
                </c:pt>
                <c:pt idx="23">
                  <c:v>0.96034946562842038</c:v>
                </c:pt>
                <c:pt idx="24">
                  <c:v>0.19513076791653319</c:v>
                </c:pt>
                <c:pt idx="25">
                  <c:v>-0.57008792979535394</c:v>
                </c:pt>
                <c:pt idx="26">
                  <c:v>-1.3353066275072412</c:v>
                </c:pt>
                <c:pt idx="27">
                  <c:v>-2.1005253252191283</c:v>
                </c:pt>
                <c:pt idx="28">
                  <c:v>-2.8657440229310156</c:v>
                </c:pt>
                <c:pt idx="29">
                  <c:v>-3.6309627206429029</c:v>
                </c:pt>
                <c:pt idx="30">
                  <c:v>-4.3961814183547894</c:v>
                </c:pt>
                <c:pt idx="31">
                  <c:v>55.124272600057346</c:v>
                </c:pt>
                <c:pt idx="32">
                  <c:v>54.177315398792011</c:v>
                </c:pt>
                <c:pt idx="33">
                  <c:v>53.230358197526684</c:v>
                </c:pt>
                <c:pt idx="34">
                  <c:v>52.283400996261349</c:v>
                </c:pt>
                <c:pt idx="35">
                  <c:v>51.336443794996022</c:v>
                </c:pt>
                <c:pt idx="36">
                  <c:v>50.389486593730702</c:v>
                </c:pt>
                <c:pt idx="37">
                  <c:v>49.44252939246536</c:v>
                </c:pt>
                <c:pt idx="38">
                  <c:v>48.495572191200033</c:v>
                </c:pt>
                <c:pt idx="39">
                  <c:v>47.548614989934705</c:v>
                </c:pt>
                <c:pt idx="40">
                  <c:v>46.601657788669378</c:v>
                </c:pt>
                <c:pt idx="41">
                  <c:v>45.654700587404044</c:v>
                </c:pt>
                <c:pt idx="42">
                  <c:v>44.707743386138716</c:v>
                </c:pt>
                <c:pt idx="43">
                  <c:v>43.760786184873389</c:v>
                </c:pt>
                <c:pt idx="44">
                  <c:v>42.813828983608062</c:v>
                </c:pt>
                <c:pt idx="45">
                  <c:v>41.866871782342727</c:v>
                </c:pt>
                <c:pt idx="46">
                  <c:v>40.9199145810774</c:v>
                </c:pt>
                <c:pt idx="47">
                  <c:v>39.972957379812073</c:v>
                </c:pt>
                <c:pt idx="48">
                  <c:v>39.026000178546738</c:v>
                </c:pt>
                <c:pt idx="49">
                  <c:v>38.079042977281411</c:v>
                </c:pt>
                <c:pt idx="50">
                  <c:v>37.132085776016083</c:v>
                </c:pt>
                <c:pt idx="51">
                  <c:v>36.185128574750756</c:v>
                </c:pt>
                <c:pt idx="52">
                  <c:v>35.238171373485422</c:v>
                </c:pt>
                <c:pt idx="53">
                  <c:v>34.291214172220094</c:v>
                </c:pt>
                <c:pt idx="54">
                  <c:v>33.344256970954767</c:v>
                </c:pt>
                <c:pt idx="55">
                  <c:v>32.39729976968944</c:v>
                </c:pt>
                <c:pt idx="56">
                  <c:v>31.450342568424105</c:v>
                </c:pt>
                <c:pt idx="57">
                  <c:v>30.503385367158778</c:v>
                </c:pt>
                <c:pt idx="58">
                  <c:v>29.556428165893443</c:v>
                </c:pt>
                <c:pt idx="59">
                  <c:v>28.609470964628116</c:v>
                </c:pt>
                <c:pt idx="60">
                  <c:v>27.662513763362789</c:v>
                </c:pt>
                <c:pt idx="61">
                  <c:v>26.715556562097458</c:v>
                </c:pt>
              </c:numCache>
            </c:numRef>
          </c:xVal>
          <c:yVal>
            <c:numRef>
              <c:f>OPLINE!$F$7:$F$68</c:f>
              <c:numCache>
                <c:formatCode>General</c:formatCode>
                <c:ptCount val="62"/>
                <c:pt idx="0">
                  <c:v>24.255000000000003</c:v>
                </c:pt>
                <c:pt idx="1">
                  <c:v>23.255000000000003</c:v>
                </c:pt>
                <c:pt idx="2">
                  <c:v>22.255000000000003</c:v>
                </c:pt>
                <c:pt idx="3">
                  <c:v>21.255000000000003</c:v>
                </c:pt>
                <c:pt idx="4">
                  <c:v>20.255000000000003</c:v>
                </c:pt>
                <c:pt idx="5">
                  <c:v>19.255000000000003</c:v>
                </c:pt>
                <c:pt idx="6">
                  <c:v>18.255000000000003</c:v>
                </c:pt>
                <c:pt idx="7">
                  <c:v>17.255000000000003</c:v>
                </c:pt>
                <c:pt idx="8">
                  <c:v>16.255000000000003</c:v>
                </c:pt>
                <c:pt idx="9">
                  <c:v>15.255000000000003</c:v>
                </c:pt>
                <c:pt idx="10">
                  <c:v>14.255000000000003</c:v>
                </c:pt>
                <c:pt idx="11">
                  <c:v>13.255000000000003</c:v>
                </c:pt>
                <c:pt idx="12">
                  <c:v>12.255000000000003</c:v>
                </c:pt>
                <c:pt idx="13">
                  <c:v>11.255000000000003</c:v>
                </c:pt>
                <c:pt idx="14">
                  <c:v>10.255000000000003</c:v>
                </c:pt>
                <c:pt idx="15">
                  <c:v>9.2550000000000026</c:v>
                </c:pt>
                <c:pt idx="16">
                  <c:v>8.2550000000000026</c:v>
                </c:pt>
                <c:pt idx="17">
                  <c:v>7.2550000000000026</c:v>
                </c:pt>
                <c:pt idx="18">
                  <c:v>6.2550000000000026</c:v>
                </c:pt>
                <c:pt idx="19">
                  <c:v>5.2550000000000026</c:v>
                </c:pt>
                <c:pt idx="20">
                  <c:v>4.2550000000000026</c:v>
                </c:pt>
                <c:pt idx="21">
                  <c:v>3.2550000000000026</c:v>
                </c:pt>
                <c:pt idx="22">
                  <c:v>2.2550000000000026</c:v>
                </c:pt>
                <c:pt idx="23">
                  <c:v>1.2550000000000026</c:v>
                </c:pt>
                <c:pt idx="24">
                  <c:v>0.25500000000000256</c:v>
                </c:pt>
                <c:pt idx="25">
                  <c:v>-0.74499999999999744</c:v>
                </c:pt>
                <c:pt idx="26">
                  <c:v>-1.7449999999999974</c:v>
                </c:pt>
                <c:pt idx="27">
                  <c:v>-2.7449999999999974</c:v>
                </c:pt>
                <c:pt idx="28">
                  <c:v>-3.7449999999999974</c:v>
                </c:pt>
                <c:pt idx="29">
                  <c:v>-4.7449999999999974</c:v>
                </c:pt>
                <c:pt idx="30">
                  <c:v>-5.7449999999999974</c:v>
                </c:pt>
                <c:pt idx="31">
                  <c:v>58.211999999999982</c:v>
                </c:pt>
                <c:pt idx="32">
                  <c:v>57.211999999999982</c:v>
                </c:pt>
                <c:pt idx="33">
                  <c:v>56.211999999999982</c:v>
                </c:pt>
                <c:pt idx="34">
                  <c:v>55.211999999999982</c:v>
                </c:pt>
                <c:pt idx="35">
                  <c:v>54.211999999999982</c:v>
                </c:pt>
                <c:pt idx="36">
                  <c:v>53.211999999999982</c:v>
                </c:pt>
                <c:pt idx="37">
                  <c:v>52.211999999999982</c:v>
                </c:pt>
                <c:pt idx="38">
                  <c:v>51.211999999999982</c:v>
                </c:pt>
                <c:pt idx="39">
                  <c:v>50.211999999999982</c:v>
                </c:pt>
                <c:pt idx="40">
                  <c:v>49.211999999999982</c:v>
                </c:pt>
                <c:pt idx="41">
                  <c:v>48.211999999999982</c:v>
                </c:pt>
                <c:pt idx="42">
                  <c:v>47.211999999999982</c:v>
                </c:pt>
                <c:pt idx="43">
                  <c:v>46.211999999999982</c:v>
                </c:pt>
                <c:pt idx="44">
                  <c:v>45.211999999999982</c:v>
                </c:pt>
                <c:pt idx="45">
                  <c:v>44.211999999999982</c:v>
                </c:pt>
                <c:pt idx="46">
                  <c:v>43.211999999999982</c:v>
                </c:pt>
                <c:pt idx="47">
                  <c:v>42.211999999999982</c:v>
                </c:pt>
                <c:pt idx="48">
                  <c:v>41.211999999999982</c:v>
                </c:pt>
                <c:pt idx="49">
                  <c:v>40.211999999999982</c:v>
                </c:pt>
                <c:pt idx="50">
                  <c:v>39.211999999999982</c:v>
                </c:pt>
                <c:pt idx="51">
                  <c:v>38.211999999999982</c:v>
                </c:pt>
                <c:pt idx="52">
                  <c:v>37.211999999999982</c:v>
                </c:pt>
                <c:pt idx="53">
                  <c:v>36.211999999999982</c:v>
                </c:pt>
                <c:pt idx="54">
                  <c:v>35.211999999999982</c:v>
                </c:pt>
                <c:pt idx="55">
                  <c:v>34.211999999999982</c:v>
                </c:pt>
                <c:pt idx="56">
                  <c:v>33.211999999999982</c:v>
                </c:pt>
                <c:pt idx="57">
                  <c:v>32.211999999999982</c:v>
                </c:pt>
                <c:pt idx="58">
                  <c:v>31.211999999999982</c:v>
                </c:pt>
                <c:pt idx="59">
                  <c:v>30.211999999999982</c:v>
                </c:pt>
                <c:pt idx="60">
                  <c:v>29.211999999999982</c:v>
                </c:pt>
                <c:pt idx="61">
                  <c:v>28.211999999999982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6-4403-B70F-B00E39455B2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OPLINE!$P$7:$P$68</c:f>
              <c:numCache>
                <c:formatCode>General</c:formatCode>
                <c:ptCount val="62"/>
                <c:pt idx="0">
                  <c:v>16.6875442609647</c:v>
                </c:pt>
                <c:pt idx="1">
                  <c:v>16.856956847868016</c:v>
                </c:pt>
                <c:pt idx="2">
                  <c:v>17.037174733563813</c:v>
                </c:pt>
                <c:pt idx="3">
                  <c:v>17.229475849374715</c:v>
                </c:pt>
                <c:pt idx="4">
                  <c:v>17.435364871928329</c:v>
                </c:pt>
                <c:pt idx="5">
                  <c:v>17.656628220818352</c:v>
                </c:pt>
                <c:pt idx="6">
                  <c:v>17.895406372573881</c:v>
                </c:pt>
                <c:pt idx="7">
                  <c:v>18.15429034391844</c:v>
                </c:pt>
                <c:pt idx="8">
                  <c:v>18.436452534560868</c:v>
                </c:pt>
                <c:pt idx="9">
                  <c:v>18.745827428422338</c:v>
                </c:pt>
                <c:pt idx="10">
                  <c:v>19.087366331609807</c:v>
                </c:pt>
                <c:pt idx="11">
                  <c:v>19.46740496157625</c:v>
                </c:pt>
                <c:pt idx="12">
                  <c:v>19.894208266249429</c:v>
                </c:pt>
                <c:pt idx="13">
                  <c:v>20.378803343396612</c:v>
                </c:pt>
                <c:pt idx="14">
                  <c:v>20.936299935872469</c:v>
                </c:pt>
                <c:pt idx="15">
                  <c:v>21.588076413223405</c:v>
                </c:pt>
                <c:pt idx="16">
                  <c:v>22.365592950414559</c:v>
                </c:pt>
                <c:pt idx="17">
                  <c:v>23.317488186487545</c:v>
                </c:pt>
                <c:pt idx="18">
                  <c:v>24.523921214189556</c:v>
                </c:pt>
                <c:pt idx="19">
                  <c:v>26.128889321047836</c:v>
                </c:pt>
                <c:pt idx="20">
                  <c:v>28.424978664442346</c:v>
                </c:pt>
                <c:pt idx="21">
                  <c:v>32.133031537445945</c:v>
                </c:pt>
                <c:pt idx="22">
                  <c:v>39.789494682827332</c:v>
                </c:pt>
                <c:pt idx="23">
                  <c:v>78.585060349244287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13.738759665243249</c:v>
                </c:pt>
                <c:pt idx="32">
                  <c:v>13.788417564495592</c:v>
                </c:pt>
                <c:pt idx="33">
                  <c:v>13.839252051896802</c:v>
                </c:pt>
                <c:pt idx="34">
                  <c:v>13.891314039680084</c:v>
                </c:pt>
                <c:pt idx="35">
                  <c:v>13.944657663900268</c:v>
                </c:pt>
                <c:pt idx="36">
                  <c:v>13.999340555271536</c:v>
                </c:pt>
                <c:pt idx="37">
                  <c:v>14.055424138559612</c:v>
                </c:pt>
                <c:pt idx="38">
                  <c:v>14.11297396417333</c:v>
                </c:pt>
                <c:pt idx="39">
                  <c:v>14.172060076149773</c:v>
                </c:pt>
                <c:pt idx="40">
                  <c:v>14.232757421372634</c:v>
                </c:pt>
                <c:pt idx="41">
                  <c:v>14.295146305623856</c:v>
                </c:pt>
                <c:pt idx="42">
                  <c:v>14.359312902967796</c:v>
                </c:pt>
                <c:pt idx="43">
                  <c:v>14.425349826034008</c:v>
                </c:pt>
                <c:pt idx="44">
                  <c:v>14.493356766034548</c:v>
                </c:pt>
                <c:pt idx="45">
                  <c:v>14.563441212869703</c:v>
                </c:pt>
                <c:pt idx="46">
                  <c:v>14.635719267496635</c:v>
                </c:pt>
                <c:pt idx="47">
                  <c:v>14.71031656092865</c:v>
                </c:pt>
                <c:pt idx="48">
                  <c:v>14.787369296885815</c:v>
                </c:pt>
                <c:pt idx="49">
                  <c:v>14.867025438340685</c:v>
                </c:pt>
                <c:pt idx="50">
                  <c:v>14.94944606213755</c:v>
                </c:pt>
                <c:pt idx="51">
                  <c:v>15.034806910689376</c:v>
                </c:pt>
                <c:pt idx="52">
                  <c:v>15.123300175706273</c:v>
                </c:pt>
                <c:pt idx="53">
                  <c:v>15.21513655628376</c:v>
                </c:pt>
                <c:pt idx="54">
                  <c:v>15.310547642871542</c:v>
                </c:pt>
                <c:pt idx="55">
                  <c:v>15.409788690169934</c:v>
                </c:pt>
                <c:pt idx="56">
                  <c:v>15.513141856546001</c:v>
                </c:pt>
                <c:pt idx="57">
                  <c:v>15.620920006036792</c:v>
                </c:pt>
                <c:pt idx="58">
                  <c:v>15.733471192640994</c:v>
                </c:pt>
                <c:pt idx="59">
                  <c:v>15.851183977058799</c:v>
                </c:pt>
                <c:pt idx="60">
                  <c:v>15.974493765606486</c:v>
                </c:pt>
                <c:pt idx="61">
                  <c:v>16.103890412864494</c:v>
                </c:pt>
              </c:numCache>
            </c:numRef>
          </c:xVal>
          <c:yVal>
            <c:numRef>
              <c:f>OPLINE!$F$7:$F$68</c:f>
              <c:numCache>
                <c:formatCode>General</c:formatCode>
                <c:ptCount val="62"/>
                <c:pt idx="0">
                  <c:v>24.255000000000003</c:v>
                </c:pt>
                <c:pt idx="1">
                  <c:v>23.255000000000003</c:v>
                </c:pt>
                <c:pt idx="2">
                  <c:v>22.255000000000003</c:v>
                </c:pt>
                <c:pt idx="3">
                  <c:v>21.255000000000003</c:v>
                </c:pt>
                <c:pt idx="4">
                  <c:v>20.255000000000003</c:v>
                </c:pt>
                <c:pt idx="5">
                  <c:v>19.255000000000003</c:v>
                </c:pt>
                <c:pt idx="6">
                  <c:v>18.255000000000003</c:v>
                </c:pt>
                <c:pt idx="7">
                  <c:v>17.255000000000003</c:v>
                </c:pt>
                <c:pt idx="8">
                  <c:v>16.255000000000003</c:v>
                </c:pt>
                <c:pt idx="9">
                  <c:v>15.255000000000003</c:v>
                </c:pt>
                <c:pt idx="10">
                  <c:v>14.255000000000003</c:v>
                </c:pt>
                <c:pt idx="11">
                  <c:v>13.255000000000003</c:v>
                </c:pt>
                <c:pt idx="12">
                  <c:v>12.255000000000003</c:v>
                </c:pt>
                <c:pt idx="13">
                  <c:v>11.255000000000003</c:v>
                </c:pt>
                <c:pt idx="14">
                  <c:v>10.255000000000003</c:v>
                </c:pt>
                <c:pt idx="15">
                  <c:v>9.2550000000000026</c:v>
                </c:pt>
                <c:pt idx="16">
                  <c:v>8.2550000000000026</c:v>
                </c:pt>
                <c:pt idx="17">
                  <c:v>7.2550000000000026</c:v>
                </c:pt>
                <c:pt idx="18">
                  <c:v>6.2550000000000026</c:v>
                </c:pt>
                <c:pt idx="19">
                  <c:v>5.2550000000000026</c:v>
                </c:pt>
                <c:pt idx="20">
                  <c:v>4.2550000000000026</c:v>
                </c:pt>
                <c:pt idx="21">
                  <c:v>3.2550000000000026</c:v>
                </c:pt>
                <c:pt idx="22">
                  <c:v>2.2550000000000026</c:v>
                </c:pt>
                <c:pt idx="23">
                  <c:v>1.2550000000000026</c:v>
                </c:pt>
                <c:pt idx="24">
                  <c:v>0.25500000000000256</c:v>
                </c:pt>
                <c:pt idx="25">
                  <c:v>-0.74499999999999744</c:v>
                </c:pt>
                <c:pt idx="26">
                  <c:v>-1.7449999999999974</c:v>
                </c:pt>
                <c:pt idx="27">
                  <c:v>-2.7449999999999974</c:v>
                </c:pt>
                <c:pt idx="28">
                  <c:v>-3.7449999999999974</c:v>
                </c:pt>
                <c:pt idx="29">
                  <c:v>-4.7449999999999974</c:v>
                </c:pt>
                <c:pt idx="30">
                  <c:v>-5.7449999999999974</c:v>
                </c:pt>
                <c:pt idx="31">
                  <c:v>58.211999999999982</c:v>
                </c:pt>
                <c:pt idx="32">
                  <c:v>57.211999999999982</c:v>
                </c:pt>
                <c:pt idx="33">
                  <c:v>56.211999999999982</c:v>
                </c:pt>
                <c:pt idx="34">
                  <c:v>55.211999999999982</c:v>
                </c:pt>
                <c:pt idx="35">
                  <c:v>54.211999999999982</c:v>
                </c:pt>
                <c:pt idx="36">
                  <c:v>53.211999999999982</c:v>
                </c:pt>
                <c:pt idx="37">
                  <c:v>52.211999999999982</c:v>
                </c:pt>
                <c:pt idx="38">
                  <c:v>51.211999999999982</c:v>
                </c:pt>
                <c:pt idx="39">
                  <c:v>50.211999999999982</c:v>
                </c:pt>
                <c:pt idx="40">
                  <c:v>49.211999999999982</c:v>
                </c:pt>
                <c:pt idx="41">
                  <c:v>48.211999999999982</c:v>
                </c:pt>
                <c:pt idx="42">
                  <c:v>47.211999999999982</c:v>
                </c:pt>
                <c:pt idx="43">
                  <c:v>46.211999999999982</c:v>
                </c:pt>
                <c:pt idx="44">
                  <c:v>45.211999999999982</c:v>
                </c:pt>
                <c:pt idx="45">
                  <c:v>44.211999999999982</c:v>
                </c:pt>
                <c:pt idx="46">
                  <c:v>43.211999999999982</c:v>
                </c:pt>
                <c:pt idx="47">
                  <c:v>42.211999999999982</c:v>
                </c:pt>
                <c:pt idx="48">
                  <c:v>41.211999999999982</c:v>
                </c:pt>
                <c:pt idx="49">
                  <c:v>40.211999999999982</c:v>
                </c:pt>
                <c:pt idx="50">
                  <c:v>39.211999999999982</c:v>
                </c:pt>
                <c:pt idx="51">
                  <c:v>38.211999999999982</c:v>
                </c:pt>
                <c:pt idx="52">
                  <c:v>37.211999999999982</c:v>
                </c:pt>
                <c:pt idx="53">
                  <c:v>36.211999999999982</c:v>
                </c:pt>
                <c:pt idx="54">
                  <c:v>35.211999999999982</c:v>
                </c:pt>
                <c:pt idx="55">
                  <c:v>34.211999999999982</c:v>
                </c:pt>
                <c:pt idx="56">
                  <c:v>33.211999999999982</c:v>
                </c:pt>
                <c:pt idx="57">
                  <c:v>32.211999999999982</c:v>
                </c:pt>
                <c:pt idx="58">
                  <c:v>31.211999999999982</c:v>
                </c:pt>
                <c:pt idx="59">
                  <c:v>30.211999999999982</c:v>
                </c:pt>
                <c:pt idx="60">
                  <c:v>29.211999999999982</c:v>
                </c:pt>
                <c:pt idx="61">
                  <c:v>28.211999999999982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8-423A-BBBA-6F243AD0A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07248"/>
        <c:axId val="158302928"/>
      </c:scatterChart>
      <c:valAx>
        <c:axId val="1583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02928"/>
        <c:crosses val="autoZero"/>
        <c:crossBetween val="midCat"/>
      </c:valAx>
      <c:valAx>
        <c:axId val="1583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0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Cpr vs Pt2/Pt1</c:v>
          </c:tx>
          <c:marker>
            <c:symbol val="none"/>
          </c:marker>
          <c:xVal>
            <c:numRef>
              <c:f>DIFF!$G$3:$G$18</c:f>
              <c:numCache>
                <c:formatCode>General</c:formatCode>
                <c:ptCount val="16"/>
                <c:pt idx="0">
                  <c:v>1</c:v>
                </c:pt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0.98</c:v>
                </c:pt>
                <c:pt idx="5">
                  <c:v>0.97499999999999998</c:v>
                </c:pt>
                <c:pt idx="6">
                  <c:v>0.97</c:v>
                </c:pt>
                <c:pt idx="7">
                  <c:v>0.96499999999999997</c:v>
                </c:pt>
                <c:pt idx="8">
                  <c:v>0.96</c:v>
                </c:pt>
                <c:pt idx="9">
                  <c:v>0.95499999999999996</c:v>
                </c:pt>
                <c:pt idx="10">
                  <c:v>0.95</c:v>
                </c:pt>
                <c:pt idx="11">
                  <c:v>0.94499999999999995</c:v>
                </c:pt>
                <c:pt idx="12">
                  <c:v>0.94</c:v>
                </c:pt>
                <c:pt idx="13">
                  <c:v>0.93499999999999994</c:v>
                </c:pt>
                <c:pt idx="14">
                  <c:v>0.92999999999999994</c:v>
                </c:pt>
                <c:pt idx="15">
                  <c:v>0.92499999999999993</c:v>
                </c:pt>
              </c:numCache>
            </c:numRef>
          </c:xVal>
          <c:yVal>
            <c:numRef>
              <c:f>DIFF!$H$3:$H$18</c:f>
              <c:numCache>
                <c:formatCode>General</c:formatCode>
                <c:ptCount val="16"/>
                <c:pt idx="0">
                  <c:v>0.13963891886445312</c:v>
                </c:pt>
                <c:pt idx="1">
                  <c:v>0.12079215271001922</c:v>
                </c:pt>
                <c:pt idx="2">
                  <c:v>0.10194538655558531</c:v>
                </c:pt>
                <c:pt idx="3">
                  <c:v>8.3098620401152068E-2</c:v>
                </c:pt>
                <c:pt idx="4">
                  <c:v>6.4251854246718157E-2</c:v>
                </c:pt>
                <c:pt idx="5">
                  <c:v>4.5405088092284905E-2</c:v>
                </c:pt>
                <c:pt idx="6">
                  <c:v>2.6558321937850998E-2</c:v>
                </c:pt>
                <c:pt idx="7">
                  <c:v>7.711555783417744E-3</c:v>
                </c:pt>
                <c:pt idx="8">
                  <c:v>-1.113521037101616E-2</c:v>
                </c:pt>
                <c:pt idx="9">
                  <c:v>-2.9981976525450066E-2</c:v>
                </c:pt>
                <c:pt idx="10">
                  <c:v>-4.8828742679883318E-2</c:v>
                </c:pt>
                <c:pt idx="11">
                  <c:v>-6.7675508834317222E-2</c:v>
                </c:pt>
                <c:pt idx="12">
                  <c:v>-8.6522274988750481E-2</c:v>
                </c:pt>
                <c:pt idx="13">
                  <c:v>-0.10536904114318438</c:v>
                </c:pt>
                <c:pt idx="14">
                  <c:v>-0.12421580729761764</c:v>
                </c:pt>
                <c:pt idx="15">
                  <c:v>-0.14306257345205153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2-4C75-A03A-30BB51946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283792"/>
        <c:axId val="1325283312"/>
      </c:scatterChart>
      <c:scatterChart>
        <c:scatterStyle val="smoothMarker"/>
        <c:varyColors val="0"/>
        <c:ser>
          <c:idx val="0"/>
          <c:order val="1"/>
          <c:tx>
            <c:v>(AR-1) vs Pt2/Pt1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DIFF!$G$3:$G$18</c:f>
              <c:numCache>
                <c:formatCode>General</c:formatCode>
                <c:ptCount val="16"/>
                <c:pt idx="0">
                  <c:v>1</c:v>
                </c:pt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0.98</c:v>
                </c:pt>
                <c:pt idx="5">
                  <c:v>0.97499999999999998</c:v>
                </c:pt>
                <c:pt idx="6">
                  <c:v>0.97</c:v>
                </c:pt>
                <c:pt idx="7">
                  <c:v>0.96499999999999997</c:v>
                </c:pt>
                <c:pt idx="8">
                  <c:v>0.96</c:v>
                </c:pt>
                <c:pt idx="9">
                  <c:v>0.95499999999999996</c:v>
                </c:pt>
                <c:pt idx="10">
                  <c:v>0.95</c:v>
                </c:pt>
                <c:pt idx="11">
                  <c:v>0.94499999999999995</c:v>
                </c:pt>
                <c:pt idx="12">
                  <c:v>0.94</c:v>
                </c:pt>
                <c:pt idx="13">
                  <c:v>0.93499999999999994</c:v>
                </c:pt>
                <c:pt idx="14">
                  <c:v>0.92999999999999994</c:v>
                </c:pt>
                <c:pt idx="15">
                  <c:v>0.92499999999999993</c:v>
                </c:pt>
              </c:numCache>
            </c:numRef>
          </c:xVal>
          <c:yVal>
            <c:numRef>
              <c:f>DIFF!$K$3:$K$18</c:f>
              <c:numCache>
                <c:formatCode>General</c:formatCode>
                <c:ptCount val="16"/>
                <c:pt idx="0">
                  <c:v>5.0495429279901138E-2</c:v>
                </c:pt>
                <c:pt idx="1">
                  <c:v>5.5774300783820063E-2</c:v>
                </c:pt>
                <c:pt idx="2">
                  <c:v>6.1106494222122443E-2</c:v>
                </c:pt>
                <c:pt idx="3">
                  <c:v>6.6492821603960639E-2</c:v>
                </c:pt>
                <c:pt idx="4">
                  <c:v>7.1934111510103316E-2</c:v>
                </c:pt>
                <c:pt idx="5">
                  <c:v>7.7431209517847099E-2</c:v>
                </c:pt>
                <c:pt idx="6">
                  <c:v>8.2984978639073503E-2</c:v>
                </c:pt>
                <c:pt idx="7">
                  <c:v>8.8596299771918297E-2</c:v>
                </c:pt>
                <c:pt idx="8">
                  <c:v>9.4266072166563797E-2</c:v>
                </c:pt>
                <c:pt idx="9">
                  <c:v>9.9995213905655689E-2</c:v>
                </c:pt>
                <c:pt idx="10">
                  <c:v>0.10578466239989592</c:v>
                </c:pt>
                <c:pt idx="11">
                  <c:v>0.11163537489936659</c:v>
                </c:pt>
                <c:pt idx="12">
                  <c:v>0.11754832902117163</c:v>
                </c:pt>
                <c:pt idx="13">
                  <c:v>0.12352452329401209</c:v>
                </c:pt>
                <c:pt idx="14">
                  <c:v>0.12956497772032383</c:v>
                </c:pt>
                <c:pt idx="15">
                  <c:v>0.13567073435665011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2-4C75-A03A-30BB51946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180351"/>
        <c:axId val="227134960"/>
      </c:scatterChart>
      <c:valAx>
        <c:axId val="132528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283312"/>
        <c:crosses val="autoZero"/>
        <c:crossBetween val="midCat"/>
      </c:valAx>
      <c:valAx>
        <c:axId val="132528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283792"/>
        <c:crosses val="autoZero"/>
        <c:crossBetween val="midCat"/>
      </c:valAx>
      <c:valAx>
        <c:axId val="2271349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(AR-1)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180351"/>
        <c:crosses val="max"/>
        <c:crossBetween val="midCat"/>
      </c:valAx>
      <c:valAx>
        <c:axId val="211318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713496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08092738407699"/>
          <c:y val="0.27379275234471351"/>
          <c:w val="0.80409353429866182"/>
          <c:h val="0.5220733620069136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DIFF!$L$39:$L$40</c:f>
              <c:numCache>
                <c:formatCode>General</c:formatCode>
                <c:ptCount val="2"/>
                <c:pt idx="0">
                  <c:v>1E-3</c:v>
                </c:pt>
                <c:pt idx="1">
                  <c:v>40</c:v>
                </c:pt>
              </c:numCache>
            </c:numRef>
          </c:xVal>
          <c:yVal>
            <c:numRef>
              <c:f>DIFF!$M$39:$M$40</c:f>
              <c:numCache>
                <c:formatCode>General</c:formatCode>
                <c:ptCount val="2"/>
                <c:pt idx="0">
                  <c:v>6.1106494222122443E-2</c:v>
                </c:pt>
                <c:pt idx="1">
                  <c:v>6.1106494222122443E-2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89-4C4C-B4D6-03308A147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699952"/>
        <c:axId val="112767728"/>
      </c:scatterChart>
      <c:valAx>
        <c:axId val="1316699952"/>
        <c:scaling>
          <c:logBase val="2"/>
          <c:orientation val="minMax"/>
          <c:max val="40"/>
          <c:min val="1.0000000000000002E-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767728"/>
        <c:crosses val="autoZero"/>
        <c:crossBetween val="midCat"/>
      </c:valAx>
      <c:valAx>
        <c:axId val="11276772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699952"/>
        <c:crossesAt val="1.0000000000000002E-3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image" Target="../media/image16.png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13</xdr:row>
      <xdr:rowOff>188632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22CE70-DBF4-42D0-8C4C-66AB0A6DA4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13</xdr:row>
      <xdr:rowOff>188632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444B46-56AF-46DC-B1B8-B699D91CE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13</xdr:row>
      <xdr:rowOff>188632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A6C5F0-7CFB-432C-97B6-B3685E4F4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14</xdr:row>
      <xdr:rowOff>373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E71B21-C735-4E6B-8B53-DCF08799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883211</xdr:colOff>
      <xdr:row>12</xdr:row>
      <xdr:rowOff>98986</xdr:rowOff>
    </xdr:from>
    <xdr:to>
      <xdr:col>12</xdr:col>
      <xdr:colOff>641911</xdr:colOff>
      <xdr:row>30</xdr:row>
      <xdr:rowOff>57524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2AC441-5E11-400F-8348-BA14EC063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13</xdr:row>
      <xdr:rowOff>188632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8C7BA-7B5A-4784-B82D-1C1E12D18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793563</xdr:colOff>
      <xdr:row>13</xdr:row>
      <xdr:rowOff>188632</xdr:rowOff>
    </xdr:from>
    <xdr:to>
      <xdr:col>12</xdr:col>
      <xdr:colOff>552263</xdr:colOff>
      <xdr:row>31</xdr:row>
      <xdr:rowOff>158376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6E1EA9-4863-468A-9E91-B15D41DC9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439581</xdr:colOff>
      <xdr:row>2</xdr:row>
      <xdr:rowOff>128112</xdr:rowOff>
    </xdr:from>
    <xdr:to>
      <xdr:col>21</xdr:col>
      <xdr:colOff>226219</xdr:colOff>
      <xdr:row>35</xdr:row>
      <xdr:rowOff>83344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03112E-5EF9-4ED1-B2D6-DECB57005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1144905</xdr:colOff>
      <xdr:row>38</xdr:row>
      <xdr:rowOff>152400</xdr:rowOff>
    </xdr:from>
    <xdr:to>
      <xdr:col>11</xdr:col>
      <xdr:colOff>1160145</xdr:colOff>
      <xdr:row>55</xdr:row>
      <xdr:rowOff>125729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F416BB-4E2B-60C4-FEBE-8EC8C1063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545855</xdr:colOff>
      <xdr:row>19</xdr:row>
      <xdr:rowOff>152401</xdr:rowOff>
    </xdr:from>
    <xdr:to>
      <xdr:col>25</xdr:col>
      <xdr:colOff>399316</xdr:colOff>
      <xdr:row>34</xdr:row>
      <xdr:rowOff>38101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E9CF-8DA0-45B5-989C-837312CE4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512884</xdr:colOff>
      <xdr:row>20</xdr:row>
      <xdr:rowOff>7327</xdr:rowOff>
    </xdr:from>
    <xdr:to>
      <xdr:col>30</xdr:col>
      <xdr:colOff>578827</xdr:colOff>
      <xdr:row>34</xdr:row>
      <xdr:rowOff>83527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44DED6-028C-416E-B264-1DA40E896101}"/>
            </a:ext>
            <a:ext uri="{147F2762-F138-4A5C-976F-8EAC2B608ADB}">
              <a16:predDERef xmlns:a16="http://schemas.microsoft.com/office/drawing/2014/main" pred="{B63BE9CF-8DA0-45B5-989C-837312CE4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402981</xdr:colOff>
      <xdr:row>19</xdr:row>
      <xdr:rowOff>123091</xdr:rowOff>
    </xdr:from>
    <xdr:to>
      <xdr:col>19</xdr:col>
      <xdr:colOff>520212</xdr:colOff>
      <xdr:row>32</xdr:row>
      <xdr:rowOff>58615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145C1D-E850-43CA-97E6-9E2BE50C2AE5}"/>
            </a:ext>
            <a:ext uri="{147F2762-F138-4A5C-976F-8EAC2B608ADB}">
              <a16:predDERef xmlns:a16="http://schemas.microsoft.com/office/drawing/2014/main" pred="{8D44DED6-028C-416E-B264-1DA40E896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949685</xdr:colOff>
      <xdr:row>7</xdr:row>
      <xdr:rowOff>96240</xdr:rowOff>
    </xdr:from>
    <xdr:to>
      <xdr:col>64</xdr:col>
      <xdr:colOff>568324</xdr:colOff>
      <xdr:row>22</xdr:row>
      <xdr:rowOff>98193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7CFD31-4424-4A53-BEDD-ACD274E95A24}"/>
            </a:ext>
            <a:ext uri="{147F2762-F138-4A5C-976F-8EAC2B608ADB}">
              <a16:predDERef xmlns:a16="http://schemas.microsoft.com/office/drawing/2014/main" pred="{B2145C1D-E850-43CA-97E6-9E2BE50C2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596900</xdr:colOff>
      <xdr:row>22</xdr:row>
      <xdr:rowOff>126754</xdr:rowOff>
    </xdr:from>
    <xdr:to>
      <xdr:col>57</xdr:col>
      <xdr:colOff>771281</xdr:colOff>
      <xdr:row>38</xdr:row>
      <xdr:rowOff>89647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CDAD41-B7D2-4CBA-AF7B-3931F687FEF8}"/>
            </a:ext>
            <a:ext uri="{147F2762-F138-4A5C-976F-8EAC2B608ADB}">
              <a16:predDERef xmlns:a16="http://schemas.microsoft.com/office/drawing/2014/main" pred="{6E7CFD31-4424-4A53-BEDD-ACD274E95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725768</xdr:colOff>
      <xdr:row>22</xdr:row>
      <xdr:rowOff>120650</xdr:rowOff>
    </xdr:from>
    <xdr:to>
      <xdr:col>65</xdr:col>
      <xdr:colOff>59507</xdr:colOff>
      <xdr:row>38</xdr:row>
      <xdr:rowOff>56030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5A603FE-A55F-426D-B3AD-5B98350CFFB0}"/>
            </a:ext>
            <a:ext uri="{147F2762-F138-4A5C-976F-8EAC2B608ADB}">
              <a16:predDERef xmlns:a16="http://schemas.microsoft.com/office/drawing/2014/main" pred="{61CDAD41-B7D2-4CBA-AF7B-3931F687FE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57</xdr:col>
      <xdr:colOff>733525</xdr:colOff>
      <xdr:row>38</xdr:row>
      <xdr:rowOff>61962</xdr:rowOff>
    </xdr:from>
    <xdr:to>
      <xdr:col>65</xdr:col>
      <xdr:colOff>65799</xdr:colOff>
      <xdr:row>53</xdr:row>
      <xdr:rowOff>52710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252327-BA48-401C-BBAF-943901F12795}"/>
            </a:ext>
            <a:ext uri="{147F2762-F138-4A5C-976F-8EAC2B608ADB}">
              <a16:predDERef xmlns:a16="http://schemas.microsoft.com/office/drawing/2014/main" pred="{95A603FE-A55F-426D-B3AD-5B98350CF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51</xdr:col>
      <xdr:colOff>6349</xdr:colOff>
      <xdr:row>38</xdr:row>
      <xdr:rowOff>74849</xdr:rowOff>
    </xdr:from>
    <xdr:to>
      <xdr:col>57</xdr:col>
      <xdr:colOff>792772</xdr:colOff>
      <xdr:row>53</xdr:row>
      <xdr:rowOff>46547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1B0F4A-B14A-42CB-89BE-5629709B120F}"/>
            </a:ext>
            <a:ext uri="{147F2762-F138-4A5C-976F-8EAC2B608ADB}">
              <a16:predDERef xmlns:a16="http://schemas.microsoft.com/office/drawing/2014/main" pred="{F5252327-BA48-401C-BBAF-943901F12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25</xdr:row>
      <xdr:rowOff>57150</xdr:rowOff>
    </xdr:from>
    <xdr:to>
      <xdr:col>15</xdr:col>
      <xdr:colOff>501650</xdr:colOff>
      <xdr:row>43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BB8BBF-B573-44AC-A618-D4E94CB59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116840</xdr:colOff>
      <xdr:row>5</xdr:row>
      <xdr:rowOff>75247</xdr:rowOff>
    </xdr:from>
    <xdr:to>
      <xdr:col>12</xdr:col>
      <xdr:colOff>421640</xdr:colOff>
      <xdr:row>20</xdr:row>
      <xdr:rowOff>105727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5E7C25-D234-4A49-AABC-480D20ADF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160993</xdr:colOff>
      <xdr:row>56</xdr:row>
      <xdr:rowOff>178247</xdr:rowOff>
    </xdr:from>
    <xdr:to>
      <xdr:col>15</xdr:col>
      <xdr:colOff>242049</xdr:colOff>
      <xdr:row>95</xdr:row>
      <xdr:rowOff>62752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D5FCA2-8621-4987-9708-7D64C9C0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</xdr:colOff>
      <xdr:row>95</xdr:row>
      <xdr:rowOff>107577</xdr:rowOff>
    </xdr:from>
    <xdr:to>
      <xdr:col>15</xdr:col>
      <xdr:colOff>430307</xdr:colOff>
      <xdr:row>135</xdr:row>
      <xdr:rowOff>89647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FD370C-22F3-4390-AB7B-A4D1EC4B9E19}"/>
            </a:ext>
            <a:ext uri="{147F2762-F138-4A5C-976F-8EAC2B608ADB}">
              <a16:predDERef xmlns:a16="http://schemas.microsoft.com/office/drawing/2014/main" pred="{02D5FCA2-8621-4987-9708-7D64C9C0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97155</xdr:colOff>
      <xdr:row>17</xdr:row>
      <xdr:rowOff>160972</xdr:rowOff>
    </xdr:from>
    <xdr:to>
      <xdr:col>8</xdr:col>
      <xdr:colOff>541020</xdr:colOff>
      <xdr:row>33</xdr:row>
      <xdr:rowOff>60007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2599B-CCD2-4D31-B08F-7EA6658C1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144780</xdr:colOff>
      <xdr:row>34</xdr:row>
      <xdr:rowOff>43815</xdr:rowOff>
    </xdr:from>
    <xdr:to>
      <xdr:col>8</xdr:col>
      <xdr:colOff>592455</xdr:colOff>
      <xdr:row>49</xdr:row>
      <xdr:rowOff>81915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0D9D52-5D4B-4F0E-BC86-3436EC4EB9C6}"/>
            </a:ext>
            <a:ext uri="{147F2762-F138-4A5C-976F-8EAC2B608ADB}">
              <a16:predDERef xmlns:a16="http://schemas.microsoft.com/office/drawing/2014/main" pred="{4442599B-CCD2-4D31-B08F-7EA6658C1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2</xdr:row>
      <xdr:rowOff>139700</xdr:rowOff>
    </xdr:from>
    <xdr:to>
      <xdr:col>18</xdr:col>
      <xdr:colOff>504826</xdr:colOff>
      <xdr:row>32</xdr:row>
      <xdr:rowOff>16834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1D367D1-9135-84C6-5C15-731B71B3B8B2}"/>
            </a:ext>
          </a:extLst>
        </xdr:cNvPr>
        <xdr:cNvGrpSpPr/>
      </xdr:nvGrpSpPr>
      <xdr:grpSpPr>
        <a:xfrm>
          <a:off x="5631180" y="507365"/>
          <a:ext cx="5981701" cy="5314004"/>
          <a:chOff x="5702300" y="134937"/>
          <a:chExt cx="5981701" cy="5303209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9DB423B4-209C-6B00-F9E5-AA32F6FF61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702300" y="406400"/>
            <a:ext cx="5968255" cy="5031746"/>
          </a:xfrm>
          <a:prstGeom prst="rect">
            <a:avLst/>
          </a:prstGeom>
        </xdr:spPr>
      </xdr:pic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D03D05B-008D-C6F1-9138-A1E0B6E147B8}"/>
              </a:ext>
            </a:extLst>
          </xdr:cNvPr>
          <xdr:cNvGraphicFramePr/>
        </xdr:nvGraphicFramePr>
        <xdr:xfrm>
          <a:off x="6073776" y="134937"/>
          <a:ext cx="5610225" cy="45767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131326</xdr:rowOff>
    </xdr:from>
    <xdr:to>
      <xdr:col>7</xdr:col>
      <xdr:colOff>409855</xdr:colOff>
      <xdr:row>34</xdr:row>
      <xdr:rowOff>47817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F14BA8-0E35-4A34-9328-6B472161D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207901"/>
          <a:ext cx="4677055" cy="29930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437562</xdr:colOff>
      <xdr:row>16</xdr:row>
      <xdr:rowOff>158938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E63908-69F9-45DD-8335-520D65005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704762" cy="3210113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209551</xdr:colOff>
      <xdr:row>0</xdr:row>
      <xdr:rowOff>104775</xdr:rowOff>
    </xdr:from>
    <xdr:to>
      <xdr:col>19</xdr:col>
      <xdr:colOff>488438</xdr:colOff>
      <xdr:row>32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0FFCB2A-DF37-4B28-08F4-BB7F9DA9F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6351" y="104775"/>
          <a:ext cx="6984487" cy="5768975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34</xdr:row>
      <xdr:rowOff>130175</xdr:rowOff>
    </xdr:from>
    <xdr:to>
      <xdr:col>8</xdr:col>
      <xdr:colOff>97156</xdr:colOff>
      <xdr:row>45</xdr:row>
      <xdr:rowOff>35280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8E3373-E2CC-4A31-9A0A-D57467E31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6283325"/>
          <a:ext cx="4773931" cy="1895830"/>
        </a:xfrm>
        <a:prstGeom prst="rect">
          <a:avLst/>
        </a:prstGeom>
      </xdr:spPr>
    </xdr:pic>
    <xdr:clientData/>
  </xdr:twoCellAnchor>
  <xdr:twoCellAnchor editAs="oneCell">
    <xdr:from>
      <xdr:col>0</xdr:col>
      <xdr:colOff>258953</xdr:colOff>
      <xdr:row>45</xdr:row>
      <xdr:rowOff>107639</xdr:rowOff>
    </xdr:from>
    <xdr:to>
      <xdr:col>12</xdr:col>
      <xdr:colOff>409440</xdr:colOff>
      <xdr:row>70</xdr:row>
      <xdr:rowOff>64588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374D572-2C0C-4C9A-BC47-912BCCD32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5400000">
          <a:off x="1751135" y="6759332"/>
          <a:ext cx="4481324" cy="7465687"/>
        </a:xfrm>
        <a:prstGeom prst="rect">
          <a:avLst/>
        </a:prstGeom>
      </xdr:spPr>
    </xdr:pic>
    <xdr:clientData/>
  </xdr:twoCellAnchor>
  <xdr:twoCellAnchor editAs="oneCell">
    <xdr:from>
      <xdr:col>19</xdr:col>
      <xdr:colOff>428625</xdr:colOff>
      <xdr:row>1</xdr:row>
      <xdr:rowOff>111125</xdr:rowOff>
    </xdr:from>
    <xdr:to>
      <xdr:col>31</xdr:col>
      <xdr:colOff>459457</xdr:colOff>
      <xdr:row>31</xdr:row>
      <xdr:rowOff>113621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096E44-63FA-12BB-E844-4058B5D40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11025" y="292100"/>
          <a:ext cx="7346032" cy="5431746"/>
        </a:xfrm>
        <a:prstGeom prst="rect">
          <a:avLst/>
        </a:prstGeom>
      </xdr:spPr>
    </xdr:pic>
    <xdr:clientData/>
  </xdr:twoCellAnchor>
  <xdr:twoCellAnchor editAs="oneCell">
    <xdr:from>
      <xdr:col>13</xdr:col>
      <xdr:colOff>542925</xdr:colOff>
      <xdr:row>34</xdr:row>
      <xdr:rowOff>57150</xdr:rowOff>
    </xdr:from>
    <xdr:to>
      <xdr:col>30</xdr:col>
      <xdr:colOff>182523</xdr:colOff>
      <xdr:row>66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96B4203-3FD2-72BB-8640-DEDF28204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7725" y="6210300"/>
          <a:ext cx="10002798" cy="58102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66</xdr:row>
      <xdr:rowOff>76200</xdr:rowOff>
    </xdr:from>
    <xdr:to>
      <xdr:col>30</xdr:col>
      <xdr:colOff>180975</xdr:colOff>
      <xdr:row>103</xdr:row>
      <xdr:rowOff>45746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901AFE6-F8F7-15D9-C99B-F7F667590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36000" y="12020550"/>
          <a:ext cx="9832975" cy="6665621"/>
        </a:xfrm>
        <a:prstGeom prst="rect">
          <a:avLst/>
        </a:prstGeom>
      </xdr:spPr>
    </xdr:pic>
    <xdr:clientData/>
  </xdr:twoCellAnchor>
  <xdr:twoCellAnchor editAs="oneCell">
    <xdr:from>
      <xdr:col>30</xdr:col>
      <xdr:colOff>244473</xdr:colOff>
      <xdr:row>34</xdr:row>
      <xdr:rowOff>71438</xdr:rowOff>
    </xdr:from>
    <xdr:to>
      <xdr:col>48</xdr:col>
      <xdr:colOff>241298</xdr:colOff>
      <xdr:row>68</xdr:row>
      <xdr:rowOff>166973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8D446A9-BFA2-752E-534D-0ED875ED1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818223" y="6548438"/>
          <a:ext cx="11141075" cy="6572535"/>
        </a:xfrm>
        <a:prstGeom prst="rect">
          <a:avLst/>
        </a:prstGeom>
      </xdr:spPr>
    </xdr:pic>
    <xdr:clientData/>
  </xdr:twoCellAnchor>
  <xdr:twoCellAnchor editAs="oneCell">
    <xdr:from>
      <xdr:col>30</xdr:col>
      <xdr:colOff>184150</xdr:colOff>
      <xdr:row>68</xdr:row>
      <xdr:rowOff>142875</xdr:rowOff>
    </xdr:from>
    <xdr:to>
      <xdr:col>48</xdr:col>
      <xdr:colOff>258763</xdr:colOff>
      <xdr:row>108</xdr:row>
      <xdr:rowOff>149322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1322C11-1722-3CEC-06BA-C247A0254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757900" y="13096875"/>
          <a:ext cx="11218863" cy="7626447"/>
        </a:xfrm>
        <a:prstGeom prst="rect">
          <a:avLst/>
        </a:prstGeom>
      </xdr:spPr>
    </xdr:pic>
    <xdr:clientData/>
  </xdr:twoCellAnchor>
  <xdr:twoCellAnchor>
    <xdr:from>
      <xdr:col>32</xdr:col>
      <xdr:colOff>296182</xdr:colOff>
      <xdr:row>0</xdr:row>
      <xdr:rowOff>0</xdr:rowOff>
    </xdr:from>
    <xdr:to>
      <xdr:col>43</xdr:col>
      <xdr:colOff>384082</xdr:colOff>
      <xdr:row>32</xdr:row>
      <xdr:rowOff>145843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E6A3C8A-6E39-732F-0A71-759FB521AF68}"/>
            </a:ext>
          </a:extLst>
        </xdr:cNvPr>
        <xdr:cNvGrpSpPr/>
      </xdr:nvGrpSpPr>
      <xdr:grpSpPr>
        <a:xfrm>
          <a:off x="19690641" y="0"/>
          <a:ext cx="6757305" cy="5685756"/>
          <a:chOff x="19890468" y="0"/>
          <a:chExt cx="6823435" cy="5806414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DBDDDF64-D51C-C989-1998-FDCBCBC7F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9890468" y="0"/>
            <a:ext cx="6823435" cy="5235575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363B7A9A-3CE5-BDC4-02F1-1B62660B6F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1302435" y="5032023"/>
            <a:ext cx="4059736" cy="77439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404091</xdr:colOff>
      <xdr:row>71</xdr:row>
      <xdr:rowOff>150091</xdr:rowOff>
    </xdr:from>
    <xdr:to>
      <xdr:col>12</xdr:col>
      <xdr:colOff>356420</xdr:colOff>
      <xdr:row>105</xdr:row>
      <xdr:rowOff>50315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ADA7421-1D41-BAC1-4E04-078A55218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04091" y="13265727"/>
          <a:ext cx="7295238" cy="618095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74</xdr:row>
      <xdr:rowOff>72390</xdr:rowOff>
    </xdr:from>
    <xdr:to>
      <xdr:col>5</xdr:col>
      <xdr:colOff>769620</xdr:colOff>
      <xdr:row>89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44559D-EF7B-9946-ABC1-0B328032E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487680</xdr:colOff>
      <xdr:row>74</xdr:row>
      <xdr:rowOff>93980</xdr:rowOff>
    </xdr:from>
    <xdr:to>
      <xdr:col>11</xdr:col>
      <xdr:colOff>259080</xdr:colOff>
      <xdr:row>89</xdr:row>
      <xdr:rowOff>93980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C014A244-DABD-4D19-8B78-33303EF1FBE5}"/>
            </a:ext>
            <a:ext uri="{147F2762-F138-4A5C-976F-8EAC2B608ADB}">
              <a16:predDERef xmlns:a16="http://schemas.microsoft.com/office/drawing/2014/main" pred="{5B44559D-EF7B-9946-ABC1-0B328032E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304800</xdr:colOff>
      <xdr:row>97</xdr:row>
      <xdr:rowOff>163830</xdr:rowOff>
    </xdr:from>
    <xdr:to>
      <xdr:col>12</xdr:col>
      <xdr:colOff>76200</xdr:colOff>
      <xdr:row>112</xdr:row>
      <xdr:rowOff>163830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6C27A3-716F-0AF7-41EF-4B3383D46991}"/>
            </a:ext>
            <a:ext uri="{147F2762-F138-4A5C-976F-8EAC2B608ADB}">
              <a16:predDERef xmlns:a16="http://schemas.microsoft.com/office/drawing/2014/main" pred="{C014A244-DABD-4D19-8B78-33303EF1F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784860</xdr:colOff>
      <xdr:row>97</xdr:row>
      <xdr:rowOff>179070</xdr:rowOff>
    </xdr:from>
    <xdr:to>
      <xdr:col>6</xdr:col>
      <xdr:colOff>556260</xdr:colOff>
      <xdr:row>112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017DBF-9B90-CF86-8848-8A3F694E408B}"/>
            </a:ext>
            <a:ext uri="{147F2762-F138-4A5C-976F-8EAC2B608ADB}">
              <a16:predDERef xmlns:a16="http://schemas.microsoft.com/office/drawing/2014/main" pred="{336C27A3-716F-0AF7-41EF-4B3383D469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26</xdr:row>
      <xdr:rowOff>71437</xdr:rowOff>
    </xdr:from>
    <xdr:to>
      <xdr:col>13</xdr:col>
      <xdr:colOff>209550</xdr:colOff>
      <xdr:row>40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5D2149-2919-30C2-0166-DBF2A0C79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590550</xdr:colOff>
      <xdr:row>3</xdr:row>
      <xdr:rowOff>142875</xdr:rowOff>
    </xdr:from>
    <xdr:to>
      <xdr:col>21</xdr:col>
      <xdr:colOff>143663</xdr:colOff>
      <xdr:row>18</xdr:row>
      <xdr:rowOff>95642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B945C1-7F0B-76EC-FDBF-8112FDC11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72475" y="714375"/>
          <a:ext cx="5649113" cy="281026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130175</xdr:colOff>
      <xdr:row>7</xdr:row>
      <xdr:rowOff>58737</xdr:rowOff>
    </xdr:from>
    <xdr:to>
      <xdr:col>26</xdr:col>
      <xdr:colOff>438150</xdr:colOff>
      <xdr:row>22</xdr:row>
      <xdr:rowOff>93662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E9A985-DB26-DD2A-C6E2-67A38C74FF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18</xdr:row>
      <xdr:rowOff>111125</xdr:rowOff>
    </xdr:from>
    <xdr:to>
      <xdr:col>9</xdr:col>
      <xdr:colOff>238125</xdr:colOff>
      <xdr:row>33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594C4D-C98C-4C01-AD46-516700586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584200</xdr:colOff>
      <xdr:row>18</xdr:row>
      <xdr:rowOff>95250</xdr:rowOff>
    </xdr:from>
    <xdr:ext cx="3862668" cy="2979583"/>
    <xdr:pic>
      <xdr:nvPicPr>
        <xdr:cNvPr id="3" name="Picture 2">
          <a:extLst>
            <a:ext uri="{FF2B5EF4-FFF2-40B4-BE49-F238E27FC236}">
              <a16:creationId xmlns:a16="http://schemas.microsoft.com/office/drawing/2014/main" id="{0A077C78-8963-4D39-8672-B6CEC2166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70600" y="3409950"/>
          <a:ext cx="3862668" cy="2979583"/>
        </a:xfrm>
        <a:prstGeom prst="rect">
          <a:avLst/>
        </a:prstGeom>
      </xdr:spPr>
    </xdr:pic>
    <xdr:clientData/>
  </xdr:oneCellAnchor>
  <xdr:twoCellAnchor>
    <xdr:from>
      <xdr:col>9</xdr:col>
      <xdr:colOff>433296</xdr:colOff>
      <xdr:row>25</xdr:row>
      <xdr:rowOff>37353</xdr:rowOff>
    </xdr:from>
    <xdr:to>
      <xdr:col>16</xdr:col>
      <xdr:colOff>537881</xdr:colOff>
      <xdr:row>34</xdr:row>
      <xdr:rowOff>179295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2B62B2-4898-4FE0-96EF-ECA3B629FCB4}"/>
            </a:ext>
            <a:ext uri="{147F2762-F138-4A5C-976F-8EAC2B608ADB}">
              <a16:predDERef xmlns:a16="http://schemas.microsoft.com/office/drawing/2014/main" pred="{0A077C78-8963-4D39-8672-B6CEC2166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6AD44-A556-4546-9653-2AB2D5DC3F1A}">
  <sheetPr codeName="Sheet20">
    <pageSetUpPr fitToPage="1"/>
  </sheetPr>
  <dimension ref="A1:AS53"/>
  <sheetViews>
    <sheetView zoomScaleNormal="100" workbookViewId="0">
      <selection activeCell="W16" sqref="W16"/>
    </sheetView>
  </sheetViews>
  <sheetFormatPr defaultRowHeight="14.4"/>
  <cols>
    <col min="5" max="6" width="10.33203125" customWidth="1"/>
    <col min="7" max="7" width="9.6640625" customWidth="1"/>
    <col min="8" max="8" width="11.44140625" customWidth="1"/>
    <col min="9" max="9" width="11.6640625" customWidth="1"/>
    <col min="10" max="12" width="9.44140625" customWidth="1"/>
    <col min="13" max="13" width="8.44140625" bestFit="1" customWidth="1"/>
    <col min="14" max="15" width="9.44140625" customWidth="1"/>
    <col min="18" max="18" width="9.6640625" customWidth="1"/>
    <col min="19" max="19" width="10.6640625" customWidth="1"/>
    <col min="23" max="23" width="11" customWidth="1"/>
    <col min="24" max="24" width="13.44140625" customWidth="1"/>
    <col min="25" max="25" width="10" customWidth="1"/>
    <col min="26" max="26" width="12.6640625" customWidth="1"/>
    <col min="29" max="29" width="10.44140625" customWidth="1"/>
    <col min="38" max="47" width="11.44140625" customWidth="1"/>
  </cols>
  <sheetData>
    <row r="1" spans="2:45" ht="15" thickBot="1">
      <c r="C1" s="268" t="s">
        <v>0</v>
      </c>
      <c r="D1" s="269"/>
      <c r="E1" s="269"/>
      <c r="F1" s="270"/>
    </row>
    <row r="2" spans="2:45">
      <c r="C2" s="61" t="s">
        <v>1</v>
      </c>
      <c r="D2" s="61" t="s">
        <v>2</v>
      </c>
      <c r="E2" s="61" t="s">
        <v>3</v>
      </c>
      <c r="F2" s="61" t="s">
        <v>4</v>
      </c>
      <c r="AB2" t="s">
        <v>5</v>
      </c>
      <c r="AL2" s="272" t="s">
        <v>6</v>
      </c>
      <c r="AM2" s="273"/>
      <c r="AN2" s="273"/>
      <c r="AO2" s="273"/>
      <c r="AP2" s="273"/>
      <c r="AQ2" s="273"/>
      <c r="AR2" s="273"/>
      <c r="AS2" s="274"/>
    </row>
    <row r="3" spans="2:45" ht="15" thickBot="1">
      <c r="C3" s="3">
        <v>101.325</v>
      </c>
      <c r="D3" s="3">
        <v>288.14999999999998</v>
      </c>
      <c r="E3" s="3">
        <v>287</v>
      </c>
      <c r="F3" s="3">
        <v>1.4</v>
      </c>
      <c r="AJ3" s="11"/>
      <c r="AL3" s="21" t="s">
        <v>7</v>
      </c>
      <c r="AM3" s="16" t="s">
        <v>8</v>
      </c>
      <c r="AN3" s="16" t="s">
        <v>9</v>
      </c>
      <c r="AO3" s="16" t="s">
        <v>10</v>
      </c>
      <c r="AP3" s="2" t="s">
        <v>11</v>
      </c>
      <c r="AQ3" s="2" t="s">
        <v>12</v>
      </c>
      <c r="AR3" s="2" t="s">
        <v>13</v>
      </c>
      <c r="AS3" s="22" t="s">
        <v>14</v>
      </c>
    </row>
    <row r="4" spans="2:45" ht="15" thickBot="1">
      <c r="W4" s="268" t="s">
        <v>15</v>
      </c>
      <c r="X4" s="269"/>
      <c r="Y4" s="269"/>
      <c r="Z4" s="270"/>
      <c r="AB4" s="275" t="s">
        <v>16</v>
      </c>
      <c r="AC4" s="276"/>
      <c r="AD4" s="276"/>
      <c r="AE4" s="276"/>
      <c r="AF4" s="276"/>
      <c r="AG4" s="276"/>
      <c r="AH4" s="276"/>
      <c r="AI4" s="277"/>
      <c r="AL4" s="32">
        <f t="shared" ref="AL4:AL53" si="0">3.28084*AM4</f>
        <v>-6561.68</v>
      </c>
      <c r="AM4" s="17">
        <v>-2000</v>
      </c>
      <c r="AN4" s="17">
        <v>301.2</v>
      </c>
      <c r="AO4" s="17">
        <v>127.78</v>
      </c>
      <c r="AP4" s="17">
        <v>1.2067000000000001</v>
      </c>
      <c r="AQ4" s="17">
        <v>1.2529999999999999</v>
      </c>
      <c r="AR4" s="17">
        <v>2.6360000000000001</v>
      </c>
      <c r="AS4" s="33">
        <v>347.9</v>
      </c>
    </row>
    <row r="5" spans="2:45" ht="15" thickBot="1">
      <c r="C5" s="268" t="s">
        <v>17</v>
      </c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70"/>
      <c r="U5" s="11"/>
      <c r="W5" s="278" t="s">
        <v>18</v>
      </c>
      <c r="X5" s="279"/>
      <c r="Y5" s="280" t="s">
        <v>19</v>
      </c>
      <c r="Z5" s="279"/>
      <c r="AB5" s="272" t="s">
        <v>20</v>
      </c>
      <c r="AC5" s="273"/>
      <c r="AD5" s="273"/>
      <c r="AE5" s="273"/>
      <c r="AF5" s="274"/>
      <c r="AG5" s="272" t="s">
        <v>21</v>
      </c>
      <c r="AH5" s="273"/>
      <c r="AI5" s="274"/>
      <c r="AL5" s="32">
        <f t="shared" si="0"/>
        <v>-4921.26</v>
      </c>
      <c r="AM5" s="17">
        <v>-1500</v>
      </c>
      <c r="AN5" s="17">
        <v>297.89999999999998</v>
      </c>
      <c r="AO5" s="17">
        <v>120.7</v>
      </c>
      <c r="AP5" s="17">
        <v>1.1521999999999999</v>
      </c>
      <c r="AQ5" s="17">
        <v>1.3009999999999999</v>
      </c>
      <c r="AR5" s="17">
        <v>2.6110000000000002</v>
      </c>
      <c r="AS5" s="33">
        <v>346</v>
      </c>
    </row>
    <row r="6" spans="2:45" ht="15.6">
      <c r="C6" s="61" t="s">
        <v>7</v>
      </c>
      <c r="D6" s="61" t="s">
        <v>22</v>
      </c>
      <c r="E6" s="61" t="s">
        <v>23</v>
      </c>
      <c r="F6" s="61" t="s">
        <v>24</v>
      </c>
      <c r="G6" s="61" t="s">
        <v>25</v>
      </c>
      <c r="H6" s="61" t="s">
        <v>26</v>
      </c>
      <c r="I6" s="102" t="s">
        <v>27</v>
      </c>
      <c r="J6" s="61" t="s">
        <v>28</v>
      </c>
      <c r="K6" s="61" t="s">
        <v>29</v>
      </c>
      <c r="L6" s="61" t="s">
        <v>30</v>
      </c>
      <c r="M6" s="61" t="s">
        <v>31</v>
      </c>
      <c r="N6" s="61" t="s">
        <v>32</v>
      </c>
      <c r="O6" s="61" t="s">
        <v>33</v>
      </c>
      <c r="P6" s="61" t="s">
        <v>34</v>
      </c>
      <c r="Q6" s="61" t="s">
        <v>35</v>
      </c>
      <c r="R6" s="61" t="s">
        <v>36</v>
      </c>
      <c r="S6" s="61" t="s">
        <v>37</v>
      </c>
      <c r="T6" s="61" t="s">
        <v>38</v>
      </c>
      <c r="U6" s="11"/>
      <c r="W6" s="21" t="s">
        <v>39</v>
      </c>
      <c r="X6" s="22" t="s">
        <v>40</v>
      </c>
      <c r="Y6" s="127" t="s">
        <v>39</v>
      </c>
      <c r="Z6" s="22" t="s">
        <v>40</v>
      </c>
      <c r="AB6" s="21" t="s">
        <v>41</v>
      </c>
      <c r="AC6" s="2" t="s">
        <v>42</v>
      </c>
      <c r="AD6" s="2" t="s">
        <v>43</v>
      </c>
      <c r="AE6" s="2" t="s">
        <v>44</v>
      </c>
      <c r="AF6" s="22" t="s">
        <v>45</v>
      </c>
      <c r="AG6" s="21" t="s">
        <v>43</v>
      </c>
      <c r="AH6" s="2" t="s">
        <v>44</v>
      </c>
      <c r="AI6" s="22" t="s">
        <v>45</v>
      </c>
      <c r="AL6" s="32">
        <f t="shared" si="0"/>
        <v>-3280.84</v>
      </c>
      <c r="AM6" s="17">
        <v>-1000</v>
      </c>
      <c r="AN6" s="17">
        <v>294.7</v>
      </c>
      <c r="AO6" s="17">
        <v>113.93</v>
      </c>
      <c r="AP6" s="17">
        <v>1.0995999999999999</v>
      </c>
      <c r="AQ6" s="17">
        <v>1.3520000000000001</v>
      </c>
      <c r="AR6" s="17">
        <v>2.585</v>
      </c>
      <c r="AS6" s="33">
        <v>344.1</v>
      </c>
    </row>
    <row r="7" spans="2:45">
      <c r="C7" s="3">
        <v>40000</v>
      </c>
      <c r="D7" s="3">
        <v>0</v>
      </c>
      <c r="E7" s="3">
        <v>0.75</v>
      </c>
      <c r="F7" s="13" cm="1">
        <f t="array" ref="F7">ROUND(((C7-INDEX($AL$4:$AO$53,MATCH(C7,$AL$4:$AL$53,1),1))/(INDEX($AL$4:$AO$53,MATCH(C7,$AL$4:$AL$53,1)+1,1)-INDEX($AL$4:$AO$53,MATCH(C7,$AL$4:$AL$53,1),1)))*(INDEX($AL$4:$AO$53,MATCH(C7,$AL$4:$AL$53,1)+1,4)-INDEX($AL$4:$AO$53,MATCH(C7,$AL$4:$AL$53,1),4))+INDEX($AL$4:$AO$53,MATCH(C7,$AL$4:$AL$53,1),4),2)</f>
        <v>18.84</v>
      </c>
      <c r="G7" s="13" cm="1">
        <f t="array" ref="G7">D7+((C7-INDEX($AL$4:$AO$53,MATCH(C7,$AL$4:$AL$53,1),1))/(INDEX($AL$4:$AO$53,MATCH(C7,$AL$4:$AL$53,1)+1,1)-INDEX($AL$4:$AO$53,MATCH(C7,$AL$4:$AL$53,1),1)))*(INDEX($AL$4:$AO$53,MATCH(C7,$AL$4:$AL$53,1)+1,3)-INDEX($AL$4:$AO$53,MATCH(C7,$AL$4:$AL$53,1),3))+INDEX($AL$4:$AO$53,MATCH(C7,$AL$4:$AL$53,1),3)</f>
        <v>216.7</v>
      </c>
      <c r="H7" s="4">
        <f t="shared" ref="H7:H19" si="1">F7*1000/($E$3*G7)</f>
        <v>0.30292846932688461</v>
      </c>
      <c r="I7" s="6">
        <f t="shared" ref="I7:I19" si="2">C7+(120*D7)</f>
        <v>40000</v>
      </c>
      <c r="J7" s="13">
        <f t="shared" ref="J7:J19" si="3">E7*SQRT($F$3*$E$3*G7)</f>
        <v>221.30727224833799</v>
      </c>
      <c r="K7" s="13">
        <f>J7*1.94384</f>
        <v>430.18592808720933</v>
      </c>
      <c r="L7" s="13">
        <f t="shared" ref="L7:L19" si="4">K7*SQRT(T7)</f>
        <v>213.90365195289741</v>
      </c>
      <c r="M7" s="13">
        <f>IF(E7&lt;=1,SQRT($F$3*$E$3*$D$3)*SQRT(5*(((((Q7-1)*F7)/$C$3)+1)^(2/7)-1))*1.94384,"SUP.")</f>
        <v>225.94094498857231</v>
      </c>
      <c r="N7" s="13">
        <f>(Q7-1)*F7</f>
        <v>8.5209370713618515</v>
      </c>
      <c r="O7" s="13">
        <f>(0.5*H7*J7^2)/1000</f>
        <v>7.4182499999999996</v>
      </c>
      <c r="P7" s="4">
        <f t="shared" ref="P7:P19" si="5">(1+($F$3-1)/2*E7^2)</f>
        <v>1.1125</v>
      </c>
      <c r="Q7" s="4">
        <f t="shared" ref="Q7:Q19" si="6">P7^($F$3/($F$3-1))</f>
        <v>1.4522790377580601</v>
      </c>
      <c r="R7" s="4">
        <f t="shared" ref="R7:R19" si="7">G7*P7/$D$3</f>
        <v>0.83664324136734336</v>
      </c>
      <c r="S7" s="4">
        <f t="shared" ref="S7:S19" si="8">F7*Q7/$C$3</f>
        <v>0.27003145394879696</v>
      </c>
      <c r="T7" s="4">
        <f t="shared" ref="T7:T19" si="9">H7/($C$3*1000/($E$3*$D$3))</f>
        <v>0.24724299660782129</v>
      </c>
      <c r="U7" s="1"/>
      <c r="W7" s="32">
        <f t="shared" ref="W7:W19" si="10">S7</f>
        <v>0.27003145394879696</v>
      </c>
      <c r="X7" s="42">
        <f t="shared" ref="X7:X19" si="11">S7/0.6</f>
        <v>0.45005242324799494</v>
      </c>
      <c r="Y7" s="128">
        <f t="shared" ref="Y7:Y19" si="12">((0.9+0.3*E7)*SQRT(G7/$D$3))/0.9</f>
        <v>1.0840021827734043</v>
      </c>
      <c r="Z7" s="42">
        <f>Y7*1.6</f>
        <v>1.734403492437447</v>
      </c>
      <c r="AB7" s="23">
        <v>4</v>
      </c>
      <c r="AC7" s="24">
        <v>0.8</v>
      </c>
      <c r="AD7" s="5">
        <f t="shared" ref="AD7:AD19" si="13">IF(E7&gt;0.8, 0.02+(E7-0.8)*0.286,0.02)+0.02*0.2^2</f>
        <v>2.0799999999999999E-2</v>
      </c>
      <c r="AE7" s="5">
        <f>1/(PI()*AB7*AC7)+0.02</f>
        <v>0.1194718394324346</v>
      </c>
      <c r="AF7" s="25">
        <v>-8.0000000000000002E-3</v>
      </c>
      <c r="AG7" s="30">
        <f t="shared" ref="AG7:AG19" si="14">IF(E7&lt;0.8,0.014, IF(E7&gt;1.2, 0.028,0.014+(E7-0.8)*0.035))</f>
        <v>1.4E-2</v>
      </c>
      <c r="AH7" s="5">
        <f t="shared" ref="AH7:AH19" si="15">IF(E7&gt;1,0.18+(E7-1)*0.18,0.18)</f>
        <v>0.18</v>
      </c>
      <c r="AI7" s="25">
        <v>0</v>
      </c>
      <c r="AL7" s="32">
        <f t="shared" si="0"/>
        <v>-1640.42</v>
      </c>
      <c r="AM7" s="17">
        <v>-500</v>
      </c>
      <c r="AN7" s="17">
        <v>291.39999999999998</v>
      </c>
      <c r="AO7" s="17">
        <v>107.48</v>
      </c>
      <c r="AP7" s="17">
        <v>1.0488999999999999</v>
      </c>
      <c r="AQ7" s="17">
        <v>1.405</v>
      </c>
      <c r="AR7" s="17">
        <v>2.56</v>
      </c>
      <c r="AS7" s="33">
        <v>342.2</v>
      </c>
    </row>
    <row r="8" spans="2:45">
      <c r="C8" s="3">
        <v>10000</v>
      </c>
      <c r="D8" s="3">
        <v>0</v>
      </c>
      <c r="E8" s="3">
        <v>0.5</v>
      </c>
      <c r="F8" s="13" cm="1">
        <f t="array" ref="F8">((C8-INDEX($AL$4:$AO$53,MATCH(C8,$AL$4:$AL$53,1),1))/(INDEX($AL$4:$AO$53,MATCH(C8,$AL$4:$AL$53,1)+1,1)-INDEX($AL$4:$AO$53,MATCH(C8,$AL$4:$AL$53,1),1)))*(INDEX($AL$4:$AO$53,MATCH(C8,$AL$4:$AL$53,1)+1,4)-INDEX($AL$4:$AO$53,MATCH(C8,$AL$4:$AL$53,1),4))+INDEX($AL$4:$AO$53,MATCH(C8,$AL$4:$AL$53,1),4)</f>
        <v>69.703360846612455</v>
      </c>
      <c r="G8" s="13" cm="1">
        <f t="array" ref="G8">D8+((C8-INDEX($AL$4:$AO$53,MATCH(C8,$AL$4:$AL$53,1),1))/(INDEX($AL$4:$AO$53,MATCH(C8,$AL$4:$AL$53,1)+1,1)-INDEX($AL$4:$AO$53,MATCH(C8,$AL$4:$AL$53,1),1)))*(INDEX($AL$4:$AO$53,MATCH(C8,$AL$4:$AL$53,1)+1,3)-INDEX($AL$4:$AO$53,MATCH(C8,$AL$4:$AL$53,1),3))+INDEX($AL$4:$AO$53,MATCH(C8,$AL$4:$AL$53,1),3)</f>
        <v>268.38320064373755</v>
      </c>
      <c r="H8" s="4">
        <f t="shared" si="1"/>
        <v>0.90493314239321154</v>
      </c>
      <c r="I8" s="6">
        <f t="shared" si="2"/>
        <v>10000</v>
      </c>
      <c r="J8" s="13">
        <f t="shared" si="3"/>
        <v>164.19224252279227</v>
      </c>
      <c r="K8" s="13">
        <f t="shared" ref="K8:K19" si="16">J8*1.94384</f>
        <v>319.16344870550455</v>
      </c>
      <c r="L8" s="13">
        <f t="shared" si="4"/>
        <v>274.29213213840154</v>
      </c>
      <c r="M8" s="13">
        <f t="shared" ref="M8:M19" si="17">SQRT($F$3*$E$3*$D$3)*SQRT(5*(((((Q8-1)*F8)/$C$3)+1)^(2/7)-1))*1.94384</f>
        <v>276.84103924996771</v>
      </c>
      <c r="N8" s="13">
        <f t="shared" ref="N8:N19" si="18">(Q8-1)*F8</f>
        <v>12.979646703808326</v>
      </c>
      <c r="O8" s="13">
        <f t="shared" ref="O8:O19" si="19">(0.5*H8*J8^2)/1000</f>
        <v>12.198088148157177</v>
      </c>
      <c r="P8" s="4">
        <f t="shared" si="5"/>
        <v>1.05</v>
      </c>
      <c r="Q8" s="4">
        <f t="shared" si="6"/>
        <v>1.1862126380443982</v>
      </c>
      <c r="R8" s="4">
        <f t="shared" si="7"/>
        <v>0.97797105908701876</v>
      </c>
      <c r="S8" s="4">
        <f t="shared" si="8"/>
        <v>0.81601783913566028</v>
      </c>
      <c r="T8" s="4">
        <f t="shared" si="9"/>
        <v>0.73858486246665001</v>
      </c>
      <c r="U8" s="1"/>
      <c r="W8" s="32">
        <f t="shared" si="10"/>
        <v>0.81601783913566028</v>
      </c>
      <c r="X8" s="42">
        <f t="shared" si="11"/>
        <v>1.3600297318927672</v>
      </c>
      <c r="Y8" s="128">
        <f t="shared" si="12"/>
        <v>1.1259397238660107</v>
      </c>
      <c r="Z8" s="42">
        <f t="shared" ref="Z8:Z19" si="20">Y8*1.6</f>
        <v>1.8015035581856171</v>
      </c>
      <c r="AB8" s="23">
        <v>4</v>
      </c>
      <c r="AC8" s="24">
        <v>0.8</v>
      </c>
      <c r="AD8" s="5">
        <f t="shared" si="13"/>
        <v>2.0799999999999999E-2</v>
      </c>
      <c r="AE8" s="5">
        <f t="shared" ref="AE8:AE19" si="21">1/(PI()*AB8*AC8)+0.02</f>
        <v>0.1194718394324346</v>
      </c>
      <c r="AF8" s="25">
        <f>AF7</f>
        <v>-8.0000000000000002E-3</v>
      </c>
      <c r="AG8" s="30">
        <f t="shared" si="14"/>
        <v>1.4E-2</v>
      </c>
      <c r="AH8" s="5">
        <f t="shared" si="15"/>
        <v>0.18</v>
      </c>
      <c r="AI8" s="25">
        <v>0</v>
      </c>
      <c r="AL8" s="32">
        <f t="shared" si="0"/>
        <v>0</v>
      </c>
      <c r="AM8" s="17">
        <v>0</v>
      </c>
      <c r="AN8" s="17">
        <v>288.14999999999998</v>
      </c>
      <c r="AO8" s="17">
        <v>101.325</v>
      </c>
      <c r="AP8" s="17">
        <v>1</v>
      </c>
      <c r="AQ8" s="17">
        <v>1.4610000000000001</v>
      </c>
      <c r="AR8" s="17">
        <v>2.5339999999999998</v>
      </c>
      <c r="AS8" s="33">
        <v>340.3</v>
      </c>
    </row>
    <row r="9" spans="2:45">
      <c r="C9" s="3">
        <v>3000</v>
      </c>
      <c r="D9" s="3">
        <v>0</v>
      </c>
      <c r="E9" s="3">
        <v>0.3</v>
      </c>
      <c r="F9" s="13" cm="1">
        <f t="array" ref="F9">((C9-INDEX($AL$4:$AO$53,MATCH(C9,$AL$4:$AL$53,1),1))/(INDEX($AL$4:$AO$53,MATCH(C9,$AL$4:$AL$53,1)+1,1)-INDEX($AL$4:$AO$53,MATCH(C9,$AL$4:$AL$53,1),1)))*(INDEX($AL$4:$AO$53,MATCH(C9,$AL$4:$AL$53,1)+1,4)-INDEX($AL$4:$AO$53,MATCH(C9,$AL$4:$AL$53,1),4))+INDEX($AL$4:$AO$53,MATCH(C9,$AL$4:$AL$53,1),4)</f>
        <v>90.83529632655052</v>
      </c>
      <c r="G9" s="13" cm="1">
        <f t="array" ref="G9">D9+((C9-INDEX($AL$4:$AO$53,MATCH(C9,$AL$4:$AL$53,1),1))/(INDEX($AL$4:$AO$53,MATCH(C9,$AL$4:$AL$53,1)+1,1)-INDEX($AL$4:$AO$53,MATCH(C9,$AL$4:$AL$53,1),1)))*(INDEX($AL$4:$AO$53,MATCH(C9,$AL$4:$AL$53,1)+1,3)-INDEX($AL$4:$AO$53,MATCH(C9,$AL$4:$AL$53,1),3))+INDEX($AL$4:$AO$53,MATCH(C9,$AL$4:$AL$53,1),3)</f>
        <v>282.24784018726911</v>
      </c>
      <c r="H9" s="4">
        <f t="shared" si="1"/>
        <v>1.1213523906025935</v>
      </c>
      <c r="I9" s="6">
        <f t="shared" si="2"/>
        <v>3000</v>
      </c>
      <c r="J9" s="13">
        <f t="shared" si="3"/>
        <v>101.02794859271381</v>
      </c>
      <c r="K9" s="13">
        <f t="shared" si="16"/>
        <v>196.38216759246083</v>
      </c>
      <c r="L9" s="13">
        <f t="shared" si="4"/>
        <v>187.87329836143365</v>
      </c>
      <c r="M9" s="13">
        <f t="shared" si="17"/>
        <v>188.08699164463272</v>
      </c>
      <c r="N9" s="13">
        <f t="shared" si="18"/>
        <v>5.8525441351065881</v>
      </c>
      <c r="O9" s="13">
        <f t="shared" si="19"/>
        <v>5.7226236685726839</v>
      </c>
      <c r="P9" s="4">
        <f t="shared" si="5"/>
        <v>1.018</v>
      </c>
      <c r="Q9" s="4">
        <f t="shared" si="6"/>
        <v>1.0644302861529382</v>
      </c>
      <c r="R9" s="4">
        <f t="shared" si="7"/>
        <v>0.99714836477751168</v>
      </c>
      <c r="S9" s="4">
        <f t="shared" si="8"/>
        <v>0.9542347936013531</v>
      </c>
      <c r="T9" s="4">
        <f t="shared" si="9"/>
        <v>0.91522109467617463</v>
      </c>
      <c r="U9" s="1"/>
      <c r="W9" s="32">
        <f t="shared" si="10"/>
        <v>0.9542347936013531</v>
      </c>
      <c r="X9" s="42">
        <f t="shared" si="11"/>
        <v>1.5903913226689219</v>
      </c>
      <c r="Y9" s="128">
        <f t="shared" si="12"/>
        <v>1.0886760950178205</v>
      </c>
      <c r="Z9" s="42">
        <f t="shared" si="20"/>
        <v>1.7418817520285128</v>
      </c>
      <c r="AB9" s="23">
        <v>4</v>
      </c>
      <c r="AC9" s="24">
        <v>0.8</v>
      </c>
      <c r="AD9" s="5">
        <f t="shared" si="13"/>
        <v>2.0799999999999999E-2</v>
      </c>
      <c r="AE9" s="5">
        <f t="shared" si="21"/>
        <v>0.1194718394324346</v>
      </c>
      <c r="AF9" s="25">
        <f t="shared" ref="AF9:AF19" si="22">AF8</f>
        <v>-8.0000000000000002E-3</v>
      </c>
      <c r="AG9" s="30">
        <f t="shared" si="14"/>
        <v>1.4E-2</v>
      </c>
      <c r="AH9" s="5">
        <f t="shared" si="15"/>
        <v>0.18</v>
      </c>
      <c r="AI9" s="25">
        <v>0</v>
      </c>
      <c r="AL9" s="32">
        <f t="shared" si="0"/>
        <v>1640.42</v>
      </c>
      <c r="AM9" s="17">
        <v>500</v>
      </c>
      <c r="AN9" s="17">
        <v>284.89999999999998</v>
      </c>
      <c r="AO9" s="17">
        <v>95.46</v>
      </c>
      <c r="AP9" s="17">
        <v>0.95289999999999997</v>
      </c>
      <c r="AQ9" s="17">
        <v>1.52</v>
      </c>
      <c r="AR9" s="17">
        <v>2.5089999999999999</v>
      </c>
      <c r="AS9" s="33">
        <v>338.4</v>
      </c>
    </row>
    <row r="10" spans="2:45">
      <c r="C10" s="3">
        <v>2999.9999999880001</v>
      </c>
      <c r="D10" s="3">
        <v>0</v>
      </c>
      <c r="E10" s="3">
        <v>0.55000000000000004</v>
      </c>
      <c r="F10" s="13" cm="1">
        <f t="array" ref="F10">((C10-INDEX($AL$4:$AO$53,MATCH(C10,$AL$4:$AL$53,1),1))/(INDEX($AL$4:$AO$53,MATCH(C10,$AL$4:$AL$53,1)+1,1)-INDEX($AL$4:$AO$53,MATCH(C10,$AL$4:$AL$53,1),1)))*(INDEX($AL$4:$AO$53,MATCH(C10,$AL$4:$AL$53,1)+1,4)-INDEX($AL$4:$AO$53,MATCH(C10,$AL$4:$AL$53,1),4))+INDEX($AL$4:$AO$53,MATCH(C10,$AL$4:$AL$53,1),4)</f>
        <v>90.835296326591333</v>
      </c>
      <c r="G10" s="13" cm="1">
        <f t="array" ref="G10">D10+((C10-INDEX($AL$4:$AO$53,MATCH(C10,$AL$4:$AL$53,1),1))/(INDEX($AL$4:$AO$53,MATCH(C10,$AL$4:$AL$53,1)+1,1)-INDEX($AL$4:$AO$53,MATCH(C10,$AL$4:$AL$53,1),1)))*(INDEX($AL$4:$AO$53,MATCH(C10,$AL$4:$AL$53,1)+1,3)-INDEX($AL$4:$AO$53,MATCH(C10,$AL$4:$AL$53,1),3))+INDEX($AL$4:$AO$53,MATCH(C10,$AL$4:$AL$53,1),3)</f>
        <v>282.24784018729252</v>
      </c>
      <c r="H10" s="4">
        <f t="shared" si="1"/>
        <v>1.1213523906030041</v>
      </c>
      <c r="I10" s="6">
        <f t="shared" si="2"/>
        <v>2999.9999999880001</v>
      </c>
      <c r="J10" s="13">
        <f t="shared" si="3"/>
        <v>185.21790575331633</v>
      </c>
      <c r="K10" s="13">
        <f t="shared" si="16"/>
        <v>360.03397391952643</v>
      </c>
      <c r="L10" s="13">
        <f t="shared" si="4"/>
        <v>344.4343803293724</v>
      </c>
      <c r="M10" s="13">
        <f t="shared" si="17"/>
        <v>345.68157140384301</v>
      </c>
      <c r="N10" s="13">
        <f t="shared" si="18"/>
        <v>20.733305945547926</v>
      </c>
      <c r="O10" s="13">
        <f t="shared" si="19"/>
        <v>19.234373997155707</v>
      </c>
      <c r="P10" s="4">
        <f t="shared" si="5"/>
        <v>1.0605</v>
      </c>
      <c r="Q10" s="4">
        <f t="shared" si="6"/>
        <v>1.2282516464855568</v>
      </c>
      <c r="R10" s="4">
        <f t="shared" si="7"/>
        <v>1.0387778397314722</v>
      </c>
      <c r="S10" s="4">
        <f t="shared" si="8"/>
        <v>1.1010964941735926</v>
      </c>
      <c r="T10" s="4">
        <f t="shared" si="9"/>
        <v>0.91522109467650981</v>
      </c>
      <c r="U10" s="1"/>
      <c r="W10" s="32">
        <f t="shared" si="10"/>
        <v>1.1010964941735926</v>
      </c>
      <c r="X10" s="42">
        <f t="shared" si="11"/>
        <v>1.8351608236226544</v>
      </c>
      <c r="Y10" s="128">
        <f t="shared" si="12"/>
        <v>1.1711515567616433</v>
      </c>
      <c r="Z10" s="42">
        <f t="shared" si="20"/>
        <v>1.8738424908186293</v>
      </c>
      <c r="AB10" s="23">
        <v>4</v>
      </c>
      <c r="AC10" s="24">
        <v>0.8</v>
      </c>
      <c r="AD10" s="5">
        <f t="shared" si="13"/>
        <v>2.0799999999999999E-2</v>
      </c>
      <c r="AE10" s="5">
        <f t="shared" si="21"/>
        <v>0.1194718394324346</v>
      </c>
      <c r="AF10" s="25">
        <f t="shared" si="22"/>
        <v>-8.0000000000000002E-3</v>
      </c>
      <c r="AG10" s="30">
        <f t="shared" si="14"/>
        <v>1.4E-2</v>
      </c>
      <c r="AH10" s="5">
        <f t="shared" si="15"/>
        <v>0.18</v>
      </c>
      <c r="AI10" s="25">
        <v>0</v>
      </c>
      <c r="AL10" s="32">
        <f t="shared" si="0"/>
        <v>3280.84</v>
      </c>
      <c r="AM10" s="17">
        <v>1000</v>
      </c>
      <c r="AN10" s="17">
        <v>281.7</v>
      </c>
      <c r="AO10" s="17">
        <v>89.88</v>
      </c>
      <c r="AP10" s="17">
        <v>0.90749999999999997</v>
      </c>
      <c r="AQ10" s="17">
        <v>1.581</v>
      </c>
      <c r="AR10" s="17">
        <v>2.4830000000000001</v>
      </c>
      <c r="AS10" s="33">
        <v>336.4</v>
      </c>
    </row>
    <row r="11" spans="2:45">
      <c r="C11" s="3">
        <v>12249.999999951002</v>
      </c>
      <c r="D11" s="3">
        <v>0</v>
      </c>
      <c r="E11" s="3">
        <v>0.55000000000000004</v>
      </c>
      <c r="F11" s="13" cm="1">
        <f t="array" ref="F11">((C11-INDEX($AL$4:$AO$53,MATCH(C11,$AL$4:$AL$53,1),1))/(INDEX($AL$4:$AO$53,MATCH(C11,$AL$4:$AL$53,1)+1,1)-INDEX($AL$4:$AO$53,MATCH(C11,$AL$4:$AL$53,1),1)))*(INDEX($AL$4:$AO$53,MATCH(C11,$AL$4:$AL$53,1)+1,4)-INDEX($AL$4:$AO$53,MATCH(C11,$AL$4:$AL$53,1),4))+INDEX($AL$4:$AO$53,MATCH(C11,$AL$4:$AL$53,1),4)</f>
        <v>63.853488984651413</v>
      </c>
      <c r="G11" s="13" cm="1">
        <f t="array" ref="G11">D11+((C11-INDEX($AL$4:$AO$53,MATCH(C11,$AL$4:$AL$53,1),1))/(INDEX($AL$4:$AO$53,MATCH(C11,$AL$4:$AL$53,1)+1,1)-INDEX($AL$4:$AO$53,MATCH(C11,$AL$4:$AL$53,1),1)))*(INDEX($AL$4:$AO$53,MATCH(C11,$AL$4:$AL$53,1)+1,3)-INDEX($AL$4:$AO$53,MATCH(C11,$AL$4:$AL$53,1),3))+INDEX($AL$4:$AO$53,MATCH(C11,$AL$4:$AL$53,1),3)</f>
        <v>263.90368076477779</v>
      </c>
      <c r="H11" s="4">
        <f t="shared" si="1"/>
        <v>0.84305767805895215</v>
      </c>
      <c r="I11" s="6">
        <f t="shared" si="2"/>
        <v>12249.999999951002</v>
      </c>
      <c r="J11" s="13">
        <f t="shared" si="3"/>
        <v>179.09785293719892</v>
      </c>
      <c r="K11" s="13">
        <f t="shared" si="16"/>
        <v>348.13757045344477</v>
      </c>
      <c r="L11" s="13">
        <f t="shared" si="4"/>
        <v>288.78291262692096</v>
      </c>
      <c r="M11" s="13">
        <f t="shared" si="17"/>
        <v>292.6134407637374</v>
      </c>
      <c r="N11" s="13">
        <f t="shared" si="18"/>
        <v>14.574663994594053</v>
      </c>
      <c r="O11" s="13">
        <f t="shared" si="19"/>
        <v>13.520976292499938</v>
      </c>
      <c r="P11" s="4">
        <f t="shared" si="5"/>
        <v>1.0605</v>
      </c>
      <c r="Q11" s="4">
        <f t="shared" si="6"/>
        <v>1.2282516464855568</v>
      </c>
      <c r="R11" s="4">
        <f t="shared" si="7"/>
        <v>0.9712644575778131</v>
      </c>
      <c r="S11" s="4">
        <f t="shared" si="8"/>
        <v>0.77402568940780125</v>
      </c>
      <c r="T11" s="4">
        <f t="shared" si="9"/>
        <v>0.68808358322902718</v>
      </c>
      <c r="U11" s="1"/>
      <c r="W11" s="32">
        <f t="shared" si="10"/>
        <v>0.77402568940780125</v>
      </c>
      <c r="X11" s="42">
        <f t="shared" si="11"/>
        <v>1.2900428156796688</v>
      </c>
      <c r="Y11" s="128">
        <f t="shared" si="12"/>
        <v>1.1324538436333809</v>
      </c>
      <c r="Z11" s="42">
        <f t="shared" si="20"/>
        <v>1.8119261498134094</v>
      </c>
      <c r="AB11" s="23">
        <v>4</v>
      </c>
      <c r="AC11" s="24">
        <v>0.8</v>
      </c>
      <c r="AD11" s="5">
        <f t="shared" si="13"/>
        <v>2.0799999999999999E-2</v>
      </c>
      <c r="AE11" s="5">
        <f t="shared" si="21"/>
        <v>0.1194718394324346</v>
      </c>
      <c r="AF11" s="25">
        <f t="shared" si="22"/>
        <v>-8.0000000000000002E-3</v>
      </c>
      <c r="AG11" s="30">
        <f t="shared" si="14"/>
        <v>1.4E-2</v>
      </c>
      <c r="AH11" s="5">
        <f t="shared" si="15"/>
        <v>0.18</v>
      </c>
      <c r="AI11" s="25">
        <v>0</v>
      </c>
      <c r="AL11" s="32">
        <f t="shared" si="0"/>
        <v>4921.26</v>
      </c>
      <c r="AM11" s="17">
        <v>1500</v>
      </c>
      <c r="AN11" s="17">
        <v>278.39999999999998</v>
      </c>
      <c r="AO11" s="17">
        <v>84.56</v>
      </c>
      <c r="AP11" s="17">
        <v>0.86380000000000001</v>
      </c>
      <c r="AQ11" s="17">
        <v>1.6459999999999999</v>
      </c>
      <c r="AR11" s="17">
        <v>2.4569999999999999</v>
      </c>
      <c r="AS11" s="33">
        <v>334.5</v>
      </c>
    </row>
    <row r="12" spans="2:45">
      <c r="B12" s="103"/>
      <c r="C12" s="3">
        <v>21499.999999914002</v>
      </c>
      <c r="D12" s="3">
        <v>0</v>
      </c>
      <c r="E12" s="3">
        <v>0.55000000000000004</v>
      </c>
      <c r="F12" s="13" cm="1">
        <f t="array" ref="F12">((C12-INDEX($AL$4:$AO$53,MATCH(C12,$AL$4:$AL$53,1),1))/(INDEX($AL$4:$AO$53,MATCH(C12,$AL$4:$AL$53,1)+1,1)-INDEX($AL$4:$AO$53,MATCH(C12,$AL$4:$AL$53,1),1)))*(INDEX($AL$4:$AO$53,MATCH(C12,$AL$4:$AL$53,1)+1,4)-INDEX($AL$4:$AO$53,MATCH(C12,$AL$4:$AL$53,1),4))+INDEX($AL$4:$AO$53,MATCH(C12,$AL$4:$AL$53,1),4)</f>
        <v>43.763993245787915</v>
      </c>
      <c r="G12" s="13" cm="1">
        <f t="array" ref="G12">D12+((C12-INDEX($AL$4:$AO$53,MATCH(C12,$AL$4:$AL$53,1),1))/(INDEX($AL$4:$AO$53,MATCH(C12,$AL$4:$AL$53,1)+1,1)-INDEX($AL$4:$AO$53,MATCH(C12,$AL$4:$AL$53,1),1)))*(INDEX($AL$4:$AO$53,MATCH(C12,$AL$4:$AL$53,1)+1,3)-INDEX($AL$4:$AO$53,MATCH(C12,$AL$4:$AL$53,1),3))+INDEX($AL$4:$AO$53,MATCH(C12,$AL$4:$AL$53,1),3)</f>
        <v>245.55952134226308</v>
      </c>
      <c r="H12" s="4">
        <f t="shared" si="1"/>
        <v>0.62098093574498348</v>
      </c>
      <c r="I12" s="6">
        <f t="shared" si="2"/>
        <v>21499.999999914002</v>
      </c>
      <c r="J12" s="13">
        <f t="shared" si="3"/>
        <v>172.76113348141905</v>
      </c>
      <c r="K12" s="13">
        <f t="shared" si="16"/>
        <v>335.82000170652162</v>
      </c>
      <c r="L12" s="13">
        <f t="shared" si="4"/>
        <v>239.0769173051772</v>
      </c>
      <c r="M12" s="13">
        <f t="shared" si="17"/>
        <v>244.04373637488567</v>
      </c>
      <c r="N12" s="13">
        <f t="shared" si="18"/>
        <v>9.9892035151338803</v>
      </c>
      <c r="O12" s="13">
        <f t="shared" si="19"/>
        <v>9.2670255697955906</v>
      </c>
      <c r="P12" s="4">
        <f t="shared" si="5"/>
        <v>1.0605</v>
      </c>
      <c r="Q12" s="4">
        <f t="shared" si="6"/>
        <v>1.2282516464855568</v>
      </c>
      <c r="R12" s="4">
        <f t="shared" si="7"/>
        <v>0.90375107542415412</v>
      </c>
      <c r="S12" s="4">
        <f t="shared" si="8"/>
        <v>0.53050280543717532</v>
      </c>
      <c r="T12" s="4">
        <f t="shared" si="9"/>
        <v>0.50682983917316726</v>
      </c>
      <c r="U12" s="1"/>
      <c r="W12" s="32">
        <f t="shared" si="10"/>
        <v>0.53050280543717532</v>
      </c>
      <c r="X12" s="42">
        <f t="shared" si="11"/>
        <v>0.88417134239529227</v>
      </c>
      <c r="Y12" s="128">
        <f t="shared" si="12"/>
        <v>1.092386125422149</v>
      </c>
      <c r="Z12" s="42">
        <f t="shared" si="20"/>
        <v>1.7478178006754383</v>
      </c>
      <c r="AB12" s="23">
        <v>4</v>
      </c>
      <c r="AC12" s="24">
        <v>0.8</v>
      </c>
      <c r="AD12" s="5">
        <f t="shared" si="13"/>
        <v>2.0799999999999999E-2</v>
      </c>
      <c r="AE12" s="5">
        <f t="shared" si="21"/>
        <v>0.1194718394324346</v>
      </c>
      <c r="AF12" s="25">
        <f t="shared" si="22"/>
        <v>-8.0000000000000002E-3</v>
      </c>
      <c r="AG12" s="30">
        <f t="shared" si="14"/>
        <v>1.4E-2</v>
      </c>
      <c r="AH12" s="5">
        <f t="shared" si="15"/>
        <v>0.18</v>
      </c>
      <c r="AI12" s="25">
        <v>0</v>
      </c>
      <c r="AL12" s="32">
        <f t="shared" si="0"/>
        <v>6561.68</v>
      </c>
      <c r="AM12" s="17">
        <v>2000</v>
      </c>
      <c r="AN12" s="17">
        <v>275.2</v>
      </c>
      <c r="AO12" s="17">
        <v>79.5</v>
      </c>
      <c r="AP12" s="17">
        <v>0.82169999999999999</v>
      </c>
      <c r="AQ12" s="17">
        <v>1.7150000000000001</v>
      </c>
      <c r="AR12" s="17">
        <v>2.431</v>
      </c>
      <c r="AS12" s="33">
        <v>332.5</v>
      </c>
    </row>
    <row r="13" spans="2:45">
      <c r="C13" s="3">
        <v>30749.999999877004</v>
      </c>
      <c r="D13" s="3">
        <v>0</v>
      </c>
      <c r="E13" s="3">
        <v>0.55000000000000004</v>
      </c>
      <c r="F13" s="13" cm="1">
        <f t="array" ref="F13">((C13-INDEX($AL$4:$AO$53,MATCH(C13,$AL$4:$AL$53,1),1))/(INDEX($AL$4:$AO$53,MATCH(C13,$AL$4:$AL$53,1)+1,1)-INDEX($AL$4:$AO$53,MATCH(C13,$AL$4:$AL$53,1),1)))*(INDEX($AL$4:$AO$53,MATCH(C13,$AL$4:$AL$53,1)+1,4)-INDEX($AL$4:$AO$53,MATCH(C13,$AL$4:$AL$53,1),4))+INDEX($AL$4:$AO$53,MATCH(C13,$AL$4:$AL$53,1),4)</f>
        <v>29.145657331825419</v>
      </c>
      <c r="G13" s="13" cm="1">
        <f t="array" ref="G13">D13+((C13-INDEX($AL$4:$AO$53,MATCH(C13,$AL$4:$AL$53,1),1))/(INDEX($AL$4:$AO$53,MATCH(C13,$AL$4:$AL$53,1)+1,1)-INDEX($AL$4:$AO$53,MATCH(C13,$AL$4:$AL$53,1),1)))*(INDEX($AL$4:$AO$53,MATCH(C13,$AL$4:$AL$53,1)+1,3)-INDEX($AL$4:$AO$53,MATCH(C13,$AL$4:$AL$53,1),3))+INDEX($AL$4:$AO$53,MATCH(C13,$AL$4:$AL$53,1),3)</f>
        <v>227.31536191974834</v>
      </c>
      <c r="H13" s="4">
        <f t="shared" si="1"/>
        <v>0.44674857055515826</v>
      </c>
      <c r="I13" s="6">
        <f t="shared" si="2"/>
        <v>30749.999999877004</v>
      </c>
      <c r="J13" s="13">
        <f t="shared" si="3"/>
        <v>166.21952955911905</v>
      </c>
      <c r="K13" s="13">
        <f t="shared" si="16"/>
        <v>323.104170338198</v>
      </c>
      <c r="L13" s="13">
        <f t="shared" si="4"/>
        <v>195.10396860038389</v>
      </c>
      <c r="M13" s="13">
        <f t="shared" si="17"/>
        <v>200.26090629521602</v>
      </c>
      <c r="N13" s="13">
        <f t="shared" si="18"/>
        <v>6.6525442738929934</v>
      </c>
      <c r="O13" s="13">
        <f t="shared" si="19"/>
        <v>6.1715929400140324</v>
      </c>
      <c r="P13" s="4">
        <f t="shared" si="5"/>
        <v>1.0605</v>
      </c>
      <c r="Q13" s="4">
        <f t="shared" si="6"/>
        <v>1.2282516464855568</v>
      </c>
      <c r="R13" s="4">
        <f t="shared" si="7"/>
        <v>0.83660573075097389</v>
      </c>
      <c r="S13" s="4">
        <f t="shared" si="8"/>
        <v>0.35330078071274029</v>
      </c>
      <c r="T13" s="4">
        <f t="shared" si="9"/>
        <v>0.36462553539372866</v>
      </c>
      <c r="U13" s="1"/>
      <c r="W13" s="32">
        <f t="shared" si="10"/>
        <v>0.35330078071274029</v>
      </c>
      <c r="X13" s="42">
        <f t="shared" si="11"/>
        <v>0.58883463452123386</v>
      </c>
      <c r="Y13" s="128">
        <f t="shared" si="12"/>
        <v>1.0510229020007409</v>
      </c>
      <c r="Z13" s="42">
        <f t="shared" si="20"/>
        <v>1.6816366432011856</v>
      </c>
      <c r="AB13" s="23">
        <v>4</v>
      </c>
      <c r="AC13" s="24">
        <v>0.8</v>
      </c>
      <c r="AD13" s="5">
        <f t="shared" si="13"/>
        <v>2.0799999999999999E-2</v>
      </c>
      <c r="AE13" s="5">
        <f t="shared" si="21"/>
        <v>0.1194718394324346</v>
      </c>
      <c r="AF13" s="25">
        <f t="shared" si="22"/>
        <v>-8.0000000000000002E-3</v>
      </c>
      <c r="AG13" s="30">
        <f t="shared" si="14"/>
        <v>1.4E-2</v>
      </c>
      <c r="AH13" s="5">
        <f t="shared" si="15"/>
        <v>0.18</v>
      </c>
      <c r="AI13" s="25">
        <v>0</v>
      </c>
      <c r="AL13" s="32">
        <f t="shared" si="0"/>
        <v>8202.1</v>
      </c>
      <c r="AM13" s="17">
        <v>2500</v>
      </c>
      <c r="AN13" s="17">
        <v>271.89999999999998</v>
      </c>
      <c r="AO13" s="17">
        <v>74.69</v>
      </c>
      <c r="AP13" s="17">
        <v>0.78120000000000001</v>
      </c>
      <c r="AQ13" s="17">
        <v>1.7869999999999999</v>
      </c>
      <c r="AR13" s="17">
        <v>2.4049999999999998</v>
      </c>
      <c r="AS13" s="33">
        <v>330.6</v>
      </c>
    </row>
    <row r="14" spans="2:45">
      <c r="C14" s="3">
        <v>39999.999999840002</v>
      </c>
      <c r="D14" s="3">
        <v>0</v>
      </c>
      <c r="E14" s="3">
        <v>0.55000000000000004</v>
      </c>
      <c r="F14" s="13" cm="1">
        <f t="array" ref="F14">((C14-INDEX($AL$4:$AO$53,MATCH(C14,$AL$4:$AL$53,1),1))/(INDEX($AL$4:$AO$53,MATCH(C14,$AL$4:$AL$53,1)+1,1)-INDEX($AL$4:$AO$53,MATCH(C14,$AL$4:$AL$53,1),1)))*(INDEX($AL$4:$AO$53,MATCH(C14,$AL$4:$AL$53,1)+1,4)-INDEX($AL$4:$AO$53,MATCH(C14,$AL$4:$AL$53,1),4))+INDEX($AL$4:$AO$53,MATCH(C14,$AL$4:$AL$53,1),4)</f>
        <v>18.835521147166698</v>
      </c>
      <c r="G14" s="13" cm="1">
        <f t="array" ref="G14">D14+((C14-INDEX($AL$4:$AO$53,MATCH(C14,$AL$4:$AL$53,1),1))/(INDEX($AL$4:$AO$53,MATCH(C14,$AL$4:$AL$53,1)+1,1)-INDEX($AL$4:$AO$53,MATCH(C14,$AL$4:$AL$53,1),1)))*(INDEX($AL$4:$AO$53,MATCH(C14,$AL$4:$AL$53,1)+1,3)-INDEX($AL$4:$AO$53,MATCH(C14,$AL$4:$AL$53,1),3))+INDEX($AL$4:$AO$53,MATCH(C14,$AL$4:$AL$53,1),3)</f>
        <v>216.7</v>
      </c>
      <c r="H14" s="4">
        <f t="shared" si="1"/>
        <v>0.30285645382618759</v>
      </c>
      <c r="I14" s="6">
        <f t="shared" si="2"/>
        <v>39999.999999840002</v>
      </c>
      <c r="J14" s="13">
        <f t="shared" si="3"/>
        <v>162.2919996487812</v>
      </c>
      <c r="K14" s="13">
        <f t="shared" si="16"/>
        <v>315.46968059728687</v>
      </c>
      <c r="L14" s="13">
        <f t="shared" si="4"/>
        <v>156.8440314265363</v>
      </c>
      <c r="M14" s="13">
        <f t="shared" si="17"/>
        <v>161.63158198926405</v>
      </c>
      <c r="N14" s="13">
        <f t="shared" si="18"/>
        <v>4.2992387142543231</v>
      </c>
      <c r="O14" s="13">
        <f t="shared" si="19"/>
        <v>3.9884216029125485</v>
      </c>
      <c r="P14" s="4">
        <f t="shared" si="5"/>
        <v>1.0605</v>
      </c>
      <c r="Q14" s="4">
        <f t="shared" si="6"/>
        <v>1.2282516464855568</v>
      </c>
      <c r="R14" s="4">
        <f t="shared" si="7"/>
        <v>0.7975372201978137</v>
      </c>
      <c r="S14" s="4">
        <f t="shared" si="8"/>
        <v>0.22832232777124126</v>
      </c>
      <c r="T14" s="4">
        <f t="shared" si="9"/>
        <v>0.24718421927258402</v>
      </c>
      <c r="U14" s="1"/>
      <c r="W14" s="32">
        <f t="shared" si="10"/>
        <v>0.22832232777124126</v>
      </c>
      <c r="X14" s="42">
        <f t="shared" si="11"/>
        <v>0.38053721295206877</v>
      </c>
      <c r="Y14" s="128">
        <f t="shared" si="12"/>
        <v>1.0261887330254893</v>
      </c>
      <c r="Z14" s="42">
        <f t="shared" si="20"/>
        <v>1.6419019728407829</v>
      </c>
      <c r="AB14" s="23">
        <v>4</v>
      </c>
      <c r="AC14" s="24">
        <v>0.8</v>
      </c>
      <c r="AD14" s="5">
        <f t="shared" si="13"/>
        <v>2.0799999999999999E-2</v>
      </c>
      <c r="AE14" s="5">
        <f t="shared" si="21"/>
        <v>0.1194718394324346</v>
      </c>
      <c r="AF14" s="25">
        <f t="shared" si="22"/>
        <v>-8.0000000000000002E-3</v>
      </c>
      <c r="AG14" s="30">
        <f t="shared" si="14"/>
        <v>1.4E-2</v>
      </c>
      <c r="AH14" s="5">
        <f t="shared" si="15"/>
        <v>0.18</v>
      </c>
      <c r="AI14" s="25">
        <v>0</v>
      </c>
      <c r="AL14" s="32">
        <f t="shared" si="0"/>
        <v>9842.52</v>
      </c>
      <c r="AM14" s="17">
        <v>3000</v>
      </c>
      <c r="AN14" s="17">
        <v>268.7</v>
      </c>
      <c r="AO14" s="17">
        <v>70.12</v>
      </c>
      <c r="AP14" s="17">
        <v>0.74229999999999996</v>
      </c>
      <c r="AQ14" s="17">
        <v>1.863</v>
      </c>
      <c r="AR14" s="17">
        <v>2.379</v>
      </c>
      <c r="AS14" s="33">
        <v>328.6</v>
      </c>
    </row>
    <row r="15" spans="2:45">
      <c r="C15" s="3">
        <v>38000</v>
      </c>
      <c r="D15" s="3">
        <v>0</v>
      </c>
      <c r="E15" s="3">
        <v>0.6</v>
      </c>
      <c r="F15" s="13" cm="1">
        <f t="array" ref="F15">((C15-INDEX($AL$4:$AO$53,MATCH(C15,$AL$4:$AL$53,1),1))/(INDEX($AL$4:$AO$53,MATCH(C15,$AL$4:$AL$53,1)+1,1)-INDEX($AL$4:$AO$53,MATCH(C15,$AL$4:$AL$53,1),1)))*(INDEX($AL$4:$AO$53,MATCH(C15,$AL$4:$AL$53,1)+1,4)-INDEX($AL$4:$AO$53,MATCH(C15,$AL$4:$AL$53,1),4))+INDEX($AL$4:$AO$53,MATCH(C15,$AL$4:$AL$53,1),4)</f>
        <v>20.719617171212249</v>
      </c>
      <c r="G15" s="13" cm="1">
        <f t="array" ref="G15">D15+((C15-INDEX($AL$4:$AO$53,MATCH(C15,$AL$4:$AL$53,1),1))/(INDEX($AL$4:$AO$53,MATCH(C15,$AL$4:$AL$53,1)+1,1)-INDEX($AL$4:$AO$53,MATCH(C15,$AL$4:$AL$53,1),1)))*(INDEX($AL$4:$AO$53,MATCH(C15,$AL$4:$AL$53,1)+1,3)-INDEX($AL$4:$AO$53,MATCH(C15,$AL$4:$AL$53,1),3))+INDEX($AL$4:$AO$53,MATCH(C15,$AL$4:$AL$53,1),3)</f>
        <v>216.7</v>
      </c>
      <c r="H15" s="4">
        <f t="shared" si="1"/>
        <v>0.33315084473006162</v>
      </c>
      <c r="I15" s="6">
        <f t="shared" si="2"/>
        <v>38000</v>
      </c>
      <c r="J15" s="13">
        <f t="shared" si="3"/>
        <v>177.04581779867038</v>
      </c>
      <c r="K15" s="13">
        <f t="shared" si="16"/>
        <v>344.14874246976746</v>
      </c>
      <c r="L15" s="13">
        <f t="shared" si="4"/>
        <v>179.45625503671928</v>
      </c>
      <c r="M15" s="13">
        <f t="shared" si="17"/>
        <v>185.80042985930189</v>
      </c>
      <c r="N15" s="13">
        <f t="shared" si="18"/>
        <v>5.7083327750024715</v>
      </c>
      <c r="O15" s="13">
        <f t="shared" si="19"/>
        <v>5.2213435271454856</v>
      </c>
      <c r="P15" s="4">
        <f t="shared" si="5"/>
        <v>1.0720000000000001</v>
      </c>
      <c r="Q15" s="4">
        <f t="shared" si="6"/>
        <v>1.2755037763406945</v>
      </c>
      <c r="R15" s="4">
        <f t="shared" si="7"/>
        <v>0.80618566718722895</v>
      </c>
      <c r="S15" s="4">
        <f t="shared" si="8"/>
        <v>0.26082358693525509</v>
      </c>
      <c r="T15" s="4">
        <f t="shared" si="9"/>
        <v>0.27190977908584851</v>
      </c>
      <c r="U15" s="1"/>
      <c r="W15" s="32">
        <f t="shared" si="10"/>
        <v>0.26082358693525509</v>
      </c>
      <c r="X15" s="42">
        <f t="shared" si="11"/>
        <v>0.43470597822542517</v>
      </c>
      <c r="Y15" s="128">
        <f t="shared" si="12"/>
        <v>1.040642095462468</v>
      </c>
      <c r="Z15" s="42">
        <f t="shared" si="20"/>
        <v>1.6650273527399488</v>
      </c>
      <c r="AB15" s="23">
        <v>4</v>
      </c>
      <c r="AC15" s="24">
        <v>0.8</v>
      </c>
      <c r="AD15" s="5">
        <f t="shared" si="13"/>
        <v>2.0799999999999999E-2</v>
      </c>
      <c r="AE15" s="5">
        <f t="shared" si="21"/>
        <v>0.1194718394324346</v>
      </c>
      <c r="AF15" s="25">
        <f t="shared" si="22"/>
        <v>-8.0000000000000002E-3</v>
      </c>
      <c r="AG15" s="30">
        <f t="shared" si="14"/>
        <v>1.4E-2</v>
      </c>
      <c r="AH15" s="5">
        <f t="shared" si="15"/>
        <v>0.18</v>
      </c>
      <c r="AI15" s="25">
        <v>0</v>
      </c>
      <c r="AL15" s="32">
        <f t="shared" si="0"/>
        <v>11482.94</v>
      </c>
      <c r="AM15" s="17">
        <v>3500</v>
      </c>
      <c r="AN15" s="17">
        <v>265.39999999999998</v>
      </c>
      <c r="AO15" s="17">
        <v>65.78</v>
      </c>
      <c r="AP15" s="17">
        <v>0.70479999999999998</v>
      </c>
      <c r="AQ15" s="17">
        <v>1.9430000000000001</v>
      </c>
      <c r="AR15" s="17">
        <v>2.3530000000000002</v>
      </c>
      <c r="AS15" s="33">
        <v>326.60000000000002</v>
      </c>
    </row>
    <row r="16" spans="2:45">
      <c r="C16" s="3">
        <v>0</v>
      </c>
      <c r="D16" s="3">
        <v>0</v>
      </c>
      <c r="E16" s="3">
        <v>0.8</v>
      </c>
      <c r="F16" s="13" cm="1">
        <f t="array" ref="F16">((C16-INDEX($AL$4:$AO$53,MATCH(C16,$AL$4:$AL$53,1),1))/(INDEX($AL$4:$AO$53,MATCH(C16,$AL$4:$AL$53,1)+1,1)-INDEX($AL$4:$AO$53,MATCH(C16,$AL$4:$AL$53,1),1)))*(INDEX($AL$4:$AO$53,MATCH(C16,$AL$4:$AL$53,1)+1,4)-INDEX($AL$4:$AO$53,MATCH(C16,$AL$4:$AL$53,1),4))+INDEX($AL$4:$AO$53,MATCH(C16,$AL$4:$AL$53,1),4)</f>
        <v>101.325</v>
      </c>
      <c r="G16" s="13" cm="1">
        <f t="array" ref="G16">D16+((C16-INDEX($AL$4:$AO$53,MATCH(C16,$AL$4:$AL$53,1),1))/(INDEX($AL$4:$AO$53,MATCH(C16,$AL$4:$AL$53,1)+1,1)-INDEX($AL$4:$AO$53,MATCH(C16,$AL$4:$AL$53,1),1)))*(INDEX($AL$4:$AO$53,MATCH(C16,$AL$4:$AL$53,1)+1,3)-INDEX($AL$4:$AO$53,MATCH(C16,$AL$4:$AL$53,1),3))+INDEX($AL$4:$AO$53,MATCH(C16,$AL$4:$AL$53,1),3)</f>
        <v>288.14999999999998</v>
      </c>
      <c r="H16" s="4">
        <f t="shared" si="1"/>
        <v>1.2252256827617731</v>
      </c>
      <c r="I16" s="6">
        <f t="shared" si="2"/>
        <v>0</v>
      </c>
      <c r="J16" s="13">
        <f t="shared" si="3"/>
        <v>272.21011884204449</v>
      </c>
      <c r="K16" s="13">
        <f t="shared" si="16"/>
        <v>529.13291740991974</v>
      </c>
      <c r="L16" s="13">
        <f t="shared" si="4"/>
        <v>529.13291740991974</v>
      </c>
      <c r="M16" s="13">
        <f t="shared" si="17"/>
        <v>529.13291740991997</v>
      </c>
      <c r="N16" s="13">
        <f t="shared" si="18"/>
        <v>53.128751468530069</v>
      </c>
      <c r="O16" s="13">
        <f t="shared" si="19"/>
        <v>45.393599999999999</v>
      </c>
      <c r="P16" s="4">
        <f t="shared" si="5"/>
        <v>1.1280000000000001</v>
      </c>
      <c r="Q16" s="4">
        <f t="shared" si="6"/>
        <v>1.5243400095586486</v>
      </c>
      <c r="R16" s="4">
        <f t="shared" si="7"/>
        <v>1.1280000000000001</v>
      </c>
      <c r="S16" s="4">
        <f t="shared" si="8"/>
        <v>1.5243400095586486</v>
      </c>
      <c r="T16" s="4">
        <f t="shared" si="9"/>
        <v>1</v>
      </c>
      <c r="U16" s="1"/>
      <c r="W16" s="32">
        <f t="shared" si="10"/>
        <v>1.5243400095586486</v>
      </c>
      <c r="X16" s="42">
        <f t="shared" si="11"/>
        <v>2.5405666825977478</v>
      </c>
      <c r="Y16" s="128">
        <f t="shared" si="12"/>
        <v>1.2666666666666668</v>
      </c>
      <c r="Z16" s="42">
        <f t="shared" si="20"/>
        <v>2.0266666666666668</v>
      </c>
      <c r="AB16" s="23">
        <v>4</v>
      </c>
      <c r="AC16" s="24">
        <v>0.8</v>
      </c>
      <c r="AD16" s="5">
        <f t="shared" si="13"/>
        <v>2.0799999999999999E-2</v>
      </c>
      <c r="AE16" s="5">
        <f t="shared" si="21"/>
        <v>0.1194718394324346</v>
      </c>
      <c r="AF16" s="25">
        <f t="shared" si="22"/>
        <v>-8.0000000000000002E-3</v>
      </c>
      <c r="AG16" s="30">
        <f t="shared" si="14"/>
        <v>1.4E-2</v>
      </c>
      <c r="AH16" s="5">
        <f t="shared" si="15"/>
        <v>0.18</v>
      </c>
      <c r="AI16" s="25">
        <v>0</v>
      </c>
      <c r="AL16" s="32">
        <f t="shared" si="0"/>
        <v>13123.36</v>
      </c>
      <c r="AM16" s="17">
        <v>4000</v>
      </c>
      <c r="AN16" s="17">
        <v>262.2</v>
      </c>
      <c r="AO16" s="17">
        <v>61.66</v>
      </c>
      <c r="AP16" s="17">
        <v>0.66890000000000005</v>
      </c>
      <c r="AQ16" s="17">
        <v>2.028</v>
      </c>
      <c r="AR16" s="17">
        <v>2.327</v>
      </c>
      <c r="AS16" s="33">
        <v>324.60000000000002</v>
      </c>
    </row>
    <row r="17" spans="1:45">
      <c r="C17" s="3">
        <v>46485.528820829597</v>
      </c>
      <c r="D17" s="3">
        <v>0</v>
      </c>
      <c r="E17" s="3">
        <v>0.2</v>
      </c>
      <c r="F17" s="13" cm="1">
        <f t="array" ref="F17">((C17-INDEX($AL$4:$AO$53,MATCH(C17,$AL$4:$AL$53,1),1))/(INDEX($AL$4:$AO$53,MATCH(C17,$AL$4:$AL$53,1)+1,1)-INDEX($AL$4:$AO$53,MATCH(C17,$AL$4:$AL$53,1),1)))*(INDEX($AL$4:$AO$53,MATCH(C17,$AL$4:$AL$53,1)+1,4)-INDEX($AL$4:$AO$53,MATCH(C17,$AL$4:$AL$53,1),4))+INDEX($AL$4:$AO$53,MATCH(C17,$AL$4:$AL$53,1),4)</f>
        <v>13.808792115258491</v>
      </c>
      <c r="G17" s="13" cm="1">
        <f t="array" ref="G17">D17+((C17-INDEX($AL$4:$AO$53,MATCH(C17,$AL$4:$AL$53,1),1))/(INDEX($AL$4:$AO$53,MATCH(C17,$AL$4:$AL$53,1)+1,1)-INDEX($AL$4:$AO$53,MATCH(C17,$AL$4:$AL$53,1),1)))*(INDEX($AL$4:$AO$53,MATCH(C17,$AL$4:$AL$53,1)+1,3)-INDEX($AL$4:$AO$53,MATCH(C17,$AL$4:$AL$53,1),3))+INDEX($AL$4:$AO$53,MATCH(C17,$AL$4:$AL$53,1),3)</f>
        <v>216.7</v>
      </c>
      <c r="H17" s="4">
        <f t="shared" si="1"/>
        <v>0.22203164855246327</v>
      </c>
      <c r="I17" s="6">
        <f t="shared" si="2"/>
        <v>46485.528820829597</v>
      </c>
      <c r="J17" s="13">
        <f t="shared" si="3"/>
        <v>59.015272599556795</v>
      </c>
      <c r="K17" s="13">
        <f t="shared" si="16"/>
        <v>114.71624748992248</v>
      </c>
      <c r="L17" s="13">
        <f t="shared" si="4"/>
        <v>48.834228179347015</v>
      </c>
      <c r="M17" s="13">
        <f t="shared" si="17"/>
        <v>49.045048770705449</v>
      </c>
      <c r="N17" s="13">
        <f t="shared" si="18"/>
        <v>0.39052812232017936</v>
      </c>
      <c r="O17" s="13">
        <f t="shared" si="19"/>
        <v>0.38664617922723771</v>
      </c>
      <c r="P17" s="4">
        <f t="shared" si="5"/>
        <v>1.008</v>
      </c>
      <c r="Q17" s="4">
        <f t="shared" si="6"/>
        <v>1.0282811211191059</v>
      </c>
      <c r="R17" s="4">
        <f t="shared" si="7"/>
        <v>0.75805517959396151</v>
      </c>
      <c r="S17" s="4">
        <f t="shared" si="8"/>
        <v>0.14013639514017931</v>
      </c>
      <c r="T17" s="4">
        <f t="shared" si="9"/>
        <v>0.18121693960249283</v>
      </c>
      <c r="U17" s="1"/>
      <c r="W17" s="32">
        <f t="shared" si="10"/>
        <v>0.14013639514017931</v>
      </c>
      <c r="X17" s="42">
        <f t="shared" si="11"/>
        <v>0.23356065856696553</v>
      </c>
      <c r="Y17" s="128">
        <f t="shared" si="12"/>
        <v>0.92501519596663817</v>
      </c>
      <c r="Z17" s="42">
        <f t="shared" si="20"/>
        <v>1.4800243135466211</v>
      </c>
      <c r="AB17" s="23">
        <v>4</v>
      </c>
      <c r="AC17" s="24">
        <v>0.8</v>
      </c>
      <c r="AD17" s="5">
        <f t="shared" si="13"/>
        <v>2.0799999999999999E-2</v>
      </c>
      <c r="AE17" s="5">
        <f t="shared" si="21"/>
        <v>0.1194718394324346</v>
      </c>
      <c r="AF17" s="25">
        <f t="shared" si="22"/>
        <v>-8.0000000000000002E-3</v>
      </c>
      <c r="AG17" s="30">
        <f t="shared" si="14"/>
        <v>1.4E-2</v>
      </c>
      <c r="AH17" s="5">
        <f t="shared" si="15"/>
        <v>0.18</v>
      </c>
      <c r="AI17" s="25">
        <v>0</v>
      </c>
      <c r="AL17" s="32">
        <f t="shared" si="0"/>
        <v>14763.78</v>
      </c>
      <c r="AM17" s="17">
        <v>4500</v>
      </c>
      <c r="AN17" s="17">
        <v>258.89999999999998</v>
      </c>
      <c r="AO17" s="17">
        <v>57.75</v>
      </c>
      <c r="AP17" s="17">
        <v>0.63429999999999997</v>
      </c>
      <c r="AQ17" s="17">
        <v>2.117</v>
      </c>
      <c r="AR17" s="17">
        <v>2.3010000000000002</v>
      </c>
      <c r="AS17" s="33">
        <v>322.60000000000002</v>
      </c>
    </row>
    <row r="18" spans="1:45">
      <c r="A18" t="s">
        <v>46</v>
      </c>
      <c r="B18">
        <f>'Service Ceiling'!F22</f>
        <v>0.35766557046946662</v>
      </c>
      <c r="C18" s="3">
        <v>42956.508396116747</v>
      </c>
      <c r="D18" s="3">
        <v>0</v>
      </c>
      <c r="E18" s="3">
        <v>0.8</v>
      </c>
      <c r="F18" s="13" cm="1">
        <f t="array" ref="F18">((C18-INDEX($AL$4:$AO$53,MATCH(C18,$AL$4:$AL$53,1),1))/(INDEX($AL$4:$AO$53,MATCH(C18,$AL$4:$AL$53,1)+1,1)-INDEX($AL$4:$AO$53,MATCH(C18,$AL$4:$AL$53,1),1)))*(INDEX($AL$4:$AO$53,MATCH(C18,$AL$4:$AL$53,1)+1,4)-INDEX($AL$4:$AO$53,MATCH(C18,$AL$4:$AL$53,1),4))+INDEX($AL$4:$AO$53,MATCH(C18,$AL$4:$AL$53,1),4)</f>
        <v>16.347141649610503</v>
      </c>
      <c r="G18" s="13" cm="1">
        <f t="array" ref="G18">D18+((C18-INDEX($AL$4:$AO$53,MATCH(C18,$AL$4:$AL$53,1),1))/(INDEX($AL$4:$AO$53,MATCH(C18,$AL$4:$AL$53,1)+1,1)-INDEX($AL$4:$AO$53,MATCH(C18,$AL$4:$AL$53,1),1)))*(INDEX($AL$4:$AO$53,MATCH(C18,$AL$4:$AL$53,1)+1,3)-INDEX($AL$4:$AO$53,MATCH(C18,$AL$4:$AL$53,1),3))+INDEX($AL$4:$AO$53,MATCH(C18,$AL$4:$AL$53,1),3)</f>
        <v>216.7</v>
      </c>
      <c r="H18" s="4">
        <f t="shared" si="1"/>
        <v>0.26284578544513126</v>
      </c>
      <c r="I18" s="6">
        <f t="shared" si="2"/>
        <v>42956.508396116747</v>
      </c>
      <c r="J18" s="13">
        <f t="shared" si="3"/>
        <v>236.06109039822718</v>
      </c>
      <c r="K18" s="13">
        <f t="shared" si="16"/>
        <v>458.86498995968992</v>
      </c>
      <c r="L18" s="13">
        <f t="shared" si="4"/>
        <v>212.53349625716922</v>
      </c>
      <c r="M18" s="13">
        <f t="shared" si="17"/>
        <v>226.59086273262375</v>
      </c>
      <c r="N18" s="13">
        <f t="shared" si="18"/>
        <v>8.571460408813353</v>
      </c>
      <c r="O18" s="13">
        <f t="shared" si="19"/>
        <v>7.3235194590255039</v>
      </c>
      <c r="P18" s="4">
        <f t="shared" si="5"/>
        <v>1.1280000000000001</v>
      </c>
      <c r="Q18" s="4">
        <f t="shared" si="6"/>
        <v>1.5243400095586486</v>
      </c>
      <c r="R18" s="4">
        <f t="shared" si="7"/>
        <v>0.84829984383133794</v>
      </c>
      <c r="S18" s="4">
        <f t="shared" si="8"/>
        <v>0.24592748145496035</v>
      </c>
      <c r="T18" s="4">
        <f t="shared" si="9"/>
        <v>0.21452846536211378</v>
      </c>
      <c r="U18" s="1"/>
      <c r="W18" s="32">
        <f t="shared" si="10"/>
        <v>0.24592748145496035</v>
      </c>
      <c r="X18" s="42">
        <f t="shared" si="11"/>
        <v>0.40987913575826729</v>
      </c>
      <c r="Y18" s="128">
        <f t="shared" si="12"/>
        <v>1.098455545210383</v>
      </c>
      <c r="Z18" s="42">
        <f t="shared" si="20"/>
        <v>1.7575288723366129</v>
      </c>
      <c r="AB18" s="23">
        <v>4</v>
      </c>
      <c r="AC18" s="24">
        <v>0.8</v>
      </c>
      <c r="AD18" s="5">
        <f t="shared" si="13"/>
        <v>2.0799999999999999E-2</v>
      </c>
      <c r="AE18" s="5">
        <f t="shared" si="21"/>
        <v>0.1194718394324346</v>
      </c>
      <c r="AF18" s="25">
        <f t="shared" si="22"/>
        <v>-8.0000000000000002E-3</v>
      </c>
      <c r="AG18" s="30">
        <f t="shared" si="14"/>
        <v>1.4E-2</v>
      </c>
      <c r="AH18" s="5">
        <f t="shared" si="15"/>
        <v>0.18</v>
      </c>
      <c r="AI18" s="25">
        <v>0</v>
      </c>
      <c r="AL18" s="32">
        <f t="shared" si="0"/>
        <v>16404.2</v>
      </c>
      <c r="AM18" s="17">
        <v>5000</v>
      </c>
      <c r="AN18" s="17">
        <v>255.7</v>
      </c>
      <c r="AO18" s="17">
        <v>54.05</v>
      </c>
      <c r="AP18" s="17">
        <v>0.60119999999999996</v>
      </c>
      <c r="AQ18" s="17">
        <v>2.2109999999999999</v>
      </c>
      <c r="AR18" s="17">
        <v>2.2749999999999999</v>
      </c>
      <c r="AS18" s="33">
        <v>320.5</v>
      </c>
    </row>
    <row r="19" spans="1:45" ht="15" thickBot="1">
      <c r="A19" t="s">
        <v>47</v>
      </c>
      <c r="B19">
        <f>'ABS Ceiling'!F22</f>
        <v>0.35916183716115402</v>
      </c>
      <c r="C19" s="3">
        <v>45825.352292206553</v>
      </c>
      <c r="D19" s="3">
        <v>0</v>
      </c>
      <c r="E19" s="3">
        <v>0.9</v>
      </c>
      <c r="F19" s="13" cm="1">
        <f t="array" ref="F19">((C19-INDEX($AL$4:$AO$53,MATCH(C19,$AL$4:$AL$53,1),1))/(INDEX($AL$4:$AO$53,MATCH(C19,$AL$4:$AL$53,1)+1,1)-INDEX($AL$4:$AO$53,MATCH(C19,$AL$4:$AL$53,1),1)))*(INDEX($AL$4:$AO$53,MATCH(C19,$AL$4:$AL$53,1)+1,4)-INDEX($AL$4:$AO$53,MATCH(C19,$AL$4:$AL$53,1),4))+INDEX($AL$4:$AO$53,MATCH(C19,$AL$4:$AL$53,1),4)</f>
        <v>14.245244718450397</v>
      </c>
      <c r="G19" s="13" cm="1">
        <f t="array" ref="G19">D19+((C19-INDEX($AL$4:$AO$53,MATCH(C19,$AL$4:$AL$53,1),1))/(INDEX($AL$4:$AO$53,MATCH(C19,$AL$4:$AL$53,1)+1,1)-INDEX($AL$4:$AO$53,MATCH(C19,$AL$4:$AL$53,1),1)))*(INDEX($AL$4:$AO$53,MATCH(C19,$AL$4:$AL$53,1)+1,3)-INDEX($AL$4:$AO$53,MATCH(C19,$AL$4:$AL$53,1),3))+INDEX($AL$4:$AO$53,MATCH(C19,$AL$4:$AL$53,1),3)</f>
        <v>216.7</v>
      </c>
      <c r="H19" s="4">
        <f t="shared" si="1"/>
        <v>0.22904937249188251</v>
      </c>
      <c r="I19" s="6">
        <f t="shared" si="2"/>
        <v>45825.352292206553</v>
      </c>
      <c r="J19" s="13">
        <f t="shared" si="3"/>
        <v>265.56872669800561</v>
      </c>
      <c r="K19" s="13">
        <f t="shared" si="16"/>
        <v>516.22311370465127</v>
      </c>
      <c r="L19" s="13">
        <f t="shared" si="4"/>
        <v>223.19987821346086</v>
      </c>
      <c r="M19" s="13">
        <f t="shared" si="17"/>
        <v>242.36617668396792</v>
      </c>
      <c r="N19" s="13">
        <f t="shared" si="18"/>
        <v>9.8477820171880452</v>
      </c>
      <c r="O19" s="13">
        <f t="shared" si="19"/>
        <v>8.0770537553613764</v>
      </c>
      <c r="P19" s="4">
        <f t="shared" si="5"/>
        <v>1.1619999999999999</v>
      </c>
      <c r="Q19" s="4">
        <f t="shared" si="6"/>
        <v>1.691303112850931</v>
      </c>
      <c r="R19" s="4">
        <f t="shared" si="7"/>
        <v>0.87386916536526105</v>
      </c>
      <c r="S19" s="4">
        <f t="shared" si="8"/>
        <v>0.23777968651012527</v>
      </c>
      <c r="T19" s="4">
        <f t="shared" si="9"/>
        <v>0.18694463862003269</v>
      </c>
      <c r="U19" s="1"/>
      <c r="W19" s="34">
        <f t="shared" si="10"/>
        <v>0.23777968651012527</v>
      </c>
      <c r="X19" s="44">
        <f t="shared" si="11"/>
        <v>0.39629947751687544</v>
      </c>
      <c r="Y19" s="131">
        <f t="shared" si="12"/>
        <v>1.1273622700843402</v>
      </c>
      <c r="Z19" s="44">
        <f t="shared" si="20"/>
        <v>1.8037796321349444</v>
      </c>
      <c r="AB19" s="26">
        <v>4</v>
      </c>
      <c r="AC19" s="27">
        <v>0.8</v>
      </c>
      <c r="AD19" s="28">
        <f t="shared" si="13"/>
        <v>4.9399999999999993E-2</v>
      </c>
      <c r="AE19" s="28">
        <f t="shared" si="21"/>
        <v>0.1194718394324346</v>
      </c>
      <c r="AF19" s="29">
        <f t="shared" si="22"/>
        <v>-8.0000000000000002E-3</v>
      </c>
      <c r="AG19" s="31">
        <f t="shared" si="14"/>
        <v>1.7500000000000002E-2</v>
      </c>
      <c r="AH19" s="28">
        <f t="shared" si="15"/>
        <v>0.18</v>
      </c>
      <c r="AI19" s="29">
        <v>0</v>
      </c>
      <c r="AL19" s="32">
        <f t="shared" si="0"/>
        <v>18044.62</v>
      </c>
      <c r="AM19" s="17">
        <v>5500</v>
      </c>
      <c r="AN19" s="17">
        <v>252.4</v>
      </c>
      <c r="AO19" s="17">
        <v>50.54</v>
      </c>
      <c r="AP19" s="17">
        <v>0.56940000000000002</v>
      </c>
      <c r="AQ19" s="17">
        <v>2.3109999999999999</v>
      </c>
      <c r="AR19" s="17">
        <v>2.2480000000000002</v>
      </c>
      <c r="AS19" s="33">
        <v>318.5</v>
      </c>
    </row>
    <row r="20" spans="1:45">
      <c r="R20" s="15"/>
      <c r="S20" s="15"/>
      <c r="T20" s="15"/>
      <c r="U20" s="15"/>
      <c r="AL20" s="32">
        <f t="shared" si="0"/>
        <v>19685.04</v>
      </c>
      <c r="AM20" s="17">
        <v>6000</v>
      </c>
      <c r="AN20" s="17">
        <v>249.2</v>
      </c>
      <c r="AO20" s="17">
        <v>47.22</v>
      </c>
      <c r="AP20" s="17">
        <v>0.53890000000000005</v>
      </c>
      <c r="AQ20" s="17">
        <v>2.4159999999999999</v>
      </c>
      <c r="AR20" s="17">
        <v>2.222</v>
      </c>
      <c r="AS20" s="33">
        <v>316.5</v>
      </c>
    </row>
    <row r="21" spans="1:45">
      <c r="AL21" s="32">
        <f t="shared" si="0"/>
        <v>21325.46</v>
      </c>
      <c r="AM21" s="17">
        <v>6500</v>
      </c>
      <c r="AN21" s="17">
        <v>245.9</v>
      </c>
      <c r="AO21" s="17">
        <v>44.08</v>
      </c>
      <c r="AP21" s="17">
        <v>0.50960000000000005</v>
      </c>
      <c r="AQ21" s="17">
        <v>2.528</v>
      </c>
      <c r="AR21" s="17">
        <v>2.1949999999999998</v>
      </c>
      <c r="AS21" s="33">
        <v>314.39999999999998</v>
      </c>
    </row>
    <row r="22" spans="1:45">
      <c r="C22" s="180"/>
      <c r="AL22" s="32">
        <f t="shared" si="0"/>
        <v>22965.88</v>
      </c>
      <c r="AM22" s="17">
        <v>7000</v>
      </c>
      <c r="AN22" s="17">
        <v>242.7</v>
      </c>
      <c r="AO22" s="17">
        <v>41.11</v>
      </c>
      <c r="AP22" s="17">
        <v>0.48170000000000002</v>
      </c>
      <c r="AQ22" s="17">
        <v>2.6459999999999999</v>
      </c>
      <c r="AR22" s="17">
        <v>2.169</v>
      </c>
      <c r="AS22" s="33">
        <v>312.3</v>
      </c>
    </row>
    <row r="23" spans="1:45">
      <c r="AL23" s="32">
        <f t="shared" si="0"/>
        <v>24606.3</v>
      </c>
      <c r="AM23" s="17">
        <v>7500</v>
      </c>
      <c r="AN23" s="17">
        <v>239.5</v>
      </c>
      <c r="AO23" s="17">
        <v>38.299999999999997</v>
      </c>
      <c r="AP23" s="17">
        <v>0.45490000000000003</v>
      </c>
      <c r="AQ23" s="17">
        <v>2.7709999999999999</v>
      </c>
      <c r="AR23" s="17">
        <v>2.1419999999999999</v>
      </c>
      <c r="AS23" s="33">
        <v>310.2</v>
      </c>
    </row>
    <row r="24" spans="1:45">
      <c r="AL24" s="32">
        <f t="shared" si="0"/>
        <v>26246.720000000001</v>
      </c>
      <c r="AM24" s="17">
        <v>8000</v>
      </c>
      <c r="AN24" s="17">
        <v>236.2</v>
      </c>
      <c r="AO24" s="17">
        <v>35.65</v>
      </c>
      <c r="AP24" s="17">
        <v>0.42920000000000003</v>
      </c>
      <c r="AQ24" s="17">
        <v>2.9039999999999999</v>
      </c>
      <c r="AR24" s="17">
        <v>2.1150000000000002</v>
      </c>
      <c r="AS24" s="33">
        <v>308.10000000000002</v>
      </c>
    </row>
    <row r="25" spans="1:45">
      <c r="AL25" s="32">
        <f t="shared" si="0"/>
        <v>27887.14</v>
      </c>
      <c r="AM25" s="17">
        <v>8500</v>
      </c>
      <c r="AN25" s="17">
        <v>233</v>
      </c>
      <c r="AO25" s="17">
        <v>33.15</v>
      </c>
      <c r="AP25" s="17">
        <v>0.4047</v>
      </c>
      <c r="AQ25" s="17">
        <v>3.0459999999999998</v>
      </c>
      <c r="AR25" s="17">
        <v>2.0880000000000001</v>
      </c>
      <c r="AS25" s="33">
        <v>306</v>
      </c>
    </row>
    <row r="26" spans="1:45">
      <c r="AL26" s="32">
        <f t="shared" si="0"/>
        <v>29527.56</v>
      </c>
      <c r="AM26" s="17">
        <v>9000</v>
      </c>
      <c r="AN26" s="17">
        <v>229.7</v>
      </c>
      <c r="AO26" s="17">
        <v>30.8</v>
      </c>
      <c r="AP26" s="17">
        <v>0.38129999999999997</v>
      </c>
      <c r="AQ26" s="17">
        <v>3.1960000000000002</v>
      </c>
      <c r="AR26" s="17">
        <v>2.0609999999999999</v>
      </c>
      <c r="AS26" s="33">
        <v>303.8</v>
      </c>
    </row>
    <row r="27" spans="1:45">
      <c r="AL27" s="32">
        <f t="shared" si="0"/>
        <v>31167.98</v>
      </c>
      <c r="AM27" s="17">
        <v>9500</v>
      </c>
      <c r="AN27" s="17">
        <v>226.5</v>
      </c>
      <c r="AO27" s="17">
        <v>28.58</v>
      </c>
      <c r="AP27" s="17">
        <v>0.3589</v>
      </c>
      <c r="AQ27" s="17">
        <v>3.355</v>
      </c>
      <c r="AR27" s="17">
        <v>2.0339999999999998</v>
      </c>
      <c r="AS27" s="33">
        <v>301.7</v>
      </c>
    </row>
    <row r="28" spans="1:45">
      <c r="AL28" s="32">
        <f t="shared" si="0"/>
        <v>32808.400000000001</v>
      </c>
      <c r="AM28" s="17">
        <v>10000</v>
      </c>
      <c r="AN28" s="17">
        <v>223.3</v>
      </c>
      <c r="AO28" s="17">
        <v>26.5</v>
      </c>
      <c r="AP28" s="17">
        <v>0.33760000000000001</v>
      </c>
      <c r="AQ28" s="17">
        <v>3.5249999999999999</v>
      </c>
      <c r="AR28" s="17">
        <v>2.0070000000000001</v>
      </c>
      <c r="AS28" s="33">
        <v>299.8</v>
      </c>
    </row>
    <row r="29" spans="1:45">
      <c r="AL29" s="32">
        <f t="shared" si="0"/>
        <v>34448.82</v>
      </c>
      <c r="AM29" s="17">
        <v>10500</v>
      </c>
      <c r="AN29" s="17">
        <v>220</v>
      </c>
      <c r="AO29" s="17">
        <v>24.54</v>
      </c>
      <c r="AP29" s="17">
        <v>0.31719999999999998</v>
      </c>
      <c r="AQ29" s="17">
        <v>3.706</v>
      </c>
      <c r="AR29" s="17">
        <v>1.98</v>
      </c>
      <c r="AS29" s="33">
        <v>297.39999999999998</v>
      </c>
    </row>
    <row r="30" spans="1:45">
      <c r="AL30" s="32">
        <f t="shared" si="0"/>
        <v>36089.24</v>
      </c>
      <c r="AM30" s="17">
        <v>11000</v>
      </c>
      <c r="AN30" s="17">
        <v>216.8</v>
      </c>
      <c r="AO30" s="17">
        <v>22.7</v>
      </c>
      <c r="AP30" s="17">
        <v>0.29780000000000001</v>
      </c>
      <c r="AQ30" s="17">
        <v>3.899</v>
      </c>
      <c r="AR30" s="17">
        <v>1.9530000000000001</v>
      </c>
      <c r="AS30" s="33">
        <v>295.2</v>
      </c>
    </row>
    <row r="31" spans="1:45">
      <c r="AL31" s="32">
        <f t="shared" si="0"/>
        <v>37729.659999999996</v>
      </c>
      <c r="AM31" s="17">
        <v>11500</v>
      </c>
      <c r="AN31" s="17">
        <v>216.7</v>
      </c>
      <c r="AO31" s="17">
        <v>20.98</v>
      </c>
      <c r="AP31" s="17">
        <v>0.27550000000000002</v>
      </c>
      <c r="AQ31" s="17">
        <v>4.2130000000000001</v>
      </c>
      <c r="AR31" s="17">
        <v>1.952</v>
      </c>
      <c r="AS31" s="33">
        <v>295.10000000000002</v>
      </c>
    </row>
    <row r="32" spans="1:45">
      <c r="AL32" s="32">
        <f t="shared" si="0"/>
        <v>39370.080000000002</v>
      </c>
      <c r="AM32" s="17">
        <v>12000</v>
      </c>
      <c r="AN32" s="17">
        <v>216.7</v>
      </c>
      <c r="AO32" s="17">
        <v>19.399999999999999</v>
      </c>
      <c r="AP32" s="17">
        <v>0.25459999999999999</v>
      </c>
      <c r="AQ32" s="17">
        <v>4.5570000000000004</v>
      </c>
      <c r="AR32" s="17">
        <v>1.952</v>
      </c>
      <c r="AS32" s="33">
        <v>295.10000000000002</v>
      </c>
    </row>
    <row r="33" spans="3:45">
      <c r="AL33" s="32">
        <f t="shared" si="0"/>
        <v>41010.5</v>
      </c>
      <c r="AM33" s="17">
        <v>12500</v>
      </c>
      <c r="AN33" s="17">
        <v>216.7</v>
      </c>
      <c r="AO33" s="17">
        <v>17.93</v>
      </c>
      <c r="AP33" s="17">
        <v>0.2354</v>
      </c>
      <c r="AQ33" s="17">
        <v>4.93</v>
      </c>
      <c r="AR33" s="17">
        <v>1.952</v>
      </c>
      <c r="AS33" s="33">
        <v>295.10000000000002</v>
      </c>
    </row>
    <row r="34" spans="3:45">
      <c r="C34" s="180"/>
      <c r="AL34" s="32">
        <f t="shared" si="0"/>
        <v>42650.92</v>
      </c>
      <c r="AM34" s="17">
        <v>13000</v>
      </c>
      <c r="AN34" s="17">
        <v>216.7</v>
      </c>
      <c r="AO34" s="17">
        <v>16.579999999999998</v>
      </c>
      <c r="AP34" s="17">
        <v>0.21759999999999999</v>
      </c>
      <c r="AQ34" s="17">
        <v>5.3330000000000002</v>
      </c>
      <c r="AR34" s="17">
        <v>1.952</v>
      </c>
      <c r="AS34" s="33">
        <v>295.10000000000002</v>
      </c>
    </row>
    <row r="35" spans="3:45">
      <c r="AL35" s="32">
        <f t="shared" si="0"/>
        <v>44291.34</v>
      </c>
      <c r="AM35" s="17">
        <v>13500</v>
      </c>
      <c r="AN35" s="17">
        <v>216.7</v>
      </c>
      <c r="AO35" s="17">
        <v>15.33</v>
      </c>
      <c r="AP35" s="17">
        <v>0.20119999999999999</v>
      </c>
      <c r="AQ35" s="17">
        <v>5.7679999999999998</v>
      </c>
      <c r="AR35" s="17">
        <v>1.952</v>
      </c>
      <c r="AS35" s="33">
        <v>295.10000000000002</v>
      </c>
    </row>
    <row r="36" spans="3:45">
      <c r="AL36" s="32">
        <f t="shared" si="0"/>
        <v>45931.76</v>
      </c>
      <c r="AM36" s="17">
        <v>14000</v>
      </c>
      <c r="AN36" s="17">
        <v>216.7</v>
      </c>
      <c r="AO36" s="17">
        <v>14.17</v>
      </c>
      <c r="AP36" s="17">
        <v>0.186</v>
      </c>
      <c r="AQ36" s="17">
        <v>6.2389999999999999</v>
      </c>
      <c r="AR36" s="17">
        <v>1.952</v>
      </c>
      <c r="AS36" s="33">
        <v>295.10000000000002</v>
      </c>
    </row>
    <row r="37" spans="3:45">
      <c r="AL37" s="32">
        <f t="shared" si="0"/>
        <v>47572.18</v>
      </c>
      <c r="AM37" s="17">
        <v>14500</v>
      </c>
      <c r="AN37" s="17">
        <v>216.7</v>
      </c>
      <c r="AO37" s="17">
        <v>13.1</v>
      </c>
      <c r="AP37" s="17">
        <v>0.17199999999999999</v>
      </c>
      <c r="AQ37" s="17">
        <v>6.7489999999999997</v>
      </c>
      <c r="AR37" s="17">
        <v>1.952</v>
      </c>
      <c r="AS37" s="33">
        <v>295.10000000000002</v>
      </c>
    </row>
    <row r="38" spans="3:45">
      <c r="AL38" s="32">
        <f t="shared" si="0"/>
        <v>49212.6</v>
      </c>
      <c r="AM38" s="17">
        <v>15000</v>
      </c>
      <c r="AN38" s="17">
        <v>216.7</v>
      </c>
      <c r="AO38" s="17">
        <v>12.11</v>
      </c>
      <c r="AP38" s="17">
        <v>0.159</v>
      </c>
      <c r="AQ38" s="17">
        <v>7.3</v>
      </c>
      <c r="AR38" s="17">
        <v>1.952</v>
      </c>
      <c r="AS38" s="33">
        <v>295.10000000000002</v>
      </c>
    </row>
    <row r="39" spans="3:45">
      <c r="AL39" s="32">
        <f t="shared" si="0"/>
        <v>50853.02</v>
      </c>
      <c r="AM39" s="17">
        <v>15500</v>
      </c>
      <c r="AN39" s="17">
        <v>216.7</v>
      </c>
      <c r="AO39" s="17">
        <v>11.2</v>
      </c>
      <c r="AP39" s="17">
        <v>0.14699999999999999</v>
      </c>
      <c r="AQ39" s="17">
        <v>7.8949999999999996</v>
      </c>
      <c r="AR39" s="17">
        <v>1.952</v>
      </c>
      <c r="AS39" s="33">
        <v>295.10000000000002</v>
      </c>
    </row>
    <row r="40" spans="3:45">
      <c r="AL40" s="32">
        <f t="shared" si="0"/>
        <v>52493.440000000002</v>
      </c>
      <c r="AM40" s="17">
        <v>16000</v>
      </c>
      <c r="AN40" s="17">
        <v>216.7</v>
      </c>
      <c r="AO40" s="17">
        <v>10.35</v>
      </c>
      <c r="AP40" s="17">
        <v>0.13589999999999999</v>
      </c>
      <c r="AQ40" s="17">
        <v>8.5399999999999991</v>
      </c>
      <c r="AR40" s="17">
        <v>1.952</v>
      </c>
      <c r="AS40" s="33">
        <v>295.10000000000002</v>
      </c>
    </row>
    <row r="41" spans="3:45">
      <c r="AL41" s="32">
        <f t="shared" si="0"/>
        <v>54133.86</v>
      </c>
      <c r="AM41" s="17">
        <v>16500</v>
      </c>
      <c r="AN41" s="17">
        <v>216.7</v>
      </c>
      <c r="AO41" s="17">
        <v>9.5719999999999992</v>
      </c>
      <c r="AP41" s="17">
        <v>0.12559999999999999</v>
      </c>
      <c r="AQ41" s="17">
        <v>9.2370000000000001</v>
      </c>
      <c r="AR41" s="17">
        <v>1.952</v>
      </c>
      <c r="AS41" s="33">
        <v>295.10000000000002</v>
      </c>
    </row>
    <row r="42" spans="3:45">
      <c r="AL42" s="32">
        <f t="shared" si="0"/>
        <v>55774.28</v>
      </c>
      <c r="AM42" s="17">
        <v>17000</v>
      </c>
      <c r="AN42" s="17">
        <v>216.7</v>
      </c>
      <c r="AO42" s="17">
        <v>8.85</v>
      </c>
      <c r="AP42" s="17">
        <v>0.1162</v>
      </c>
      <c r="AQ42" s="17">
        <v>9.99</v>
      </c>
      <c r="AR42" s="17">
        <v>1.952</v>
      </c>
      <c r="AS42" s="33">
        <v>295.10000000000002</v>
      </c>
    </row>
    <row r="43" spans="3:45">
      <c r="AL43" s="32">
        <f t="shared" si="0"/>
        <v>57414.7</v>
      </c>
      <c r="AM43" s="17">
        <v>17500</v>
      </c>
      <c r="AN43" s="17">
        <v>216.7</v>
      </c>
      <c r="AO43" s="17">
        <v>8.1820000000000004</v>
      </c>
      <c r="AP43" s="17">
        <v>0.1074</v>
      </c>
      <c r="AQ43" s="17">
        <v>10.805</v>
      </c>
      <c r="AR43" s="17">
        <v>1.952</v>
      </c>
      <c r="AS43" s="33">
        <v>295.10000000000002</v>
      </c>
    </row>
    <row r="44" spans="3:45">
      <c r="AL44" s="32">
        <f t="shared" si="0"/>
        <v>59055.12</v>
      </c>
      <c r="AM44" s="17">
        <v>18000</v>
      </c>
      <c r="AN44" s="17">
        <v>216.7</v>
      </c>
      <c r="AO44" s="17">
        <v>7.5650000000000004</v>
      </c>
      <c r="AP44" s="17">
        <v>9.9299999999999999E-2</v>
      </c>
      <c r="AQ44" s="17">
        <v>11.686</v>
      </c>
      <c r="AR44" s="17">
        <v>1.952</v>
      </c>
      <c r="AS44" s="33">
        <v>295.10000000000002</v>
      </c>
    </row>
    <row r="45" spans="3:45">
      <c r="AL45" s="32">
        <f t="shared" si="0"/>
        <v>60695.54</v>
      </c>
      <c r="AM45" s="17">
        <v>18500</v>
      </c>
      <c r="AN45" s="17">
        <v>216.7</v>
      </c>
      <c r="AO45" s="17">
        <v>6.9950000000000001</v>
      </c>
      <c r="AP45" s="17">
        <v>9.1819999999999999E-2</v>
      </c>
      <c r="AQ45" s="17">
        <v>12.638999999999999</v>
      </c>
      <c r="AR45" s="17">
        <v>1.952</v>
      </c>
      <c r="AS45" s="33">
        <v>295.10000000000002</v>
      </c>
    </row>
    <row r="46" spans="3:45">
      <c r="AL46" s="32">
        <f t="shared" si="0"/>
        <v>62335.96</v>
      </c>
      <c r="AM46" s="17">
        <v>19000</v>
      </c>
      <c r="AN46" s="17">
        <v>216.7</v>
      </c>
      <c r="AO46" s="17">
        <v>6.4669999999999996</v>
      </c>
      <c r="AP46" s="17">
        <v>8.4889999999999993E-2</v>
      </c>
      <c r="AQ46" s="17">
        <v>13.67</v>
      </c>
      <c r="AR46" s="17">
        <v>1.952</v>
      </c>
      <c r="AS46" s="33">
        <v>295.10000000000002</v>
      </c>
    </row>
    <row r="47" spans="3:45">
      <c r="AL47" s="32">
        <f t="shared" si="0"/>
        <v>63976.38</v>
      </c>
      <c r="AM47" s="17">
        <v>19500</v>
      </c>
      <c r="AN47" s="17">
        <v>216.7</v>
      </c>
      <c r="AO47" s="17">
        <v>5.98</v>
      </c>
      <c r="AP47" s="17">
        <v>7.85E-2</v>
      </c>
      <c r="AQ47" s="17">
        <v>14.784000000000001</v>
      </c>
      <c r="AR47" s="17">
        <v>1.952</v>
      </c>
      <c r="AS47" s="33">
        <v>295.10000000000002</v>
      </c>
    </row>
    <row r="48" spans="3:45">
      <c r="AL48" s="32">
        <f t="shared" si="0"/>
        <v>65616.800000000003</v>
      </c>
      <c r="AM48" s="17">
        <v>20000</v>
      </c>
      <c r="AN48" s="17">
        <v>216.7</v>
      </c>
      <c r="AO48" s="17">
        <v>5.5289999999999999</v>
      </c>
      <c r="AP48" s="17">
        <v>7.2580000000000006E-2</v>
      </c>
      <c r="AQ48" s="17">
        <v>15.989000000000001</v>
      </c>
      <c r="AR48" s="17">
        <v>1.952</v>
      </c>
      <c r="AS48" s="33">
        <v>295.10000000000002</v>
      </c>
    </row>
    <row r="49" spans="38:45">
      <c r="AL49" s="32">
        <f t="shared" si="0"/>
        <v>72178.48</v>
      </c>
      <c r="AM49" s="17">
        <v>22000</v>
      </c>
      <c r="AN49" s="17">
        <v>218.6</v>
      </c>
      <c r="AO49" s="17">
        <v>4.0469999999999997</v>
      </c>
      <c r="AP49" s="17">
        <v>5.2659999999999998E-2</v>
      </c>
      <c r="AQ49" s="17">
        <v>22.201000000000001</v>
      </c>
      <c r="AR49" s="17">
        <v>1.968</v>
      </c>
      <c r="AS49" s="33">
        <v>296.39999999999998</v>
      </c>
    </row>
    <row r="50" spans="38:45">
      <c r="AL50" s="32">
        <f t="shared" si="0"/>
        <v>78740.160000000003</v>
      </c>
      <c r="AM50" s="17">
        <v>24000</v>
      </c>
      <c r="AN50" s="17">
        <v>220.6</v>
      </c>
      <c r="AO50" s="17">
        <v>2.972</v>
      </c>
      <c r="AP50" s="17">
        <v>3.832E-2</v>
      </c>
      <c r="AQ50" s="17">
        <v>30.742999999999999</v>
      </c>
      <c r="AR50" s="17">
        <v>1.9850000000000001</v>
      </c>
      <c r="AS50" s="33">
        <v>297.7</v>
      </c>
    </row>
    <row r="51" spans="38:45">
      <c r="AL51" s="32">
        <f t="shared" si="0"/>
        <v>85301.84</v>
      </c>
      <c r="AM51" s="17">
        <v>26000</v>
      </c>
      <c r="AN51" s="17">
        <v>222.5</v>
      </c>
      <c r="AO51" s="17">
        <v>2.1880000000000002</v>
      </c>
      <c r="AP51" s="17">
        <v>2.7969999999999998E-2</v>
      </c>
      <c r="AQ51" s="17">
        <v>42.439</v>
      </c>
      <c r="AR51" s="17">
        <v>2.0009999999999999</v>
      </c>
      <c r="AS51" s="33">
        <v>299.10000000000002</v>
      </c>
    </row>
    <row r="52" spans="38:45">
      <c r="AL52" s="32">
        <f t="shared" si="0"/>
        <v>91863.52</v>
      </c>
      <c r="AM52" s="17">
        <v>28000</v>
      </c>
      <c r="AN52" s="17">
        <v>224.5</v>
      </c>
      <c r="AO52" s="17">
        <v>1.6160000000000001</v>
      </c>
      <c r="AP52" s="17">
        <v>2.0469999999999999E-2</v>
      </c>
      <c r="AQ52" s="17">
        <v>58.405000000000001</v>
      </c>
      <c r="AR52" s="17">
        <v>2.0179999999999998</v>
      </c>
      <c r="AS52" s="33">
        <v>300.39999999999998</v>
      </c>
    </row>
    <row r="53" spans="38:45" ht="15" thickBot="1">
      <c r="AL53" s="34">
        <f t="shared" si="0"/>
        <v>98425.2</v>
      </c>
      <c r="AM53" s="35">
        <v>30000</v>
      </c>
      <c r="AN53" s="35">
        <v>226.5</v>
      </c>
      <c r="AO53" s="35">
        <v>1.1970000000000001</v>
      </c>
      <c r="AP53" s="35">
        <v>1.503E-2</v>
      </c>
      <c r="AQ53" s="35">
        <v>80.134</v>
      </c>
      <c r="AR53" s="35">
        <v>2.0339999999999998</v>
      </c>
      <c r="AS53" s="36">
        <v>301.7</v>
      </c>
    </row>
  </sheetData>
  <mergeCells count="9">
    <mergeCell ref="C1:F1"/>
    <mergeCell ref="AL2:AS2"/>
    <mergeCell ref="W4:Z4"/>
    <mergeCell ref="AB4:AI4"/>
    <mergeCell ref="C5:T5"/>
    <mergeCell ref="W5:X5"/>
    <mergeCell ref="Y5:Z5"/>
    <mergeCell ref="AB5:AF5"/>
    <mergeCell ref="AG5:AI5"/>
  </mergeCells>
  <pageMargins left="0.7" right="0.7" top="0.75" bottom="0.75" header="0.3" footer="0.3"/>
  <pageSetup scale="27" fitToHeight="0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F47A-5B4F-4A15-A777-EE019AFDAC1D}">
  <sheetPr codeName="Sheet21">
    <pageSetUpPr fitToPage="1"/>
  </sheetPr>
  <dimension ref="B1:R51"/>
  <sheetViews>
    <sheetView zoomScale="85" zoomScaleNormal="85" workbookViewId="0">
      <selection activeCell="F22" sqref="F22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/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</row>
    <row r="5" spans="2:18" ht="15" thickBot="1"/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181">
        <v>101.33</v>
      </c>
      <c r="C8" s="181">
        <v>288.14999999999998</v>
      </c>
      <c r="D8" s="3">
        <v>0.8</v>
      </c>
      <c r="E8" s="3">
        <v>1.52434001</v>
      </c>
      <c r="F8" s="3">
        <v>0.75</v>
      </c>
      <c r="G8" s="3">
        <v>1</v>
      </c>
      <c r="H8" s="3">
        <v>118.69112104400249</v>
      </c>
      <c r="I8" s="3">
        <v>0</v>
      </c>
      <c r="K8" s="4">
        <f>196.850393700787*H8</f>
        <v>23364.393906299654</v>
      </c>
      <c r="L8" s="4">
        <f>D11*1.94384</f>
        <v>529.13291740991974</v>
      </c>
      <c r="N8" s="1"/>
    </row>
    <row r="9" spans="2:18">
      <c r="B9">
        <f>_xlfn.XLOOKUP(B8,ATMOS!F7:F19,ATMOS!C7:C19,0)</f>
        <v>0</v>
      </c>
      <c r="C9">
        <f>B9*0.3048</f>
        <v>0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1.2252861429484379</v>
      </c>
      <c r="C11" s="4">
        <f>SQRT(H4*G4*C8)</f>
        <v>340.26264855255562</v>
      </c>
      <c r="D11" s="4">
        <f>D8*C11</f>
        <v>272.21011884204449</v>
      </c>
      <c r="E11" s="4">
        <f>0.5*B11*D11^2</f>
        <v>45395.839999999997</v>
      </c>
      <c r="F11" s="4">
        <f>H8+D11*I8/I4</f>
        <v>118.69112104400249</v>
      </c>
      <c r="G11" s="4">
        <f>F8/E8</f>
        <v>0.49201621362677478</v>
      </c>
      <c r="H11" s="4">
        <f>E11/F8</f>
        <v>60527.78666666666</v>
      </c>
      <c r="I11" s="4">
        <f>G8*F8/E11</f>
        <v>1.6521337637986214E-5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0.65132108972011293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0.56459391619122823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0.5068925627313009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0.46577739216792058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0.43502858591488214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0.41119068920207152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0.39219042916742058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4">
        <f t="shared" si="0"/>
        <v>0.36999999999999994</v>
      </c>
      <c r="Q22" s="170" t="s">
        <v>82</v>
      </c>
      <c r="R22" s="171">
        <v>0.75</v>
      </c>
    </row>
    <row r="23" spans="2:18">
      <c r="B23" s="4">
        <f t="shared" si="3"/>
        <v>62.5</v>
      </c>
      <c r="C23" s="6">
        <f t="shared" si="1"/>
        <v>2992.5161805555626</v>
      </c>
      <c r="D23" s="4">
        <f t="shared" si="2"/>
        <v>305.0475209536761</v>
      </c>
      <c r="F23" s="4">
        <f t="shared" si="0"/>
        <v>0.35823516177963977</v>
      </c>
      <c r="Q23" s="172" t="s">
        <v>83</v>
      </c>
      <c r="R23" s="173">
        <v>0.6</v>
      </c>
    </row>
    <row r="24" spans="2:18">
      <c r="B24" s="4">
        <f t="shared" si="3"/>
        <v>67.5</v>
      </c>
      <c r="C24" s="6">
        <f t="shared" si="1"/>
        <v>3231.9174750000075</v>
      </c>
      <c r="D24" s="4">
        <f t="shared" si="2"/>
        <v>329.45132262997015</v>
      </c>
      <c r="F24" s="4">
        <f t="shared" si="0"/>
        <v>0.34826515687755322</v>
      </c>
      <c r="Q24" s="264" t="s">
        <v>84</v>
      </c>
      <c r="R24" s="265"/>
    </row>
    <row r="25" spans="2:18" ht="15" thickBot="1">
      <c r="B25" s="4">
        <f t="shared" si="3"/>
        <v>72.5</v>
      </c>
      <c r="C25" s="6">
        <f t="shared" si="1"/>
        <v>3471.3187694444528</v>
      </c>
      <c r="D25" s="4">
        <f t="shared" si="2"/>
        <v>353.85512430626426</v>
      </c>
      <c r="F25" s="4">
        <f t="shared" si="0"/>
        <v>0.33971864046926997</v>
      </c>
      <c r="Q25" s="266"/>
      <c r="R25" s="267"/>
    </row>
    <row r="26" spans="2:18">
      <c r="B26" s="4">
        <f t="shared" si="3"/>
        <v>77.5</v>
      </c>
      <c r="C26" s="6">
        <f t="shared" si="1"/>
        <v>3710.7200638888976</v>
      </c>
      <c r="D26" s="4">
        <f t="shared" si="2"/>
        <v>378.25892598255837</v>
      </c>
      <c r="F26" s="4">
        <f t="shared" si="0"/>
        <v>0.33232009865276357</v>
      </c>
    </row>
    <row r="27" spans="2:18">
      <c r="B27" s="4">
        <f t="shared" si="3"/>
        <v>82.5</v>
      </c>
      <c r="C27" s="6">
        <f t="shared" si="1"/>
        <v>3950.1213583333429</v>
      </c>
      <c r="D27" s="4">
        <f t="shared" si="2"/>
        <v>402.66272765885248</v>
      </c>
      <c r="F27" s="4">
        <f t="shared" si="0"/>
        <v>0.32586080877498363</v>
      </c>
    </row>
    <row r="28" spans="2:18">
      <c r="B28" s="4">
        <f t="shared" si="3"/>
        <v>87.5</v>
      </c>
      <c r="C28" s="6">
        <f t="shared" si="1"/>
        <v>4189.5226527777877</v>
      </c>
      <c r="D28" s="4">
        <f t="shared" si="2"/>
        <v>427.06652933514653</v>
      </c>
      <c r="F28" s="4">
        <f t="shared" si="0"/>
        <v>0.32017975621786282</v>
      </c>
    </row>
    <row r="29" spans="2:18">
      <c r="B29" s="4">
        <f t="shared" si="3"/>
        <v>92.5</v>
      </c>
      <c r="C29" s="6">
        <f t="shared" si="1"/>
        <v>4428.9239472222325</v>
      </c>
      <c r="D29" s="4">
        <f t="shared" si="2"/>
        <v>451.47033101144058</v>
      </c>
      <c r="F29" s="4">
        <f t="shared" si="0"/>
        <v>0.31515074033480767</v>
      </c>
    </row>
    <row r="30" spans="2:18">
      <c r="B30" s="4">
        <f t="shared" si="3"/>
        <v>97.5</v>
      </c>
      <c r="C30" s="6">
        <f t="shared" si="1"/>
        <v>4668.3252416666774</v>
      </c>
      <c r="D30" s="4">
        <f t="shared" si="2"/>
        <v>475.87413268773469</v>
      </c>
      <c r="F30" s="4">
        <f t="shared" si="0"/>
        <v>0.3106734477913467</v>
      </c>
    </row>
    <row r="31" spans="2:18">
      <c r="B31" s="4">
        <f t="shared" si="3"/>
        <v>102.5</v>
      </c>
      <c r="C31" s="6">
        <f t="shared" si="1"/>
        <v>4907.7265361111231</v>
      </c>
      <c r="D31" s="4">
        <f t="shared" si="2"/>
        <v>500.27793436402885</v>
      </c>
      <c r="F31" s="4">
        <f t="shared" si="0"/>
        <v>0.30666713858656347</v>
      </c>
    </row>
    <row r="32" spans="2:18">
      <c r="B32" s="4">
        <f t="shared" si="3"/>
        <v>107.5</v>
      </c>
      <c r="C32" s="6">
        <f t="shared" si="1"/>
        <v>5147.1278305555679</v>
      </c>
      <c r="D32" s="4">
        <f t="shared" si="2"/>
        <v>524.6817360403229</v>
      </c>
      <c r="F32" s="4">
        <f t="shared" si="0"/>
        <v>0.30306609411506136</v>
      </c>
    </row>
    <row r="33" spans="2:6">
      <c r="B33" s="4">
        <f t="shared" si="3"/>
        <v>112.5</v>
      </c>
      <c r="C33" s="6">
        <f t="shared" si="1"/>
        <v>5386.5291250000128</v>
      </c>
      <c r="D33" s="4">
        <f t="shared" si="2"/>
        <v>549.08553771661695</v>
      </c>
      <c r="F33" s="4">
        <f t="shared" si="0"/>
        <v>0.29981627907906927</v>
      </c>
    </row>
    <row r="34" spans="2:6">
      <c r="B34" s="4">
        <f t="shared" si="3"/>
        <v>117.5</v>
      </c>
      <c r="C34" s="6">
        <f t="shared" si="1"/>
        <v>5625.9304194444576</v>
      </c>
      <c r="D34" s="4">
        <f t="shared" si="2"/>
        <v>573.48933939291101</v>
      </c>
      <c r="F34" s="4">
        <f t="shared" si="0"/>
        <v>0.29687285567830957</v>
      </c>
    </row>
    <row r="35" spans="2:6">
      <c r="B35" s="4">
        <f t="shared" si="3"/>
        <v>122.5</v>
      </c>
      <c r="C35" s="6">
        <f t="shared" si="1"/>
        <v>5865.3317138889024</v>
      </c>
      <c r="D35" s="4">
        <f t="shared" si="2"/>
        <v>597.89314106920506</v>
      </c>
      <c r="F35" s="4">
        <f t="shared" si="0"/>
        <v>0.29419830656969242</v>
      </c>
    </row>
    <row r="36" spans="2:6">
      <c r="B36" s="4">
        <f t="shared" si="3"/>
        <v>127.5</v>
      </c>
      <c r="C36" s="6">
        <f t="shared" si="1"/>
        <v>6104.7330083333482</v>
      </c>
      <c r="D36" s="4">
        <f t="shared" si="2"/>
        <v>622.29694274549922</v>
      </c>
      <c r="F36" s="4">
        <f t="shared" si="0"/>
        <v>0.291760999483554</v>
      </c>
    </row>
    <row r="37" spans="2:6">
      <c r="B37" s="4">
        <f t="shared" si="3"/>
        <v>132.5</v>
      </c>
      <c r="C37" s="6">
        <f t="shared" si="1"/>
        <v>6344.134302777793</v>
      </c>
      <c r="D37" s="4">
        <f t="shared" si="2"/>
        <v>646.70074442179339</v>
      </c>
      <c r="F37" s="4">
        <f t="shared" si="0"/>
        <v>0.28953407683244398</v>
      </c>
    </row>
    <row r="38" spans="2:6">
      <c r="B38" s="4">
        <f t="shared" si="3"/>
        <v>137.5</v>
      </c>
      <c r="C38" s="6">
        <f t="shared" si="1"/>
        <v>6583.5355972222378</v>
      </c>
      <c r="D38" s="4">
        <f t="shared" si="2"/>
        <v>671.10454609808744</v>
      </c>
      <c r="F38" s="4">
        <f t="shared" si="0"/>
        <v>0.28749458758708651</v>
      </c>
    </row>
    <row r="39" spans="2:6">
      <c r="B39" s="4">
        <f t="shared" si="3"/>
        <v>142.5</v>
      </c>
      <c r="C39" s="6">
        <f t="shared" si="1"/>
        <v>6822.9368916666826</v>
      </c>
      <c r="D39" s="4">
        <f t="shared" si="2"/>
        <v>695.50834777438149</v>
      </c>
      <c r="F39" s="4">
        <f t="shared" si="0"/>
        <v>0.28562280191529704</v>
      </c>
    </row>
    <row r="40" spans="2:6">
      <c r="B40" s="4">
        <f t="shared" si="3"/>
        <v>147.5</v>
      </c>
      <c r="C40" s="6">
        <f t="shared" si="1"/>
        <v>7062.3381861111275</v>
      </c>
      <c r="D40" s="4">
        <f t="shared" si="2"/>
        <v>719.91214945067554</v>
      </c>
      <c r="F40" s="4">
        <f t="shared" si="0"/>
        <v>0.28390166521637378</v>
      </c>
    </row>
    <row r="41" spans="2:6">
      <c r="B41" s="4">
        <f t="shared" si="3"/>
        <v>152.5</v>
      </c>
      <c r="C41" s="6">
        <f t="shared" si="1"/>
        <v>7301.7394805555732</v>
      </c>
      <c r="D41" s="4">
        <f t="shared" si="2"/>
        <v>744.31595112696971</v>
      </c>
      <c r="F41" s="4">
        <f t="shared" si="0"/>
        <v>0.28231635955855938</v>
      </c>
    </row>
    <row r="42" spans="2:6">
      <c r="B42" s="4">
        <f t="shared" si="3"/>
        <v>157.5</v>
      </c>
      <c r="C42" s="6">
        <f t="shared" si="1"/>
        <v>7541.140775000018</v>
      </c>
      <c r="D42" s="4">
        <f t="shared" si="2"/>
        <v>768.71975280326376</v>
      </c>
      <c r="F42" s="4">
        <f t="shared" si="0"/>
        <v>0.28085394865222452</v>
      </c>
    </row>
    <row r="43" spans="2:6">
      <c r="B43" s="4">
        <f t="shared" si="3"/>
        <v>162.5</v>
      </c>
      <c r="C43" s="6">
        <f t="shared" si="1"/>
        <v>7780.5420694444629</v>
      </c>
      <c r="D43" s="4">
        <f t="shared" si="2"/>
        <v>793.12355447955781</v>
      </c>
      <c r="F43" s="4">
        <f t="shared" si="0"/>
        <v>0.27950308836646326</v>
      </c>
    </row>
    <row r="44" spans="2:6">
      <c r="B44" s="4">
        <f t="shared" si="3"/>
        <v>167.5</v>
      </c>
      <c r="C44" s="6">
        <f t="shared" si="1"/>
        <v>8019.9433638889077</v>
      </c>
      <c r="D44" s="4">
        <f t="shared" si="2"/>
        <v>817.52735615585186</v>
      </c>
      <c r="F44" s="4">
        <f t="shared" si="0"/>
        <v>0.2782537890934631</v>
      </c>
    </row>
    <row r="45" spans="2:6">
      <c r="B45" s="4">
        <f t="shared" si="3"/>
        <v>172.5</v>
      </c>
      <c r="C45" s="6">
        <f t="shared" si="1"/>
        <v>8259.3446583333534</v>
      </c>
      <c r="D45" s="4">
        <f t="shared" si="2"/>
        <v>841.93115783214603</v>
      </c>
      <c r="F45" s="4">
        <f t="shared" si="0"/>
        <v>0.27709721944081006</v>
      </c>
    </row>
    <row r="46" spans="2:6">
      <c r="B46" s="4">
        <f t="shared" si="3"/>
        <v>177.5</v>
      </c>
      <c r="C46" s="6">
        <f t="shared" si="1"/>
        <v>8498.7459527777974</v>
      </c>
      <c r="D46" s="4">
        <f t="shared" si="2"/>
        <v>866.33495950844008</v>
      </c>
      <c r="F46" s="4">
        <f t="shared" si="0"/>
        <v>0.27602554310255922</v>
      </c>
    </row>
    <row r="47" spans="2:6">
      <c r="B47" s="4">
        <f t="shared" si="3"/>
        <v>182.5</v>
      </c>
      <c r="C47" s="6">
        <f t="shared" si="1"/>
        <v>8738.1472472222431</v>
      </c>
      <c r="D47" s="4">
        <f t="shared" si="2"/>
        <v>890.73876118473424</v>
      </c>
      <c r="F47" s="4">
        <f t="shared" si="0"/>
        <v>0.27503178254602012</v>
      </c>
    </row>
    <row r="48" spans="2:6">
      <c r="B48" s="4">
        <f t="shared" si="3"/>
        <v>187.5</v>
      </c>
      <c r="C48" s="6">
        <f t="shared" si="1"/>
        <v>8977.5485416666888</v>
      </c>
      <c r="D48" s="4">
        <f t="shared" si="2"/>
        <v>915.14256286102841</v>
      </c>
      <c r="F48" s="4">
        <f t="shared" si="0"/>
        <v>0.27410970450865579</v>
      </c>
    </row>
    <row r="49" spans="2:6">
      <c r="B49" s="4">
        <f t="shared" si="3"/>
        <v>192.5</v>
      </c>
      <c r="C49" s="6">
        <f t="shared" si="1"/>
        <v>9216.9498361111328</v>
      </c>
      <c r="D49" s="4">
        <f t="shared" si="2"/>
        <v>939.54636453732235</v>
      </c>
      <c r="F49" s="4">
        <f t="shared" si="0"/>
        <v>0.27325372333962133</v>
      </c>
    </row>
    <row r="50" spans="2:6">
      <c r="B50" s="4">
        <f t="shared" si="3"/>
        <v>197.5</v>
      </c>
      <c r="C50" s="6">
        <f t="shared" si="1"/>
        <v>9456.3511305555785</v>
      </c>
      <c r="D50" s="4">
        <f t="shared" si="2"/>
        <v>963.95016621361651</v>
      </c>
      <c r="F50" s="4">
        <f t="shared" si="0"/>
        <v>0.2724588190236007</v>
      </c>
    </row>
    <row r="51" spans="2:6">
      <c r="B51" s="4">
        <f t="shared" si="3"/>
        <v>202.5</v>
      </c>
      <c r="C51" s="6">
        <f t="shared" si="1"/>
        <v>9695.7524250000224</v>
      </c>
      <c r="D51" s="4">
        <f t="shared" si="2"/>
        <v>988.35396788991045</v>
      </c>
      <c r="F51" s="4">
        <f t="shared" si="0"/>
        <v>0.27172046734925936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81C8-7AFF-42A7-9D76-E00E55461416}">
  <sheetPr codeName="Sheet23">
    <pageSetUpPr fitToPage="1"/>
  </sheetPr>
  <dimension ref="B1:R51"/>
  <sheetViews>
    <sheetView zoomScale="85" zoomScaleNormal="85" workbookViewId="0">
      <selection activeCell="R30" sqref="R30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/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</row>
    <row r="5" spans="2:18" ht="15" thickBot="1"/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181">
        <f>ATMOS!F18</f>
        <v>16.347141649610503</v>
      </c>
      <c r="C8" s="181">
        <f>ATMOS!G18</f>
        <v>216.7</v>
      </c>
      <c r="D8" s="3">
        <v>0.8</v>
      </c>
      <c r="E8" s="3">
        <f>ATMOS!W18</f>
        <v>0.24592748145496035</v>
      </c>
      <c r="F8" s="3">
        <v>0.85</v>
      </c>
      <c r="G8" s="3">
        <v>1</v>
      </c>
      <c r="H8" s="3">
        <v>0.50800000000000001</v>
      </c>
      <c r="I8" s="3">
        <v>0</v>
      </c>
      <c r="K8" s="4">
        <f>196.850393700787*H8</f>
        <v>99.999999999999801</v>
      </c>
      <c r="L8" s="4">
        <f>D11*1.94384</f>
        <v>458.86498995968992</v>
      </c>
      <c r="N8" s="1"/>
    </row>
    <row r="9" spans="2:18">
      <c r="B9">
        <f>_xlfn.XLOOKUP(B8,ATMOS!F7:F19,ATMOS!C7:C19,0)</f>
        <v>42956.508396116747</v>
      </c>
      <c r="C9">
        <f>B9*0.3048</f>
        <v>13093.143759136385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0.26284578544513126</v>
      </c>
      <c r="C11" s="4">
        <f>SQRT(H4*G4*C8)</f>
        <v>295.07636299778397</v>
      </c>
      <c r="D11" s="4">
        <f>D8*C11</f>
        <v>236.06109039822718</v>
      </c>
      <c r="E11" s="4">
        <f>0.5*B11*D11^2</f>
        <v>7323.5194590255041</v>
      </c>
      <c r="F11" s="4">
        <f>H8+D11*I8/I4</f>
        <v>0.50800000000000001</v>
      </c>
      <c r="G11" s="4">
        <f>F8/E8</f>
        <v>3.456303439417244</v>
      </c>
      <c r="H11" s="4">
        <f>E11/F8</f>
        <v>8615.9052459123577</v>
      </c>
      <c r="I11" s="4">
        <f>G8*F8/E11</f>
        <v>1.1606441476064628E-4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0.51195019004094078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0.44216364110219525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0.40140147999862813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0.37722468337230597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0.36341373954426176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0.35651336424840291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0.35445038692507375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182">
        <f t="shared" si="0"/>
        <v>0.35766557046946662</v>
      </c>
      <c r="Q22" s="170" t="s">
        <v>82</v>
      </c>
      <c r="R22" s="171">
        <v>0.75</v>
      </c>
    </row>
    <row r="23" spans="2:18">
      <c r="B23" s="4">
        <v>60</v>
      </c>
      <c r="C23" s="6">
        <f t="shared" si="1"/>
        <v>2872.8155333333402</v>
      </c>
      <c r="D23" s="4">
        <f t="shared" si="2"/>
        <v>292.84562011552907</v>
      </c>
      <c r="F23" s="4">
        <f>$G$11*($H$11*(1/C23)*($B$4*($I$11*C23)^2+$C$4*($I$11*C23)+$D$4+$E$4)+(1/$D$11)*$F$11)</f>
        <v>0.35999922822347497</v>
      </c>
      <c r="Q23" s="172" t="s">
        <v>83</v>
      </c>
      <c r="R23" s="173">
        <v>0.6</v>
      </c>
    </row>
    <row r="24" spans="2:18">
      <c r="B24" s="4">
        <f t="shared" si="3"/>
        <v>65</v>
      </c>
      <c r="C24" s="6">
        <f t="shared" si="1"/>
        <v>3112.2168277777851</v>
      </c>
      <c r="D24" s="4">
        <f t="shared" si="2"/>
        <v>317.24942179182312</v>
      </c>
      <c r="F24" s="4">
        <f t="shared" si="0"/>
        <v>0.36612261669981161</v>
      </c>
      <c r="Q24" s="264" t="s">
        <v>84</v>
      </c>
      <c r="R24" s="265"/>
    </row>
    <row r="25" spans="2:18" ht="15" thickBot="1">
      <c r="B25" s="4">
        <f t="shared" si="3"/>
        <v>70</v>
      </c>
      <c r="C25" s="6">
        <f t="shared" si="1"/>
        <v>3351.6181222222303</v>
      </c>
      <c r="D25" s="4">
        <f t="shared" si="2"/>
        <v>341.65322346811723</v>
      </c>
      <c r="F25" s="4">
        <f t="shared" si="0"/>
        <v>0.37384075176049864</v>
      </c>
      <c r="Q25" s="266"/>
      <c r="R25" s="267"/>
    </row>
    <row r="26" spans="2:18">
      <c r="B26" s="4">
        <f t="shared" si="3"/>
        <v>75</v>
      </c>
      <c r="C26" s="6">
        <f t="shared" si="1"/>
        <v>3591.0194166666752</v>
      </c>
      <c r="D26" s="4">
        <f t="shared" si="2"/>
        <v>366.05702514441134</v>
      </c>
      <c r="F26" s="4">
        <f t="shared" si="0"/>
        <v>0.38283468408866606</v>
      </c>
    </row>
    <row r="27" spans="2:18">
      <c r="B27" s="4">
        <f t="shared" si="3"/>
        <v>80</v>
      </c>
      <c r="C27" s="6">
        <f t="shared" si="1"/>
        <v>3830.42071111112</v>
      </c>
      <c r="D27" s="4">
        <f t="shared" si="2"/>
        <v>390.46082682070539</v>
      </c>
      <c r="F27" s="4">
        <f t="shared" si="0"/>
        <v>0.39286520169666128</v>
      </c>
    </row>
    <row r="28" spans="2:18">
      <c r="B28" s="4">
        <f t="shared" si="3"/>
        <v>85</v>
      </c>
      <c r="C28" s="6">
        <f t="shared" si="1"/>
        <v>4069.8220055555653</v>
      </c>
      <c r="D28" s="4">
        <f t="shared" si="2"/>
        <v>414.8646284969995</v>
      </c>
      <c r="F28" s="4">
        <f t="shared" si="0"/>
        <v>0.40374937777039704</v>
      </c>
    </row>
    <row r="29" spans="2:18">
      <c r="B29" s="4">
        <f t="shared" si="3"/>
        <v>90</v>
      </c>
      <c r="C29" s="6">
        <f t="shared" si="1"/>
        <v>4309.2233000000106</v>
      </c>
      <c r="D29" s="4">
        <f t="shared" si="2"/>
        <v>439.26843017329361</v>
      </c>
      <c r="F29" s="4">
        <f t="shared" si="0"/>
        <v>0.41534493589891675</v>
      </c>
    </row>
    <row r="30" spans="2:18">
      <c r="B30" s="4">
        <f t="shared" si="3"/>
        <v>95</v>
      </c>
      <c r="C30" s="6">
        <f t="shared" si="1"/>
        <v>4548.6245944444554</v>
      </c>
      <c r="D30" s="4">
        <f t="shared" si="2"/>
        <v>463.67223184958766</v>
      </c>
      <c r="F30" s="4">
        <f t="shared" si="0"/>
        <v>0.42753955259988569</v>
      </c>
    </row>
    <row r="31" spans="2:18">
      <c r="B31" s="4">
        <f t="shared" si="3"/>
        <v>100</v>
      </c>
      <c r="C31" s="6">
        <f t="shared" si="1"/>
        <v>4788.0258888889002</v>
      </c>
      <c r="D31" s="4">
        <f t="shared" si="2"/>
        <v>488.07603352588177</v>
      </c>
      <c r="F31" s="4">
        <f t="shared" si="0"/>
        <v>0.44024336908743689</v>
      </c>
    </row>
    <row r="32" spans="2:18">
      <c r="B32" s="4">
        <f t="shared" si="3"/>
        <v>105</v>
      </c>
      <c r="C32" s="6">
        <f t="shared" si="1"/>
        <v>5027.4271833333451</v>
      </c>
      <c r="D32" s="4">
        <f t="shared" si="2"/>
        <v>512.47983520217588</v>
      </c>
      <c r="F32" s="4">
        <f t="shared" si="0"/>
        <v>0.45338364253491548</v>
      </c>
    </row>
    <row r="33" spans="2:6">
      <c r="B33" s="4">
        <f t="shared" si="3"/>
        <v>110</v>
      </c>
      <c r="C33" s="6">
        <f t="shared" si="1"/>
        <v>5266.8284777777899</v>
      </c>
      <c r="D33" s="4">
        <f t="shared" si="2"/>
        <v>536.88363687846993</v>
      </c>
      <c r="F33" s="4">
        <f t="shared" si="0"/>
        <v>0.46690085608414966</v>
      </c>
    </row>
    <row r="34" spans="2:6">
      <c r="B34" s="4">
        <f t="shared" si="3"/>
        <v>115</v>
      </c>
      <c r="C34" s="6">
        <f t="shared" si="1"/>
        <v>5506.2297722222356</v>
      </c>
      <c r="D34" s="4">
        <f t="shared" si="2"/>
        <v>561.28743855476409</v>
      </c>
      <c r="F34" s="4">
        <f t="shared" si="0"/>
        <v>0.48074584363491035</v>
      </c>
    </row>
    <row r="35" spans="2:6">
      <c r="B35" s="4">
        <f t="shared" si="3"/>
        <v>120</v>
      </c>
      <c r="C35" s="6">
        <f t="shared" si="1"/>
        <v>5745.6310666666805</v>
      </c>
      <c r="D35" s="4">
        <f t="shared" si="2"/>
        <v>585.69124023105815</v>
      </c>
      <c r="F35" s="4">
        <f t="shared" si="0"/>
        <v>0.49487763343700708</v>
      </c>
    </row>
    <row r="36" spans="2:6">
      <c r="B36" s="4">
        <f t="shared" si="3"/>
        <v>125</v>
      </c>
      <c r="C36" s="6">
        <f t="shared" si="1"/>
        <v>5985.0323611111253</v>
      </c>
      <c r="D36" s="4">
        <f t="shared" si="2"/>
        <v>610.0950419073522</v>
      </c>
      <c r="F36" s="4">
        <f t="shared" si="0"/>
        <v>0.50926180922027897</v>
      </c>
    </row>
    <row r="37" spans="2:6">
      <c r="B37" s="4">
        <f t="shared" si="3"/>
        <v>130</v>
      </c>
      <c r="C37" s="6">
        <f t="shared" si="1"/>
        <v>6224.4336555555701</v>
      </c>
      <c r="D37" s="4">
        <f t="shared" si="2"/>
        <v>634.49884358364625</v>
      </c>
      <c r="F37" s="4">
        <f t="shared" si="0"/>
        <v>0.52386924952536007</v>
      </c>
    </row>
    <row r="38" spans="2:6">
      <c r="B38" s="4">
        <f t="shared" si="3"/>
        <v>135</v>
      </c>
      <c r="C38" s="6">
        <f t="shared" si="1"/>
        <v>6463.8349500000149</v>
      </c>
      <c r="D38" s="4">
        <f t="shared" si="2"/>
        <v>658.9026452599403</v>
      </c>
      <c r="F38" s="4">
        <f t="shared" si="0"/>
        <v>0.53867514718316023</v>
      </c>
    </row>
    <row r="39" spans="2:6">
      <c r="B39" s="4">
        <f t="shared" si="3"/>
        <v>140</v>
      </c>
      <c r="C39" s="6">
        <f t="shared" si="1"/>
        <v>6703.2362444444607</v>
      </c>
      <c r="D39" s="4">
        <f t="shared" si="2"/>
        <v>683.30644693623447</v>
      </c>
      <c r="F39" s="4">
        <f t="shared" si="0"/>
        <v>0.55365823890588839</v>
      </c>
    </row>
    <row r="40" spans="2:6">
      <c r="B40" s="4">
        <f t="shared" si="3"/>
        <v>145</v>
      </c>
      <c r="C40" s="6">
        <f t="shared" si="1"/>
        <v>6942.6375388889055</v>
      </c>
      <c r="D40" s="4">
        <f t="shared" si="2"/>
        <v>707.71024861252852</v>
      </c>
      <c r="F40" s="4">
        <f t="shared" si="0"/>
        <v>0.56880019427303452</v>
      </c>
    </row>
    <row r="41" spans="2:6">
      <c r="B41" s="4">
        <f t="shared" si="3"/>
        <v>150</v>
      </c>
      <c r="C41" s="6">
        <f t="shared" si="1"/>
        <v>7182.0388333333503</v>
      </c>
      <c r="D41" s="4">
        <f t="shared" si="2"/>
        <v>732.11405028882268</v>
      </c>
      <c r="F41" s="4">
        <f t="shared" si="0"/>
        <v>0.58408512692015691</v>
      </c>
    </row>
    <row r="42" spans="2:6">
      <c r="B42" s="4">
        <f t="shared" si="3"/>
        <v>155</v>
      </c>
      <c r="C42" s="6">
        <f t="shared" si="1"/>
        <v>7421.4401277777952</v>
      </c>
      <c r="D42" s="4">
        <f t="shared" si="2"/>
        <v>756.51785196511673</v>
      </c>
      <c r="F42" s="4">
        <f t="shared" si="0"/>
        <v>0.59949920033629001</v>
      </c>
    </row>
    <row r="43" spans="2:6">
      <c r="B43" s="4">
        <f t="shared" si="3"/>
        <v>160</v>
      </c>
      <c r="C43" s="6">
        <f t="shared" si="1"/>
        <v>7660.84142222224</v>
      </c>
      <c r="D43" s="4">
        <f t="shared" si="2"/>
        <v>780.92165364141078</v>
      </c>
      <c r="F43" s="4">
        <f t="shared" si="0"/>
        <v>0.6150303075743393</v>
      </c>
    </row>
    <row r="44" spans="2:6">
      <c r="B44" s="4">
        <f t="shared" si="3"/>
        <v>165</v>
      </c>
      <c r="C44" s="6">
        <f t="shared" si="1"/>
        <v>7900.2427166666857</v>
      </c>
      <c r="D44" s="4">
        <f t="shared" si="2"/>
        <v>805.32545531770495</v>
      </c>
      <c r="F44" s="4">
        <f t="shared" si="0"/>
        <v>0.63066780919594867</v>
      </c>
    </row>
    <row r="45" spans="2:6">
      <c r="B45" s="4">
        <f t="shared" si="3"/>
        <v>170</v>
      </c>
      <c r="C45" s="6">
        <f t="shared" si="1"/>
        <v>8139.6440111111306</v>
      </c>
      <c r="D45" s="4">
        <f t="shared" si="2"/>
        <v>829.729256993999</v>
      </c>
      <c r="F45" s="4">
        <f t="shared" si="0"/>
        <v>0.64640231746139198</v>
      </c>
    </row>
    <row r="46" spans="2:6">
      <c r="B46" s="4">
        <f t="shared" si="3"/>
        <v>175</v>
      </c>
      <c r="C46" s="6">
        <f t="shared" si="1"/>
        <v>8379.0453055555754</v>
      </c>
      <c r="D46" s="4">
        <f t="shared" si="2"/>
        <v>854.13305867029305</v>
      </c>
      <c r="F46" s="4">
        <f t="shared" si="0"/>
        <v>0.66222551751548364</v>
      </c>
    </row>
    <row r="47" spans="2:6">
      <c r="B47" s="4">
        <f t="shared" si="3"/>
        <v>180</v>
      </c>
      <c r="C47" s="6">
        <f t="shared" si="1"/>
        <v>8618.4466000000211</v>
      </c>
      <c r="D47" s="4">
        <f t="shared" si="2"/>
        <v>878.53686034658722</v>
      </c>
      <c r="F47" s="4">
        <f t="shared" si="0"/>
        <v>0.67813001837583675</v>
      </c>
    </row>
    <row r="48" spans="2:6">
      <c r="B48" s="4">
        <f t="shared" si="3"/>
        <v>185</v>
      </c>
      <c r="C48" s="6">
        <f t="shared" si="1"/>
        <v>8857.8478944444651</v>
      </c>
      <c r="D48" s="4">
        <f t="shared" si="2"/>
        <v>902.94066202288116</v>
      </c>
      <c r="F48" s="4">
        <f t="shared" si="0"/>
        <v>0.69410922808518594</v>
      </c>
    </row>
    <row r="49" spans="2:6">
      <c r="B49" s="4">
        <f t="shared" si="3"/>
        <v>190</v>
      </c>
      <c r="C49" s="6">
        <f t="shared" si="1"/>
        <v>9097.2491888889108</v>
      </c>
      <c r="D49" s="4">
        <f t="shared" si="2"/>
        <v>927.34446369917532</v>
      </c>
      <c r="F49" s="4">
        <f t="shared" si="0"/>
        <v>0.71015724857650586</v>
      </c>
    </row>
    <row r="50" spans="2:6">
      <c r="B50" s="4">
        <f t="shared" si="3"/>
        <v>195</v>
      </c>
      <c r="C50" s="6">
        <f t="shared" si="1"/>
        <v>9336.6504833333547</v>
      </c>
      <c r="D50" s="4">
        <f t="shared" si="2"/>
        <v>951.74826537546937</v>
      </c>
      <c r="F50" s="4">
        <f t="shared" si="0"/>
        <v>0.72626878671272155</v>
      </c>
    </row>
    <row r="51" spans="2:6">
      <c r="B51" s="4">
        <f t="shared" si="3"/>
        <v>200</v>
      </c>
      <c r="C51" s="6">
        <f t="shared" si="1"/>
        <v>9576.0517777778005</v>
      </c>
      <c r="D51" s="4">
        <f t="shared" si="2"/>
        <v>976.15206705176354</v>
      </c>
      <c r="F51" s="4">
        <f t="shared" si="0"/>
        <v>0.74243907867046621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10762-6C88-4517-95B8-596694A54719}">
  <sheetPr codeName="Sheet22">
    <pageSetUpPr fitToPage="1"/>
  </sheetPr>
  <dimension ref="B1:R51"/>
  <sheetViews>
    <sheetView zoomScale="85" zoomScaleNormal="85" workbookViewId="0">
      <selection activeCell="F8" sqref="F8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/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</row>
    <row r="5" spans="2:18" ht="15" thickBot="1"/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181">
        <f>ATMOS!F19</f>
        <v>14.245244718450397</v>
      </c>
      <c r="C8" s="181">
        <f>ATMOS!G19</f>
        <v>216.7</v>
      </c>
      <c r="D8" s="3">
        <f>ATMOS!E19</f>
        <v>0.9</v>
      </c>
      <c r="E8" s="3">
        <f>ATMOS!W19</f>
        <v>0.23777968651012527</v>
      </c>
      <c r="F8" s="3">
        <v>0.85</v>
      </c>
      <c r="G8" s="3">
        <v>1</v>
      </c>
      <c r="H8" s="3">
        <v>0</v>
      </c>
      <c r="I8" s="3">
        <v>0</v>
      </c>
      <c r="K8" s="4">
        <f>196.850393700787*H8</f>
        <v>0</v>
      </c>
      <c r="L8" s="4">
        <f>D11*1.94384</f>
        <v>516.22311370465127</v>
      </c>
      <c r="N8" s="1"/>
    </row>
    <row r="9" spans="2:18">
      <c r="B9">
        <f>_xlfn.XLOOKUP(B8,ATMOS!F7:F19,ATMOS!C7:C19,0)</f>
        <v>45825.352292206553</v>
      </c>
      <c r="C9">
        <f>B9*0.3048</f>
        <v>13967.567378664558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0.22904937249188251</v>
      </c>
      <c r="C11" s="4">
        <f>SQRT(H4*G4*C8)</f>
        <v>295.07636299778397</v>
      </c>
      <c r="D11" s="4">
        <f>D8*C11</f>
        <v>265.56872669800561</v>
      </c>
      <c r="E11" s="4">
        <f>0.5*B11*D11^2</f>
        <v>8077.0537553613758</v>
      </c>
      <c r="F11" s="4">
        <f>H8+D11*I8/I4</f>
        <v>0</v>
      </c>
      <c r="G11" s="4">
        <f>F8/E8</f>
        <v>3.5747376593660571</v>
      </c>
      <c r="H11" s="4">
        <f>E11/F8</f>
        <v>9502.4161827780899</v>
      </c>
      <c r="I11" s="4">
        <f>G8*F8/E11</f>
        <v>1.0523639259374597E-4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0.5614588302208835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0.47834681859946393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0.42834246907828749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0.39725678361439276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0.37799526318629917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0.36661651944873958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0.36075571939455381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182">
        <f t="shared" si="0"/>
        <v>0.35916183716115402</v>
      </c>
      <c r="Q22" s="170" t="s">
        <v>82</v>
      </c>
      <c r="R22" s="171">
        <v>0.75</v>
      </c>
    </row>
    <row r="23" spans="2:18">
      <c r="B23" s="4">
        <v>60</v>
      </c>
      <c r="C23" s="6">
        <f t="shared" si="1"/>
        <v>2872.8155333333402</v>
      </c>
      <c r="D23" s="4">
        <f t="shared" si="2"/>
        <v>292.84562011552907</v>
      </c>
      <c r="F23" s="4">
        <f>$G$11*($H$11*(1/C23)*($B$4*($I$11*C23)^2+$C$4*($I$11*C23)+$D$4+$E$4)+(1/$D$11)*$F$11)</f>
        <v>0.36007000665292982</v>
      </c>
      <c r="Q23" s="172" t="s">
        <v>83</v>
      </c>
      <c r="R23" s="173">
        <v>0.6</v>
      </c>
    </row>
    <row r="24" spans="2:18">
      <c r="B24" s="4">
        <f t="shared" si="3"/>
        <v>65</v>
      </c>
      <c r="C24" s="6">
        <f t="shared" si="1"/>
        <v>3112.2168277777851</v>
      </c>
      <c r="D24" s="4">
        <f t="shared" si="2"/>
        <v>317.24942179182312</v>
      </c>
      <c r="F24" s="4">
        <f t="shared" si="0"/>
        <v>0.36354726513983826</v>
      </c>
      <c r="Q24" s="264" t="s">
        <v>84</v>
      </c>
      <c r="R24" s="265"/>
    </row>
    <row r="25" spans="2:18" ht="15" thickBot="1">
      <c r="B25" s="4">
        <f t="shared" si="3"/>
        <v>70</v>
      </c>
      <c r="C25" s="6">
        <f t="shared" si="1"/>
        <v>3351.6181222222303</v>
      </c>
      <c r="D25" s="4">
        <f t="shared" si="2"/>
        <v>341.65322346811723</v>
      </c>
      <c r="F25" s="4">
        <f t="shared" si="0"/>
        <v>0.36884362593994691</v>
      </c>
      <c r="Q25" s="266"/>
      <c r="R25" s="267"/>
    </row>
    <row r="26" spans="2:18">
      <c r="B26" s="4">
        <f t="shared" si="3"/>
        <v>75</v>
      </c>
      <c r="C26" s="6">
        <f t="shared" si="1"/>
        <v>3591.0194166666752</v>
      </c>
      <c r="D26" s="4">
        <f t="shared" si="2"/>
        <v>366.05702514441134</v>
      </c>
      <c r="F26" s="4">
        <f t="shared" si="0"/>
        <v>0.37559526859061559</v>
      </c>
    </row>
    <row r="27" spans="2:18">
      <c r="B27" s="4">
        <f t="shared" si="3"/>
        <v>80</v>
      </c>
      <c r="C27" s="6">
        <f t="shared" si="1"/>
        <v>3830.42071111112</v>
      </c>
      <c r="D27" s="4">
        <f t="shared" si="2"/>
        <v>390.46082682070539</v>
      </c>
      <c r="F27" s="4">
        <f t="shared" si="0"/>
        <v>0.38352932774486442</v>
      </c>
    </row>
    <row r="28" spans="2:18">
      <c r="B28" s="4">
        <f t="shared" si="3"/>
        <v>85</v>
      </c>
      <c r="C28" s="6">
        <f t="shared" si="1"/>
        <v>4069.8220055555653</v>
      </c>
      <c r="D28" s="4">
        <f t="shared" si="2"/>
        <v>414.8646284969995</v>
      </c>
      <c r="F28" s="4">
        <f t="shared" si="0"/>
        <v>0.39243714166676746</v>
      </c>
    </row>
    <row r="29" spans="2:18">
      <c r="B29" s="4">
        <f t="shared" si="3"/>
        <v>90</v>
      </c>
      <c r="C29" s="6">
        <f t="shared" si="1"/>
        <v>4309.2233000000106</v>
      </c>
      <c r="D29" s="4">
        <f t="shared" si="2"/>
        <v>439.26843017329361</v>
      </c>
      <c r="F29" s="4">
        <f t="shared" si="0"/>
        <v>0.40215641789504913</v>
      </c>
    </row>
    <row r="30" spans="2:18">
      <c r="B30" s="4">
        <f t="shared" si="3"/>
        <v>95</v>
      </c>
      <c r="C30" s="6">
        <f t="shared" si="1"/>
        <v>4548.6245944444554</v>
      </c>
      <c r="D30" s="4">
        <f t="shared" si="2"/>
        <v>463.67223184958766</v>
      </c>
      <c r="F30" s="4">
        <f t="shared" si="0"/>
        <v>0.41255903080238604</v>
      </c>
    </row>
    <row r="31" spans="2:18">
      <c r="B31" s="4">
        <f t="shared" si="3"/>
        <v>100</v>
      </c>
      <c r="C31" s="6">
        <f t="shared" si="1"/>
        <v>4788.0258888889002</v>
      </c>
      <c r="D31" s="4">
        <f t="shared" si="2"/>
        <v>488.07603352588177</v>
      </c>
      <c r="F31" s="4">
        <f t="shared" si="0"/>
        <v>0.42354247988692045</v>
      </c>
    </row>
    <row r="32" spans="2:18">
      <c r="B32" s="4">
        <f t="shared" si="3"/>
        <v>105</v>
      </c>
      <c r="C32" s="6">
        <f t="shared" si="1"/>
        <v>5027.4271833333451</v>
      </c>
      <c r="D32" s="4">
        <f t="shared" si="2"/>
        <v>512.47983520217588</v>
      </c>
      <c r="F32" s="4">
        <f t="shared" si="0"/>
        <v>0.4350237885519096</v>
      </c>
    </row>
    <row r="33" spans="2:6">
      <c r="B33" s="4">
        <f t="shared" si="3"/>
        <v>110</v>
      </c>
      <c r="C33" s="6">
        <f t="shared" si="1"/>
        <v>5266.8284777777899</v>
      </c>
      <c r="D33" s="4">
        <f t="shared" si="2"/>
        <v>536.88363687846993</v>
      </c>
      <c r="F33" s="4">
        <f t="shared" si="0"/>
        <v>0.44693506685456424</v>
      </c>
    </row>
    <row r="34" spans="2:6">
      <c r="B34" s="4">
        <f t="shared" si="3"/>
        <v>115</v>
      </c>
      <c r="C34" s="6">
        <f t="shared" si="1"/>
        <v>5506.2297722222356</v>
      </c>
      <c r="D34" s="4">
        <f t="shared" si="2"/>
        <v>561.28743855476409</v>
      </c>
      <c r="F34" s="4">
        <f t="shared" si="0"/>
        <v>0.45922023179866717</v>
      </c>
    </row>
    <row r="35" spans="2:6">
      <c r="B35" s="4">
        <f t="shared" si="3"/>
        <v>120</v>
      </c>
      <c r="C35" s="6">
        <f t="shared" si="1"/>
        <v>5745.6310666666805</v>
      </c>
      <c r="D35" s="4">
        <f t="shared" si="2"/>
        <v>585.69124023105815</v>
      </c>
      <c r="F35" s="4">
        <f t="shared" si="0"/>
        <v>0.4718325475540372</v>
      </c>
    </row>
    <row r="36" spans="2:6">
      <c r="B36" s="4">
        <f t="shared" si="3"/>
        <v>125</v>
      </c>
      <c r="C36" s="6">
        <f t="shared" si="1"/>
        <v>5985.0323611111253</v>
      </c>
      <c r="D36" s="4">
        <f t="shared" si="2"/>
        <v>610.0950419073522</v>
      </c>
      <c r="F36" s="4">
        <f t="shared" si="0"/>
        <v>0.48473275602332261</v>
      </c>
    </row>
    <row r="37" spans="2:6">
      <c r="B37" s="4">
        <f t="shared" si="3"/>
        <v>130</v>
      </c>
      <c r="C37" s="6">
        <f t="shared" si="1"/>
        <v>6224.4336555555701</v>
      </c>
      <c r="D37" s="4">
        <f t="shared" si="2"/>
        <v>634.49884358364625</v>
      </c>
      <c r="F37" s="4">
        <f t="shared" si="0"/>
        <v>0.49788763881645581</v>
      </c>
    </row>
    <row r="38" spans="2:6">
      <c r="B38" s="4">
        <f t="shared" si="3"/>
        <v>135</v>
      </c>
      <c r="C38" s="6">
        <f t="shared" si="1"/>
        <v>6463.8349500000149</v>
      </c>
      <c r="D38" s="4">
        <f t="shared" si="2"/>
        <v>658.9026452599403</v>
      </c>
      <c r="F38" s="4">
        <f t="shared" si="0"/>
        <v>0.51126889878634285</v>
      </c>
    </row>
    <row r="39" spans="2:6">
      <c r="B39" s="4">
        <f t="shared" si="3"/>
        <v>140</v>
      </c>
      <c r="C39" s="6">
        <f t="shared" si="1"/>
        <v>6703.2362444444607</v>
      </c>
      <c r="D39" s="4">
        <f t="shared" si="2"/>
        <v>683.30644693623447</v>
      </c>
      <c r="F39" s="4">
        <f t="shared" si="0"/>
        <v>0.52485228123547445</v>
      </c>
    </row>
    <row r="40" spans="2:6">
      <c r="B40" s="4">
        <f t="shared" si="3"/>
        <v>145</v>
      </c>
      <c r="C40" s="6">
        <f t="shared" si="1"/>
        <v>6942.6375388889055</v>
      </c>
      <c r="D40" s="4">
        <f t="shared" si="2"/>
        <v>707.71024861252852</v>
      </c>
      <c r="F40" s="4">
        <f t="shared" si="0"/>
        <v>0.53861687694185978</v>
      </c>
    </row>
    <row r="41" spans="2:6">
      <c r="B41" s="4">
        <f t="shared" si="3"/>
        <v>150</v>
      </c>
      <c r="C41" s="6">
        <f t="shared" si="1"/>
        <v>7182.0388333333503</v>
      </c>
      <c r="D41" s="4">
        <f t="shared" si="2"/>
        <v>732.11405028882268</v>
      </c>
      <c r="F41" s="4">
        <f t="shared" si="0"/>
        <v>0.55254456457977308</v>
      </c>
    </row>
    <row r="42" spans="2:6">
      <c r="B42" s="4">
        <f t="shared" si="3"/>
        <v>155</v>
      </c>
      <c r="C42" s="6">
        <f t="shared" si="1"/>
        <v>7421.4401277777952</v>
      </c>
      <c r="D42" s="4">
        <f t="shared" si="2"/>
        <v>756.51785196511673</v>
      </c>
      <c r="F42" s="4">
        <f t="shared" si="0"/>
        <v>0.56661956105906708</v>
      </c>
    </row>
    <row r="43" spans="2:6">
      <c r="B43" s="4">
        <f t="shared" si="3"/>
        <v>160</v>
      </c>
      <c r="C43" s="6">
        <f t="shared" si="1"/>
        <v>7660.84142222224</v>
      </c>
      <c r="D43" s="4">
        <f t="shared" si="2"/>
        <v>780.92165364141078</v>
      </c>
      <c r="F43" s="4">
        <f t="shared" si="0"/>
        <v>0.58082805617586197</v>
      </c>
    </row>
    <row r="44" spans="2:6">
      <c r="B44" s="4">
        <f t="shared" si="3"/>
        <v>165</v>
      </c>
      <c r="C44" s="6">
        <f t="shared" si="1"/>
        <v>7900.2427166666857</v>
      </c>
      <c r="D44" s="4">
        <f t="shared" si="2"/>
        <v>805.32545531770495</v>
      </c>
      <c r="F44" s="4">
        <f t="shared" si="0"/>
        <v>0.59515791369038507</v>
      </c>
    </row>
    <row r="45" spans="2:6">
      <c r="B45" s="4">
        <f t="shared" si="3"/>
        <v>170</v>
      </c>
      <c r="C45" s="6">
        <f t="shared" si="1"/>
        <v>8139.6440111111306</v>
      </c>
      <c r="D45" s="4">
        <f t="shared" si="2"/>
        <v>829.729256993999</v>
      </c>
      <c r="F45" s="4">
        <f t="shared" si="0"/>
        <v>0.60959842515577789</v>
      </c>
    </row>
    <row r="46" spans="2:6">
      <c r="B46" s="4">
        <f t="shared" si="3"/>
        <v>175</v>
      </c>
      <c r="C46" s="6">
        <f t="shared" si="1"/>
        <v>8379.0453055555754</v>
      </c>
      <c r="D46" s="4">
        <f t="shared" si="2"/>
        <v>854.13305867029305</v>
      </c>
      <c r="F46" s="4">
        <f t="shared" si="0"/>
        <v>0.62414010594768021</v>
      </c>
    </row>
    <row r="47" spans="2:6">
      <c r="B47" s="4">
        <f t="shared" si="3"/>
        <v>180</v>
      </c>
      <c r="C47" s="6">
        <f t="shared" si="1"/>
        <v>8618.4466000000211</v>
      </c>
      <c r="D47" s="4">
        <f t="shared" si="2"/>
        <v>878.53686034658722</v>
      </c>
      <c r="F47" s="4">
        <f t="shared" si="0"/>
        <v>0.63877452528888323</v>
      </c>
    </row>
    <row r="48" spans="2:6">
      <c r="B48" s="4">
        <f t="shared" si="3"/>
        <v>185</v>
      </c>
      <c r="C48" s="6">
        <f t="shared" si="1"/>
        <v>8857.8478944444651</v>
      </c>
      <c r="D48" s="4">
        <f t="shared" si="2"/>
        <v>902.94066202288116</v>
      </c>
      <c r="F48" s="4">
        <f t="shared" si="0"/>
        <v>0.65349416383755099</v>
      </c>
    </row>
    <row r="49" spans="2:6">
      <c r="B49" s="4">
        <f t="shared" si="3"/>
        <v>190</v>
      </c>
      <c r="C49" s="6">
        <f t="shared" si="1"/>
        <v>9097.2491888889108</v>
      </c>
      <c r="D49" s="4">
        <f t="shared" si="2"/>
        <v>927.34446369917532</v>
      </c>
      <c r="F49" s="4">
        <f t="shared" si="0"/>
        <v>0.66829229376151589</v>
      </c>
    </row>
    <row r="50" spans="2:6">
      <c r="B50" s="4">
        <f t="shared" si="3"/>
        <v>195</v>
      </c>
      <c r="C50" s="6">
        <f t="shared" si="1"/>
        <v>9336.6504833333547</v>
      </c>
      <c r="D50" s="4">
        <f t="shared" si="2"/>
        <v>951.74826537546937</v>
      </c>
      <c r="F50" s="4">
        <f t="shared" si="0"/>
        <v>0.68316287726267799</v>
      </c>
    </row>
    <row r="51" spans="2:6">
      <c r="B51" s="4">
        <f t="shared" si="3"/>
        <v>200</v>
      </c>
      <c r="C51" s="6">
        <f t="shared" si="1"/>
        <v>9576.0517777778005</v>
      </c>
      <c r="D51" s="4">
        <f t="shared" si="2"/>
        <v>976.15206705176354</v>
      </c>
      <c r="F51" s="4">
        <f t="shared" si="0"/>
        <v>0.69810048032274752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478A3-4709-4132-B2EF-4998F79EAC9A}">
  <sheetPr codeName="Sheet24">
    <pageSetUpPr fitToPage="1"/>
  </sheetPr>
  <dimension ref="B1:R51"/>
  <sheetViews>
    <sheetView zoomScale="85" zoomScaleNormal="85" workbookViewId="0">
      <selection activeCell="F22" sqref="F22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/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</row>
    <row r="5" spans="2:18" ht="15" thickBot="1"/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3">
        <v>69.7</v>
      </c>
      <c r="C8" s="3">
        <v>268.38</v>
      </c>
      <c r="D8" s="3">
        <v>0.6</v>
      </c>
      <c r="E8" s="3">
        <v>0.63691483745258004</v>
      </c>
      <c r="F8" s="3">
        <v>0.75</v>
      </c>
      <c r="G8" s="3">
        <v>3</v>
      </c>
      <c r="H8" s="3">
        <v>0</v>
      </c>
      <c r="I8" s="3">
        <v>0</v>
      </c>
      <c r="K8" s="4">
        <f>196.850393700787*H8</f>
        <v>0</v>
      </c>
      <c r="L8" s="4">
        <f>D11*1.94384</f>
        <v>382.99385470111798</v>
      </c>
      <c r="N8" s="1"/>
    </row>
    <row r="9" spans="2:18">
      <c r="B9" cm="1">
        <f t="array" ref="B9">_xlfn.XLOOKUP(B8,ROUND(ATMOS!F7:F19,2),ATMOS!C7:C19,0)</f>
        <v>10000</v>
      </c>
      <c r="C9">
        <f>B9*0.3048</f>
        <v>3048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0.90490030127857091</v>
      </c>
      <c r="C11" s="4">
        <f>SQRT(H4*G4*C8)</f>
        <v>328.38252694076158</v>
      </c>
      <c r="D11" s="4">
        <f>D8*C11</f>
        <v>197.02951616445694</v>
      </c>
      <c r="E11" s="4">
        <f>0.5*B11*D11^2</f>
        <v>17564.399999999998</v>
      </c>
      <c r="F11" s="4">
        <f>H8+D11*I8/I4</f>
        <v>0</v>
      </c>
      <c r="G11" s="4">
        <f>F8/E8</f>
        <v>1.177551465121645</v>
      </c>
      <c r="H11" s="4">
        <f>E11/F8</f>
        <v>23419.199999999997</v>
      </c>
      <c r="I11" s="4">
        <f>G8*F8/E11</f>
        <v>1.281000204960033E-4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0.48117756185770338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0.42004324073492932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0.38578724725470354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0.36689029814164797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0.35759275175807409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0.35469480719415436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0.35627658390399264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4">
        <f t="shared" si="0"/>
        <v>0.3644923636736519</v>
      </c>
      <c r="Q22" s="170" t="s">
        <v>82</v>
      </c>
      <c r="R22" s="171">
        <v>0.75</v>
      </c>
    </row>
    <row r="23" spans="2:18">
      <c r="B23" s="4">
        <v>60</v>
      </c>
      <c r="C23" s="6">
        <f t="shared" si="1"/>
        <v>2872.8155333333402</v>
      </c>
      <c r="D23" s="4">
        <f t="shared" si="2"/>
        <v>292.84562011552907</v>
      </c>
      <c r="F23" s="4">
        <f t="shared" si="0"/>
        <v>0.36839957987118538</v>
      </c>
      <c r="Q23" s="172" t="s">
        <v>83</v>
      </c>
      <c r="R23" s="173">
        <v>0.6</v>
      </c>
    </row>
    <row r="24" spans="2:18">
      <c r="B24" s="4">
        <f t="shared" si="3"/>
        <v>65</v>
      </c>
      <c r="C24" s="6">
        <f t="shared" si="1"/>
        <v>3112.2168277777851</v>
      </c>
      <c r="D24" s="4">
        <f t="shared" si="2"/>
        <v>317.24942179182312</v>
      </c>
      <c r="F24" s="4">
        <f t="shared" si="0"/>
        <v>0.37756242335199874</v>
      </c>
      <c r="Q24" s="264" t="s">
        <v>84</v>
      </c>
      <c r="R24" s="265"/>
    </row>
    <row r="25" spans="2:18" ht="15" thickBot="1">
      <c r="B25" s="4">
        <f t="shared" si="3"/>
        <v>70</v>
      </c>
      <c r="C25" s="6">
        <f t="shared" si="1"/>
        <v>3351.6181222222303</v>
      </c>
      <c r="D25" s="4">
        <f t="shared" si="2"/>
        <v>341.65322346811723</v>
      </c>
      <c r="F25" s="4">
        <f t="shared" si="0"/>
        <v>0.38820209802196315</v>
      </c>
      <c r="Q25" s="266"/>
      <c r="R25" s="267"/>
    </row>
    <row r="26" spans="2:18">
      <c r="B26" s="4">
        <f t="shared" si="3"/>
        <v>75</v>
      </c>
      <c r="C26" s="6">
        <f t="shared" si="1"/>
        <v>3591.0194166666752</v>
      </c>
      <c r="D26" s="4">
        <f t="shared" si="2"/>
        <v>366.05702514441134</v>
      </c>
      <c r="F26" s="4">
        <f t="shared" si="0"/>
        <v>0.40002323764324843</v>
      </c>
    </row>
    <row r="27" spans="2:18">
      <c r="B27" s="4">
        <f t="shared" si="3"/>
        <v>80</v>
      </c>
      <c r="C27" s="6">
        <f t="shared" si="1"/>
        <v>3830.42071111112</v>
      </c>
      <c r="D27" s="4">
        <f t="shared" si="2"/>
        <v>390.46082682070539</v>
      </c>
      <c r="F27" s="4">
        <f t="shared" si="0"/>
        <v>0.41280431753748181</v>
      </c>
    </row>
    <row r="28" spans="2:18">
      <c r="B28" s="4">
        <f t="shared" si="3"/>
        <v>85</v>
      </c>
      <c r="C28" s="6">
        <f t="shared" si="1"/>
        <v>4069.8220055555653</v>
      </c>
      <c r="D28" s="4">
        <f t="shared" si="2"/>
        <v>414.8646284969995</v>
      </c>
      <c r="F28" s="4">
        <f t="shared" si="0"/>
        <v>0.42637593648002547</v>
      </c>
    </row>
    <row r="29" spans="2:18">
      <c r="B29" s="4">
        <f t="shared" si="3"/>
        <v>90</v>
      </c>
      <c r="C29" s="6">
        <f t="shared" si="1"/>
        <v>4309.2233000000106</v>
      </c>
      <c r="D29" s="4">
        <f t="shared" si="2"/>
        <v>439.26843017329361</v>
      </c>
      <c r="F29" s="4">
        <f t="shared" si="0"/>
        <v>0.44060633796282761</v>
      </c>
    </row>
    <row r="30" spans="2:18">
      <c r="B30" s="4">
        <f t="shared" si="3"/>
        <v>95</v>
      </c>
      <c r="C30" s="6">
        <f t="shared" si="1"/>
        <v>4548.6245944444554</v>
      </c>
      <c r="D30" s="4">
        <f t="shared" si="2"/>
        <v>463.67223184958766</v>
      </c>
      <c r="F30" s="4">
        <f t="shared" si="0"/>
        <v>0.45539150369005787</v>
      </c>
    </row>
    <row r="31" spans="2:18">
      <c r="B31" s="4">
        <f t="shared" si="3"/>
        <v>100</v>
      </c>
      <c r="C31" s="6">
        <f t="shared" si="1"/>
        <v>4788.0258888889002</v>
      </c>
      <c r="D31" s="4">
        <f t="shared" si="2"/>
        <v>488.07603352588177</v>
      </c>
      <c r="F31" s="4">
        <f t="shared" si="0"/>
        <v>0.47064821902505227</v>
      </c>
    </row>
    <row r="32" spans="2:18">
      <c r="B32" s="4">
        <f t="shared" si="3"/>
        <v>105</v>
      </c>
      <c r="C32" s="6">
        <f t="shared" si="1"/>
        <v>5027.4271833333451</v>
      </c>
      <c r="D32" s="4">
        <f t="shared" si="2"/>
        <v>512.47983520217588</v>
      </c>
      <c r="F32" s="4">
        <f t="shared" si="0"/>
        <v>0.48630911973813001</v>
      </c>
    </row>
    <row r="33" spans="2:6">
      <c r="B33" s="4">
        <f t="shared" si="3"/>
        <v>110</v>
      </c>
      <c r="C33" s="6">
        <f t="shared" si="1"/>
        <v>5266.8284777777899</v>
      </c>
      <c r="D33" s="4">
        <f t="shared" si="2"/>
        <v>536.88363687846993</v>
      </c>
      <c r="F33" s="4">
        <f t="shared" si="0"/>
        <v>0.50231908964137095</v>
      </c>
    </row>
    <row r="34" spans="2:6">
      <c r="B34" s="4">
        <f t="shared" si="3"/>
        <v>115</v>
      </c>
      <c r="C34" s="6">
        <f t="shared" si="1"/>
        <v>5506.2297722222356</v>
      </c>
      <c r="D34" s="4">
        <f t="shared" si="2"/>
        <v>561.28743855476409</v>
      </c>
      <c r="F34" s="4">
        <f t="shared" si="0"/>
        <v>0.51863259797084038</v>
      </c>
    </row>
    <row r="35" spans="2:6">
      <c r="B35" s="4">
        <f t="shared" si="3"/>
        <v>120</v>
      </c>
      <c r="C35" s="6">
        <f t="shared" si="1"/>
        <v>5745.6310666666805</v>
      </c>
      <c r="D35" s="4">
        <f t="shared" si="2"/>
        <v>585.69124023105815</v>
      </c>
      <c r="F35" s="4">
        <f t="shared" si="0"/>
        <v>0.53521170242325988</v>
      </c>
    </row>
    <row r="36" spans="2:6">
      <c r="B36" s="4">
        <f t="shared" si="3"/>
        <v>125</v>
      </c>
      <c r="C36" s="6">
        <f t="shared" si="1"/>
        <v>5985.0323611111253</v>
      </c>
      <c r="D36" s="4">
        <f t="shared" si="2"/>
        <v>610.0950419073522</v>
      </c>
      <c r="F36" s="4">
        <f t="shared" si="0"/>
        <v>0.55202453146387542</v>
      </c>
    </row>
    <row r="37" spans="2:6">
      <c r="B37" s="4">
        <f t="shared" si="3"/>
        <v>130</v>
      </c>
      <c r="C37" s="6">
        <f t="shared" si="1"/>
        <v>6224.4336555555701</v>
      </c>
      <c r="D37" s="4">
        <f t="shared" si="2"/>
        <v>634.49884358364625</v>
      </c>
      <c r="F37" s="4">
        <f t="shared" si="0"/>
        <v>0.56904411687097212</v>
      </c>
    </row>
    <row r="38" spans="2:6">
      <c r="B38" s="4">
        <f t="shared" si="3"/>
        <v>135</v>
      </c>
      <c r="C38" s="6">
        <f t="shared" si="1"/>
        <v>6463.8349500000149</v>
      </c>
      <c r="D38" s="4">
        <f t="shared" si="2"/>
        <v>658.9026452599403</v>
      </c>
      <c r="F38" s="4">
        <f t="shared" si="0"/>
        <v>0.58624748571494101</v>
      </c>
    </row>
    <row r="39" spans="2:6">
      <c r="B39" s="4">
        <f t="shared" si="3"/>
        <v>140</v>
      </c>
      <c r="C39" s="6">
        <f t="shared" si="1"/>
        <v>6703.2362444444607</v>
      </c>
      <c r="D39" s="4">
        <f t="shared" si="2"/>
        <v>683.30644693623447</v>
      </c>
      <c r="F39" s="4">
        <f t="shared" si="0"/>
        <v>0.60361494691326001</v>
      </c>
    </row>
    <row r="40" spans="2:6">
      <c r="B40" s="4">
        <f t="shared" si="3"/>
        <v>145</v>
      </c>
      <c r="C40" s="6">
        <f t="shared" si="1"/>
        <v>6942.6375388889055</v>
      </c>
      <c r="D40" s="4">
        <f t="shared" si="2"/>
        <v>707.71024861252852</v>
      </c>
      <c r="F40" s="4">
        <f t="shared" si="0"/>
        <v>0.62112952539478938</v>
      </c>
    </row>
    <row r="41" spans="2:6">
      <c r="B41" s="4">
        <f t="shared" si="3"/>
        <v>150</v>
      </c>
      <c r="C41" s="6">
        <f t="shared" si="1"/>
        <v>7182.0388333333503</v>
      </c>
      <c r="D41" s="4">
        <f t="shared" si="2"/>
        <v>732.11405028882268</v>
      </c>
      <c r="F41" s="4">
        <f t="shared" si="0"/>
        <v>0.63877650943120823</v>
      </c>
    </row>
    <row r="42" spans="2:6">
      <c r="B42" s="4">
        <f t="shared" si="3"/>
        <v>155</v>
      </c>
      <c r="C42" s="6">
        <f t="shared" si="1"/>
        <v>7421.4401277777952</v>
      </c>
      <c r="D42" s="4">
        <f t="shared" si="2"/>
        <v>756.51785196511673</v>
      </c>
      <c r="F42" s="4">
        <f t="shared" si="0"/>
        <v>0.6565430855817207</v>
      </c>
    </row>
    <row r="43" spans="2:6">
      <c r="B43" s="4">
        <f t="shared" si="3"/>
        <v>160</v>
      </c>
      <c r="C43" s="6">
        <f t="shared" si="1"/>
        <v>7660.84142222224</v>
      </c>
      <c r="D43" s="4">
        <f t="shared" si="2"/>
        <v>780.92165364141078</v>
      </c>
      <c r="F43" s="4">
        <f t="shared" si="0"/>
        <v>0.67441804208563061</v>
      </c>
    </row>
    <row r="44" spans="2:6">
      <c r="B44" s="4">
        <f t="shared" si="3"/>
        <v>165</v>
      </c>
      <c r="C44" s="6">
        <f t="shared" si="1"/>
        <v>7900.2427166666857</v>
      </c>
      <c r="D44" s="4">
        <f t="shared" si="2"/>
        <v>805.32545531770495</v>
      </c>
      <c r="F44" s="4">
        <f t="shared" si="0"/>
        <v>0.69239152618353816</v>
      </c>
    </row>
    <row r="45" spans="2:6">
      <c r="B45" s="4">
        <f t="shared" si="3"/>
        <v>170</v>
      </c>
      <c r="C45" s="6">
        <f t="shared" si="1"/>
        <v>8139.6440111111306</v>
      </c>
      <c r="D45" s="4">
        <f t="shared" si="2"/>
        <v>829.729256993999</v>
      </c>
      <c r="F45" s="4">
        <f t="shared" si="0"/>
        <v>0.71045484426420802</v>
      </c>
    </row>
    <row r="46" spans="2:6">
      <c r="B46" s="4">
        <f t="shared" si="3"/>
        <v>175</v>
      </c>
      <c r="C46" s="6">
        <f t="shared" si="1"/>
        <v>8379.0453055555754</v>
      </c>
      <c r="D46" s="4">
        <f t="shared" si="2"/>
        <v>854.13305867029305</v>
      </c>
      <c r="F46" s="4">
        <f t="shared" si="0"/>
        <v>0.72860029627197509</v>
      </c>
    </row>
    <row r="47" spans="2:6">
      <c r="B47" s="4">
        <f t="shared" si="3"/>
        <v>180</v>
      </c>
      <c r="C47" s="6">
        <f t="shared" si="1"/>
        <v>8618.4466000000211</v>
      </c>
      <c r="D47" s="4">
        <f t="shared" si="2"/>
        <v>878.53686034658722</v>
      </c>
      <c r="F47" s="4">
        <f t="shared" si="0"/>
        <v>0.74682103771291464</v>
      </c>
    </row>
    <row r="48" spans="2:6">
      <c r="B48" s="4">
        <f t="shared" si="3"/>
        <v>185</v>
      </c>
      <c r="C48" s="6">
        <f t="shared" si="1"/>
        <v>8857.8478944444651</v>
      </c>
      <c r="D48" s="4">
        <f t="shared" si="2"/>
        <v>902.94066202288116</v>
      </c>
      <c r="F48" s="4">
        <f t="shared" si="0"/>
        <v>0.76511096403839085</v>
      </c>
    </row>
    <row r="49" spans="2:6">
      <c r="B49" s="4">
        <f t="shared" si="3"/>
        <v>190</v>
      </c>
      <c r="C49" s="6">
        <f t="shared" si="1"/>
        <v>9097.2491888889108</v>
      </c>
      <c r="D49" s="4">
        <f t="shared" si="2"/>
        <v>927.34446369917532</v>
      </c>
      <c r="F49" s="4">
        <f t="shared" si="0"/>
        <v>0.78346461328383532</v>
      </c>
    </row>
    <row r="50" spans="2:6">
      <c r="B50" s="4">
        <f t="shared" si="3"/>
        <v>195</v>
      </c>
      <c r="C50" s="6">
        <f t="shared" si="1"/>
        <v>9336.6504833333547</v>
      </c>
      <c r="D50" s="4">
        <f t="shared" si="2"/>
        <v>951.74826537546937</v>
      </c>
      <c r="F50" s="4">
        <f t="shared" si="0"/>
        <v>0.80187708368617339</v>
      </c>
    </row>
    <row r="51" spans="2:6">
      <c r="B51" s="4">
        <f t="shared" si="3"/>
        <v>200</v>
      </c>
      <c r="C51" s="6">
        <f t="shared" si="1"/>
        <v>9576.0517777778005</v>
      </c>
      <c r="D51" s="4">
        <f t="shared" si="2"/>
        <v>976.15206705176354</v>
      </c>
      <c r="F51" s="4">
        <f t="shared" si="0"/>
        <v>0.82034396365863804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FC9D9-4B58-4BA2-B18E-7B0A99E0565A}">
  <sheetPr codeName="Sheet25">
    <pageSetUpPr fitToPage="1"/>
  </sheetPr>
  <dimension ref="B1:R51"/>
  <sheetViews>
    <sheetView zoomScale="85" zoomScaleNormal="85" workbookViewId="0">
      <selection activeCell="F22" sqref="F22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/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</row>
    <row r="5" spans="2:18" ht="15" thickBot="1"/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3">
        <v>20.72</v>
      </c>
      <c r="C8" s="3">
        <v>216.7</v>
      </c>
      <c r="D8" s="3">
        <v>0.65</v>
      </c>
      <c r="E8" s="3">
        <v>0.30516461566093905</v>
      </c>
      <c r="F8" s="3">
        <v>0.85</v>
      </c>
      <c r="G8" s="3">
        <v>1</v>
      </c>
      <c r="H8" s="3">
        <v>0</v>
      </c>
      <c r="I8" s="3">
        <v>0</v>
      </c>
      <c r="K8" s="4">
        <f>196.850393700787*H8</f>
        <v>0</v>
      </c>
      <c r="L8" s="4">
        <f>D11*1.94384</f>
        <v>372.8278043422481</v>
      </c>
      <c r="N8" s="1"/>
    </row>
    <row r="9" spans="2:18">
      <c r="B9" cm="1">
        <f t="array" ref="B9">_xlfn.XLOOKUP(B8,ROUND(ATMOS!F7:F19,2),ATMOS!C7:C19,0)</f>
        <v>38000</v>
      </c>
      <c r="C9">
        <f>B9*0.3048</f>
        <v>11582.400000000001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0.33315700023636141</v>
      </c>
      <c r="C11" s="4">
        <f>SQRT(H4*G4*C8)</f>
        <v>295.07636299778397</v>
      </c>
      <c r="D11" s="4">
        <f>D8*C11</f>
        <v>191.7996359485596</v>
      </c>
      <c r="E11" s="4">
        <f>0.5*B11*D11^2</f>
        <v>6127.94</v>
      </c>
      <c r="F11" s="4">
        <f>H8+D11*I8/I4</f>
        <v>0</v>
      </c>
      <c r="G11" s="4">
        <f>F8/E8</f>
        <v>2.785381909888315</v>
      </c>
      <c r="H11" s="4">
        <f>E11/F8</f>
        <v>7209.3411764705879</v>
      </c>
      <c r="I11" s="4">
        <f>G8*F8/E11</f>
        <v>1.3870892991772114E-4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0.3601729021688877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0.31810652298544645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0.29561193709469591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0.28430123308548316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0.27998045525223142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0.2803196282029537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0.28392076670245775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4">
        <f>$G$11*($H$11*(1/C22)*($B$4*($I$11*C22)^2+$C$4*($I$11*C22)+$D$4+$E$4)+(1/$D$11)*$F$11)</f>
        <v>0.29357721212403781</v>
      </c>
      <c r="Q22" s="170" t="s">
        <v>82</v>
      </c>
      <c r="R22" s="171">
        <v>0.75</v>
      </c>
    </row>
    <row r="23" spans="2:18">
      <c r="B23" s="4">
        <v>60</v>
      </c>
      <c r="C23" s="6">
        <f t="shared" si="1"/>
        <v>2872.8155333333402</v>
      </c>
      <c r="D23" s="4">
        <f t="shared" si="2"/>
        <v>292.84562011552907</v>
      </c>
      <c r="F23" s="4">
        <f t="shared" si="0"/>
        <v>0.2976469747990293</v>
      </c>
      <c r="Q23" s="172" t="s">
        <v>83</v>
      </c>
      <c r="R23" s="173">
        <v>0.6</v>
      </c>
    </row>
    <row r="24" spans="2:18">
      <c r="B24" s="4">
        <f t="shared" si="3"/>
        <v>65</v>
      </c>
      <c r="C24" s="6">
        <f t="shared" si="1"/>
        <v>3112.2168277777851</v>
      </c>
      <c r="D24" s="4">
        <f t="shared" si="2"/>
        <v>317.24942179182312</v>
      </c>
      <c r="F24" s="4">
        <f t="shared" si="0"/>
        <v>0.30676836268877949</v>
      </c>
      <c r="Q24" s="264" t="s">
        <v>84</v>
      </c>
      <c r="R24" s="265"/>
    </row>
    <row r="25" spans="2:18" ht="15" thickBot="1">
      <c r="B25" s="4">
        <f t="shared" si="3"/>
        <v>70</v>
      </c>
      <c r="C25" s="6">
        <f t="shared" si="1"/>
        <v>3351.6181222222303</v>
      </c>
      <c r="D25" s="4">
        <f t="shared" si="2"/>
        <v>341.65322346811723</v>
      </c>
      <c r="F25" s="4">
        <f t="shared" si="0"/>
        <v>0.31696512383636988</v>
      </c>
      <c r="Q25" s="266"/>
      <c r="R25" s="267"/>
    </row>
    <row r="26" spans="2:18">
      <c r="B26" s="4">
        <f t="shared" si="3"/>
        <v>75</v>
      </c>
      <c r="C26" s="6">
        <f t="shared" si="1"/>
        <v>3591.0194166666752</v>
      </c>
      <c r="D26" s="4">
        <f t="shared" si="2"/>
        <v>366.05702514441134</v>
      </c>
      <c r="F26" s="4">
        <f t="shared" si="0"/>
        <v>0.32802218359023222</v>
      </c>
    </row>
    <row r="27" spans="2:18">
      <c r="B27" s="4">
        <f t="shared" si="3"/>
        <v>80</v>
      </c>
      <c r="C27" s="6">
        <f t="shared" si="1"/>
        <v>3830.42071111112</v>
      </c>
      <c r="D27" s="4">
        <f t="shared" si="2"/>
        <v>390.46082682070539</v>
      </c>
      <c r="F27" s="4">
        <f t="shared" si="0"/>
        <v>0.33977823596169088</v>
      </c>
    </row>
    <row r="28" spans="2:18">
      <c r="B28" s="4">
        <f t="shared" si="3"/>
        <v>85</v>
      </c>
      <c r="C28" s="6">
        <f t="shared" si="1"/>
        <v>4069.8220055555653</v>
      </c>
      <c r="D28" s="4">
        <f t="shared" si="2"/>
        <v>414.8646284969995</v>
      </c>
      <c r="F28" s="4">
        <f t="shared" si="0"/>
        <v>0.35210992931234619</v>
      </c>
    </row>
    <row r="29" spans="2:18">
      <c r="B29" s="4">
        <f t="shared" si="3"/>
        <v>90</v>
      </c>
      <c r="C29" s="6">
        <f t="shared" si="1"/>
        <v>4309.2233000000106</v>
      </c>
      <c r="D29" s="4">
        <f t="shared" si="2"/>
        <v>439.26843017329361</v>
      </c>
      <c r="F29" s="4">
        <f t="shared" si="0"/>
        <v>0.36492132347899892</v>
      </c>
    </row>
    <row r="30" spans="2:18">
      <c r="B30" s="4">
        <f t="shared" si="3"/>
        <v>95</v>
      </c>
      <c r="C30" s="6">
        <f t="shared" si="1"/>
        <v>4548.6245944444554</v>
      </c>
      <c r="D30" s="4">
        <f t="shared" si="2"/>
        <v>463.67223184958766</v>
      </c>
      <c r="F30" s="4">
        <f t="shared" si="0"/>
        <v>0.37813667622754393</v>
      </c>
    </row>
    <row r="31" spans="2:18">
      <c r="B31" s="4">
        <f t="shared" si="3"/>
        <v>100</v>
      </c>
      <c r="C31" s="6">
        <f t="shared" si="1"/>
        <v>4788.0258888889002</v>
      </c>
      <c r="D31" s="4">
        <f t="shared" si="2"/>
        <v>488.07603352588177</v>
      </c>
      <c r="F31" s="4">
        <f t="shared" si="0"/>
        <v>0.39169539377069784</v>
      </c>
    </row>
    <row r="32" spans="2:18">
      <c r="B32" s="4">
        <f t="shared" si="3"/>
        <v>105</v>
      </c>
      <c r="C32" s="6">
        <f t="shared" si="1"/>
        <v>5027.4271833333451</v>
      </c>
      <c r="D32" s="4">
        <f t="shared" si="2"/>
        <v>512.47983520217588</v>
      </c>
      <c r="F32" s="4">
        <f t="shared" si="0"/>
        <v>0.40554842399494462</v>
      </c>
    </row>
    <row r="33" spans="2:6">
      <c r="B33" s="4">
        <f t="shared" si="3"/>
        <v>110</v>
      </c>
      <c r="C33" s="6">
        <f t="shared" si="1"/>
        <v>5266.8284777777899</v>
      </c>
      <c r="D33" s="4">
        <f t="shared" si="2"/>
        <v>536.88363687846993</v>
      </c>
      <c r="F33" s="4">
        <f t="shared" si="0"/>
        <v>0.41965563335286266</v>
      </c>
    </row>
    <row r="34" spans="2:6">
      <c r="B34" s="4">
        <f t="shared" si="3"/>
        <v>115</v>
      </c>
      <c r="C34" s="6">
        <f t="shared" si="1"/>
        <v>5506.2297722222356</v>
      </c>
      <c r="D34" s="4">
        <f t="shared" si="2"/>
        <v>561.28743855476409</v>
      </c>
      <c r="F34" s="4">
        <f t="shared" si="0"/>
        <v>0.43398386804440819</v>
      </c>
    </row>
    <row r="35" spans="2:6">
      <c r="B35" s="4">
        <f t="shared" si="3"/>
        <v>120</v>
      </c>
      <c r="C35" s="6">
        <f t="shared" si="1"/>
        <v>5745.6310666666805</v>
      </c>
      <c r="D35" s="4">
        <f t="shared" si="2"/>
        <v>585.69124023105815</v>
      </c>
      <c r="F35" s="4">
        <f t="shared" si="0"/>
        <v>0.44850549990287736</v>
      </c>
    </row>
    <row r="36" spans="2:6">
      <c r="B36" s="4">
        <f t="shared" si="3"/>
        <v>125</v>
      </c>
      <c r="C36" s="6">
        <f t="shared" si="1"/>
        <v>5985.0323611111253</v>
      </c>
      <c r="D36" s="4">
        <f t="shared" si="2"/>
        <v>610.0950419073522</v>
      </c>
      <c r="F36" s="4">
        <f t="shared" si="0"/>
        <v>0.46319732126823948</v>
      </c>
    </row>
    <row r="37" spans="2:6">
      <c r="B37" s="4">
        <f t="shared" si="3"/>
        <v>130</v>
      </c>
      <c r="C37" s="6">
        <f t="shared" si="1"/>
        <v>6224.4336555555701</v>
      </c>
      <c r="D37" s="4">
        <f t="shared" si="2"/>
        <v>634.49884358364625</v>
      </c>
      <c r="F37" s="4">
        <f t="shared" si="0"/>
        <v>0.47803969488969933</v>
      </c>
    </row>
    <row r="38" spans="2:6">
      <c r="B38" s="4">
        <f t="shared" si="3"/>
        <v>135</v>
      </c>
      <c r="C38" s="6">
        <f t="shared" si="1"/>
        <v>6463.8349500000149</v>
      </c>
      <c r="D38" s="4">
        <f t="shared" si="2"/>
        <v>658.9026452599403</v>
      </c>
      <c r="F38" s="4">
        <f t="shared" si="0"/>
        <v>0.49301589273880136</v>
      </c>
    </row>
    <row r="39" spans="2:6">
      <c r="B39" s="4">
        <f t="shared" si="3"/>
        <v>140</v>
      </c>
      <c r="C39" s="6">
        <f t="shared" si="1"/>
        <v>6703.2362444444607</v>
      </c>
      <c r="D39" s="4">
        <f t="shared" si="2"/>
        <v>683.30644693623447</v>
      </c>
      <c r="F39" s="4">
        <f t="shared" si="0"/>
        <v>0.50811157650544159</v>
      </c>
    </row>
    <row r="40" spans="2:6">
      <c r="B40" s="4">
        <f t="shared" si="3"/>
        <v>145</v>
      </c>
      <c r="C40" s="6">
        <f t="shared" si="1"/>
        <v>6942.6375388889055</v>
      </c>
      <c r="D40" s="4">
        <f t="shared" si="2"/>
        <v>707.71024861252852</v>
      </c>
      <c r="F40" s="4">
        <f t="shared" si="0"/>
        <v>0.52331438557746002</v>
      </c>
    </row>
    <row r="41" spans="2:6">
      <c r="B41" s="4">
        <f t="shared" si="3"/>
        <v>150</v>
      </c>
      <c r="C41" s="6">
        <f t="shared" si="1"/>
        <v>7182.0388333333503</v>
      </c>
      <c r="D41" s="4">
        <f t="shared" si="2"/>
        <v>732.11405028882268</v>
      </c>
      <c r="F41" s="4">
        <f t="shared" si="0"/>
        <v>0.53861360742431941</v>
      </c>
    </row>
    <row r="42" spans="2:6">
      <c r="B42" s="4">
        <f t="shared" si="3"/>
        <v>155</v>
      </c>
      <c r="C42" s="6">
        <f t="shared" si="1"/>
        <v>7421.4401277777952</v>
      </c>
      <c r="D42" s="4">
        <f t="shared" si="2"/>
        <v>756.51785196511673</v>
      </c>
      <c r="F42" s="4">
        <f t="shared" si="0"/>
        <v>0.55399991177748686</v>
      </c>
    </row>
    <row r="43" spans="2:6">
      <c r="B43" s="4">
        <f t="shared" si="3"/>
        <v>160</v>
      </c>
      <c r="C43" s="6">
        <f t="shared" si="1"/>
        <v>7660.84142222224</v>
      </c>
      <c r="D43" s="4">
        <f t="shared" si="2"/>
        <v>780.92165364141078</v>
      </c>
      <c r="F43" s="4">
        <f t="shared" si="0"/>
        <v>0.56946513465199566</v>
      </c>
    </row>
    <row r="44" spans="2:6">
      <c r="B44" s="4">
        <f t="shared" si="3"/>
        <v>165</v>
      </c>
      <c r="C44" s="6">
        <f t="shared" si="1"/>
        <v>7900.2427166666857</v>
      </c>
      <c r="D44" s="4">
        <f t="shared" si="2"/>
        <v>805.32545531770495</v>
      </c>
      <c r="F44" s="4">
        <f t="shared" si="0"/>
        <v>0.58500210163681488</v>
      </c>
    </row>
    <row r="45" spans="2:6">
      <c r="B45" s="4">
        <f t="shared" si="3"/>
        <v>170</v>
      </c>
      <c r="C45" s="6">
        <f t="shared" si="1"/>
        <v>8139.6440111111306</v>
      </c>
      <c r="D45" s="4">
        <f t="shared" si="2"/>
        <v>829.729256993999</v>
      </c>
      <c r="F45" s="4">
        <f t="shared" si="0"/>
        <v>0.60060448236927033</v>
      </c>
    </row>
    <row r="46" spans="2:6">
      <c r="B46" s="4">
        <f t="shared" si="3"/>
        <v>175</v>
      </c>
      <c r="C46" s="6">
        <f t="shared" si="1"/>
        <v>8379.0453055555754</v>
      </c>
      <c r="D46" s="4">
        <f t="shared" si="2"/>
        <v>854.13305867029305</v>
      </c>
      <c r="F46" s="4">
        <f t="shared" si="0"/>
        <v>0.61626666995670698</v>
      </c>
    </row>
    <row r="47" spans="2:6">
      <c r="B47" s="4">
        <f t="shared" si="3"/>
        <v>180</v>
      </c>
      <c r="C47" s="6">
        <f t="shared" si="1"/>
        <v>8618.4466000000211</v>
      </c>
      <c r="D47" s="4">
        <f t="shared" si="2"/>
        <v>878.53686034658722</v>
      </c>
      <c r="F47" s="4">
        <f t="shared" si="0"/>
        <v>0.63198368049454368</v>
      </c>
    </row>
    <row r="48" spans="2:6">
      <c r="B48" s="4">
        <f t="shared" si="3"/>
        <v>185</v>
      </c>
      <c r="C48" s="6">
        <f t="shared" si="1"/>
        <v>8857.8478944444651</v>
      </c>
      <c r="D48" s="4">
        <f t="shared" si="2"/>
        <v>902.94066202288116</v>
      </c>
      <c r="F48" s="4">
        <f t="shared" si="0"/>
        <v>0.64775106887869327</v>
      </c>
    </row>
    <row r="49" spans="2:6">
      <c r="B49" s="4">
        <f t="shared" si="3"/>
        <v>190</v>
      </c>
      <c r="C49" s="6">
        <f t="shared" si="1"/>
        <v>9097.2491888889108</v>
      </c>
      <c r="D49" s="4">
        <f t="shared" si="2"/>
        <v>927.34446369917532</v>
      </c>
      <c r="F49" s="4">
        <f t="shared" si="0"/>
        <v>0.66356485791076292</v>
      </c>
    </row>
    <row r="50" spans="2:6">
      <c r="B50" s="4">
        <f t="shared" si="3"/>
        <v>195</v>
      </c>
      <c r="C50" s="6">
        <f t="shared" si="1"/>
        <v>9336.6504833333547</v>
      </c>
      <c r="D50" s="4">
        <f t="shared" si="2"/>
        <v>951.74826537546937</v>
      </c>
      <c r="F50" s="4">
        <f t="shared" si="0"/>
        <v>0.67942147831014343</v>
      </c>
    </row>
    <row r="51" spans="2:6">
      <c r="B51" s="4">
        <f t="shared" si="3"/>
        <v>200</v>
      </c>
      <c r="C51" s="6">
        <f t="shared" si="1"/>
        <v>9576.0517777778005</v>
      </c>
      <c r="D51" s="4">
        <f t="shared" si="2"/>
        <v>976.15206705176354</v>
      </c>
      <c r="F51" s="4">
        <f t="shared" si="0"/>
        <v>0.69531771772428685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7814-C359-43A3-B43F-7B93500B3B06}">
  <sheetPr codeName="Sheet26">
    <pageSetUpPr fitToPage="1"/>
  </sheetPr>
  <dimension ref="B1:R51"/>
  <sheetViews>
    <sheetView zoomScale="85" zoomScaleNormal="85" workbookViewId="0">
      <selection activeCell="N25" sqref="N25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>
      <c r="P1">
        <v>90.835296326591333</v>
      </c>
    </row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  <c r="P2">
        <v>63.853488984651413</v>
      </c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  <c r="P3">
        <v>43.763993245787915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  <c r="P4">
        <v>29.145657331825419</v>
      </c>
    </row>
    <row r="5" spans="2:18" ht="15" thickBot="1">
      <c r="P5">
        <v>18.835521147166698</v>
      </c>
    </row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3">
        <v>90.84</v>
      </c>
      <c r="C8" s="3">
        <v>282.25</v>
      </c>
      <c r="D8" s="3">
        <v>0.55000000000000004</v>
      </c>
      <c r="E8" s="3">
        <v>0.72827666534226665</v>
      </c>
      <c r="F8" s="3">
        <v>1</v>
      </c>
      <c r="G8" s="3">
        <v>1</v>
      </c>
      <c r="H8" s="3">
        <v>25.4</v>
      </c>
      <c r="I8" s="3">
        <v>0</v>
      </c>
      <c r="K8" s="4">
        <f>196.850393700787*H8</f>
        <v>4999.99999999999</v>
      </c>
      <c r="L8" s="4">
        <f>D11*1.94384</f>
        <v>360.03535144019037</v>
      </c>
      <c r="N8" s="1"/>
    </row>
    <row r="9" spans="2:18">
      <c r="B9" cm="1">
        <f t="array" ref="B9">_xlfn.XLOOKUP(B8,ROUND(ATMOS!F7:F19,2),ATMOS!C7:C19,0)</f>
        <v>3000</v>
      </c>
      <c r="C9">
        <f>B9*0.3048</f>
        <v>914.40000000000009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1.1214018757927677</v>
      </c>
      <c r="C11" s="4">
        <f>SQRT(H4*G4*C8)</f>
        <v>336.76111711419418</v>
      </c>
      <c r="D11" s="4">
        <f>D8*C11</f>
        <v>185.2186144128068</v>
      </c>
      <c r="E11" s="4">
        <f>0.5*B11*D11^2</f>
        <v>19235.370000000003</v>
      </c>
      <c r="F11" s="4">
        <f>H8+D11*I8/I4</f>
        <v>25.4</v>
      </c>
      <c r="G11" s="4">
        <f>F8/E8</f>
        <v>1.3731045460999798</v>
      </c>
      <c r="H11" s="4">
        <f>E11/F8</f>
        <v>19235.370000000003</v>
      </c>
      <c r="I11" s="4">
        <f>G8*F8/E11</f>
        <v>5.1987562495548555E-5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0.58674628022575548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0.51259423027943041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0.46418490078350383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0.43048569725923347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0.40598032246724824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0.38760416683011983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0.37351846460139115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182">
        <f t="shared" si="0"/>
        <v>0.35798615483447177</v>
      </c>
      <c r="Q22" s="170" t="s">
        <v>82</v>
      </c>
      <c r="R22" s="171">
        <v>0.75</v>
      </c>
    </row>
    <row r="23" spans="2:18">
      <c r="B23" s="4">
        <v>60</v>
      </c>
      <c r="C23" s="6">
        <f t="shared" si="1"/>
        <v>2872.8155333333402</v>
      </c>
      <c r="D23" s="4">
        <f t="shared" si="2"/>
        <v>292.84562011552907</v>
      </c>
      <c r="F23" s="4">
        <f t="shared" si="0"/>
        <v>0.35392796696073325</v>
      </c>
      <c r="Q23" s="172" t="s">
        <v>83</v>
      </c>
      <c r="R23" s="173">
        <v>0.6</v>
      </c>
    </row>
    <row r="24" spans="2:18">
      <c r="B24" s="4">
        <f t="shared" si="3"/>
        <v>65</v>
      </c>
      <c r="C24" s="6">
        <f t="shared" si="1"/>
        <v>3112.2168277777851</v>
      </c>
      <c r="D24" s="4">
        <f t="shared" si="2"/>
        <v>317.24942179182312</v>
      </c>
      <c r="F24" s="4">
        <f t="shared" si="0"/>
        <v>0.34710303203852721</v>
      </c>
      <c r="Q24" s="264" t="s">
        <v>84</v>
      </c>
      <c r="R24" s="265"/>
    </row>
    <row r="25" spans="2:18" ht="15" thickBot="1">
      <c r="B25" s="4">
        <f t="shared" si="3"/>
        <v>70</v>
      </c>
      <c r="C25" s="6">
        <f t="shared" si="1"/>
        <v>3351.6181222222303</v>
      </c>
      <c r="D25" s="4">
        <f t="shared" si="2"/>
        <v>341.65322346811723</v>
      </c>
      <c r="F25" s="4">
        <f t="shared" si="0"/>
        <v>0.34169253230590357</v>
      </c>
      <c r="Q25" s="266"/>
      <c r="R25" s="267"/>
    </row>
    <row r="26" spans="2:18">
      <c r="B26" s="4">
        <f t="shared" si="3"/>
        <v>75</v>
      </c>
      <c r="C26" s="6">
        <f t="shared" si="1"/>
        <v>3591.0194166666752</v>
      </c>
      <c r="D26" s="4">
        <f t="shared" si="2"/>
        <v>366.05702514441134</v>
      </c>
      <c r="F26" s="4">
        <f t="shared" si="0"/>
        <v>0.33741358072494565</v>
      </c>
    </row>
    <row r="27" spans="2:18">
      <c r="B27" s="4">
        <f t="shared" si="3"/>
        <v>80</v>
      </c>
      <c r="C27" s="6">
        <f t="shared" si="1"/>
        <v>3830.42071111112</v>
      </c>
      <c r="D27" s="4">
        <f t="shared" si="2"/>
        <v>390.46082682070539</v>
      </c>
      <c r="F27" s="4">
        <f t="shared" si="0"/>
        <v>0.33405401201721635</v>
      </c>
    </row>
    <row r="28" spans="2:18">
      <c r="B28" s="4">
        <f t="shared" si="3"/>
        <v>85</v>
      </c>
      <c r="C28" s="6">
        <f t="shared" si="1"/>
        <v>4069.8220055555653</v>
      </c>
      <c r="D28" s="4">
        <f t="shared" si="2"/>
        <v>414.8646284969995</v>
      </c>
      <c r="F28" s="4">
        <f t="shared" si="0"/>
        <v>0.33145158214626347</v>
      </c>
    </row>
    <row r="29" spans="2:18">
      <c r="B29" s="4">
        <f t="shared" si="3"/>
        <v>90</v>
      </c>
      <c r="C29" s="6">
        <f t="shared" si="1"/>
        <v>4309.2233000000106</v>
      </c>
      <c r="D29" s="4">
        <f t="shared" si="2"/>
        <v>439.26843017329361</v>
      </c>
      <c r="F29" s="4">
        <f t="shared" si="0"/>
        <v>0.32948010130595762</v>
      </c>
    </row>
    <row r="30" spans="2:18">
      <c r="B30" s="4">
        <f t="shared" si="3"/>
        <v>95</v>
      </c>
      <c r="C30" s="6">
        <f t="shared" si="1"/>
        <v>4548.6245944444554</v>
      </c>
      <c r="D30" s="4">
        <f t="shared" si="2"/>
        <v>463.67223184958766</v>
      </c>
      <c r="F30" s="4">
        <f t="shared" si="0"/>
        <v>0.32803994596514396</v>
      </c>
    </row>
    <row r="31" spans="2:18">
      <c r="B31" s="4">
        <f t="shared" si="3"/>
        <v>100</v>
      </c>
      <c r="C31" s="6">
        <f t="shared" si="1"/>
        <v>4788.0258888889002</v>
      </c>
      <c r="D31" s="4">
        <f t="shared" si="2"/>
        <v>488.07603352588177</v>
      </c>
      <c r="F31" s="4">
        <f t="shared" si="0"/>
        <v>0.32705141729889869</v>
      </c>
    </row>
    <row r="32" spans="2:18">
      <c r="B32" s="4">
        <f t="shared" si="3"/>
        <v>105</v>
      </c>
      <c r="C32" s="6">
        <f t="shared" si="1"/>
        <v>5027.4271833333451</v>
      </c>
      <c r="D32" s="4">
        <f t="shared" si="2"/>
        <v>512.47983520217588</v>
      </c>
      <c r="F32" s="4">
        <f t="shared" si="0"/>
        <v>0.32644999721085488</v>
      </c>
    </row>
    <row r="33" spans="2:6">
      <c r="B33" s="4">
        <f t="shared" si="3"/>
        <v>110</v>
      </c>
      <c r="C33" s="6">
        <f t="shared" si="1"/>
        <v>5266.8284777777899</v>
      </c>
      <c r="D33" s="4">
        <f t="shared" si="2"/>
        <v>536.88363687846993</v>
      </c>
      <c r="F33" s="4">
        <f t="shared" si="0"/>
        <v>0.32618289816762147</v>
      </c>
    </row>
    <row r="34" spans="2:6">
      <c r="B34" s="4">
        <f t="shared" si="3"/>
        <v>115</v>
      </c>
      <c r="C34" s="6">
        <f t="shared" si="1"/>
        <v>5506.2297722222356</v>
      </c>
      <c r="D34" s="4">
        <f t="shared" si="2"/>
        <v>561.28743855476409</v>
      </c>
      <c r="F34" s="4">
        <f t="shared" si="0"/>
        <v>0.32620651307639709</v>
      </c>
    </row>
    <row r="35" spans="2:6">
      <c r="B35" s="4">
        <f t="shared" si="3"/>
        <v>120</v>
      </c>
      <c r="C35" s="6">
        <f t="shared" si="1"/>
        <v>5745.6310666666805</v>
      </c>
      <c r="D35" s="4">
        <f t="shared" si="2"/>
        <v>585.69124023105815</v>
      </c>
      <c r="F35" s="4">
        <f t="shared" si="0"/>
        <v>0.32648450269318052</v>
      </c>
    </row>
    <row r="36" spans="2:6">
      <c r="B36" s="4">
        <f t="shared" si="3"/>
        <v>125</v>
      </c>
      <c r="C36" s="6">
        <f t="shared" si="1"/>
        <v>5985.0323611111253</v>
      </c>
      <c r="D36" s="4">
        <f t="shared" si="2"/>
        <v>610.0950419073522</v>
      </c>
      <c r="F36" s="4">
        <f t="shared" si="0"/>
        <v>0.32698634205301103</v>
      </c>
    </row>
    <row r="37" spans="2:6">
      <c r="B37" s="4">
        <f t="shared" si="3"/>
        <v>130</v>
      </c>
      <c r="C37" s="6">
        <f t="shared" si="1"/>
        <v>6224.4336555555701</v>
      </c>
      <c r="D37" s="4">
        <f t="shared" si="2"/>
        <v>634.49884358364625</v>
      </c>
      <c r="F37" s="4">
        <f t="shared" si="0"/>
        <v>0.327686202339383</v>
      </c>
    </row>
    <row r="38" spans="2:6">
      <c r="B38" s="4">
        <f t="shared" si="3"/>
        <v>135</v>
      </c>
      <c r="C38" s="6">
        <f t="shared" si="1"/>
        <v>6463.8349500000149</v>
      </c>
      <c r="D38" s="4">
        <f t="shared" si="2"/>
        <v>658.9026452599403</v>
      </c>
      <c r="F38" s="4">
        <f t="shared" si="0"/>
        <v>0.32856208122712521</v>
      </c>
    </row>
    <row r="39" spans="2:6">
      <c r="B39" s="4">
        <f t="shared" si="3"/>
        <v>140</v>
      </c>
      <c r="C39" s="6">
        <f t="shared" si="1"/>
        <v>6703.2362444444607</v>
      </c>
      <c r="D39" s="4">
        <f t="shared" si="2"/>
        <v>683.30644693623447</v>
      </c>
      <c r="F39" s="4">
        <f t="shared" si="0"/>
        <v>0.32959511958037652</v>
      </c>
    </row>
    <row r="40" spans="2:6">
      <c r="B40" s="4">
        <f t="shared" si="3"/>
        <v>145</v>
      </c>
      <c r="C40" s="6">
        <f t="shared" si="1"/>
        <v>6942.6375388889055</v>
      </c>
      <c r="D40" s="4">
        <f t="shared" si="2"/>
        <v>707.71024861252852</v>
      </c>
      <c r="F40" s="4">
        <f t="shared" si="0"/>
        <v>0.33076905952339475</v>
      </c>
    </row>
    <row r="41" spans="2:6">
      <c r="B41" s="4">
        <f t="shared" si="3"/>
        <v>150</v>
      </c>
      <c r="C41" s="6">
        <f t="shared" si="1"/>
        <v>7182.0388333333503</v>
      </c>
      <c r="D41" s="4">
        <f t="shared" si="2"/>
        <v>732.11405028882268</v>
      </c>
      <c r="F41" s="4">
        <f t="shared" si="0"/>
        <v>0.33206981089720305</v>
      </c>
    </row>
    <row r="42" spans="2:6">
      <c r="B42" s="4">
        <f t="shared" si="3"/>
        <v>155</v>
      </c>
      <c r="C42" s="6">
        <f t="shared" si="1"/>
        <v>7421.4401277777952</v>
      </c>
      <c r="D42" s="4">
        <f t="shared" si="2"/>
        <v>756.51785196511673</v>
      </c>
      <c r="F42" s="4">
        <f t="shared" si="0"/>
        <v>0.33348510162785405</v>
      </c>
    </row>
    <row r="43" spans="2:6">
      <c r="B43" s="4">
        <f t="shared" si="3"/>
        <v>160</v>
      </c>
      <c r="C43" s="6">
        <f t="shared" si="1"/>
        <v>7660.84142222224</v>
      </c>
      <c r="D43" s="4">
        <f t="shared" si="2"/>
        <v>780.92165364141078</v>
      </c>
      <c r="F43" s="4">
        <f t="shared" si="0"/>
        <v>0.33500419365064388</v>
      </c>
    </row>
    <row r="44" spans="2:6">
      <c r="B44" s="4">
        <f t="shared" si="3"/>
        <v>165</v>
      </c>
      <c r="C44" s="6">
        <f t="shared" si="1"/>
        <v>7900.2427166666857</v>
      </c>
      <c r="D44" s="4">
        <f t="shared" si="2"/>
        <v>805.32545531770495</v>
      </c>
      <c r="F44" s="4">
        <f t="shared" si="0"/>
        <v>0.33661765048446873</v>
      </c>
    </row>
    <row r="45" spans="2:6">
      <c r="B45" s="4">
        <f t="shared" si="3"/>
        <v>170</v>
      </c>
      <c r="C45" s="6">
        <f t="shared" si="1"/>
        <v>8139.6440111111306</v>
      </c>
      <c r="D45" s="4">
        <f t="shared" si="2"/>
        <v>829.729256993999</v>
      </c>
      <c r="F45" s="4">
        <f t="shared" si="0"/>
        <v>0.3383171458224728</v>
      </c>
    </row>
    <row r="46" spans="2:6">
      <c r="B46" s="4">
        <f t="shared" si="3"/>
        <v>175</v>
      </c>
      <c r="C46" s="6">
        <f t="shared" si="1"/>
        <v>8379.0453055555754</v>
      </c>
      <c r="D46" s="4">
        <f t="shared" si="2"/>
        <v>854.13305867029305</v>
      </c>
      <c r="F46" s="4">
        <f t="shared" si="0"/>
        <v>0.34009530493572632</v>
      </c>
    </row>
    <row r="47" spans="2:6">
      <c r="B47" s="4">
        <f t="shared" si="3"/>
        <v>180</v>
      </c>
      <c r="C47" s="6">
        <f t="shared" si="1"/>
        <v>8618.4466000000211</v>
      </c>
      <c r="D47" s="4">
        <f t="shared" si="2"/>
        <v>878.53686034658722</v>
      </c>
      <c r="F47" s="4">
        <f t="shared" si="0"/>
        <v>0.34194557250962532</v>
      </c>
    </row>
    <row r="48" spans="2:6">
      <c r="B48" s="4">
        <f t="shared" si="3"/>
        <v>185</v>
      </c>
      <c r="C48" s="6">
        <f t="shared" si="1"/>
        <v>8857.8478944444651</v>
      </c>
      <c r="D48" s="4">
        <f t="shared" si="2"/>
        <v>902.94066202288116</v>
      </c>
      <c r="F48" s="4">
        <f t="shared" si="0"/>
        <v>0.34386210191222533</v>
      </c>
    </row>
    <row r="49" spans="2:6">
      <c r="B49" s="4">
        <f t="shared" si="3"/>
        <v>190</v>
      </c>
      <c r="C49" s="6">
        <f t="shared" si="1"/>
        <v>9097.2491888889108</v>
      </c>
      <c r="D49" s="4">
        <f t="shared" si="2"/>
        <v>927.34446369917532</v>
      </c>
      <c r="F49" s="4">
        <f t="shared" si="0"/>
        <v>0.34583966194652388</v>
      </c>
    </row>
    <row r="50" spans="2:6">
      <c r="B50" s="4">
        <f t="shared" si="3"/>
        <v>195</v>
      </c>
      <c r="C50" s="6">
        <f t="shared" si="1"/>
        <v>9336.6504833333547</v>
      </c>
      <c r="D50" s="4">
        <f t="shared" si="2"/>
        <v>951.74826537546937</v>
      </c>
      <c r="F50" s="4">
        <f t="shared" si="0"/>
        <v>0.34787355794854408</v>
      </c>
    </row>
    <row r="51" spans="2:6">
      <c r="B51" s="4">
        <f t="shared" si="3"/>
        <v>200</v>
      </c>
      <c r="C51" s="6">
        <f t="shared" si="1"/>
        <v>9576.0517777778005</v>
      </c>
      <c r="D51" s="4">
        <f t="shared" si="2"/>
        <v>976.15206705176354</v>
      </c>
      <c r="F51" s="4">
        <f t="shared" si="0"/>
        <v>0.34995956472070672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1978-DB10-45A0-8C87-C0F01AE9B1BA}">
  <sheetPr codeName="Sheet27">
    <pageSetUpPr fitToPage="1"/>
  </sheetPr>
  <dimension ref="B1:R51"/>
  <sheetViews>
    <sheetView zoomScale="85" zoomScaleNormal="85" workbookViewId="0">
      <selection activeCell="E46" sqref="E46"/>
    </sheetView>
  </sheetViews>
  <sheetFormatPr defaultRowHeight="14.4"/>
  <cols>
    <col min="2" max="2" width="11.44140625" customWidth="1"/>
    <col min="3" max="4" width="10.44140625" customWidth="1"/>
    <col min="5" max="5" width="14.6640625" customWidth="1"/>
    <col min="6" max="6" width="15.44140625" customWidth="1"/>
    <col min="7" max="7" width="12.44140625" customWidth="1"/>
    <col min="8" max="8" width="17.6640625" customWidth="1"/>
    <col min="9" max="9" width="12.44140625" customWidth="1"/>
    <col min="17" max="17" width="20.33203125" customWidth="1"/>
    <col min="18" max="18" width="29.6640625" customWidth="1"/>
  </cols>
  <sheetData>
    <row r="1" spans="2:18" ht="15" thickBot="1">
      <c r="P1">
        <v>90.835296326591333</v>
      </c>
    </row>
    <row r="2" spans="2:18" ht="15" thickBot="1">
      <c r="B2" s="268" t="s">
        <v>48</v>
      </c>
      <c r="C2" s="269"/>
      <c r="D2" s="269"/>
      <c r="E2" s="270"/>
      <c r="G2" s="268" t="s">
        <v>0</v>
      </c>
      <c r="H2" s="269"/>
      <c r="I2" s="270"/>
      <c r="P2">
        <v>63.853488984651413</v>
      </c>
    </row>
    <row r="3" spans="2:18" ht="15.6">
      <c r="B3" s="61" t="s">
        <v>44</v>
      </c>
      <c r="C3" s="61" t="s">
        <v>45</v>
      </c>
      <c r="D3" s="61" t="s">
        <v>43</v>
      </c>
      <c r="E3" s="61" t="s">
        <v>49</v>
      </c>
      <c r="G3" s="61" t="s">
        <v>3</v>
      </c>
      <c r="H3" s="61" t="s">
        <v>4</v>
      </c>
      <c r="I3" s="61" t="s">
        <v>50</v>
      </c>
      <c r="P3">
        <v>43.763993245787915</v>
      </c>
    </row>
    <row r="4" spans="2:18">
      <c r="B4" s="3">
        <v>0.18</v>
      </c>
      <c r="C4" s="3">
        <v>0</v>
      </c>
      <c r="D4" s="3">
        <v>1.4E-2</v>
      </c>
      <c r="E4" s="3">
        <v>0</v>
      </c>
      <c r="F4" s="1"/>
      <c r="G4" s="3">
        <v>287</v>
      </c>
      <c r="H4" s="3">
        <v>1.4</v>
      </c>
      <c r="I4" s="3">
        <v>9.81</v>
      </c>
      <c r="P4">
        <v>29.145657331825419</v>
      </c>
    </row>
    <row r="5" spans="2:18" ht="15" thickBot="1">
      <c r="P5">
        <v>18.835521147166698</v>
      </c>
    </row>
    <row r="6" spans="2:18" ht="15" thickBot="1">
      <c r="B6" s="268" t="s">
        <v>51</v>
      </c>
      <c r="C6" s="269"/>
      <c r="D6" s="270"/>
      <c r="E6" s="268" t="s">
        <v>52</v>
      </c>
      <c r="F6" s="270"/>
      <c r="G6" s="268" t="s">
        <v>53</v>
      </c>
      <c r="H6" s="269"/>
      <c r="I6" s="270"/>
    </row>
    <row r="7" spans="2:18" ht="16.2">
      <c r="B7" s="61" t="s">
        <v>24</v>
      </c>
      <c r="C7" s="61" t="s">
        <v>25</v>
      </c>
      <c r="D7" s="61" t="s">
        <v>54</v>
      </c>
      <c r="E7" s="61" t="s">
        <v>55</v>
      </c>
      <c r="F7" s="61" t="s">
        <v>56</v>
      </c>
      <c r="G7" s="61" t="s">
        <v>57</v>
      </c>
      <c r="H7" s="61" t="s">
        <v>58</v>
      </c>
      <c r="I7" s="61" t="s">
        <v>59</v>
      </c>
      <c r="J7" s="1"/>
      <c r="K7" s="2" t="s">
        <v>60</v>
      </c>
      <c r="L7" s="2" t="s">
        <v>61</v>
      </c>
      <c r="N7" s="1"/>
    </row>
    <row r="8" spans="2:18">
      <c r="B8" s="3">
        <v>90.84</v>
      </c>
      <c r="C8" s="3">
        <v>282.25</v>
      </c>
      <c r="D8" s="3">
        <v>0.6</v>
      </c>
      <c r="E8" s="3">
        <v>0.72827666534226665</v>
      </c>
      <c r="F8" s="3">
        <v>1</v>
      </c>
      <c r="G8" s="3">
        <v>1</v>
      </c>
      <c r="H8" s="3">
        <f>-2.54</f>
        <v>-2.54</v>
      </c>
      <c r="I8" s="3">
        <v>0</v>
      </c>
      <c r="K8" s="4">
        <f>196.850393700787*H8</f>
        <v>-499.99999999999903</v>
      </c>
      <c r="L8" s="4">
        <f>D11*1.94384</f>
        <v>392.76583793475316</v>
      </c>
      <c r="N8" s="1"/>
    </row>
    <row r="9" spans="2:18">
      <c r="B9" cm="1">
        <f t="array" ref="B9">_xlfn.XLOOKUP(B8,ROUND(ATMOS!F7:F19,2),ATMOS!C7:C19,0)</f>
        <v>3000</v>
      </c>
      <c r="C9">
        <f>B9*0.3048</f>
        <v>914.40000000000009</v>
      </c>
    </row>
    <row r="10" spans="2:18">
      <c r="B10" s="2" t="s">
        <v>62</v>
      </c>
      <c r="C10" s="2" t="s">
        <v>14</v>
      </c>
      <c r="D10" s="2" t="s">
        <v>28</v>
      </c>
      <c r="E10" s="2" t="s">
        <v>63</v>
      </c>
      <c r="F10" s="2" t="s">
        <v>64</v>
      </c>
      <c r="G10" s="2" t="s">
        <v>65</v>
      </c>
      <c r="H10" s="2" t="s">
        <v>66</v>
      </c>
      <c r="I10" s="2" t="s">
        <v>67</v>
      </c>
      <c r="N10" s="1"/>
    </row>
    <row r="11" spans="2:18">
      <c r="B11" s="4">
        <f>(B8*1000/(G4*C8))</f>
        <v>1.1214018757927677</v>
      </c>
      <c r="C11" s="4">
        <f>SQRT(H4*G4*C8)</f>
        <v>336.76111711419418</v>
      </c>
      <c r="D11" s="4">
        <f>D8*C11</f>
        <v>202.05667026851651</v>
      </c>
      <c r="E11" s="4">
        <f>0.5*B11*D11^2</f>
        <v>22891.680000000004</v>
      </c>
      <c r="F11" s="4">
        <f>H8+D11*I8/I4</f>
        <v>-2.54</v>
      </c>
      <c r="G11" s="4">
        <f>F8/E8</f>
        <v>1.3731045460999798</v>
      </c>
      <c r="H11" s="4">
        <f>E11/F8</f>
        <v>22891.680000000004</v>
      </c>
      <c r="I11" s="4">
        <f>G8*F8/E11</f>
        <v>4.3683993485842884E-5</v>
      </c>
    </row>
    <row r="13" spans="2:18">
      <c r="B13" s="271" t="s">
        <v>68</v>
      </c>
      <c r="C13" s="271"/>
      <c r="D13" s="271"/>
      <c r="F13" s="2" t="s">
        <v>69</v>
      </c>
      <c r="G13" s="7"/>
    </row>
    <row r="14" spans="2:18" ht="15" thickBot="1">
      <c r="B14" s="2" t="s">
        <v>70</v>
      </c>
      <c r="C14" s="2" t="s">
        <v>71</v>
      </c>
      <c r="D14" s="2" t="s">
        <v>72</v>
      </c>
      <c r="F14" s="8" t="s">
        <v>73</v>
      </c>
    </row>
    <row r="15" spans="2:18">
      <c r="B15" s="4">
        <v>20</v>
      </c>
      <c r="C15" s="6">
        <f>B15*47.880258888889</f>
        <v>957.60517777778</v>
      </c>
      <c r="D15" s="4">
        <f>C15/$I$4</f>
        <v>97.615206705176348</v>
      </c>
      <c r="F15" s="4">
        <f t="shared" ref="F15:F51" si="0">$G$11*($H$11*(1/C15)*($B$4*($I$11*C15)^2+$C$4*($I$11*C15)+$D$4+$E$4)+(1/$D$11)*$F$11)</f>
        <v>0.45261769717196171</v>
      </c>
      <c r="Q15" s="262" t="s">
        <v>74</v>
      </c>
      <c r="R15" s="263"/>
    </row>
    <row r="16" spans="2:18">
      <c r="B16" s="4">
        <f>B15+5</f>
        <v>25</v>
      </c>
      <c r="C16" s="6">
        <f t="shared" ref="C16:C51" si="1">B16*47.880258888889</f>
        <v>1197.0064722222251</v>
      </c>
      <c r="D16" s="4">
        <f t="shared" ref="D16:D51" si="2">C16/$I$4</f>
        <v>122.01900838147044</v>
      </c>
      <c r="F16" s="4">
        <f t="shared" si="0"/>
        <v>0.36329459072684683</v>
      </c>
      <c r="Q16" s="168" t="s">
        <v>75</v>
      </c>
      <c r="R16" s="169" t="s">
        <v>76</v>
      </c>
    </row>
    <row r="17" spans="2:18">
      <c r="B17" s="4">
        <f t="shared" ref="B17:B51" si="3">B16+5</f>
        <v>30</v>
      </c>
      <c r="C17" s="6">
        <f t="shared" si="1"/>
        <v>1436.4077666666701</v>
      </c>
      <c r="D17" s="4">
        <f t="shared" si="2"/>
        <v>146.42281005776454</v>
      </c>
      <c r="F17" s="4">
        <f t="shared" si="0"/>
        <v>0.30460744911526405</v>
      </c>
      <c r="Q17" s="170" t="s">
        <v>77</v>
      </c>
      <c r="R17" s="171">
        <v>1</v>
      </c>
    </row>
    <row r="18" spans="2:18">
      <c r="B18" s="4">
        <f t="shared" si="3"/>
        <v>35</v>
      </c>
      <c r="C18" s="6">
        <f t="shared" si="1"/>
        <v>1675.8090611111152</v>
      </c>
      <c r="D18" s="4">
        <f t="shared" si="2"/>
        <v>170.82661173405862</v>
      </c>
      <c r="F18" s="4">
        <f t="shared" si="0"/>
        <v>0.2634265731228424</v>
      </c>
      <c r="Q18" s="170" t="s">
        <v>78</v>
      </c>
      <c r="R18" s="171">
        <v>1</v>
      </c>
    </row>
    <row r="19" spans="2:18">
      <c r="B19" s="4">
        <f t="shared" si="3"/>
        <v>40</v>
      </c>
      <c r="C19" s="6">
        <f t="shared" si="1"/>
        <v>1915.21035555556</v>
      </c>
      <c r="D19" s="4">
        <f t="shared" si="2"/>
        <v>195.2304134103527</v>
      </c>
      <c r="F19" s="4">
        <f t="shared" si="0"/>
        <v>0.2331871131423966</v>
      </c>
      <c r="Q19" s="170" t="s">
        <v>79</v>
      </c>
      <c r="R19" s="171">
        <v>0.95</v>
      </c>
    </row>
    <row r="20" spans="2:18">
      <c r="B20" s="4">
        <f t="shared" si="3"/>
        <v>45</v>
      </c>
      <c r="C20" s="6">
        <f t="shared" si="1"/>
        <v>2154.6116500000053</v>
      </c>
      <c r="D20" s="4">
        <f t="shared" si="2"/>
        <v>219.6342150866468</v>
      </c>
      <c r="F20" s="4">
        <f t="shared" si="0"/>
        <v>0.21024193050326778</v>
      </c>
      <c r="Q20" s="170" t="s">
        <v>80</v>
      </c>
      <c r="R20" s="171">
        <v>0.85</v>
      </c>
    </row>
    <row r="21" spans="2:18">
      <c r="B21" s="4">
        <f t="shared" si="3"/>
        <v>50</v>
      </c>
      <c r="C21" s="6">
        <f t="shared" si="1"/>
        <v>2394.0129444444501</v>
      </c>
      <c r="D21" s="4">
        <f t="shared" si="2"/>
        <v>244.03801676294088</v>
      </c>
      <c r="F21" s="4">
        <f t="shared" si="0"/>
        <v>0.19240274200306104</v>
      </c>
      <c r="Q21" s="170" t="s">
        <v>81</v>
      </c>
      <c r="R21" s="171">
        <v>0.8</v>
      </c>
    </row>
    <row r="22" spans="2:18">
      <c r="B22" s="4">
        <v>57.5</v>
      </c>
      <c r="C22" s="6">
        <f t="shared" si="1"/>
        <v>2753.1148861111178</v>
      </c>
      <c r="D22" s="4">
        <f t="shared" si="2"/>
        <v>280.64371927738205</v>
      </c>
      <c r="F22" s="182">
        <f t="shared" si="0"/>
        <v>0.17230395160786655</v>
      </c>
      <c r="Q22" s="170" t="s">
        <v>82</v>
      </c>
      <c r="R22" s="171">
        <v>0.75</v>
      </c>
    </row>
    <row r="23" spans="2:18">
      <c r="B23" s="4">
        <f t="shared" si="3"/>
        <v>62.5</v>
      </c>
      <c r="C23" s="6">
        <f t="shared" si="1"/>
        <v>2992.5161805555626</v>
      </c>
      <c r="D23" s="4">
        <f t="shared" si="2"/>
        <v>305.0475209536761</v>
      </c>
      <c r="F23" s="4">
        <f t="shared" si="0"/>
        <v>0.16210155434152579</v>
      </c>
      <c r="Q23" s="172" t="s">
        <v>83</v>
      </c>
      <c r="R23" s="173">
        <v>0.6</v>
      </c>
    </row>
    <row r="24" spans="2:18">
      <c r="B24" s="4">
        <f t="shared" si="3"/>
        <v>67.5</v>
      </c>
      <c r="C24" s="6">
        <f t="shared" si="1"/>
        <v>3231.9174750000075</v>
      </c>
      <c r="D24" s="4">
        <f t="shared" si="2"/>
        <v>329.45132262997015</v>
      </c>
      <c r="F24" s="4">
        <f t="shared" si="0"/>
        <v>0.15379355490064014</v>
      </c>
      <c r="Q24" s="264" t="s">
        <v>84</v>
      </c>
      <c r="R24" s="265"/>
    </row>
    <row r="25" spans="2:18" ht="15" thickBot="1">
      <c r="B25" s="4">
        <f t="shared" si="3"/>
        <v>72.5</v>
      </c>
      <c r="C25" s="6">
        <f t="shared" si="1"/>
        <v>3471.3187694444528</v>
      </c>
      <c r="D25" s="4">
        <f t="shared" si="2"/>
        <v>353.85512430626426</v>
      </c>
      <c r="F25" s="4">
        <f t="shared" si="0"/>
        <v>0.14698800890752925</v>
      </c>
      <c r="Q25" s="266"/>
      <c r="R25" s="267"/>
    </row>
    <row r="26" spans="2:18">
      <c r="B26" s="4">
        <f t="shared" si="3"/>
        <v>77.5</v>
      </c>
      <c r="C26" s="6">
        <f t="shared" si="1"/>
        <v>3710.7200638888976</v>
      </c>
      <c r="D26" s="4">
        <f t="shared" si="2"/>
        <v>378.25892598255837</v>
      </c>
      <c r="F26" s="4">
        <f t="shared" si="0"/>
        <v>0.14139411892068826</v>
      </c>
    </row>
    <row r="27" spans="2:18">
      <c r="B27" s="4">
        <f t="shared" si="3"/>
        <v>82.5</v>
      </c>
      <c r="C27" s="6">
        <f t="shared" si="1"/>
        <v>3950.1213583333429</v>
      </c>
      <c r="D27" s="4">
        <f t="shared" si="2"/>
        <v>402.66272765885248</v>
      </c>
      <c r="F27" s="4">
        <f t="shared" si="0"/>
        <v>0.13679158384806817</v>
      </c>
    </row>
    <row r="28" spans="2:18">
      <c r="B28" s="4">
        <f t="shared" si="3"/>
        <v>87.5</v>
      </c>
      <c r="C28" s="6">
        <f t="shared" si="1"/>
        <v>4189.5226527777877</v>
      </c>
      <c r="D28" s="4">
        <f t="shared" si="2"/>
        <v>427.06652933514653</v>
      </c>
      <c r="F28" s="4">
        <f t="shared" si="0"/>
        <v>0.1330104571329454</v>
      </c>
    </row>
    <row r="29" spans="2:18">
      <c r="B29" s="4">
        <f t="shared" si="3"/>
        <v>92.5</v>
      </c>
      <c r="C29" s="6">
        <f t="shared" si="1"/>
        <v>4428.9239472222325</v>
      </c>
      <c r="D29" s="4">
        <f t="shared" si="2"/>
        <v>451.47033101144058</v>
      </c>
      <c r="F29" s="4">
        <f t="shared" si="0"/>
        <v>0.12991753742005011</v>
      </c>
    </row>
    <row r="30" spans="2:18">
      <c r="B30" s="4">
        <f t="shared" si="3"/>
        <v>97.5</v>
      </c>
      <c r="C30" s="6">
        <f t="shared" si="1"/>
        <v>4668.3252416666774</v>
      </c>
      <c r="D30" s="4">
        <f t="shared" si="2"/>
        <v>475.87413268773469</v>
      </c>
      <c r="F30" s="4">
        <f t="shared" si="0"/>
        <v>0.12740694670903957</v>
      </c>
    </row>
    <row r="31" spans="2:18">
      <c r="B31" s="4">
        <f t="shared" si="3"/>
        <v>102.5</v>
      </c>
      <c r="C31" s="6">
        <f t="shared" si="1"/>
        <v>4907.7265361111231</v>
      </c>
      <c r="D31" s="4">
        <f t="shared" si="2"/>
        <v>500.27793436402885</v>
      </c>
      <c r="F31" s="4">
        <f t="shared" si="0"/>
        <v>0.12539346612158919</v>
      </c>
    </row>
    <row r="32" spans="2:18">
      <c r="B32" s="4">
        <f t="shared" si="3"/>
        <v>107.5</v>
      </c>
      <c r="C32" s="6">
        <f t="shared" si="1"/>
        <v>5147.1278305555679</v>
      </c>
      <c r="D32" s="4">
        <f t="shared" si="2"/>
        <v>524.6817360403229</v>
      </c>
      <c r="F32" s="4">
        <f t="shared" si="0"/>
        <v>0.12380773145441158</v>
      </c>
    </row>
    <row r="33" spans="2:6">
      <c r="B33" s="4">
        <f t="shared" si="3"/>
        <v>112.5</v>
      </c>
      <c r="C33" s="6">
        <f t="shared" si="1"/>
        <v>5386.5291250000128</v>
      </c>
      <c r="D33" s="4">
        <f t="shared" si="2"/>
        <v>549.08553771661695</v>
      </c>
      <c r="F33" s="4">
        <f t="shared" si="0"/>
        <v>0.12259270991813694</v>
      </c>
    </row>
    <row r="34" spans="2:6">
      <c r="B34" s="4">
        <f t="shared" si="3"/>
        <v>117.5</v>
      </c>
      <c r="C34" s="6">
        <f t="shared" si="1"/>
        <v>5625.9304194444576</v>
      </c>
      <c r="D34" s="4">
        <f t="shared" si="2"/>
        <v>573.48933939291101</v>
      </c>
      <c r="F34" s="4">
        <f t="shared" si="0"/>
        <v>0.1217010764322245</v>
      </c>
    </row>
    <row r="35" spans="2:6">
      <c r="B35" s="4">
        <f t="shared" si="3"/>
        <v>122.5</v>
      </c>
      <c r="C35" s="6">
        <f t="shared" si="1"/>
        <v>5865.3317138889024</v>
      </c>
      <c r="D35" s="4">
        <f t="shared" si="2"/>
        <v>597.89314106920506</v>
      </c>
      <c r="F35" s="4">
        <f t="shared" si="0"/>
        <v>0.12109323245989524</v>
      </c>
    </row>
    <row r="36" spans="2:6">
      <c r="B36" s="4">
        <f t="shared" si="3"/>
        <v>127.5</v>
      </c>
      <c r="C36" s="6">
        <f t="shared" si="1"/>
        <v>6104.7330083333482</v>
      </c>
      <c r="D36" s="4">
        <f t="shared" si="2"/>
        <v>622.29694274549922</v>
      </c>
      <c r="F36" s="4">
        <f t="shared" si="0"/>
        <v>0.12073579099955112</v>
      </c>
    </row>
    <row r="37" spans="2:6">
      <c r="B37" s="4">
        <f t="shared" si="3"/>
        <v>132.5</v>
      </c>
      <c r="C37" s="6">
        <f t="shared" si="1"/>
        <v>6344.134302777793</v>
      </c>
      <c r="D37" s="4">
        <f t="shared" si="2"/>
        <v>646.70074442179339</v>
      </c>
      <c r="F37" s="4">
        <f t="shared" si="0"/>
        <v>0.12060040459700515</v>
      </c>
    </row>
    <row r="38" spans="2:6">
      <c r="B38" s="4">
        <f t="shared" si="3"/>
        <v>137.5</v>
      </c>
      <c r="C38" s="6">
        <f t="shared" si="1"/>
        <v>6583.5355972222378</v>
      </c>
      <c r="D38" s="4">
        <f t="shared" si="2"/>
        <v>671.10454609808744</v>
      </c>
      <c r="F38" s="4">
        <f t="shared" si="0"/>
        <v>0.12066284906413384</v>
      </c>
    </row>
    <row r="39" spans="2:6">
      <c r="B39" s="4">
        <f t="shared" si="3"/>
        <v>142.5</v>
      </c>
      <c r="C39" s="6">
        <f t="shared" si="1"/>
        <v>6822.9368916666826</v>
      </c>
      <c r="D39" s="4">
        <f t="shared" si="2"/>
        <v>695.50834777438149</v>
      </c>
      <c r="F39" s="4">
        <f t="shared" si="0"/>
        <v>0.12090230009886628</v>
      </c>
    </row>
    <row r="40" spans="2:6">
      <c r="B40" s="4">
        <f t="shared" si="3"/>
        <v>147.5</v>
      </c>
      <c r="C40" s="6">
        <f t="shared" si="1"/>
        <v>7062.3381861111275</v>
      </c>
      <c r="D40" s="4">
        <f t="shared" si="2"/>
        <v>719.91214945067554</v>
      </c>
      <c r="F40" s="4">
        <f t="shared" si="0"/>
        <v>0.12130075703331047</v>
      </c>
    </row>
    <row r="41" spans="2:6">
      <c r="B41" s="4">
        <f t="shared" si="3"/>
        <v>152.5</v>
      </c>
      <c r="C41" s="6">
        <f t="shared" si="1"/>
        <v>7301.7394805555732</v>
      </c>
      <c r="D41" s="4">
        <f t="shared" si="2"/>
        <v>744.31595112696971</v>
      </c>
      <c r="F41" s="4">
        <f t="shared" si="0"/>
        <v>0.12184257994290466</v>
      </c>
    </row>
    <row r="42" spans="2:6">
      <c r="B42" s="4">
        <f t="shared" si="3"/>
        <v>157.5</v>
      </c>
      <c r="C42" s="6">
        <f t="shared" si="1"/>
        <v>7541.140775000018</v>
      </c>
      <c r="D42" s="4">
        <f t="shared" si="2"/>
        <v>768.71975280326376</v>
      </c>
      <c r="F42" s="4">
        <f t="shared" si="0"/>
        <v>0.12251411492525355</v>
      </c>
    </row>
    <row r="43" spans="2:6">
      <c r="B43" s="4">
        <f t="shared" si="3"/>
        <v>162.5</v>
      </c>
      <c r="C43" s="6">
        <f t="shared" si="1"/>
        <v>7780.5420694444629</v>
      </c>
      <c r="D43" s="4">
        <f t="shared" si="2"/>
        <v>793.12355447955781</v>
      </c>
      <c r="F43" s="4">
        <f t="shared" si="0"/>
        <v>0.12330338855825676</v>
      </c>
    </row>
    <row r="44" spans="2:6">
      <c r="B44" s="4">
        <f t="shared" si="3"/>
        <v>167.5</v>
      </c>
      <c r="C44" s="6">
        <f t="shared" si="1"/>
        <v>8019.9433638889077</v>
      </c>
      <c r="D44" s="4">
        <f t="shared" si="2"/>
        <v>817.52735615585186</v>
      </c>
      <c r="F44" s="4">
        <f t="shared" si="0"/>
        <v>0.12419985708215417</v>
      </c>
    </row>
    <row r="45" spans="2:6">
      <c r="B45" s="4">
        <f t="shared" si="3"/>
        <v>172.5</v>
      </c>
      <c r="C45" s="6">
        <f t="shared" si="1"/>
        <v>8259.3446583333534</v>
      </c>
      <c r="D45" s="4">
        <f t="shared" si="2"/>
        <v>841.93115783214603</v>
      </c>
      <c r="F45" s="4">
        <f t="shared" si="0"/>
        <v>0.12519419920208547</v>
      </c>
    </row>
    <row r="46" spans="2:6">
      <c r="B46" s="4">
        <f t="shared" si="3"/>
        <v>177.5</v>
      </c>
      <c r="C46" s="6">
        <f t="shared" si="1"/>
        <v>8498.7459527777974</v>
      </c>
      <c r="D46" s="4">
        <f t="shared" si="2"/>
        <v>866.33495950844008</v>
      </c>
      <c r="F46" s="4">
        <f t="shared" si="0"/>
        <v>0.12627814390993505</v>
      </c>
    </row>
    <row r="47" spans="2:6">
      <c r="B47" s="4">
        <f t="shared" si="3"/>
        <v>182.5</v>
      </c>
      <c r="C47" s="6">
        <f t="shared" si="1"/>
        <v>8738.1472472222431</v>
      </c>
      <c r="D47" s="4">
        <f t="shared" si="2"/>
        <v>890.73876118473424</v>
      </c>
      <c r="F47" s="4">
        <f t="shared" si="0"/>
        <v>0.12744432660943567</v>
      </c>
    </row>
    <row r="48" spans="2:6">
      <c r="B48" s="4">
        <f t="shared" si="3"/>
        <v>187.5</v>
      </c>
      <c r="C48" s="6">
        <f t="shared" si="1"/>
        <v>8977.5485416666888</v>
      </c>
      <c r="D48" s="4">
        <f t="shared" si="2"/>
        <v>915.14256286102841</v>
      </c>
      <c r="F48" s="4">
        <f t="shared" si="0"/>
        <v>0.12868616826125528</v>
      </c>
    </row>
    <row r="49" spans="2:6">
      <c r="B49" s="4">
        <f t="shared" si="3"/>
        <v>192.5</v>
      </c>
      <c r="C49" s="6">
        <f t="shared" si="1"/>
        <v>9216.9498361111328</v>
      </c>
      <c r="D49" s="4">
        <f t="shared" si="2"/>
        <v>939.54636453732235</v>
      </c>
      <c r="F49" s="4">
        <f t="shared" si="0"/>
        <v>0.12999777336261575</v>
      </c>
    </row>
    <row r="50" spans="2:6">
      <c r="B50" s="4">
        <f t="shared" si="3"/>
        <v>197.5</v>
      </c>
      <c r="C50" s="6">
        <f t="shared" si="1"/>
        <v>9456.3511305555785</v>
      </c>
      <c r="D50" s="4">
        <f t="shared" si="2"/>
        <v>963.95016621361651</v>
      </c>
      <c r="F50" s="4">
        <f t="shared" si="0"/>
        <v>0.13137384342367855</v>
      </c>
    </row>
    <row r="51" spans="2:6">
      <c r="B51" s="4">
        <f t="shared" si="3"/>
        <v>202.5</v>
      </c>
      <c r="C51" s="6">
        <f t="shared" si="1"/>
        <v>9695.7524250000224</v>
      </c>
      <c r="D51" s="4">
        <f t="shared" si="2"/>
        <v>988.35396788991045</v>
      </c>
      <c r="F51" s="4">
        <f t="shared" si="0"/>
        <v>0.13280960326224348</v>
      </c>
    </row>
  </sheetData>
  <mergeCells count="8">
    <mergeCell ref="Q15:R15"/>
    <mergeCell ref="Q24:R25"/>
    <mergeCell ref="B2:E2"/>
    <mergeCell ref="G2:I2"/>
    <mergeCell ref="B6:D6"/>
    <mergeCell ref="E6:F6"/>
    <mergeCell ref="G6:I6"/>
    <mergeCell ref="B13:D13"/>
  </mergeCells>
  <pageMargins left="0.7" right="0.7" top="0.75" bottom="0.75" header="0.3" footer="0.3"/>
  <pageSetup scale="53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DE25-8028-467C-9950-11AA5442044A}">
  <sheetPr codeName="Sheet1"/>
  <dimension ref="A1"/>
  <sheetViews>
    <sheetView zoomScale="90" zoomScaleNormal="90" workbookViewId="0">
      <selection activeCell="C4" sqref="C4"/>
    </sheetView>
  </sheetViews>
  <sheetFormatPr defaultRowHeight="14.4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E17BD-5C2E-46B2-95E3-9AD046C5A0CF}">
  <sheetPr codeName="Sheet15">
    <pageSetUpPr fitToPage="1"/>
  </sheetPr>
  <dimension ref="A1:BA332"/>
  <sheetViews>
    <sheetView topLeftCell="A155" zoomScale="85" zoomScaleNormal="85" workbookViewId="0">
      <selection activeCell="N325" sqref="N325"/>
    </sheetView>
  </sheetViews>
  <sheetFormatPr defaultRowHeight="14.4"/>
  <cols>
    <col min="4" max="4" width="10.33203125" customWidth="1"/>
    <col min="5" max="5" width="13.44140625" bestFit="1" customWidth="1"/>
    <col min="6" max="6" width="9.6640625" customWidth="1"/>
    <col min="7" max="7" width="11.44140625" customWidth="1"/>
    <col min="8" max="8" width="14.44140625" customWidth="1"/>
    <col min="9" max="9" width="15.44140625" customWidth="1"/>
    <col min="10" max="10" width="16" customWidth="1"/>
    <col min="11" max="11" width="9.44140625" customWidth="1"/>
    <col min="12" max="12" width="8.44140625" bestFit="1" customWidth="1"/>
    <col min="13" max="14" width="9.44140625" customWidth="1"/>
    <col min="17" max="17" width="11.44140625" customWidth="1"/>
    <col min="18" max="18" width="10.6640625" customWidth="1"/>
    <col min="21" max="21" width="12.44140625" customWidth="1"/>
    <col min="23" max="23" width="10" customWidth="1"/>
    <col min="25" max="25" width="10" customWidth="1"/>
    <col min="28" max="28" width="13.6640625" customWidth="1"/>
    <col min="30" max="31" width="11" customWidth="1"/>
    <col min="33" max="33" width="14.6640625" customWidth="1"/>
    <col min="34" max="34" width="11.44140625" customWidth="1"/>
    <col min="37" max="37" width="10.44140625" customWidth="1"/>
    <col min="46" max="55" width="11.44140625" customWidth="1"/>
  </cols>
  <sheetData>
    <row r="1" spans="1:53" ht="15" customHeight="1" thickBot="1">
      <c r="B1" s="268" t="s">
        <v>0</v>
      </c>
      <c r="C1" s="269"/>
      <c r="D1" s="269"/>
      <c r="E1" s="270"/>
      <c r="H1" s="287" t="s">
        <v>85</v>
      </c>
      <c r="I1" s="288" t="s">
        <v>86</v>
      </c>
      <c r="J1" s="288" t="s">
        <v>87</v>
      </c>
      <c r="L1" s="288" t="s">
        <v>88</v>
      </c>
    </row>
    <row r="2" spans="1:53">
      <c r="B2" s="61" t="s">
        <v>1</v>
      </c>
      <c r="C2" s="61" t="s">
        <v>2</v>
      </c>
      <c r="D2" s="61" t="s">
        <v>3</v>
      </c>
      <c r="E2" s="61" t="s">
        <v>4</v>
      </c>
      <c r="H2" s="287"/>
      <c r="I2" s="288"/>
      <c r="J2" s="288"/>
      <c r="L2" s="288"/>
      <c r="AT2" s="272" t="s">
        <v>6</v>
      </c>
      <c r="AU2" s="273"/>
      <c r="AV2" s="273"/>
      <c r="AW2" s="273"/>
      <c r="AX2" s="273"/>
      <c r="AY2" s="273"/>
      <c r="AZ2" s="273"/>
      <c r="BA2" s="274"/>
    </row>
    <row r="3" spans="1:53" ht="15" thickBot="1">
      <c r="B3" s="3">
        <v>101.325</v>
      </c>
      <c r="C3" s="3">
        <v>288.14999999999998</v>
      </c>
      <c r="D3" s="3">
        <v>287</v>
      </c>
      <c r="E3" s="3">
        <v>1.4</v>
      </c>
      <c r="H3" s="3">
        <v>0.4</v>
      </c>
      <c r="I3" s="3">
        <v>60</v>
      </c>
      <c r="J3" s="4">
        <f>I3*4.88242575589593*9.81/1000</f>
        <v>2.873795799920345</v>
      </c>
      <c r="L3" s="4">
        <v>100</v>
      </c>
      <c r="AR3" s="11"/>
      <c r="AT3" s="21" t="s">
        <v>7</v>
      </c>
      <c r="AU3" s="16" t="s">
        <v>8</v>
      </c>
      <c r="AV3" s="16" t="s">
        <v>9</v>
      </c>
      <c r="AW3" s="16" t="s">
        <v>10</v>
      </c>
      <c r="AX3" s="2" t="s">
        <v>11</v>
      </c>
      <c r="AY3" s="2" t="s">
        <v>12</v>
      </c>
      <c r="AZ3" s="2" t="s">
        <v>13</v>
      </c>
      <c r="BA3" s="22" t="s">
        <v>14</v>
      </c>
    </row>
    <row r="4" spans="1:53" ht="15" thickBot="1">
      <c r="V4" s="281" t="s">
        <v>89</v>
      </c>
      <c r="W4" s="284" t="s">
        <v>90</v>
      </c>
      <c r="Y4" s="284" t="s">
        <v>91</v>
      </c>
      <c r="AB4" s="268" t="s">
        <v>92</v>
      </c>
      <c r="AC4" s="269"/>
      <c r="AD4" s="269"/>
      <c r="AE4" s="269"/>
      <c r="AF4" s="269"/>
      <c r="AG4" s="269"/>
      <c r="AH4" s="270"/>
      <c r="AJ4" s="275" t="s">
        <v>16</v>
      </c>
      <c r="AK4" s="276"/>
      <c r="AL4" s="276"/>
      <c r="AM4" s="276"/>
      <c r="AN4" s="276"/>
      <c r="AO4" s="276"/>
      <c r="AP4" s="276"/>
      <c r="AQ4" s="277"/>
      <c r="AT4" s="32">
        <f t="shared" ref="AT4:AT53" si="0">3.28084*AU4</f>
        <v>-6561.68</v>
      </c>
      <c r="AU4" s="17">
        <v>-2000</v>
      </c>
      <c r="AV4" s="17">
        <v>301.2</v>
      </c>
      <c r="AW4" s="17">
        <v>127.78</v>
      </c>
      <c r="AX4" s="17">
        <v>1.2067000000000001</v>
      </c>
      <c r="AY4" s="17">
        <v>1.2529999999999999</v>
      </c>
      <c r="AZ4" s="17">
        <v>2.6360000000000001</v>
      </c>
      <c r="BA4" s="33">
        <v>347.9</v>
      </c>
    </row>
    <row r="5" spans="1:53" ht="15" customHeight="1" thickBot="1">
      <c r="B5" s="268" t="s">
        <v>17</v>
      </c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70"/>
      <c r="T5" s="11"/>
      <c r="U5" s="11"/>
      <c r="V5" s="282"/>
      <c r="W5" s="285"/>
      <c r="Y5" s="285"/>
      <c r="Z5" s="11"/>
      <c r="AB5" s="53" t="s">
        <v>93</v>
      </c>
      <c r="AC5" s="280" t="s">
        <v>94</v>
      </c>
      <c r="AD5" s="280"/>
      <c r="AE5" s="279"/>
      <c r="AF5" s="278" t="s">
        <v>95</v>
      </c>
      <c r="AG5" s="280"/>
      <c r="AH5" s="279"/>
      <c r="AJ5" s="272" t="s">
        <v>20</v>
      </c>
      <c r="AK5" s="273"/>
      <c r="AL5" s="273"/>
      <c r="AM5" s="273"/>
      <c r="AN5" s="274"/>
      <c r="AO5" s="272" t="s">
        <v>21</v>
      </c>
      <c r="AP5" s="273"/>
      <c r="AQ5" s="274"/>
      <c r="AT5" s="32">
        <f t="shared" si="0"/>
        <v>-4921.26</v>
      </c>
      <c r="AU5" s="17">
        <v>-1500</v>
      </c>
      <c r="AV5" s="17">
        <v>297.89999999999998</v>
      </c>
      <c r="AW5" s="17">
        <v>120.7</v>
      </c>
      <c r="AX5" s="17">
        <v>1.1521999999999999</v>
      </c>
      <c r="AY5" s="17">
        <v>1.3009999999999999</v>
      </c>
      <c r="AZ5" s="17">
        <v>2.6110000000000002</v>
      </c>
      <c r="BA5" s="33">
        <v>346</v>
      </c>
    </row>
    <row r="6" spans="1:53" ht="16.2" thickBot="1">
      <c r="B6" s="144" t="s">
        <v>7</v>
      </c>
      <c r="C6" s="144" t="s">
        <v>22</v>
      </c>
      <c r="D6" s="144" t="s">
        <v>23</v>
      </c>
      <c r="E6" s="144" t="s">
        <v>24</v>
      </c>
      <c r="F6" s="144" t="s">
        <v>25</v>
      </c>
      <c r="G6" s="144" t="s">
        <v>26</v>
      </c>
      <c r="H6" s="145" t="s">
        <v>27</v>
      </c>
      <c r="I6" s="144" t="s">
        <v>28</v>
      </c>
      <c r="J6" s="144" t="s">
        <v>29</v>
      </c>
      <c r="K6" s="144" t="s">
        <v>30</v>
      </c>
      <c r="L6" s="144" t="s">
        <v>31</v>
      </c>
      <c r="M6" s="144" t="s">
        <v>32</v>
      </c>
      <c r="N6" s="144" t="s">
        <v>33</v>
      </c>
      <c r="O6" s="144" t="s">
        <v>34</v>
      </c>
      <c r="P6" s="144" t="s">
        <v>35</v>
      </c>
      <c r="Q6" s="144" t="s">
        <v>36</v>
      </c>
      <c r="R6" s="144" t="s">
        <v>37</v>
      </c>
      <c r="S6" s="144" t="s">
        <v>38</v>
      </c>
      <c r="T6" s="11"/>
      <c r="U6" s="11"/>
      <c r="V6" s="283"/>
      <c r="W6" s="286"/>
      <c r="Y6" s="286" t="s">
        <v>91</v>
      </c>
      <c r="Z6" s="11"/>
      <c r="AB6" s="129" t="s">
        <v>96</v>
      </c>
      <c r="AC6" s="127" t="s">
        <v>97</v>
      </c>
      <c r="AD6" s="2" t="s">
        <v>98</v>
      </c>
      <c r="AE6" s="2" t="s">
        <v>99</v>
      </c>
      <c r="AF6" s="21" t="s">
        <v>97</v>
      </c>
      <c r="AG6" s="2" t="s">
        <v>100</v>
      </c>
      <c r="AH6" s="22" t="s">
        <v>99</v>
      </c>
      <c r="AJ6" s="21" t="s">
        <v>41</v>
      </c>
      <c r="AK6" s="2" t="s">
        <v>42</v>
      </c>
      <c r="AL6" s="2" t="s">
        <v>43</v>
      </c>
      <c r="AM6" s="2" t="s">
        <v>44</v>
      </c>
      <c r="AN6" s="22" t="s">
        <v>45</v>
      </c>
      <c r="AO6" s="21" t="s">
        <v>43</v>
      </c>
      <c r="AP6" s="2" t="s">
        <v>44</v>
      </c>
      <c r="AQ6" s="22" t="s">
        <v>45</v>
      </c>
      <c r="AT6" s="32">
        <f t="shared" si="0"/>
        <v>-3280.84</v>
      </c>
      <c r="AU6" s="17">
        <v>-1000</v>
      </c>
      <c r="AV6" s="17">
        <v>294.7</v>
      </c>
      <c r="AW6" s="17">
        <v>113.93</v>
      </c>
      <c r="AX6" s="17">
        <v>1.0995999999999999</v>
      </c>
      <c r="AY6" s="17">
        <v>1.3520000000000001</v>
      </c>
      <c r="AZ6" s="17">
        <v>2.585</v>
      </c>
      <c r="BA6" s="33">
        <v>344.1</v>
      </c>
    </row>
    <row r="7" spans="1:53">
      <c r="B7" s="146">
        <v>0</v>
      </c>
      <c r="C7" s="147">
        <v>0</v>
      </c>
      <c r="D7" s="147">
        <v>0.01</v>
      </c>
      <c r="E7" s="148" cm="1">
        <f t="array" ref="E7">((B7-INDEX($AT$4:$AW$53,MATCH(B7,$AT$4:$AT$53,1),1))/(INDEX($AT$4:$AW$53,MATCH(B7,$AT$4:$AT$53,1)+1,1)-INDEX($AT$4:$AW$53,MATCH(B7,$AT$4:$AT$53,1),1)))*(INDEX($AT$4:$AW$53,MATCH(B7,$AT$4:$AT$53,1)+1,4)-INDEX($AT$4:$AW$53,MATCH(B7,$AT$4:$AT$53,1),4))+INDEX($AT$4:$AW$53,MATCH(B7,$AT$4:$AT$53,1),4)</f>
        <v>101.325</v>
      </c>
      <c r="F7" s="148" cm="1">
        <f t="array" ref="F7">C7+((B7-INDEX($AT$4:$AW$53,MATCH(B7,$AT$4:$AT$53,1),1))/(INDEX($AT$4:$AW$53,MATCH(B7,$AT$4:$AT$53,1)+1,1)-INDEX($AT$4:$AW$53,MATCH(B7,$AT$4:$AT$53,1),1)))*(INDEX($AT$4:$AW$53,MATCH(B7,$AT$4:$AT$53,1)+1,3)-INDEX($AT$4:$AW$53,MATCH(B7,$AT$4:$AT$53,1),3))+INDEX($AT$4:$AW$53,MATCH(B7,$AT$4:$AT$53,1),3)</f>
        <v>288.14999999999998</v>
      </c>
      <c r="G7" s="149">
        <f t="shared" ref="G7:G70" si="1">E7*1000/($D$3*F7)</f>
        <v>1.2252256827617731</v>
      </c>
      <c r="H7" s="150">
        <f>B7+(120*C7)</f>
        <v>0</v>
      </c>
      <c r="I7" s="148">
        <f t="shared" ref="I7:I70" si="2">D7*SQRT($E$3*$D$3*F7)</f>
        <v>3.4026264855255564</v>
      </c>
      <c r="J7" s="148">
        <f>I7*1.94384</f>
        <v>6.6141614676239975</v>
      </c>
      <c r="K7" s="148">
        <f t="shared" ref="K7:K70" si="3">J7*SQRT(S7)</f>
        <v>6.6141614676239975</v>
      </c>
      <c r="L7" s="148">
        <f>IF(D7&lt;=1,SQRT($E$3*$D$3*$C$3)*SQRT(5*(((((P7-1)*E7)/$B$3)+1)^(2/7)-1))*1.94384,"SUP.")</f>
        <v>6.6141614676089464</v>
      </c>
      <c r="M7" s="148">
        <f>(P7-1)*E7</f>
        <v>7.092927320498538E-3</v>
      </c>
      <c r="N7" s="148">
        <f>(0.5*G7*I7^2)/1000</f>
        <v>7.092750000000001E-3</v>
      </c>
      <c r="O7" s="149">
        <f t="shared" ref="O7:O70" si="4">(1+($E$3-1)/2*D7^2)</f>
        <v>1.0000199999999999</v>
      </c>
      <c r="P7" s="149">
        <f t="shared" ref="P7:P70" si="5">O7^($E$3/($E$3-1))</f>
        <v>1.0000700017500173</v>
      </c>
      <c r="Q7" s="149">
        <f t="shared" ref="Q7:Q70" si="6">F7*O7/$C$3</f>
        <v>1.0000199999999999</v>
      </c>
      <c r="R7" s="149">
        <f t="shared" ref="R7:R70" si="7">E7*P7/$B$3</f>
        <v>1.0000700017500173</v>
      </c>
      <c r="S7" s="149">
        <f t="shared" ref="S7:S70" si="8">G7/($B$3*1000/($D$3*$C$3))</f>
        <v>1</v>
      </c>
      <c r="T7" s="151"/>
      <c r="U7" s="151"/>
      <c r="V7" s="151">
        <v>1</v>
      </c>
      <c r="W7" s="151">
        <v>1</v>
      </c>
      <c r="X7" s="125"/>
      <c r="Y7" s="151">
        <f>I7*((AD7/W7)*$H$3-AM7*V7^2*W7/(N7*1000)*$J$3*1000-AN7*V7-(AL7/((W7/(N7*1000))*$J$3*1000)))</f>
        <v>-163.32223050554671</v>
      </c>
      <c r="Z7" s="1">
        <f>I7*((AD7/W7)*$H$3-AM7*V7^2*W7/(N7*1000)*$J$3*1000-AN7*V7-($AL$7/((W7/(N7*1000))*$J$3*1000)))</f>
        <v>-163.32223050554671</v>
      </c>
      <c r="AB7" s="130">
        <v>1</v>
      </c>
      <c r="AC7" s="128">
        <f t="shared" ref="AC7:AC70" si="9">1-(0.43+0.014*MIN(MAX(AB7,5),15)*SQRT(D7))</f>
        <v>0.56299999999999994</v>
      </c>
      <c r="AD7" s="4">
        <f t="shared" ref="AD7:AD70" si="10">R7</f>
        <v>1.0000700017500173</v>
      </c>
      <c r="AE7" s="4">
        <f t="shared" ref="AE7:AE70" si="11">R7/0.6</f>
        <v>1.6667833362500288</v>
      </c>
      <c r="AF7" s="32">
        <f t="shared" ref="AF7:AF70" si="12">(0.45+0.54*D7-MIN(MAX(AB7,5),15)/100+(MIN(MAX(AB7,5),15)^2)/4000)*SQRT(F7/$C$3)</f>
        <v>0.41165000000000002</v>
      </c>
      <c r="AG7" s="4">
        <f t="shared" ref="AG7:AG70" si="13">(0.9+0.3*D7)*SQRT(F7/$C$3)</f>
        <v>0.90300000000000002</v>
      </c>
      <c r="AH7" s="42">
        <f t="shared" ref="AH7:AH70" si="14">(1.6+0.27*D7)*SQRT(F7/$C$3)</f>
        <v>1.6027</v>
      </c>
      <c r="AJ7" s="23">
        <v>4</v>
      </c>
      <c r="AK7" s="24">
        <v>0.8</v>
      </c>
      <c r="AL7" s="5">
        <f t="shared" ref="AL7:AL70" si="15">IF(D7&gt;0.8, 0.02+(D7-0.8)*0.286,0.02)+0.02*0.2^2</f>
        <v>2.0799999999999999E-2</v>
      </c>
      <c r="AM7" s="5">
        <f>1/(PI()*AJ7*AK7)+0.02</f>
        <v>0.1194718394324346</v>
      </c>
      <c r="AN7" s="25">
        <v>-8.0000000000000002E-3</v>
      </c>
      <c r="AO7" s="30">
        <f t="shared" ref="AO7:AO70" si="16">IF(D7&lt;0.8,0.014, IF(D7&gt;1.2, 0.028,0.014+(D7-0.8)*0.035))</f>
        <v>1.4E-2</v>
      </c>
      <c r="AP7" s="5">
        <f t="shared" ref="AP7:AP70" si="17">IF(D7&gt;1,0.18+(D7-1)*0.18,0.18)</f>
        <v>0.18</v>
      </c>
      <c r="AQ7" s="25">
        <v>0</v>
      </c>
      <c r="AT7" s="32">
        <f t="shared" si="0"/>
        <v>-1640.42</v>
      </c>
      <c r="AU7" s="17">
        <v>-500</v>
      </c>
      <c r="AV7" s="17">
        <v>291.39999999999998</v>
      </c>
      <c r="AW7" s="17">
        <v>107.48</v>
      </c>
      <c r="AX7" s="17">
        <v>1.0488999999999999</v>
      </c>
      <c r="AY7" s="17">
        <v>1.405</v>
      </c>
      <c r="AZ7" s="17">
        <v>2.56</v>
      </c>
      <c r="BA7" s="33">
        <v>342.2</v>
      </c>
    </row>
    <row r="8" spans="1:53">
      <c r="B8" s="38">
        <v>0</v>
      </c>
      <c r="C8" s="3">
        <v>0</v>
      </c>
      <c r="D8" s="3">
        <v>0.05</v>
      </c>
      <c r="E8" s="13" cm="1">
        <f t="array" ref="E8">((B8-INDEX($AT$4:$AW$53,MATCH(B8,$AT$4:$AT$53,1),1))/(INDEX($AT$4:$AW$53,MATCH(B8,$AT$4:$AT$53,1)+1,1)-INDEX($AT$4:$AW$53,MATCH(B8,$AT$4:$AT$53,1),1)))*(INDEX($AT$4:$AW$53,MATCH(B8,$AT$4:$AT$53,1)+1,4)-INDEX($AT$4:$AW$53,MATCH(B8,$AT$4:$AT$53,1),4))+INDEX($AT$4:$AW$53,MATCH(B8,$AT$4:$AT$53,1),4)</f>
        <v>101.325</v>
      </c>
      <c r="F8" s="13" cm="1">
        <f t="array" ref="F8">C8+((B8-INDEX($AT$4:$AW$53,MATCH(B8,$AT$4:$AT$53,1),1))/(INDEX($AT$4:$AW$53,MATCH(B8,$AT$4:$AT$53,1)+1,1)-INDEX($AT$4:$AW$53,MATCH(B8,$AT$4:$AT$53,1),1)))*(INDEX($AT$4:$AW$53,MATCH(B8,$AT$4:$AT$53,1)+1,3)-INDEX($AT$4:$AW$53,MATCH(B8,$AT$4:$AT$53,1),3))+INDEX($AT$4:$AW$53,MATCH(B8,$AT$4:$AT$53,1),3)</f>
        <v>288.14999999999998</v>
      </c>
      <c r="G8" s="4">
        <f t="shared" si="1"/>
        <v>1.2252256827617731</v>
      </c>
      <c r="H8" s="6">
        <f t="shared" ref="H8:H71" si="18">B8+(120*C8)</f>
        <v>0</v>
      </c>
      <c r="I8" s="13">
        <f t="shared" si="2"/>
        <v>17.013132427627781</v>
      </c>
      <c r="J8" s="13">
        <f t="shared" ref="J8:J71" si="19">I8*1.94384</f>
        <v>33.070807338119984</v>
      </c>
      <c r="K8" s="13">
        <f t="shared" si="3"/>
        <v>33.070807338119984</v>
      </c>
      <c r="L8" s="13">
        <f t="shared" ref="L8:L71" si="20">SQRT($E$3*$D$3*$C$3)*SQRT(5*(((((P8-1)*E8)/$B$3)+1)^(2/7)-1))*1.94384</f>
        <v>33.070807338118165</v>
      </c>
      <c r="M8" s="13">
        <f t="shared" ref="M8:M71" si="21">(P8-1)*E8</f>
        <v>0.17742960192651847</v>
      </c>
      <c r="N8" s="13">
        <f t="shared" ref="N8:N71" si="22">(0.5*G8*I8^2)/1000</f>
        <v>0.17731875</v>
      </c>
      <c r="O8" s="4">
        <f t="shared" si="4"/>
        <v>1.0004999999999999</v>
      </c>
      <c r="P8" s="4">
        <f t="shared" si="5"/>
        <v>1.0017510940234544</v>
      </c>
      <c r="Q8" s="4">
        <f t="shared" si="6"/>
        <v>1.0004999999999999</v>
      </c>
      <c r="R8" s="4">
        <f t="shared" si="7"/>
        <v>1.0017510940234544</v>
      </c>
      <c r="S8" s="4">
        <f t="shared" si="8"/>
        <v>1</v>
      </c>
      <c r="T8" s="1"/>
      <c r="U8" s="1"/>
      <c r="V8" s="1">
        <v>1</v>
      </c>
      <c r="W8" s="1">
        <v>1</v>
      </c>
      <c r="Y8" s="1">
        <f t="shared" ref="Y8:Y71" si="23">I8*((AD8/W8)*$H$3-AM8*V8^2*W8/(N8*1000)*$J$3*1000-AN8*V8-(AL8/((W8/(N8*1000))*$J$3*1000)))</f>
        <v>-26.010644530726303</v>
      </c>
      <c r="Z8" s="1">
        <f t="shared" ref="Z8:Z71" si="24">I8*((AD8/W8)*$H$3-AM8*V8^2*W8/(N8*1000)*$J$3*1000-AN8*V8-($AL$7/((W8/(N8*1000))*$J$3*1000)))</f>
        <v>-26.010644530726303</v>
      </c>
      <c r="AB8" s="130">
        <v>1</v>
      </c>
      <c r="AC8" s="128">
        <f t="shared" si="9"/>
        <v>0.55434752415750155</v>
      </c>
      <c r="AD8" s="4">
        <f t="shared" si="10"/>
        <v>1.0017510940234544</v>
      </c>
      <c r="AE8" s="4">
        <f t="shared" si="11"/>
        <v>1.6695851567057574</v>
      </c>
      <c r="AF8" s="32">
        <f t="shared" si="12"/>
        <v>0.43325000000000002</v>
      </c>
      <c r="AG8" s="4">
        <f t="shared" si="13"/>
        <v>0.91500000000000004</v>
      </c>
      <c r="AH8" s="42">
        <f t="shared" si="14"/>
        <v>1.6135000000000002</v>
      </c>
      <c r="AJ8" s="23">
        <v>4</v>
      </c>
      <c r="AK8" s="24">
        <v>0.8</v>
      </c>
      <c r="AL8" s="5">
        <f t="shared" si="15"/>
        <v>2.0799999999999999E-2</v>
      </c>
      <c r="AM8" s="5">
        <f t="shared" ref="AM8:AM71" si="25">1/(PI()*AJ8*AK8)+0.02</f>
        <v>0.1194718394324346</v>
      </c>
      <c r="AN8" s="25">
        <f>AN7</f>
        <v>-8.0000000000000002E-3</v>
      </c>
      <c r="AO8" s="30">
        <f t="shared" si="16"/>
        <v>1.4E-2</v>
      </c>
      <c r="AP8" s="5">
        <f t="shared" si="17"/>
        <v>0.18</v>
      </c>
      <c r="AQ8" s="25">
        <v>0</v>
      </c>
      <c r="AT8" s="32">
        <f t="shared" si="0"/>
        <v>0</v>
      </c>
      <c r="AU8" s="17">
        <v>0</v>
      </c>
      <c r="AV8" s="17">
        <v>288.14999999999998</v>
      </c>
      <c r="AW8" s="17">
        <v>101.325</v>
      </c>
      <c r="AX8" s="17">
        <v>1</v>
      </c>
      <c r="AY8" s="17">
        <v>1.4610000000000001</v>
      </c>
      <c r="AZ8" s="17">
        <v>2.5339999999999998</v>
      </c>
      <c r="BA8" s="33">
        <v>340.3</v>
      </c>
    </row>
    <row r="9" spans="1:53">
      <c r="B9" s="38">
        <v>0</v>
      </c>
      <c r="C9" s="3">
        <v>0</v>
      </c>
      <c r="D9" s="3">
        <f>D8+0.05</f>
        <v>0.1</v>
      </c>
      <c r="E9" s="13" cm="1">
        <f t="array" ref="E9">((B9-INDEX($AT$4:$AW$53,MATCH(B9,$AT$4:$AT$53,1),1))/(INDEX($AT$4:$AW$53,MATCH(B9,$AT$4:$AT$53,1)+1,1)-INDEX($AT$4:$AW$53,MATCH(B9,$AT$4:$AT$53,1),1)))*(INDEX($AT$4:$AW$53,MATCH(B9,$AT$4:$AT$53,1)+1,4)-INDEX($AT$4:$AW$53,MATCH(B9,$AT$4:$AT$53,1),4))+INDEX($AT$4:$AW$53,MATCH(B9,$AT$4:$AT$53,1),4)</f>
        <v>101.325</v>
      </c>
      <c r="F9" s="13" cm="1">
        <f t="array" ref="F9">C9+((B9-INDEX($AT$4:$AW$53,MATCH(B9,$AT$4:$AT$53,1),1))/(INDEX($AT$4:$AW$53,MATCH(B9,$AT$4:$AT$53,1)+1,1)-INDEX($AT$4:$AW$53,MATCH(B9,$AT$4:$AT$53,1),1)))*(INDEX($AT$4:$AW$53,MATCH(B9,$AT$4:$AT$53,1)+1,3)-INDEX($AT$4:$AW$53,MATCH(B9,$AT$4:$AT$53,1),3))+INDEX($AT$4:$AW$53,MATCH(B9,$AT$4:$AT$53,1),3)</f>
        <v>288.14999999999998</v>
      </c>
      <c r="G9" s="4">
        <f t="shared" si="1"/>
        <v>1.2252256827617731</v>
      </c>
      <c r="H9" s="6">
        <f t="shared" si="18"/>
        <v>0</v>
      </c>
      <c r="I9" s="13">
        <f t="shared" si="2"/>
        <v>34.026264855255562</v>
      </c>
      <c r="J9" s="13">
        <f t="shared" si="19"/>
        <v>66.141614676239968</v>
      </c>
      <c r="K9" s="13">
        <f t="shared" si="3"/>
        <v>66.141614676239968</v>
      </c>
      <c r="L9" s="13">
        <f t="shared" si="20"/>
        <v>66.141614676239996</v>
      </c>
      <c r="M9" s="13">
        <f t="shared" si="21"/>
        <v>0.71104996113070273</v>
      </c>
      <c r="N9" s="13">
        <f t="shared" si="22"/>
        <v>0.70927499999999999</v>
      </c>
      <c r="O9" s="4">
        <f t="shared" si="4"/>
        <v>1.002</v>
      </c>
      <c r="P9" s="4">
        <f t="shared" si="5"/>
        <v>1.0070175175043741</v>
      </c>
      <c r="Q9" s="4">
        <f t="shared" si="6"/>
        <v>1.002</v>
      </c>
      <c r="R9" s="4">
        <f t="shared" si="7"/>
        <v>1.0070175175043741</v>
      </c>
      <c r="S9" s="4">
        <f t="shared" si="8"/>
        <v>1</v>
      </c>
      <c r="T9" s="1"/>
      <c r="U9" s="1"/>
      <c r="V9" s="1">
        <v>1</v>
      </c>
      <c r="W9" s="1">
        <v>1</v>
      </c>
      <c r="Y9" s="1">
        <f t="shared" si="23"/>
        <v>-2.6674915019331333</v>
      </c>
      <c r="Z9" s="1">
        <f t="shared" si="24"/>
        <v>-2.6674915019331333</v>
      </c>
      <c r="AB9" s="130">
        <v>1</v>
      </c>
      <c r="AC9" s="128">
        <f t="shared" si="9"/>
        <v>0.5478640563788213</v>
      </c>
      <c r="AD9" s="4">
        <f t="shared" si="10"/>
        <v>1.0070175175043741</v>
      </c>
      <c r="AE9" s="4">
        <f t="shared" si="11"/>
        <v>1.6783625291739568</v>
      </c>
      <c r="AF9" s="32">
        <f t="shared" si="12"/>
        <v>0.46024999999999999</v>
      </c>
      <c r="AG9" s="4">
        <f t="shared" si="13"/>
        <v>0.93</v>
      </c>
      <c r="AH9" s="42">
        <f t="shared" si="14"/>
        <v>1.627</v>
      </c>
      <c r="AJ9" s="23">
        <v>4</v>
      </c>
      <c r="AK9" s="24">
        <v>0.8</v>
      </c>
      <c r="AL9" s="5">
        <f t="shared" si="15"/>
        <v>2.0799999999999999E-2</v>
      </c>
      <c r="AM9" s="5">
        <f t="shared" si="25"/>
        <v>0.1194718394324346</v>
      </c>
      <c r="AN9" s="25">
        <f t="shared" ref="AN9:AN72" si="26">AN8</f>
        <v>-8.0000000000000002E-3</v>
      </c>
      <c r="AO9" s="30">
        <f t="shared" si="16"/>
        <v>1.4E-2</v>
      </c>
      <c r="AP9" s="5">
        <f t="shared" si="17"/>
        <v>0.18</v>
      </c>
      <c r="AQ9" s="25">
        <v>0</v>
      </c>
      <c r="AT9" s="32">
        <f t="shared" si="0"/>
        <v>1640.42</v>
      </c>
      <c r="AU9" s="17">
        <v>500</v>
      </c>
      <c r="AV9" s="17">
        <v>284.89999999999998</v>
      </c>
      <c r="AW9" s="17">
        <v>95.46</v>
      </c>
      <c r="AX9" s="17">
        <v>0.95289999999999997</v>
      </c>
      <c r="AY9" s="17">
        <v>1.52</v>
      </c>
      <c r="AZ9" s="17">
        <v>2.5089999999999999</v>
      </c>
      <c r="BA9" s="33">
        <v>338.4</v>
      </c>
    </row>
    <row r="10" spans="1:53">
      <c r="B10" s="38">
        <v>0</v>
      </c>
      <c r="C10" s="3">
        <v>0</v>
      </c>
      <c r="D10" s="3">
        <f t="shared" ref="D10:D19" si="27">D9+0.05</f>
        <v>0.15000000000000002</v>
      </c>
      <c r="E10" s="13" cm="1">
        <f t="array" ref="E10">((B10-INDEX($AT$4:$AW$53,MATCH(B10,$AT$4:$AT$53,1),1))/(INDEX($AT$4:$AW$53,MATCH(B10,$AT$4:$AT$53,1)+1,1)-INDEX($AT$4:$AW$53,MATCH(B10,$AT$4:$AT$53,1),1)))*(INDEX($AT$4:$AW$53,MATCH(B10,$AT$4:$AT$53,1)+1,4)-INDEX($AT$4:$AW$53,MATCH(B10,$AT$4:$AT$53,1),4))+INDEX($AT$4:$AW$53,MATCH(B10,$AT$4:$AT$53,1),4)</f>
        <v>101.325</v>
      </c>
      <c r="F10" s="13" cm="1">
        <f t="array" ref="F10">C10+((B10-INDEX($AT$4:$AW$53,MATCH(B10,$AT$4:$AT$53,1),1))/(INDEX($AT$4:$AW$53,MATCH(B10,$AT$4:$AT$53,1)+1,1)-INDEX($AT$4:$AW$53,MATCH(B10,$AT$4:$AT$53,1),1)))*(INDEX($AT$4:$AW$53,MATCH(B10,$AT$4:$AT$53,1)+1,3)-INDEX($AT$4:$AW$53,MATCH(B10,$AT$4:$AT$53,1),3))+INDEX($AT$4:$AW$53,MATCH(B10,$AT$4:$AT$53,1),3)</f>
        <v>288.14999999999998</v>
      </c>
      <c r="G10" s="4">
        <f t="shared" si="1"/>
        <v>1.2252256827617731</v>
      </c>
      <c r="H10" s="6">
        <f t="shared" si="18"/>
        <v>0</v>
      </c>
      <c r="I10" s="13">
        <f t="shared" si="2"/>
        <v>51.03939728288335</v>
      </c>
      <c r="J10" s="13">
        <f t="shared" si="19"/>
        <v>99.212422014359973</v>
      </c>
      <c r="K10" s="13">
        <f t="shared" si="3"/>
        <v>99.212422014359973</v>
      </c>
      <c r="L10" s="13">
        <f t="shared" si="20"/>
        <v>99.21242201435939</v>
      </c>
      <c r="M10" s="13">
        <f t="shared" si="21"/>
        <v>1.6048657207886967</v>
      </c>
      <c r="N10" s="13">
        <f t="shared" si="22"/>
        <v>1.5958687500000006</v>
      </c>
      <c r="O10" s="4">
        <f t="shared" si="4"/>
        <v>1.0044999999999999</v>
      </c>
      <c r="P10" s="4">
        <f t="shared" si="5"/>
        <v>1.0158387931980133</v>
      </c>
      <c r="Q10" s="4">
        <f t="shared" si="6"/>
        <v>1.0044999999999999</v>
      </c>
      <c r="R10" s="4">
        <f t="shared" si="7"/>
        <v>1.0158387931980133</v>
      </c>
      <c r="S10" s="4">
        <f t="shared" si="8"/>
        <v>1</v>
      </c>
      <c r="T10" s="1"/>
      <c r="U10" s="1"/>
      <c r="V10" s="1">
        <v>1</v>
      </c>
      <c r="W10" s="1">
        <v>1</v>
      </c>
      <c r="Y10" s="1">
        <f t="shared" si="23"/>
        <v>9.5772044900256823</v>
      </c>
      <c r="Z10" s="1">
        <f t="shared" si="24"/>
        <v>9.5772044900256823</v>
      </c>
      <c r="AB10" s="130">
        <v>1</v>
      </c>
      <c r="AC10" s="128">
        <f t="shared" si="9"/>
        <v>0.54288911657654815</v>
      </c>
      <c r="AD10" s="4">
        <f t="shared" si="10"/>
        <v>1.0158387931980133</v>
      </c>
      <c r="AE10" s="4">
        <f t="shared" si="11"/>
        <v>1.6930646553300222</v>
      </c>
      <c r="AF10" s="32">
        <f t="shared" si="12"/>
        <v>0.48725000000000002</v>
      </c>
      <c r="AG10" s="4">
        <f t="shared" si="13"/>
        <v>0.94500000000000006</v>
      </c>
      <c r="AH10" s="42">
        <f t="shared" si="14"/>
        <v>1.6405000000000001</v>
      </c>
      <c r="AJ10" s="23">
        <v>4</v>
      </c>
      <c r="AK10" s="24">
        <v>0.8</v>
      </c>
      <c r="AL10" s="5">
        <f t="shared" si="15"/>
        <v>2.0799999999999999E-2</v>
      </c>
      <c r="AM10" s="5">
        <f t="shared" si="25"/>
        <v>0.1194718394324346</v>
      </c>
      <c r="AN10" s="25">
        <f t="shared" si="26"/>
        <v>-8.0000000000000002E-3</v>
      </c>
      <c r="AO10" s="30">
        <f t="shared" si="16"/>
        <v>1.4E-2</v>
      </c>
      <c r="AP10" s="5">
        <f t="shared" si="17"/>
        <v>0.18</v>
      </c>
      <c r="AQ10" s="25">
        <v>0</v>
      </c>
      <c r="AT10" s="32">
        <f t="shared" si="0"/>
        <v>3280.84</v>
      </c>
      <c r="AU10" s="17">
        <v>1000</v>
      </c>
      <c r="AV10" s="17">
        <v>281.7</v>
      </c>
      <c r="AW10" s="17">
        <v>89.88</v>
      </c>
      <c r="AX10" s="17">
        <v>0.90749999999999997</v>
      </c>
      <c r="AY10" s="17">
        <v>1.581</v>
      </c>
      <c r="AZ10" s="17">
        <v>2.4830000000000001</v>
      </c>
      <c r="BA10" s="33">
        <v>336.4</v>
      </c>
    </row>
    <row r="11" spans="1:53">
      <c r="B11" s="38">
        <v>0</v>
      </c>
      <c r="C11" s="3">
        <v>0</v>
      </c>
      <c r="D11" s="3">
        <f t="shared" si="27"/>
        <v>0.2</v>
      </c>
      <c r="E11" s="13" cm="1">
        <f t="array" ref="E11">((B11-INDEX($AT$4:$AW$53,MATCH(B11,$AT$4:$AT$53,1),1))/(INDEX($AT$4:$AW$53,MATCH(B11,$AT$4:$AT$53,1)+1,1)-INDEX($AT$4:$AW$53,MATCH(B11,$AT$4:$AT$53,1),1)))*(INDEX($AT$4:$AW$53,MATCH(B11,$AT$4:$AT$53,1)+1,4)-INDEX($AT$4:$AW$53,MATCH(B11,$AT$4:$AT$53,1),4))+INDEX($AT$4:$AW$53,MATCH(B11,$AT$4:$AT$53,1),4)</f>
        <v>101.325</v>
      </c>
      <c r="F11" s="13" cm="1">
        <f t="array" ref="F11">C11+((B11-INDEX($AT$4:$AW$53,MATCH(B11,$AT$4:$AT$53,1),1))/(INDEX($AT$4:$AW$53,MATCH(B11,$AT$4:$AT$53,1)+1,1)-INDEX($AT$4:$AW$53,MATCH(B11,$AT$4:$AT$53,1),1)))*(INDEX($AT$4:$AW$53,MATCH(B11,$AT$4:$AT$53,1)+1,3)-INDEX($AT$4:$AW$53,MATCH(B11,$AT$4:$AT$53,1),3))+INDEX($AT$4:$AW$53,MATCH(B11,$AT$4:$AT$53,1),3)</f>
        <v>288.14999999999998</v>
      </c>
      <c r="G11" s="4">
        <f t="shared" si="1"/>
        <v>1.2252256827617731</v>
      </c>
      <c r="H11" s="6">
        <f t="shared" si="18"/>
        <v>0</v>
      </c>
      <c r="I11" s="13">
        <f t="shared" si="2"/>
        <v>68.052529710511124</v>
      </c>
      <c r="J11" s="13">
        <f t="shared" si="19"/>
        <v>132.28322935247994</v>
      </c>
      <c r="K11" s="13">
        <f t="shared" si="3"/>
        <v>132.28322935247994</v>
      </c>
      <c r="L11" s="13">
        <f t="shared" si="20"/>
        <v>132.28322935247999</v>
      </c>
      <c r="M11" s="13">
        <f t="shared" si="21"/>
        <v>2.8655845973934011</v>
      </c>
      <c r="N11" s="13">
        <f t="shared" si="22"/>
        <v>2.8371</v>
      </c>
      <c r="O11" s="4">
        <f t="shared" si="4"/>
        <v>1.008</v>
      </c>
      <c r="P11" s="4">
        <f t="shared" si="5"/>
        <v>1.0282811211191059</v>
      </c>
      <c r="Q11" s="4">
        <f t="shared" si="6"/>
        <v>1.008</v>
      </c>
      <c r="R11" s="4">
        <f t="shared" si="7"/>
        <v>1.0282811211191059</v>
      </c>
      <c r="S11" s="4">
        <f t="shared" si="8"/>
        <v>1</v>
      </c>
      <c r="T11" s="1"/>
      <c r="U11" s="1"/>
      <c r="V11" s="1">
        <v>1</v>
      </c>
      <c r="W11" s="1">
        <v>1</v>
      </c>
      <c r="Y11" s="1">
        <f t="shared" si="23"/>
        <v>18.902333676146217</v>
      </c>
      <c r="Z11" s="1">
        <f t="shared" si="24"/>
        <v>18.902333676146217</v>
      </c>
      <c r="AB11" s="130">
        <v>1</v>
      </c>
      <c r="AC11" s="128">
        <f t="shared" si="9"/>
        <v>0.53869504831500292</v>
      </c>
      <c r="AD11" s="4">
        <f t="shared" si="10"/>
        <v>1.0282811211191059</v>
      </c>
      <c r="AE11" s="4">
        <f t="shared" si="11"/>
        <v>1.7138018685318432</v>
      </c>
      <c r="AF11" s="32">
        <f t="shared" si="12"/>
        <v>0.51424999999999998</v>
      </c>
      <c r="AG11" s="4">
        <f t="shared" si="13"/>
        <v>0.96</v>
      </c>
      <c r="AH11" s="42">
        <f t="shared" si="14"/>
        <v>1.6540000000000001</v>
      </c>
      <c r="AJ11" s="23">
        <v>4</v>
      </c>
      <c r="AK11" s="24">
        <v>0.8</v>
      </c>
      <c r="AL11" s="5">
        <f t="shared" si="15"/>
        <v>2.0799999999999999E-2</v>
      </c>
      <c r="AM11" s="5">
        <f t="shared" si="25"/>
        <v>0.1194718394324346</v>
      </c>
      <c r="AN11" s="25">
        <f t="shared" si="26"/>
        <v>-8.0000000000000002E-3</v>
      </c>
      <c r="AO11" s="30">
        <f t="shared" si="16"/>
        <v>1.4E-2</v>
      </c>
      <c r="AP11" s="5">
        <f t="shared" si="17"/>
        <v>0.18</v>
      </c>
      <c r="AQ11" s="25">
        <v>0</v>
      </c>
      <c r="AT11" s="32">
        <f t="shared" si="0"/>
        <v>4921.26</v>
      </c>
      <c r="AU11" s="17">
        <v>1500</v>
      </c>
      <c r="AV11" s="17">
        <v>278.39999999999998</v>
      </c>
      <c r="AW11" s="17">
        <v>84.56</v>
      </c>
      <c r="AX11" s="17">
        <v>0.86380000000000001</v>
      </c>
      <c r="AY11" s="17">
        <v>1.6459999999999999</v>
      </c>
      <c r="AZ11" s="17">
        <v>2.4569999999999999</v>
      </c>
      <c r="BA11" s="33">
        <v>334.5</v>
      </c>
    </row>
    <row r="12" spans="1:53">
      <c r="A12" s="103"/>
      <c r="B12" s="38">
        <v>0</v>
      </c>
      <c r="C12" s="3">
        <v>0</v>
      </c>
      <c r="D12" s="3">
        <f t="shared" si="27"/>
        <v>0.25</v>
      </c>
      <c r="E12" s="13" cm="1">
        <f t="array" ref="E12">((B12-INDEX($AT$4:$AW$53,MATCH(B12,$AT$4:$AT$53,1),1))/(INDEX($AT$4:$AW$53,MATCH(B12,$AT$4:$AT$53,1)+1,1)-INDEX($AT$4:$AW$53,MATCH(B12,$AT$4:$AT$53,1),1)))*(INDEX($AT$4:$AW$53,MATCH(B12,$AT$4:$AT$53,1)+1,4)-INDEX($AT$4:$AW$53,MATCH(B12,$AT$4:$AT$53,1),4))+INDEX($AT$4:$AW$53,MATCH(B12,$AT$4:$AT$53,1),4)</f>
        <v>101.325</v>
      </c>
      <c r="F12" s="13" cm="1">
        <f t="array" ref="F12">C12+((B12-INDEX($AT$4:$AW$53,MATCH(B12,$AT$4:$AT$53,1),1))/(INDEX($AT$4:$AW$53,MATCH(B12,$AT$4:$AT$53,1)+1,1)-INDEX($AT$4:$AW$53,MATCH(B12,$AT$4:$AT$53,1),1)))*(INDEX($AT$4:$AW$53,MATCH(B12,$AT$4:$AT$53,1)+1,3)-INDEX($AT$4:$AW$53,MATCH(B12,$AT$4:$AT$53,1),3))+INDEX($AT$4:$AW$53,MATCH(B12,$AT$4:$AT$53,1),3)</f>
        <v>288.14999999999998</v>
      </c>
      <c r="G12" s="4">
        <f t="shared" si="1"/>
        <v>1.2252256827617731</v>
      </c>
      <c r="H12" s="6">
        <f t="shared" si="18"/>
        <v>0</v>
      </c>
      <c r="I12" s="13">
        <f t="shared" si="2"/>
        <v>85.065662138138904</v>
      </c>
      <c r="J12" s="13">
        <f t="shared" si="19"/>
        <v>165.35403669059994</v>
      </c>
      <c r="K12" s="13">
        <f t="shared" si="3"/>
        <v>165.35403669059994</v>
      </c>
      <c r="L12" s="13">
        <f t="shared" si="20"/>
        <v>165.35403669059963</v>
      </c>
      <c r="M12" s="13">
        <f t="shared" si="21"/>
        <v>4.5026674693976769</v>
      </c>
      <c r="N12" s="13">
        <f t="shared" si="22"/>
        <v>4.4329687499999997</v>
      </c>
      <c r="O12" s="4">
        <f t="shared" si="4"/>
        <v>1.0125</v>
      </c>
      <c r="P12" s="4">
        <f t="shared" si="5"/>
        <v>1.0444378728783388</v>
      </c>
      <c r="Q12" s="4">
        <f t="shared" si="6"/>
        <v>1.0125</v>
      </c>
      <c r="R12" s="4">
        <f t="shared" si="7"/>
        <v>1.0444378728783388</v>
      </c>
      <c r="S12" s="4">
        <f t="shared" si="8"/>
        <v>1</v>
      </c>
      <c r="T12" s="1"/>
      <c r="U12" s="1"/>
      <c r="V12" s="1">
        <v>1</v>
      </c>
      <c r="W12" s="1">
        <v>1</v>
      </c>
      <c r="Y12" s="1">
        <f t="shared" si="23"/>
        <v>26.901095958320461</v>
      </c>
      <c r="Z12" s="1">
        <f t="shared" si="24"/>
        <v>26.901095958320461</v>
      </c>
      <c r="AB12" s="130">
        <v>1</v>
      </c>
      <c r="AC12" s="128">
        <f t="shared" si="9"/>
        <v>0.53500000000000003</v>
      </c>
      <c r="AD12" s="4">
        <f t="shared" si="10"/>
        <v>1.0444378728783388</v>
      </c>
      <c r="AE12" s="4">
        <f t="shared" si="11"/>
        <v>1.7407297881305648</v>
      </c>
      <c r="AF12" s="32">
        <f t="shared" si="12"/>
        <v>0.5412499999999999</v>
      </c>
      <c r="AG12" s="4">
        <f t="shared" si="13"/>
        <v>0.97499999999999998</v>
      </c>
      <c r="AH12" s="42">
        <f t="shared" si="14"/>
        <v>1.6675</v>
      </c>
      <c r="AJ12" s="23">
        <v>4</v>
      </c>
      <c r="AK12" s="24">
        <v>0.8</v>
      </c>
      <c r="AL12" s="5">
        <f t="shared" si="15"/>
        <v>2.0799999999999999E-2</v>
      </c>
      <c r="AM12" s="5">
        <f t="shared" si="25"/>
        <v>0.1194718394324346</v>
      </c>
      <c r="AN12" s="25">
        <f t="shared" si="26"/>
        <v>-8.0000000000000002E-3</v>
      </c>
      <c r="AO12" s="30">
        <f t="shared" si="16"/>
        <v>1.4E-2</v>
      </c>
      <c r="AP12" s="5">
        <f t="shared" si="17"/>
        <v>0.18</v>
      </c>
      <c r="AQ12" s="25">
        <v>0</v>
      </c>
      <c r="AT12" s="32">
        <f t="shared" si="0"/>
        <v>6561.68</v>
      </c>
      <c r="AU12" s="17">
        <v>2000</v>
      </c>
      <c r="AV12" s="17">
        <v>275.2</v>
      </c>
      <c r="AW12" s="17">
        <v>79.5</v>
      </c>
      <c r="AX12" s="17">
        <v>0.82169999999999999</v>
      </c>
      <c r="AY12" s="17">
        <v>1.7150000000000001</v>
      </c>
      <c r="AZ12" s="17">
        <v>2.431</v>
      </c>
      <c r="BA12" s="33">
        <v>332.5</v>
      </c>
    </row>
    <row r="13" spans="1:53">
      <c r="B13" s="38">
        <v>0</v>
      </c>
      <c r="C13" s="3">
        <v>0</v>
      </c>
      <c r="D13" s="3">
        <f t="shared" si="27"/>
        <v>0.3</v>
      </c>
      <c r="E13" s="13" cm="1">
        <f t="array" ref="E13">((B13-INDEX($AT$4:$AW$53,MATCH(B13,$AT$4:$AT$53,1),1))/(INDEX($AT$4:$AW$53,MATCH(B13,$AT$4:$AT$53,1)+1,1)-INDEX($AT$4:$AW$53,MATCH(B13,$AT$4:$AT$53,1),1)))*(INDEX($AT$4:$AW$53,MATCH(B13,$AT$4:$AT$53,1)+1,4)-INDEX($AT$4:$AW$53,MATCH(B13,$AT$4:$AT$53,1),4))+INDEX($AT$4:$AW$53,MATCH(B13,$AT$4:$AT$53,1),4)</f>
        <v>101.325</v>
      </c>
      <c r="F13" s="13" cm="1">
        <f t="array" ref="F13">C13+((B13-INDEX($AT$4:$AW$53,MATCH(B13,$AT$4:$AT$53,1),1))/(INDEX($AT$4:$AW$53,MATCH(B13,$AT$4:$AT$53,1)+1,1)-INDEX($AT$4:$AW$53,MATCH(B13,$AT$4:$AT$53,1),1)))*(INDEX($AT$4:$AW$53,MATCH(B13,$AT$4:$AT$53,1)+1,3)-INDEX($AT$4:$AW$53,MATCH(B13,$AT$4:$AT$53,1),3))+INDEX($AT$4:$AW$53,MATCH(B13,$AT$4:$AT$53,1),3)</f>
        <v>288.14999999999998</v>
      </c>
      <c r="G13" s="4">
        <f t="shared" si="1"/>
        <v>1.2252256827617731</v>
      </c>
      <c r="H13" s="6">
        <f t="shared" si="18"/>
        <v>0</v>
      </c>
      <c r="I13" s="13">
        <f t="shared" si="2"/>
        <v>102.07879456576669</v>
      </c>
      <c r="J13" s="13">
        <f t="shared" si="19"/>
        <v>198.42484402871992</v>
      </c>
      <c r="K13" s="13">
        <f t="shared" si="3"/>
        <v>198.42484402871992</v>
      </c>
      <c r="L13" s="13">
        <f t="shared" si="20"/>
        <v>198.42484402872003</v>
      </c>
      <c r="M13" s="13">
        <f t="shared" si="21"/>
        <v>6.5283987444464655</v>
      </c>
      <c r="N13" s="13">
        <f t="shared" si="22"/>
        <v>6.3834749999999998</v>
      </c>
      <c r="O13" s="4">
        <f t="shared" si="4"/>
        <v>1.018</v>
      </c>
      <c r="P13" s="4">
        <f t="shared" si="5"/>
        <v>1.0644302861529382</v>
      </c>
      <c r="Q13" s="4">
        <f t="shared" si="6"/>
        <v>1.018</v>
      </c>
      <c r="R13" s="4">
        <f t="shared" si="7"/>
        <v>1.0644302861529382</v>
      </c>
      <c r="S13" s="4">
        <f t="shared" si="8"/>
        <v>1</v>
      </c>
      <c r="T13" s="1"/>
      <c r="U13" s="1"/>
      <c r="V13" s="1">
        <v>1</v>
      </c>
      <c r="W13" s="1">
        <v>1</v>
      </c>
      <c r="Y13" s="1">
        <f t="shared" si="23"/>
        <v>34.072301237221794</v>
      </c>
      <c r="Z13" s="1">
        <f t="shared" si="24"/>
        <v>34.072301237221794</v>
      </c>
      <c r="AB13" s="130">
        <v>1</v>
      </c>
      <c r="AC13" s="128">
        <f t="shared" si="9"/>
        <v>0.53165942097463836</v>
      </c>
      <c r="AD13" s="4">
        <f t="shared" si="10"/>
        <v>1.0644302861529382</v>
      </c>
      <c r="AE13" s="4">
        <f t="shared" si="11"/>
        <v>1.7740504769215637</v>
      </c>
      <c r="AF13" s="32">
        <f t="shared" si="12"/>
        <v>0.56824999999999992</v>
      </c>
      <c r="AG13" s="4">
        <f t="shared" si="13"/>
        <v>0.99</v>
      </c>
      <c r="AH13" s="42">
        <f t="shared" si="14"/>
        <v>1.681</v>
      </c>
      <c r="AJ13" s="23">
        <v>4</v>
      </c>
      <c r="AK13" s="24">
        <v>0.8</v>
      </c>
      <c r="AL13" s="5">
        <f t="shared" si="15"/>
        <v>2.0799999999999999E-2</v>
      </c>
      <c r="AM13" s="5">
        <f t="shared" si="25"/>
        <v>0.1194718394324346</v>
      </c>
      <c r="AN13" s="25">
        <f t="shared" si="26"/>
        <v>-8.0000000000000002E-3</v>
      </c>
      <c r="AO13" s="30">
        <f t="shared" si="16"/>
        <v>1.4E-2</v>
      </c>
      <c r="AP13" s="5">
        <f t="shared" si="17"/>
        <v>0.18</v>
      </c>
      <c r="AQ13" s="25">
        <v>0</v>
      </c>
      <c r="AT13" s="32">
        <f t="shared" si="0"/>
        <v>8202.1</v>
      </c>
      <c r="AU13" s="17">
        <v>2500</v>
      </c>
      <c r="AV13" s="17">
        <v>271.89999999999998</v>
      </c>
      <c r="AW13" s="17">
        <v>74.69</v>
      </c>
      <c r="AX13" s="17">
        <v>0.78120000000000001</v>
      </c>
      <c r="AY13" s="17">
        <v>1.7869999999999999</v>
      </c>
      <c r="AZ13" s="17">
        <v>2.4049999999999998</v>
      </c>
      <c r="BA13" s="33">
        <v>330.6</v>
      </c>
    </row>
    <row r="14" spans="1:53">
      <c r="B14" s="38">
        <v>0</v>
      </c>
      <c r="C14" s="3">
        <v>0</v>
      </c>
      <c r="D14" s="3">
        <f t="shared" si="27"/>
        <v>0.35</v>
      </c>
      <c r="E14" s="13" cm="1">
        <f t="array" ref="E14">((B14-INDEX($AT$4:$AW$53,MATCH(B14,$AT$4:$AT$53,1),1))/(INDEX($AT$4:$AW$53,MATCH(B14,$AT$4:$AT$53,1)+1,1)-INDEX($AT$4:$AW$53,MATCH(B14,$AT$4:$AT$53,1),1)))*(INDEX($AT$4:$AW$53,MATCH(B14,$AT$4:$AT$53,1)+1,4)-INDEX($AT$4:$AW$53,MATCH(B14,$AT$4:$AT$53,1),4))+INDEX($AT$4:$AW$53,MATCH(B14,$AT$4:$AT$53,1),4)</f>
        <v>101.325</v>
      </c>
      <c r="F14" s="13" cm="1">
        <f t="array" ref="F14">C14+((B14-INDEX($AT$4:$AW$53,MATCH(B14,$AT$4:$AT$53,1),1))/(INDEX($AT$4:$AW$53,MATCH(B14,$AT$4:$AT$53,1)+1,1)-INDEX($AT$4:$AW$53,MATCH(B14,$AT$4:$AT$53,1),1)))*(INDEX($AT$4:$AW$53,MATCH(B14,$AT$4:$AT$53,1)+1,3)-INDEX($AT$4:$AW$53,MATCH(B14,$AT$4:$AT$53,1),3))+INDEX($AT$4:$AW$53,MATCH(B14,$AT$4:$AT$53,1),3)</f>
        <v>288.14999999999998</v>
      </c>
      <c r="G14" s="4">
        <f t="shared" si="1"/>
        <v>1.2252256827617731</v>
      </c>
      <c r="H14" s="6">
        <f t="shared" si="18"/>
        <v>0</v>
      </c>
      <c r="I14" s="13">
        <f t="shared" si="2"/>
        <v>119.09192699339445</v>
      </c>
      <c r="J14" s="13">
        <f t="shared" si="19"/>
        <v>231.49565136683987</v>
      </c>
      <c r="K14" s="13">
        <f t="shared" si="3"/>
        <v>231.49565136683987</v>
      </c>
      <c r="L14" s="13">
        <f t="shared" si="20"/>
        <v>231.49565136683972</v>
      </c>
      <c r="M14" s="13">
        <f t="shared" si="21"/>
        <v>8.9579772470312964</v>
      </c>
      <c r="N14" s="13">
        <f t="shared" si="22"/>
        <v>8.6886187499999981</v>
      </c>
      <c r="O14" s="4">
        <f t="shared" si="4"/>
        <v>1.0245</v>
      </c>
      <c r="P14" s="4">
        <f t="shared" si="5"/>
        <v>1.0884083616780784</v>
      </c>
      <c r="Q14" s="4">
        <f t="shared" si="6"/>
        <v>1.0245</v>
      </c>
      <c r="R14" s="4">
        <f t="shared" si="7"/>
        <v>1.0884083616780784</v>
      </c>
      <c r="S14" s="4">
        <f t="shared" si="8"/>
        <v>1</v>
      </c>
      <c r="T14" s="1"/>
      <c r="U14" s="1"/>
      <c r="V14" s="1">
        <v>1</v>
      </c>
      <c r="W14" s="1">
        <v>1</v>
      </c>
      <c r="Y14" s="1">
        <f t="shared" si="23"/>
        <v>40.605695666479264</v>
      </c>
      <c r="Z14" s="1">
        <f t="shared" si="24"/>
        <v>40.605695666479264</v>
      </c>
      <c r="AB14" s="130">
        <v>1</v>
      </c>
      <c r="AC14" s="128">
        <f t="shared" si="9"/>
        <v>0.52858744151830273</v>
      </c>
      <c r="AD14" s="4">
        <f t="shared" si="10"/>
        <v>1.0884083616780784</v>
      </c>
      <c r="AE14" s="4">
        <f t="shared" si="11"/>
        <v>1.8140139361301308</v>
      </c>
      <c r="AF14" s="32">
        <f t="shared" si="12"/>
        <v>0.59524999999999995</v>
      </c>
      <c r="AG14" s="4">
        <f t="shared" si="13"/>
        <v>1.0050000000000001</v>
      </c>
      <c r="AH14" s="42">
        <f t="shared" si="14"/>
        <v>1.6945000000000001</v>
      </c>
      <c r="AJ14" s="23">
        <v>4</v>
      </c>
      <c r="AK14" s="24">
        <v>0.8</v>
      </c>
      <c r="AL14" s="5">
        <f t="shared" si="15"/>
        <v>2.0799999999999999E-2</v>
      </c>
      <c r="AM14" s="5">
        <f t="shared" si="25"/>
        <v>0.1194718394324346</v>
      </c>
      <c r="AN14" s="25">
        <f t="shared" si="26"/>
        <v>-8.0000000000000002E-3</v>
      </c>
      <c r="AO14" s="30">
        <f t="shared" si="16"/>
        <v>1.4E-2</v>
      </c>
      <c r="AP14" s="5">
        <f t="shared" si="17"/>
        <v>0.18</v>
      </c>
      <c r="AQ14" s="25">
        <v>0</v>
      </c>
      <c r="AT14" s="32">
        <f t="shared" si="0"/>
        <v>9842.52</v>
      </c>
      <c r="AU14" s="17">
        <v>3000</v>
      </c>
      <c r="AV14" s="17">
        <v>268.7</v>
      </c>
      <c r="AW14" s="17">
        <v>70.12</v>
      </c>
      <c r="AX14" s="17">
        <v>0.74229999999999996</v>
      </c>
      <c r="AY14" s="17">
        <v>1.863</v>
      </c>
      <c r="AZ14" s="17">
        <v>2.379</v>
      </c>
      <c r="BA14" s="33">
        <v>328.6</v>
      </c>
    </row>
    <row r="15" spans="1:53">
      <c r="B15" s="38">
        <v>0</v>
      </c>
      <c r="C15" s="3">
        <v>0</v>
      </c>
      <c r="D15" s="3">
        <f t="shared" si="27"/>
        <v>0.39999999999999997</v>
      </c>
      <c r="E15" s="13" cm="1">
        <f t="array" ref="E15">((B15-INDEX($AT$4:$AW$53,MATCH(B15,$AT$4:$AT$53,1),1))/(INDEX($AT$4:$AW$53,MATCH(B15,$AT$4:$AT$53,1)+1,1)-INDEX($AT$4:$AW$53,MATCH(B15,$AT$4:$AT$53,1),1)))*(INDEX($AT$4:$AW$53,MATCH(B15,$AT$4:$AT$53,1)+1,4)-INDEX($AT$4:$AW$53,MATCH(B15,$AT$4:$AT$53,1),4))+INDEX($AT$4:$AW$53,MATCH(B15,$AT$4:$AT$53,1),4)</f>
        <v>101.325</v>
      </c>
      <c r="F15" s="13" cm="1">
        <f t="array" ref="F15">C15+((B15-INDEX($AT$4:$AW$53,MATCH(B15,$AT$4:$AT$53,1),1))/(INDEX($AT$4:$AW$53,MATCH(B15,$AT$4:$AT$53,1)+1,1)-INDEX($AT$4:$AW$53,MATCH(B15,$AT$4:$AT$53,1),1)))*(INDEX($AT$4:$AW$53,MATCH(B15,$AT$4:$AT$53,1)+1,3)-INDEX($AT$4:$AW$53,MATCH(B15,$AT$4:$AT$53,1),3))+INDEX($AT$4:$AW$53,MATCH(B15,$AT$4:$AT$53,1),3)</f>
        <v>288.14999999999998</v>
      </c>
      <c r="G15" s="4">
        <f t="shared" si="1"/>
        <v>1.2252256827617731</v>
      </c>
      <c r="H15" s="6">
        <f t="shared" si="18"/>
        <v>0</v>
      </c>
      <c r="I15" s="13">
        <f t="shared" si="2"/>
        <v>136.10505942102225</v>
      </c>
      <c r="J15" s="13">
        <f t="shared" si="19"/>
        <v>264.56645870495987</v>
      </c>
      <c r="K15" s="13">
        <f t="shared" si="3"/>
        <v>264.56645870495987</v>
      </c>
      <c r="L15" s="13">
        <f t="shared" si="20"/>
        <v>264.56645870495998</v>
      </c>
      <c r="M15" s="13">
        <f t="shared" si="21"/>
        <v>11.809627935673259</v>
      </c>
      <c r="N15" s="13">
        <f t="shared" si="22"/>
        <v>11.3484</v>
      </c>
      <c r="O15" s="4">
        <f t="shared" si="4"/>
        <v>1.032</v>
      </c>
      <c r="P15" s="4">
        <f t="shared" si="5"/>
        <v>1.1165519658097534</v>
      </c>
      <c r="Q15" s="4">
        <f t="shared" si="6"/>
        <v>1.032</v>
      </c>
      <c r="R15" s="4">
        <f t="shared" si="7"/>
        <v>1.1165519658097534</v>
      </c>
      <c r="S15" s="4">
        <f t="shared" si="8"/>
        <v>1</v>
      </c>
      <c r="T15" s="1"/>
      <c r="U15" s="1"/>
      <c r="V15" s="1">
        <v>1</v>
      </c>
      <c r="W15" s="1">
        <v>1</v>
      </c>
      <c r="Y15" s="1">
        <f t="shared" si="23"/>
        <v>46.579084214419318</v>
      </c>
      <c r="Z15" s="1">
        <f t="shared" si="24"/>
        <v>46.579084214419318</v>
      </c>
      <c r="AB15" s="130">
        <v>1</v>
      </c>
      <c r="AC15" s="128">
        <f t="shared" si="9"/>
        <v>0.52572811275764275</v>
      </c>
      <c r="AD15" s="4">
        <f t="shared" si="10"/>
        <v>1.1165519658097534</v>
      </c>
      <c r="AE15" s="4">
        <f t="shared" si="11"/>
        <v>1.8609199430162557</v>
      </c>
      <c r="AF15" s="32">
        <f t="shared" si="12"/>
        <v>0.62224999999999997</v>
      </c>
      <c r="AG15" s="4">
        <f t="shared" si="13"/>
        <v>1.02</v>
      </c>
      <c r="AH15" s="42">
        <f t="shared" si="14"/>
        <v>1.7080000000000002</v>
      </c>
      <c r="AJ15" s="23">
        <v>4</v>
      </c>
      <c r="AK15" s="24">
        <v>0.8</v>
      </c>
      <c r="AL15" s="5">
        <f t="shared" si="15"/>
        <v>2.0799999999999999E-2</v>
      </c>
      <c r="AM15" s="5">
        <f t="shared" si="25"/>
        <v>0.1194718394324346</v>
      </c>
      <c r="AN15" s="25">
        <f t="shared" si="26"/>
        <v>-8.0000000000000002E-3</v>
      </c>
      <c r="AO15" s="30">
        <f t="shared" si="16"/>
        <v>1.4E-2</v>
      </c>
      <c r="AP15" s="5">
        <f t="shared" si="17"/>
        <v>0.18</v>
      </c>
      <c r="AQ15" s="25">
        <v>0</v>
      </c>
      <c r="AT15" s="32">
        <f t="shared" si="0"/>
        <v>11482.94</v>
      </c>
      <c r="AU15" s="17">
        <v>3500</v>
      </c>
      <c r="AV15" s="17">
        <v>265.39999999999998</v>
      </c>
      <c r="AW15" s="17">
        <v>65.78</v>
      </c>
      <c r="AX15" s="17">
        <v>0.70479999999999998</v>
      </c>
      <c r="AY15" s="17">
        <v>1.9430000000000001</v>
      </c>
      <c r="AZ15" s="17">
        <v>2.3530000000000002</v>
      </c>
      <c r="BA15" s="33">
        <v>326.60000000000002</v>
      </c>
    </row>
    <row r="16" spans="1:53">
      <c r="B16" s="38">
        <v>0</v>
      </c>
      <c r="C16" s="3">
        <v>0</v>
      </c>
      <c r="D16" s="3">
        <f t="shared" si="27"/>
        <v>0.44999999999999996</v>
      </c>
      <c r="E16" s="13" cm="1">
        <f t="array" ref="E16">((B16-INDEX($AT$4:$AW$53,MATCH(B16,$AT$4:$AT$53,1),1))/(INDEX($AT$4:$AW$53,MATCH(B16,$AT$4:$AT$53,1)+1,1)-INDEX($AT$4:$AW$53,MATCH(B16,$AT$4:$AT$53,1),1)))*(INDEX($AT$4:$AW$53,MATCH(B16,$AT$4:$AT$53,1)+1,4)-INDEX($AT$4:$AW$53,MATCH(B16,$AT$4:$AT$53,1),4))+INDEX($AT$4:$AW$53,MATCH(B16,$AT$4:$AT$53,1),4)</f>
        <v>101.325</v>
      </c>
      <c r="F16" s="13" cm="1">
        <f t="array" ref="F16">C16+((B16-INDEX($AT$4:$AW$53,MATCH(B16,$AT$4:$AT$53,1),1))/(INDEX($AT$4:$AW$53,MATCH(B16,$AT$4:$AT$53,1)+1,1)-INDEX($AT$4:$AW$53,MATCH(B16,$AT$4:$AT$53,1),1)))*(INDEX($AT$4:$AW$53,MATCH(B16,$AT$4:$AT$53,1)+1,3)-INDEX($AT$4:$AW$53,MATCH(B16,$AT$4:$AT$53,1),3))+INDEX($AT$4:$AW$53,MATCH(B16,$AT$4:$AT$53,1),3)</f>
        <v>288.14999999999998</v>
      </c>
      <c r="G16" s="4">
        <f t="shared" si="1"/>
        <v>1.2252256827617731</v>
      </c>
      <c r="H16" s="6">
        <f t="shared" si="18"/>
        <v>0</v>
      </c>
      <c r="I16" s="13">
        <f t="shared" si="2"/>
        <v>153.11819184865001</v>
      </c>
      <c r="J16" s="13">
        <f t="shared" si="19"/>
        <v>297.63726604307982</v>
      </c>
      <c r="K16" s="13">
        <f t="shared" si="3"/>
        <v>297.63726604307982</v>
      </c>
      <c r="L16" s="13">
        <f t="shared" si="20"/>
        <v>297.63726604307976</v>
      </c>
      <c r="M16" s="13">
        <f t="shared" si="21"/>
        <v>15.104734824675766</v>
      </c>
      <c r="N16" s="13">
        <f t="shared" si="22"/>
        <v>14.362818749999997</v>
      </c>
      <c r="O16" s="4">
        <f t="shared" si="4"/>
        <v>1.0405</v>
      </c>
      <c r="P16" s="4">
        <f t="shared" si="5"/>
        <v>1.1490721423604813</v>
      </c>
      <c r="Q16" s="4">
        <f t="shared" si="6"/>
        <v>1.0405</v>
      </c>
      <c r="R16" s="4">
        <f t="shared" si="7"/>
        <v>1.1490721423604813</v>
      </c>
      <c r="S16" s="4">
        <f t="shared" si="8"/>
        <v>1</v>
      </c>
      <c r="T16" s="1"/>
      <c r="U16" s="1"/>
      <c r="V16" s="1">
        <v>1</v>
      </c>
      <c r="W16" s="1">
        <v>1</v>
      </c>
      <c r="Y16" s="1">
        <f t="shared" si="23"/>
        <v>52.024788504807631</v>
      </c>
      <c r="Z16" s="1">
        <f t="shared" si="24"/>
        <v>52.024788504807631</v>
      </c>
      <c r="AB16" s="130">
        <v>1</v>
      </c>
      <c r="AC16" s="128">
        <f t="shared" si="9"/>
        <v>0.52304257247250441</v>
      </c>
      <c r="AD16" s="4">
        <f t="shared" si="10"/>
        <v>1.1490721423604813</v>
      </c>
      <c r="AE16" s="4">
        <f t="shared" si="11"/>
        <v>1.9151202372674689</v>
      </c>
      <c r="AF16" s="32">
        <f t="shared" si="12"/>
        <v>0.64924999999999999</v>
      </c>
      <c r="AG16" s="4">
        <f t="shared" si="13"/>
        <v>1.0349999999999999</v>
      </c>
      <c r="AH16" s="42">
        <f t="shared" si="14"/>
        <v>1.7215</v>
      </c>
      <c r="AJ16" s="23">
        <v>4</v>
      </c>
      <c r="AK16" s="24">
        <v>0.8</v>
      </c>
      <c r="AL16" s="5">
        <f t="shared" si="15"/>
        <v>2.0799999999999999E-2</v>
      </c>
      <c r="AM16" s="5">
        <f t="shared" si="25"/>
        <v>0.1194718394324346</v>
      </c>
      <c r="AN16" s="25">
        <f t="shared" si="26"/>
        <v>-8.0000000000000002E-3</v>
      </c>
      <c r="AO16" s="30">
        <f t="shared" si="16"/>
        <v>1.4E-2</v>
      </c>
      <c r="AP16" s="5">
        <f t="shared" si="17"/>
        <v>0.18</v>
      </c>
      <c r="AQ16" s="25">
        <v>0</v>
      </c>
      <c r="AT16" s="32">
        <f t="shared" si="0"/>
        <v>13123.36</v>
      </c>
      <c r="AU16" s="17">
        <v>4000</v>
      </c>
      <c r="AV16" s="17">
        <v>262.2</v>
      </c>
      <c r="AW16" s="17">
        <v>61.66</v>
      </c>
      <c r="AX16" s="17">
        <v>0.66890000000000005</v>
      </c>
      <c r="AY16" s="17">
        <v>2.028</v>
      </c>
      <c r="AZ16" s="17">
        <v>2.327</v>
      </c>
      <c r="BA16" s="33">
        <v>324.60000000000002</v>
      </c>
    </row>
    <row r="17" spans="2:53">
      <c r="B17" s="38">
        <v>0</v>
      </c>
      <c r="C17" s="3">
        <v>0</v>
      </c>
      <c r="D17" s="3">
        <f t="shared" si="27"/>
        <v>0.49999999999999994</v>
      </c>
      <c r="E17" s="13" cm="1">
        <f t="array" ref="E17">((B17-INDEX($AT$4:$AW$53,MATCH(B17,$AT$4:$AT$53,1),1))/(INDEX($AT$4:$AW$53,MATCH(B17,$AT$4:$AT$53,1)+1,1)-INDEX($AT$4:$AW$53,MATCH(B17,$AT$4:$AT$53,1),1)))*(INDEX($AT$4:$AW$53,MATCH(B17,$AT$4:$AT$53,1)+1,4)-INDEX($AT$4:$AW$53,MATCH(B17,$AT$4:$AT$53,1),4))+INDEX($AT$4:$AW$53,MATCH(B17,$AT$4:$AT$53,1),4)</f>
        <v>101.325</v>
      </c>
      <c r="F17" s="13" cm="1">
        <f t="array" ref="F17">C17+((B17-INDEX($AT$4:$AW$53,MATCH(B17,$AT$4:$AT$53,1),1))/(INDEX($AT$4:$AW$53,MATCH(B17,$AT$4:$AT$53,1)+1,1)-INDEX($AT$4:$AW$53,MATCH(B17,$AT$4:$AT$53,1),1)))*(INDEX($AT$4:$AW$53,MATCH(B17,$AT$4:$AT$53,1)+1,3)-INDEX($AT$4:$AW$53,MATCH(B17,$AT$4:$AT$53,1),3))+INDEX($AT$4:$AW$53,MATCH(B17,$AT$4:$AT$53,1),3)</f>
        <v>288.14999999999998</v>
      </c>
      <c r="G17" s="4">
        <f t="shared" si="1"/>
        <v>1.2252256827617731</v>
      </c>
      <c r="H17" s="6">
        <f t="shared" si="18"/>
        <v>0</v>
      </c>
      <c r="I17" s="13">
        <f t="shared" si="2"/>
        <v>170.13132427627778</v>
      </c>
      <c r="J17" s="13">
        <f t="shared" si="19"/>
        <v>330.70807338119982</v>
      </c>
      <c r="K17" s="13">
        <f t="shared" si="3"/>
        <v>330.70807338119982</v>
      </c>
      <c r="L17" s="13">
        <f t="shared" si="20"/>
        <v>330.70807338120005</v>
      </c>
      <c r="M17" s="13">
        <f t="shared" si="21"/>
        <v>18.867995549848654</v>
      </c>
      <c r="N17" s="13">
        <f t="shared" si="22"/>
        <v>17.731874999999992</v>
      </c>
      <c r="O17" s="4">
        <f t="shared" si="4"/>
        <v>1.05</v>
      </c>
      <c r="P17" s="4">
        <f t="shared" si="5"/>
        <v>1.1862126380443982</v>
      </c>
      <c r="Q17" s="4">
        <f t="shared" si="6"/>
        <v>1.05</v>
      </c>
      <c r="R17" s="4">
        <f t="shared" si="7"/>
        <v>1.1862126380443982</v>
      </c>
      <c r="S17" s="4">
        <f t="shared" si="8"/>
        <v>1</v>
      </c>
      <c r="T17" s="1"/>
      <c r="U17" s="1"/>
      <c r="V17" s="1">
        <v>1</v>
      </c>
      <c r="W17" s="1">
        <v>1</v>
      </c>
      <c r="Y17" s="1">
        <f t="shared" si="23"/>
        <v>56.956955991181175</v>
      </c>
      <c r="Z17" s="1">
        <f t="shared" si="24"/>
        <v>56.956955991181175</v>
      </c>
      <c r="AB17" s="130">
        <v>1</v>
      </c>
      <c r="AC17" s="128">
        <f t="shared" si="9"/>
        <v>0.52050252531694174</v>
      </c>
      <c r="AD17" s="4">
        <f t="shared" si="10"/>
        <v>1.1862126380443982</v>
      </c>
      <c r="AE17" s="4">
        <f t="shared" si="11"/>
        <v>1.9770210634073304</v>
      </c>
      <c r="AF17" s="32">
        <f t="shared" si="12"/>
        <v>0.67624999999999991</v>
      </c>
      <c r="AG17" s="4">
        <f t="shared" si="13"/>
        <v>1.05</v>
      </c>
      <c r="AH17" s="42">
        <f t="shared" si="14"/>
        <v>1.7350000000000001</v>
      </c>
      <c r="AJ17" s="23">
        <v>4</v>
      </c>
      <c r="AK17" s="24">
        <v>0.8</v>
      </c>
      <c r="AL17" s="5">
        <f t="shared" si="15"/>
        <v>2.0799999999999999E-2</v>
      </c>
      <c r="AM17" s="5">
        <f t="shared" si="25"/>
        <v>0.1194718394324346</v>
      </c>
      <c r="AN17" s="25">
        <f t="shared" si="26"/>
        <v>-8.0000000000000002E-3</v>
      </c>
      <c r="AO17" s="30">
        <f t="shared" si="16"/>
        <v>1.4E-2</v>
      </c>
      <c r="AP17" s="5">
        <f t="shared" si="17"/>
        <v>0.18</v>
      </c>
      <c r="AQ17" s="25">
        <v>0</v>
      </c>
      <c r="AT17" s="32">
        <f t="shared" si="0"/>
        <v>14763.78</v>
      </c>
      <c r="AU17" s="17">
        <v>4500</v>
      </c>
      <c r="AV17" s="17">
        <v>258.89999999999998</v>
      </c>
      <c r="AW17" s="17">
        <v>57.75</v>
      </c>
      <c r="AX17" s="17">
        <v>0.63429999999999997</v>
      </c>
      <c r="AY17" s="17">
        <v>2.117</v>
      </c>
      <c r="AZ17" s="17">
        <v>2.3010000000000002</v>
      </c>
      <c r="BA17" s="33">
        <v>322.60000000000002</v>
      </c>
    </row>
    <row r="18" spans="2:53">
      <c r="B18" s="38">
        <v>0</v>
      </c>
      <c r="C18" s="3">
        <v>0</v>
      </c>
      <c r="D18" s="3">
        <f t="shared" si="27"/>
        <v>0.54999999999999993</v>
      </c>
      <c r="E18" s="13" cm="1">
        <f t="array" ref="E18">((B18-INDEX($AT$4:$AW$53,MATCH(B18,$AT$4:$AT$53,1),1))/(INDEX($AT$4:$AW$53,MATCH(B18,$AT$4:$AT$53,1)+1,1)-INDEX($AT$4:$AW$53,MATCH(B18,$AT$4:$AT$53,1),1)))*(INDEX($AT$4:$AW$53,MATCH(B18,$AT$4:$AT$53,1)+1,4)-INDEX($AT$4:$AW$53,MATCH(B18,$AT$4:$AT$53,1),4))+INDEX($AT$4:$AW$53,MATCH(B18,$AT$4:$AT$53,1),4)</f>
        <v>101.325</v>
      </c>
      <c r="F18" s="13" cm="1">
        <f t="array" ref="F18">C18+((B18-INDEX($AT$4:$AW$53,MATCH(B18,$AT$4:$AT$53,1),1))/(INDEX($AT$4:$AW$53,MATCH(B18,$AT$4:$AT$53,1)+1,1)-INDEX($AT$4:$AW$53,MATCH(B18,$AT$4:$AT$53,1),1)))*(INDEX($AT$4:$AW$53,MATCH(B18,$AT$4:$AT$53,1)+1,3)-INDEX($AT$4:$AW$53,MATCH(B18,$AT$4:$AT$53,1),3))+INDEX($AT$4:$AW$53,MATCH(B18,$AT$4:$AT$53,1),3)</f>
        <v>288.14999999999998</v>
      </c>
      <c r="G18" s="4">
        <f t="shared" si="1"/>
        <v>1.2252256827617731</v>
      </c>
      <c r="H18" s="6">
        <f t="shared" si="18"/>
        <v>0</v>
      </c>
      <c r="I18" s="13">
        <f t="shared" si="2"/>
        <v>187.14445670390558</v>
      </c>
      <c r="J18" s="13">
        <f t="shared" si="19"/>
        <v>363.77888071931983</v>
      </c>
      <c r="K18" s="13">
        <f t="shared" si="3"/>
        <v>363.77888071931983</v>
      </c>
      <c r="L18" s="13">
        <f t="shared" si="20"/>
        <v>363.77888071931989</v>
      </c>
      <c r="M18" s="13">
        <f t="shared" si="21"/>
        <v>23.127598080149049</v>
      </c>
      <c r="N18" s="13">
        <f t="shared" si="22"/>
        <v>21.455568749999994</v>
      </c>
      <c r="O18" s="4">
        <f t="shared" si="4"/>
        <v>1.0605</v>
      </c>
      <c r="P18" s="4">
        <f t="shared" si="5"/>
        <v>1.2282516464855568</v>
      </c>
      <c r="Q18" s="4">
        <f t="shared" si="6"/>
        <v>1.0605</v>
      </c>
      <c r="R18" s="4">
        <f t="shared" si="7"/>
        <v>1.2282516464855568</v>
      </c>
      <c r="S18" s="4">
        <f t="shared" si="8"/>
        <v>1</v>
      </c>
      <c r="T18" s="1"/>
      <c r="U18" s="1"/>
      <c r="V18" s="1">
        <v>1</v>
      </c>
      <c r="W18" s="1">
        <v>1</v>
      </c>
      <c r="Y18" s="1">
        <f t="shared" si="23"/>
        <v>61.384687135916828</v>
      </c>
      <c r="Z18" s="1">
        <f t="shared" si="24"/>
        <v>61.384687135916828</v>
      </c>
      <c r="AB18" s="130">
        <v>1</v>
      </c>
      <c r="AC18" s="128">
        <f t="shared" si="9"/>
        <v>0.51808661059033034</v>
      </c>
      <c r="AD18" s="4">
        <f t="shared" si="10"/>
        <v>1.2282516464855568</v>
      </c>
      <c r="AE18" s="4">
        <f t="shared" si="11"/>
        <v>2.0470860774759281</v>
      </c>
      <c r="AF18" s="32">
        <f t="shared" si="12"/>
        <v>0.70324999999999993</v>
      </c>
      <c r="AG18" s="4">
        <f t="shared" si="13"/>
        <v>1.0649999999999999</v>
      </c>
      <c r="AH18" s="42">
        <f t="shared" si="14"/>
        <v>1.7485000000000002</v>
      </c>
      <c r="AJ18" s="23">
        <v>4</v>
      </c>
      <c r="AK18" s="24">
        <v>0.8</v>
      </c>
      <c r="AL18" s="5">
        <f t="shared" si="15"/>
        <v>2.0799999999999999E-2</v>
      </c>
      <c r="AM18" s="5">
        <f t="shared" si="25"/>
        <v>0.1194718394324346</v>
      </c>
      <c r="AN18" s="25">
        <f t="shared" si="26"/>
        <v>-8.0000000000000002E-3</v>
      </c>
      <c r="AO18" s="30">
        <f t="shared" si="16"/>
        <v>1.4E-2</v>
      </c>
      <c r="AP18" s="5">
        <f t="shared" si="17"/>
        <v>0.18</v>
      </c>
      <c r="AQ18" s="25">
        <v>0</v>
      </c>
      <c r="AT18" s="32">
        <f t="shared" si="0"/>
        <v>16404.2</v>
      </c>
      <c r="AU18" s="17">
        <v>5000</v>
      </c>
      <c r="AV18" s="17">
        <v>255.7</v>
      </c>
      <c r="AW18" s="17">
        <v>54.05</v>
      </c>
      <c r="AX18" s="17">
        <v>0.60119999999999996</v>
      </c>
      <c r="AY18" s="17">
        <v>2.2109999999999999</v>
      </c>
      <c r="AZ18" s="17">
        <v>2.2749999999999999</v>
      </c>
      <c r="BA18" s="33">
        <v>320.5</v>
      </c>
    </row>
    <row r="19" spans="2:53">
      <c r="B19" s="38">
        <v>0</v>
      </c>
      <c r="C19" s="3">
        <v>0</v>
      </c>
      <c r="D19" s="3">
        <f t="shared" si="27"/>
        <v>0.6</v>
      </c>
      <c r="E19" s="13" cm="1">
        <f t="array" ref="E19">((B19-INDEX($AT$4:$AW$53,MATCH(B19,$AT$4:$AT$53,1),1))/(INDEX($AT$4:$AW$53,MATCH(B19,$AT$4:$AT$53,1)+1,1)-INDEX($AT$4:$AW$53,MATCH(B19,$AT$4:$AT$53,1),1)))*(INDEX($AT$4:$AW$53,MATCH(B19,$AT$4:$AT$53,1)+1,4)-INDEX($AT$4:$AW$53,MATCH(B19,$AT$4:$AT$53,1),4))+INDEX($AT$4:$AW$53,MATCH(B19,$AT$4:$AT$53,1),4)</f>
        <v>101.325</v>
      </c>
      <c r="F19" s="13" cm="1">
        <f t="array" ref="F19">C19+((B19-INDEX($AT$4:$AW$53,MATCH(B19,$AT$4:$AT$53,1),1))/(INDEX($AT$4:$AW$53,MATCH(B19,$AT$4:$AT$53,1)+1,1)-INDEX($AT$4:$AW$53,MATCH(B19,$AT$4:$AT$53,1),1)))*(INDEX($AT$4:$AW$53,MATCH(B19,$AT$4:$AT$53,1)+1,3)-INDEX($AT$4:$AW$53,MATCH(B19,$AT$4:$AT$53,1),3))+INDEX($AT$4:$AW$53,MATCH(B19,$AT$4:$AT$53,1),3)</f>
        <v>288.14999999999998</v>
      </c>
      <c r="G19" s="4">
        <f t="shared" si="1"/>
        <v>1.2252256827617731</v>
      </c>
      <c r="H19" s="6">
        <f t="shared" si="18"/>
        <v>0</v>
      </c>
      <c r="I19" s="13">
        <f t="shared" si="2"/>
        <v>204.15758913153337</v>
      </c>
      <c r="J19" s="13">
        <f t="shared" si="19"/>
        <v>396.84968805743983</v>
      </c>
      <c r="K19" s="13">
        <f t="shared" si="3"/>
        <v>396.84968805743983</v>
      </c>
      <c r="L19" s="13">
        <f t="shared" si="20"/>
        <v>396.84968805744006</v>
      </c>
      <c r="M19" s="13">
        <f t="shared" si="21"/>
        <v>27.915420137720865</v>
      </c>
      <c r="N19" s="13">
        <f t="shared" si="22"/>
        <v>25.533899999999999</v>
      </c>
      <c r="O19" s="4">
        <f t="shared" si="4"/>
        <v>1.0720000000000001</v>
      </c>
      <c r="P19" s="4">
        <f t="shared" si="5"/>
        <v>1.2755037763406945</v>
      </c>
      <c r="Q19" s="4">
        <f t="shared" si="6"/>
        <v>1.0720000000000001</v>
      </c>
      <c r="R19" s="4">
        <f t="shared" si="7"/>
        <v>1.2755037763406945</v>
      </c>
      <c r="S19" s="4">
        <f t="shared" si="8"/>
        <v>1</v>
      </c>
      <c r="T19" s="1"/>
      <c r="U19" s="1"/>
      <c r="V19" s="1">
        <v>1</v>
      </c>
      <c r="W19" s="1">
        <v>1</v>
      </c>
      <c r="Y19" s="1">
        <f t="shared" si="23"/>
        <v>65.319310167232643</v>
      </c>
      <c r="Z19" s="1">
        <f t="shared" si="24"/>
        <v>65.319310167232643</v>
      </c>
      <c r="AB19" s="130">
        <v>1</v>
      </c>
      <c r="AC19" s="128">
        <f t="shared" si="9"/>
        <v>0.51577823315309623</v>
      </c>
      <c r="AD19" s="4">
        <f t="shared" si="10"/>
        <v>1.2755037763406945</v>
      </c>
      <c r="AE19" s="4">
        <f t="shared" si="11"/>
        <v>2.125839627234491</v>
      </c>
      <c r="AF19" s="32">
        <f t="shared" si="12"/>
        <v>0.73024999999999995</v>
      </c>
      <c r="AG19" s="4">
        <f t="shared" si="13"/>
        <v>1.08</v>
      </c>
      <c r="AH19" s="42">
        <f t="shared" si="14"/>
        <v>1.762</v>
      </c>
      <c r="AJ19" s="23">
        <v>4</v>
      </c>
      <c r="AK19" s="24">
        <v>0.8</v>
      </c>
      <c r="AL19" s="5">
        <f t="shared" si="15"/>
        <v>2.0799999999999999E-2</v>
      </c>
      <c r="AM19" s="5">
        <f t="shared" si="25"/>
        <v>0.1194718394324346</v>
      </c>
      <c r="AN19" s="25">
        <f t="shared" si="26"/>
        <v>-8.0000000000000002E-3</v>
      </c>
      <c r="AO19" s="30">
        <f t="shared" si="16"/>
        <v>1.4E-2</v>
      </c>
      <c r="AP19" s="5">
        <f t="shared" si="17"/>
        <v>0.18</v>
      </c>
      <c r="AQ19" s="25">
        <v>0</v>
      </c>
      <c r="AT19" s="32">
        <f t="shared" si="0"/>
        <v>18044.62</v>
      </c>
      <c r="AU19" s="17">
        <v>5500</v>
      </c>
      <c r="AV19" s="17">
        <v>252.4</v>
      </c>
      <c r="AW19" s="17">
        <v>50.54</v>
      </c>
      <c r="AX19" s="17">
        <v>0.56940000000000002</v>
      </c>
      <c r="AY19" s="17">
        <v>2.3109999999999999</v>
      </c>
      <c r="AZ19" s="17">
        <v>2.2480000000000002</v>
      </c>
      <c r="BA19" s="33">
        <v>318.5</v>
      </c>
    </row>
    <row r="20" spans="2:53">
      <c r="B20" s="38">
        <v>0</v>
      </c>
      <c r="C20" s="3">
        <v>0</v>
      </c>
      <c r="D20" s="3">
        <f>D19+0.05</f>
        <v>0.65</v>
      </c>
      <c r="E20" s="13" cm="1">
        <f t="array" ref="E20">((B20-INDEX($AT$4:$AW$53,MATCH(B20,$AT$4:$AT$53,1),1))/(INDEX($AT$4:$AW$53,MATCH(B20,$AT$4:$AT$53,1)+1,1)-INDEX($AT$4:$AW$53,MATCH(B20,$AT$4:$AT$53,1),1)))*(INDEX($AT$4:$AW$53,MATCH(B20,$AT$4:$AT$53,1)+1,4)-INDEX($AT$4:$AW$53,MATCH(B20,$AT$4:$AT$53,1),4))+INDEX($AT$4:$AW$53,MATCH(B20,$AT$4:$AT$53,1),4)</f>
        <v>101.325</v>
      </c>
      <c r="F20" s="13" cm="1">
        <f t="array" ref="F20">C20+((B20-INDEX($AT$4:$AW$53,MATCH(B20,$AT$4:$AT$53,1),1))/(INDEX($AT$4:$AW$53,MATCH(B20,$AT$4:$AT$53,1)+1,1)-INDEX($AT$4:$AW$53,MATCH(B20,$AT$4:$AT$53,1),1)))*(INDEX($AT$4:$AW$53,MATCH(B20,$AT$4:$AT$53,1)+1,3)-INDEX($AT$4:$AW$53,MATCH(B20,$AT$4:$AT$53,1),3))+INDEX($AT$4:$AW$53,MATCH(B20,$AT$4:$AT$53,1),3)</f>
        <v>288.14999999999998</v>
      </c>
      <c r="G20" s="4">
        <f t="shared" si="1"/>
        <v>1.2252256827617731</v>
      </c>
      <c r="H20" s="6">
        <f t="shared" si="18"/>
        <v>0</v>
      </c>
      <c r="I20" s="13">
        <f t="shared" si="2"/>
        <v>221.17072155916117</v>
      </c>
      <c r="J20" s="13">
        <f t="shared" si="19"/>
        <v>429.92049539555984</v>
      </c>
      <c r="K20" s="13">
        <f t="shared" si="3"/>
        <v>429.92049539555984</v>
      </c>
      <c r="L20" s="13">
        <f t="shared" si="20"/>
        <v>429.92049539555984</v>
      </c>
      <c r="M20" s="13">
        <f t="shared" si="21"/>
        <v>33.26725194716083</v>
      </c>
      <c r="N20" s="13">
        <f t="shared" si="22"/>
        <v>29.966868750000007</v>
      </c>
      <c r="O20" s="4">
        <f t="shared" si="4"/>
        <v>1.0845</v>
      </c>
      <c r="P20" s="4">
        <f t="shared" si="5"/>
        <v>1.328322249663566</v>
      </c>
      <c r="Q20" s="4">
        <f t="shared" si="6"/>
        <v>1.0845</v>
      </c>
      <c r="R20" s="4">
        <f t="shared" si="7"/>
        <v>1.328322249663566</v>
      </c>
      <c r="S20" s="4">
        <f t="shared" si="8"/>
        <v>1</v>
      </c>
      <c r="T20" s="1"/>
      <c r="U20" s="1"/>
      <c r="V20" s="1">
        <v>1</v>
      </c>
      <c r="W20" s="1">
        <v>1</v>
      </c>
      <c r="Y20" s="1">
        <f t="shared" si="23"/>
        <v>68.779014135425655</v>
      </c>
      <c r="Z20" s="1">
        <f t="shared" si="24"/>
        <v>68.779014135425655</v>
      </c>
      <c r="AB20" s="130">
        <v>1</v>
      </c>
      <c r="AC20" s="128">
        <f t="shared" si="9"/>
        <v>0.51356419576191015</v>
      </c>
      <c r="AD20" s="4">
        <f t="shared" si="10"/>
        <v>1.328322249663566</v>
      </c>
      <c r="AE20" s="4">
        <f t="shared" si="11"/>
        <v>2.2138704161059435</v>
      </c>
      <c r="AF20" s="32">
        <f t="shared" si="12"/>
        <v>0.75724999999999998</v>
      </c>
      <c r="AG20" s="4">
        <f t="shared" si="13"/>
        <v>1.095</v>
      </c>
      <c r="AH20" s="42">
        <f t="shared" si="14"/>
        <v>1.7755000000000001</v>
      </c>
      <c r="AJ20" s="23">
        <v>4</v>
      </c>
      <c r="AK20" s="24">
        <v>0.8</v>
      </c>
      <c r="AL20" s="5">
        <f t="shared" si="15"/>
        <v>2.0799999999999999E-2</v>
      </c>
      <c r="AM20" s="5">
        <f t="shared" si="25"/>
        <v>0.1194718394324346</v>
      </c>
      <c r="AN20" s="25">
        <f t="shared" si="26"/>
        <v>-8.0000000000000002E-3</v>
      </c>
      <c r="AO20" s="30">
        <f t="shared" si="16"/>
        <v>1.4E-2</v>
      </c>
      <c r="AP20" s="5">
        <f t="shared" si="17"/>
        <v>0.18</v>
      </c>
      <c r="AQ20" s="25">
        <v>0</v>
      </c>
      <c r="AT20" s="32">
        <f t="shared" si="0"/>
        <v>19685.04</v>
      </c>
      <c r="AU20" s="17">
        <v>6000</v>
      </c>
      <c r="AV20" s="17">
        <v>249.2</v>
      </c>
      <c r="AW20" s="17">
        <v>47.22</v>
      </c>
      <c r="AX20" s="17">
        <v>0.53890000000000005</v>
      </c>
      <c r="AY20" s="17">
        <v>2.4159999999999999</v>
      </c>
      <c r="AZ20" s="17">
        <v>2.222</v>
      </c>
      <c r="BA20" s="33">
        <v>316.5</v>
      </c>
    </row>
    <row r="21" spans="2:53">
      <c r="B21" s="38">
        <v>0</v>
      </c>
      <c r="C21" s="3">
        <v>0</v>
      </c>
      <c r="D21" s="3">
        <f t="shared" ref="D21:D24" si="28">D20+0.05</f>
        <v>0.70000000000000007</v>
      </c>
      <c r="E21" s="13" cm="1">
        <f t="array" ref="E21">((B21-INDEX($AT$4:$AW$53,MATCH(B21,$AT$4:$AT$53,1),1))/(INDEX($AT$4:$AW$53,MATCH(B21,$AT$4:$AT$53,1)+1,1)-INDEX($AT$4:$AW$53,MATCH(B21,$AT$4:$AT$53,1),1)))*(INDEX($AT$4:$AW$53,MATCH(B21,$AT$4:$AT$53,1)+1,4)-INDEX($AT$4:$AW$53,MATCH(B21,$AT$4:$AT$53,1),4))+INDEX($AT$4:$AW$53,MATCH(B21,$AT$4:$AT$53,1),4)</f>
        <v>101.325</v>
      </c>
      <c r="F21" s="13" cm="1">
        <f t="array" ref="F21">C21+((B21-INDEX($AT$4:$AW$53,MATCH(B21,$AT$4:$AT$53,1),1))/(INDEX($AT$4:$AW$53,MATCH(B21,$AT$4:$AT$53,1)+1,1)-INDEX($AT$4:$AW$53,MATCH(B21,$AT$4:$AT$53,1),1)))*(INDEX($AT$4:$AW$53,MATCH(B21,$AT$4:$AT$53,1)+1,3)-INDEX($AT$4:$AW$53,MATCH(B21,$AT$4:$AT$53,1),3))+INDEX($AT$4:$AW$53,MATCH(B21,$AT$4:$AT$53,1),3)</f>
        <v>288.14999999999998</v>
      </c>
      <c r="G21" s="4">
        <f t="shared" si="1"/>
        <v>1.2252256827617731</v>
      </c>
      <c r="H21" s="6">
        <f t="shared" si="18"/>
        <v>0</v>
      </c>
      <c r="I21" s="13">
        <f t="shared" si="2"/>
        <v>238.18385398678896</v>
      </c>
      <c r="J21" s="13">
        <f t="shared" si="19"/>
        <v>462.99130273367985</v>
      </c>
      <c r="K21" s="13">
        <f t="shared" si="3"/>
        <v>462.99130273367985</v>
      </c>
      <c r="L21" s="13">
        <f t="shared" si="20"/>
        <v>462.99130273367996</v>
      </c>
      <c r="M21" s="13">
        <f t="shared" si="21"/>
        <v>39.223042990859398</v>
      </c>
      <c r="N21" s="13">
        <f t="shared" si="22"/>
        <v>34.754475000000006</v>
      </c>
      <c r="O21" s="4">
        <f t="shared" si="4"/>
        <v>1.0980000000000001</v>
      </c>
      <c r="P21" s="4">
        <f t="shared" si="5"/>
        <v>1.3871013371908156</v>
      </c>
      <c r="Q21" s="4">
        <f t="shared" si="6"/>
        <v>1.0980000000000001</v>
      </c>
      <c r="R21" s="4">
        <f t="shared" si="7"/>
        <v>1.3871013371908154</v>
      </c>
      <c r="S21" s="4">
        <f t="shared" si="8"/>
        <v>1</v>
      </c>
      <c r="T21" s="1"/>
      <c r="U21" s="1"/>
      <c r="V21" s="1">
        <v>1</v>
      </c>
      <c r="W21" s="1">
        <v>1</v>
      </c>
      <c r="Y21" s="1">
        <f t="shared" si="23"/>
        <v>71.792223088375906</v>
      </c>
      <c r="Z21" s="1">
        <f t="shared" si="24"/>
        <v>71.792223088375906</v>
      </c>
      <c r="AB21" s="130">
        <v>1</v>
      </c>
      <c r="AC21" s="128">
        <f t="shared" si="9"/>
        <v>0.51143379814261469</v>
      </c>
      <c r="AD21" s="4">
        <f t="shared" si="10"/>
        <v>1.3871013371908154</v>
      </c>
      <c r="AE21" s="4">
        <f t="shared" si="11"/>
        <v>2.3118355619846924</v>
      </c>
      <c r="AF21" s="32">
        <f t="shared" si="12"/>
        <v>0.78425</v>
      </c>
      <c r="AG21" s="4">
        <f t="shared" si="13"/>
        <v>1.1100000000000001</v>
      </c>
      <c r="AH21" s="42">
        <f t="shared" si="14"/>
        <v>1.7890000000000001</v>
      </c>
      <c r="AJ21" s="23">
        <v>4</v>
      </c>
      <c r="AK21" s="24">
        <v>0.8</v>
      </c>
      <c r="AL21" s="5">
        <f t="shared" si="15"/>
        <v>2.0799999999999999E-2</v>
      </c>
      <c r="AM21" s="5">
        <f t="shared" si="25"/>
        <v>0.1194718394324346</v>
      </c>
      <c r="AN21" s="25">
        <f t="shared" si="26"/>
        <v>-8.0000000000000002E-3</v>
      </c>
      <c r="AO21" s="30">
        <f t="shared" si="16"/>
        <v>1.4E-2</v>
      </c>
      <c r="AP21" s="5">
        <f t="shared" si="17"/>
        <v>0.18</v>
      </c>
      <c r="AQ21" s="25">
        <v>0</v>
      </c>
      <c r="AT21" s="32">
        <f t="shared" si="0"/>
        <v>21325.46</v>
      </c>
      <c r="AU21" s="17">
        <v>6500</v>
      </c>
      <c r="AV21" s="17">
        <v>245.9</v>
      </c>
      <c r="AW21" s="17">
        <v>44.08</v>
      </c>
      <c r="AX21" s="17">
        <v>0.50960000000000005</v>
      </c>
      <c r="AY21" s="17">
        <v>2.528</v>
      </c>
      <c r="AZ21" s="17">
        <v>2.1949999999999998</v>
      </c>
      <c r="BA21" s="33">
        <v>314.39999999999998</v>
      </c>
    </row>
    <row r="22" spans="2:53">
      <c r="B22" s="38">
        <v>0</v>
      </c>
      <c r="C22" s="3">
        <v>0</v>
      </c>
      <c r="D22" s="3">
        <f t="shared" si="28"/>
        <v>0.75000000000000011</v>
      </c>
      <c r="E22" s="13" cm="1">
        <f t="array" ref="E22">((B22-INDEX($AT$4:$AW$53,MATCH(B22,$AT$4:$AT$53,1),1))/(INDEX($AT$4:$AW$53,MATCH(B22,$AT$4:$AT$53,1)+1,1)-INDEX($AT$4:$AW$53,MATCH(B22,$AT$4:$AT$53,1),1)))*(INDEX($AT$4:$AW$53,MATCH(B22,$AT$4:$AT$53,1)+1,4)-INDEX($AT$4:$AW$53,MATCH(B22,$AT$4:$AT$53,1),4))+INDEX($AT$4:$AW$53,MATCH(B22,$AT$4:$AT$53,1),4)</f>
        <v>101.325</v>
      </c>
      <c r="F22" s="13" cm="1">
        <f t="array" ref="F22">C22+((B22-INDEX($AT$4:$AW$53,MATCH(B22,$AT$4:$AT$53,1),1))/(INDEX($AT$4:$AW$53,MATCH(B22,$AT$4:$AT$53,1)+1,1)-INDEX($AT$4:$AW$53,MATCH(B22,$AT$4:$AT$53,1),1)))*(INDEX($AT$4:$AW$53,MATCH(B22,$AT$4:$AT$53,1)+1,3)-INDEX($AT$4:$AW$53,MATCH(B22,$AT$4:$AT$53,1),3))+INDEX($AT$4:$AW$53,MATCH(B22,$AT$4:$AT$53,1),3)</f>
        <v>288.14999999999998</v>
      </c>
      <c r="G22" s="4">
        <f t="shared" si="1"/>
        <v>1.2252256827617731</v>
      </c>
      <c r="H22" s="6">
        <f t="shared" si="18"/>
        <v>0</v>
      </c>
      <c r="I22" s="13">
        <f t="shared" si="2"/>
        <v>255.19698641441676</v>
      </c>
      <c r="J22" s="13">
        <f t="shared" si="19"/>
        <v>496.06211007179985</v>
      </c>
      <c r="K22" s="13">
        <f t="shared" si="3"/>
        <v>496.06211007179985</v>
      </c>
      <c r="L22" s="13">
        <f t="shared" si="20"/>
        <v>496.06211007179985</v>
      </c>
      <c r="M22" s="13">
        <f t="shared" si="21"/>
        <v>45.827173500835443</v>
      </c>
      <c r="N22" s="13">
        <f t="shared" si="22"/>
        <v>39.896718750000012</v>
      </c>
      <c r="O22" s="4">
        <f t="shared" si="4"/>
        <v>1.1125</v>
      </c>
      <c r="P22" s="4">
        <f t="shared" si="5"/>
        <v>1.4522790377580601</v>
      </c>
      <c r="Q22" s="4">
        <f t="shared" si="6"/>
        <v>1.1125</v>
      </c>
      <c r="R22" s="4">
        <f t="shared" si="7"/>
        <v>1.4522790377580599</v>
      </c>
      <c r="S22" s="4">
        <f t="shared" si="8"/>
        <v>1</v>
      </c>
      <c r="T22" s="1"/>
      <c r="U22" s="1"/>
      <c r="V22" s="1">
        <v>1</v>
      </c>
      <c r="W22" s="1">
        <v>1</v>
      </c>
      <c r="Y22" s="1">
        <f t="shared" si="23"/>
        <v>74.400363288978525</v>
      </c>
      <c r="Z22" s="1">
        <f t="shared" si="24"/>
        <v>74.400363288978525</v>
      </c>
      <c r="AB22" s="130">
        <v>1</v>
      </c>
      <c r="AC22" s="128">
        <f t="shared" si="9"/>
        <v>0.50937822173508929</v>
      </c>
      <c r="AD22" s="4">
        <f t="shared" si="10"/>
        <v>1.4522790377580599</v>
      </c>
      <c r="AE22" s="4">
        <f t="shared" si="11"/>
        <v>2.4204650629300999</v>
      </c>
      <c r="AF22" s="32">
        <f t="shared" si="12"/>
        <v>0.81125000000000003</v>
      </c>
      <c r="AG22" s="4">
        <f t="shared" si="13"/>
        <v>1.125</v>
      </c>
      <c r="AH22" s="42">
        <f t="shared" si="14"/>
        <v>1.8025000000000002</v>
      </c>
      <c r="AJ22" s="23">
        <v>4</v>
      </c>
      <c r="AK22" s="24">
        <v>0.8</v>
      </c>
      <c r="AL22" s="5">
        <f t="shared" si="15"/>
        <v>2.0799999999999999E-2</v>
      </c>
      <c r="AM22" s="5">
        <f t="shared" si="25"/>
        <v>0.1194718394324346</v>
      </c>
      <c r="AN22" s="25">
        <f t="shared" si="26"/>
        <v>-8.0000000000000002E-3</v>
      </c>
      <c r="AO22" s="30">
        <f t="shared" si="16"/>
        <v>1.4E-2</v>
      </c>
      <c r="AP22" s="5">
        <f t="shared" si="17"/>
        <v>0.18</v>
      </c>
      <c r="AQ22" s="25">
        <v>0</v>
      </c>
      <c r="AT22" s="32">
        <f t="shared" si="0"/>
        <v>22965.88</v>
      </c>
      <c r="AU22" s="17">
        <v>7000</v>
      </c>
      <c r="AV22" s="17">
        <v>242.7</v>
      </c>
      <c r="AW22" s="17">
        <v>41.11</v>
      </c>
      <c r="AX22" s="17">
        <v>0.48170000000000002</v>
      </c>
      <c r="AY22" s="17">
        <v>2.6459999999999999</v>
      </c>
      <c r="AZ22" s="17">
        <v>2.169</v>
      </c>
      <c r="BA22" s="33">
        <v>312.3</v>
      </c>
    </row>
    <row r="23" spans="2:53">
      <c r="B23" s="38">
        <v>0</v>
      </c>
      <c r="C23" s="3">
        <v>0</v>
      </c>
      <c r="D23" s="3">
        <f t="shared" si="28"/>
        <v>0.80000000000000016</v>
      </c>
      <c r="E23" s="13" cm="1">
        <f t="array" ref="E23">((B23-INDEX($AT$4:$AW$53,MATCH(B23,$AT$4:$AT$53,1),1))/(INDEX($AT$4:$AW$53,MATCH(B23,$AT$4:$AT$53,1)+1,1)-INDEX($AT$4:$AW$53,MATCH(B23,$AT$4:$AT$53,1),1)))*(INDEX($AT$4:$AW$53,MATCH(B23,$AT$4:$AT$53,1)+1,4)-INDEX($AT$4:$AW$53,MATCH(B23,$AT$4:$AT$53,1),4))+INDEX($AT$4:$AW$53,MATCH(B23,$AT$4:$AT$53,1),4)</f>
        <v>101.325</v>
      </c>
      <c r="F23" s="13" cm="1">
        <f t="array" ref="F23">C23+((B23-INDEX($AT$4:$AW$53,MATCH(B23,$AT$4:$AT$53,1),1))/(INDEX($AT$4:$AW$53,MATCH(B23,$AT$4:$AT$53,1)+1,1)-INDEX($AT$4:$AW$53,MATCH(B23,$AT$4:$AT$53,1),1)))*(INDEX($AT$4:$AW$53,MATCH(B23,$AT$4:$AT$53,1)+1,3)-INDEX($AT$4:$AW$53,MATCH(B23,$AT$4:$AT$53,1),3))+INDEX($AT$4:$AW$53,MATCH(B23,$AT$4:$AT$53,1),3)</f>
        <v>288.14999999999998</v>
      </c>
      <c r="G23" s="4">
        <f t="shared" si="1"/>
        <v>1.2252256827617731</v>
      </c>
      <c r="H23" s="6">
        <f t="shared" si="18"/>
        <v>0</v>
      </c>
      <c r="I23" s="13">
        <f t="shared" si="2"/>
        <v>272.21011884204455</v>
      </c>
      <c r="J23" s="13">
        <f t="shared" si="19"/>
        <v>529.13291740991986</v>
      </c>
      <c r="K23" s="13">
        <f t="shared" si="3"/>
        <v>529.13291740991986</v>
      </c>
      <c r="L23" s="13">
        <f t="shared" si="20"/>
        <v>529.13291740991997</v>
      </c>
      <c r="M23" s="13">
        <f t="shared" si="21"/>
        <v>53.128751468530069</v>
      </c>
      <c r="N23" s="13">
        <f t="shared" si="22"/>
        <v>45.393600000000021</v>
      </c>
      <c r="O23" s="4">
        <f t="shared" si="4"/>
        <v>1.1280000000000001</v>
      </c>
      <c r="P23" s="4">
        <f t="shared" si="5"/>
        <v>1.5243400095586486</v>
      </c>
      <c r="Q23" s="4">
        <f t="shared" si="6"/>
        <v>1.1280000000000001</v>
      </c>
      <c r="R23" s="4">
        <f t="shared" si="7"/>
        <v>1.5243400095586486</v>
      </c>
      <c r="S23" s="4">
        <f t="shared" si="8"/>
        <v>1</v>
      </c>
      <c r="T23" s="1"/>
      <c r="U23" s="1"/>
      <c r="V23" s="1">
        <v>1</v>
      </c>
      <c r="W23" s="1">
        <v>1</v>
      </c>
      <c r="Y23" s="1">
        <f t="shared" si="23"/>
        <v>76.660355894159423</v>
      </c>
      <c r="Z23" s="1">
        <f t="shared" si="24"/>
        <v>76.660355894159423</v>
      </c>
      <c r="AB23" s="130">
        <v>1</v>
      </c>
      <c r="AC23" s="128">
        <f t="shared" si="9"/>
        <v>0.50739009663000589</v>
      </c>
      <c r="AD23" s="4">
        <f t="shared" si="10"/>
        <v>1.5243400095586486</v>
      </c>
      <c r="AE23" s="4">
        <f t="shared" si="11"/>
        <v>2.5405666825977478</v>
      </c>
      <c r="AF23" s="32">
        <f t="shared" si="12"/>
        <v>0.83825000000000005</v>
      </c>
      <c r="AG23" s="4">
        <f t="shared" si="13"/>
        <v>1.1400000000000001</v>
      </c>
      <c r="AH23" s="42">
        <f t="shared" si="14"/>
        <v>1.8160000000000001</v>
      </c>
      <c r="AJ23" s="23">
        <v>4</v>
      </c>
      <c r="AK23" s="24">
        <v>0.8</v>
      </c>
      <c r="AL23" s="5">
        <f t="shared" si="15"/>
        <v>2.0799999999999999E-2</v>
      </c>
      <c r="AM23" s="5">
        <f t="shared" si="25"/>
        <v>0.1194718394324346</v>
      </c>
      <c r="AN23" s="25">
        <f t="shared" si="26"/>
        <v>-8.0000000000000002E-3</v>
      </c>
      <c r="AO23" s="30">
        <f t="shared" si="16"/>
        <v>1.4000000000000004E-2</v>
      </c>
      <c r="AP23" s="5">
        <f t="shared" si="17"/>
        <v>0.18</v>
      </c>
      <c r="AQ23" s="25">
        <v>0</v>
      </c>
      <c r="AT23" s="32">
        <f t="shared" si="0"/>
        <v>24606.3</v>
      </c>
      <c r="AU23" s="17">
        <v>7500</v>
      </c>
      <c r="AV23" s="17">
        <v>239.5</v>
      </c>
      <c r="AW23" s="17">
        <v>38.299999999999997</v>
      </c>
      <c r="AX23" s="17">
        <v>0.45490000000000003</v>
      </c>
      <c r="AY23" s="17">
        <v>2.7709999999999999</v>
      </c>
      <c r="AZ23" s="17">
        <v>2.1419999999999999</v>
      </c>
      <c r="BA23" s="33">
        <v>310.2</v>
      </c>
    </row>
    <row r="24" spans="2:53">
      <c r="B24" s="38">
        <v>0</v>
      </c>
      <c r="C24" s="3">
        <v>0</v>
      </c>
      <c r="D24" s="3">
        <f t="shared" si="28"/>
        <v>0.8500000000000002</v>
      </c>
      <c r="E24" s="13" cm="1">
        <f t="array" ref="E24">((B24-INDEX($AT$4:$AW$53,MATCH(B24,$AT$4:$AT$53,1),1))/(INDEX($AT$4:$AW$53,MATCH(B24,$AT$4:$AT$53,1)+1,1)-INDEX($AT$4:$AW$53,MATCH(B24,$AT$4:$AT$53,1),1)))*(INDEX($AT$4:$AW$53,MATCH(B24,$AT$4:$AT$53,1)+1,4)-INDEX($AT$4:$AW$53,MATCH(B24,$AT$4:$AT$53,1),4))+INDEX($AT$4:$AW$53,MATCH(B24,$AT$4:$AT$53,1),4)</f>
        <v>101.325</v>
      </c>
      <c r="F24" s="13" cm="1">
        <f t="array" ref="F24">C24+((B24-INDEX($AT$4:$AW$53,MATCH(B24,$AT$4:$AT$53,1),1))/(INDEX($AT$4:$AW$53,MATCH(B24,$AT$4:$AT$53,1)+1,1)-INDEX($AT$4:$AW$53,MATCH(B24,$AT$4:$AT$53,1),1)))*(INDEX($AT$4:$AW$53,MATCH(B24,$AT$4:$AT$53,1)+1,3)-INDEX($AT$4:$AW$53,MATCH(B24,$AT$4:$AT$53,1),3))+INDEX($AT$4:$AW$53,MATCH(B24,$AT$4:$AT$53,1),3)</f>
        <v>288.14999999999998</v>
      </c>
      <c r="G24" s="4">
        <f t="shared" si="1"/>
        <v>1.2252256827617731</v>
      </c>
      <c r="H24" s="6">
        <f t="shared" si="18"/>
        <v>0</v>
      </c>
      <c r="I24" s="13">
        <f t="shared" si="2"/>
        <v>289.22325126967235</v>
      </c>
      <c r="J24" s="13">
        <f t="shared" si="19"/>
        <v>562.20372474803992</v>
      </c>
      <c r="K24" s="13">
        <f t="shared" si="3"/>
        <v>562.20372474803992</v>
      </c>
      <c r="L24" s="13">
        <f t="shared" si="20"/>
        <v>562.20372474803992</v>
      </c>
      <c r="M24" s="13">
        <f t="shared" si="21"/>
        <v>61.181936002478089</v>
      </c>
      <c r="N24" s="13">
        <f t="shared" si="22"/>
        <v>51.245118750000024</v>
      </c>
      <c r="O24" s="4">
        <f t="shared" si="4"/>
        <v>1.1445000000000001</v>
      </c>
      <c r="P24" s="4">
        <f t="shared" si="5"/>
        <v>1.6038187614357571</v>
      </c>
      <c r="Q24" s="4">
        <f t="shared" si="6"/>
        <v>1.1445000000000001</v>
      </c>
      <c r="R24" s="4">
        <f t="shared" si="7"/>
        <v>1.6038187614357571</v>
      </c>
      <c r="S24" s="4">
        <f t="shared" si="8"/>
        <v>1</v>
      </c>
      <c r="T24" s="1"/>
      <c r="U24" s="1"/>
      <c r="V24" s="1">
        <v>1</v>
      </c>
      <c r="W24" s="1">
        <v>1</v>
      </c>
      <c r="Y24" s="1">
        <f t="shared" si="23"/>
        <v>4.896369604605626</v>
      </c>
      <c r="Z24" s="1">
        <f t="shared" si="24"/>
        <v>78.647017425478751</v>
      </c>
      <c r="AB24" s="130">
        <v>1</v>
      </c>
      <c r="AC24" s="128">
        <f t="shared" si="9"/>
        <v>0.5054631887989498</v>
      </c>
      <c r="AD24" s="4">
        <f t="shared" si="10"/>
        <v>1.6038187614357571</v>
      </c>
      <c r="AE24" s="4">
        <f t="shared" si="11"/>
        <v>2.6730312690595954</v>
      </c>
      <c r="AF24" s="32">
        <f t="shared" si="12"/>
        <v>0.86525000000000007</v>
      </c>
      <c r="AG24" s="4">
        <f t="shared" si="13"/>
        <v>1.155</v>
      </c>
      <c r="AH24" s="42">
        <f t="shared" si="14"/>
        <v>1.8295000000000001</v>
      </c>
      <c r="AJ24" s="23">
        <v>4</v>
      </c>
      <c r="AK24" s="24">
        <v>0.8</v>
      </c>
      <c r="AL24" s="5">
        <f t="shared" si="15"/>
        <v>3.5100000000000048E-2</v>
      </c>
      <c r="AM24" s="5">
        <f t="shared" si="25"/>
        <v>0.1194718394324346</v>
      </c>
      <c r="AN24" s="25">
        <f t="shared" si="26"/>
        <v>-8.0000000000000002E-3</v>
      </c>
      <c r="AO24" s="30">
        <f t="shared" si="16"/>
        <v>1.5750000000000007E-2</v>
      </c>
      <c r="AP24" s="5">
        <f t="shared" si="17"/>
        <v>0.18</v>
      </c>
      <c r="AQ24" s="25">
        <v>0</v>
      </c>
      <c r="AT24" s="32">
        <f t="shared" si="0"/>
        <v>26246.720000000001</v>
      </c>
      <c r="AU24" s="17">
        <v>8000</v>
      </c>
      <c r="AV24" s="17">
        <v>236.2</v>
      </c>
      <c r="AW24" s="17">
        <v>35.65</v>
      </c>
      <c r="AX24" s="17">
        <v>0.42920000000000003</v>
      </c>
      <c r="AY24" s="17">
        <v>2.9039999999999999</v>
      </c>
      <c r="AZ24" s="17">
        <v>2.1150000000000002</v>
      </c>
      <c r="BA24" s="33">
        <v>308.10000000000002</v>
      </c>
    </row>
    <row r="25" spans="2:53">
      <c r="B25" s="38">
        <v>0</v>
      </c>
      <c r="C25" s="3">
        <v>0</v>
      </c>
      <c r="D25" s="3">
        <f>D24+0.05</f>
        <v>0.90000000000000024</v>
      </c>
      <c r="E25" s="13" cm="1">
        <f t="array" ref="E25">((B25-INDEX($AT$4:$AW$53,MATCH(B25,$AT$4:$AT$53,1),1))/(INDEX($AT$4:$AW$53,MATCH(B25,$AT$4:$AT$53,1)+1,1)-INDEX($AT$4:$AW$53,MATCH(B25,$AT$4:$AT$53,1),1)))*(INDEX($AT$4:$AW$53,MATCH(B25,$AT$4:$AT$53,1)+1,4)-INDEX($AT$4:$AW$53,MATCH(B25,$AT$4:$AT$53,1),4))+INDEX($AT$4:$AW$53,MATCH(B25,$AT$4:$AT$53,1),4)</f>
        <v>101.325</v>
      </c>
      <c r="F25" s="13" cm="1">
        <f t="array" ref="F25">C25+((B25-INDEX($AT$4:$AW$53,MATCH(B25,$AT$4:$AT$53,1),1))/(INDEX($AT$4:$AW$53,MATCH(B25,$AT$4:$AT$53,1)+1,1)-INDEX($AT$4:$AW$53,MATCH(B25,$AT$4:$AT$53,1),1)))*(INDEX($AT$4:$AW$53,MATCH(B25,$AT$4:$AT$53,1)+1,3)-INDEX($AT$4:$AW$53,MATCH(B25,$AT$4:$AT$53,1),3))+INDEX($AT$4:$AW$53,MATCH(B25,$AT$4:$AT$53,1),3)</f>
        <v>288.14999999999998</v>
      </c>
      <c r="G25" s="4">
        <f t="shared" si="1"/>
        <v>1.2252256827617731</v>
      </c>
      <c r="H25" s="6">
        <f t="shared" si="18"/>
        <v>0</v>
      </c>
      <c r="I25" s="13">
        <f t="shared" si="2"/>
        <v>306.23638369730014</v>
      </c>
      <c r="J25" s="13">
        <f t="shared" si="19"/>
        <v>595.27453208615987</v>
      </c>
      <c r="K25" s="13">
        <f t="shared" si="3"/>
        <v>595.27453208615987</v>
      </c>
      <c r="L25" s="13">
        <f t="shared" si="20"/>
        <v>595.27453208615952</v>
      </c>
      <c r="M25" s="13">
        <f t="shared" si="21"/>
        <v>70.046287909620588</v>
      </c>
      <c r="N25" s="13">
        <f t="shared" si="22"/>
        <v>57.451275000000031</v>
      </c>
      <c r="O25" s="4">
        <f t="shared" si="4"/>
        <v>1.1619999999999999</v>
      </c>
      <c r="P25" s="4">
        <f t="shared" si="5"/>
        <v>1.691303112850931</v>
      </c>
      <c r="Q25" s="4">
        <f t="shared" si="6"/>
        <v>1.1619999999999999</v>
      </c>
      <c r="R25" s="4">
        <f t="shared" si="7"/>
        <v>1.6913031128509313</v>
      </c>
      <c r="S25" s="4">
        <f t="shared" si="8"/>
        <v>1</v>
      </c>
      <c r="T25" s="1"/>
      <c r="U25" s="1"/>
      <c r="V25" s="1">
        <v>1</v>
      </c>
      <c r="W25" s="1">
        <v>1</v>
      </c>
      <c r="Y25" s="1">
        <f t="shared" si="23"/>
        <v>-94.636638440248873</v>
      </c>
      <c r="Z25" s="1">
        <f t="shared" si="24"/>
        <v>80.455475580240289</v>
      </c>
      <c r="AB25" s="130">
        <v>1</v>
      </c>
      <c r="AC25" s="128">
        <f t="shared" si="9"/>
        <v>0.50359216913646399</v>
      </c>
      <c r="AD25" s="4">
        <f t="shared" si="10"/>
        <v>1.6913031128509313</v>
      </c>
      <c r="AE25" s="4">
        <f t="shared" si="11"/>
        <v>2.8188385214182188</v>
      </c>
      <c r="AF25" s="32">
        <f t="shared" si="12"/>
        <v>0.8922500000000001</v>
      </c>
      <c r="AG25" s="4">
        <f t="shared" si="13"/>
        <v>1.1700000000000002</v>
      </c>
      <c r="AH25" s="42">
        <f t="shared" si="14"/>
        <v>1.8430000000000002</v>
      </c>
      <c r="AJ25" s="23">
        <v>4</v>
      </c>
      <c r="AK25" s="24">
        <v>0.8</v>
      </c>
      <c r="AL25" s="5">
        <f t="shared" si="15"/>
        <v>4.9400000000000062E-2</v>
      </c>
      <c r="AM25" s="5">
        <f t="shared" si="25"/>
        <v>0.1194718394324346</v>
      </c>
      <c r="AN25" s="25">
        <f t="shared" si="26"/>
        <v>-8.0000000000000002E-3</v>
      </c>
      <c r="AO25" s="30">
        <f t="shared" si="16"/>
        <v>1.7500000000000009E-2</v>
      </c>
      <c r="AP25" s="5">
        <f t="shared" si="17"/>
        <v>0.18</v>
      </c>
      <c r="AQ25" s="25">
        <v>0</v>
      </c>
      <c r="AT25" s="32">
        <f t="shared" si="0"/>
        <v>27887.14</v>
      </c>
      <c r="AU25" s="17">
        <v>8500</v>
      </c>
      <c r="AV25" s="17">
        <v>233</v>
      </c>
      <c r="AW25" s="17">
        <v>33.15</v>
      </c>
      <c r="AX25" s="17">
        <v>0.4047</v>
      </c>
      <c r="AY25" s="17">
        <v>3.0459999999999998</v>
      </c>
      <c r="AZ25" s="17">
        <v>2.0880000000000001</v>
      </c>
      <c r="BA25" s="33">
        <v>306</v>
      </c>
    </row>
    <row r="26" spans="2:53">
      <c r="B26" s="38">
        <v>0</v>
      </c>
      <c r="C26" s="3">
        <v>0</v>
      </c>
      <c r="D26" s="3">
        <f t="shared" ref="D26:D27" si="29">D25+0.05</f>
        <v>0.95000000000000029</v>
      </c>
      <c r="E26" s="13" cm="1">
        <f t="array" ref="E26">((B26-INDEX($AT$4:$AW$53,MATCH(B26,$AT$4:$AT$53,1),1))/(INDEX($AT$4:$AW$53,MATCH(B26,$AT$4:$AT$53,1)+1,1)-INDEX($AT$4:$AW$53,MATCH(B26,$AT$4:$AT$53,1),1)))*(INDEX($AT$4:$AW$53,MATCH(B26,$AT$4:$AT$53,1)+1,4)-INDEX($AT$4:$AW$53,MATCH(B26,$AT$4:$AT$53,1),4))+INDEX($AT$4:$AW$53,MATCH(B26,$AT$4:$AT$53,1),4)</f>
        <v>101.325</v>
      </c>
      <c r="F26" s="13" cm="1">
        <f t="array" ref="F26">C26+((B26-INDEX($AT$4:$AW$53,MATCH(B26,$AT$4:$AT$53,1),1))/(INDEX($AT$4:$AW$53,MATCH(B26,$AT$4:$AT$53,1)+1,1)-INDEX($AT$4:$AW$53,MATCH(B26,$AT$4:$AT$53,1),1)))*(INDEX($AT$4:$AW$53,MATCH(B26,$AT$4:$AT$53,1)+1,3)-INDEX($AT$4:$AW$53,MATCH(B26,$AT$4:$AT$53,1),3))+INDEX($AT$4:$AW$53,MATCH(B26,$AT$4:$AT$53,1),3)</f>
        <v>288.14999999999998</v>
      </c>
      <c r="G26" s="4">
        <f t="shared" si="1"/>
        <v>1.2252256827617731</v>
      </c>
      <c r="H26" s="6">
        <f t="shared" si="18"/>
        <v>0</v>
      </c>
      <c r="I26" s="13">
        <f t="shared" si="2"/>
        <v>323.24951612492794</v>
      </c>
      <c r="J26" s="13">
        <f t="shared" si="19"/>
        <v>628.34533942427993</v>
      </c>
      <c r="K26" s="13">
        <f t="shared" si="3"/>
        <v>628.34533942427993</v>
      </c>
      <c r="L26" s="13">
        <f t="shared" si="20"/>
        <v>628.34533942427993</v>
      </c>
      <c r="M26" s="13">
        <f t="shared" si="21"/>
        <v>79.787148419239372</v>
      </c>
      <c r="N26" s="13">
        <f t="shared" si="22"/>
        <v>64.01206875000004</v>
      </c>
      <c r="O26" s="4">
        <f t="shared" si="4"/>
        <v>1.1805000000000001</v>
      </c>
      <c r="P26" s="4">
        <f t="shared" si="5"/>
        <v>1.7874379315987108</v>
      </c>
      <c r="Q26" s="4">
        <f t="shared" si="6"/>
        <v>1.1805000000000001</v>
      </c>
      <c r="R26" s="4">
        <f t="shared" si="7"/>
        <v>1.787437931598711</v>
      </c>
      <c r="S26" s="4">
        <f t="shared" si="8"/>
        <v>1</v>
      </c>
      <c r="T26" s="1"/>
      <c r="U26" s="1"/>
      <c r="V26" s="1">
        <v>1</v>
      </c>
      <c r="W26" s="1">
        <v>1</v>
      </c>
      <c r="Y26" s="1">
        <f t="shared" si="23"/>
        <v>-226.68439959736142</v>
      </c>
      <c r="Z26" s="1">
        <f t="shared" si="24"/>
        <v>82.20366883538918</v>
      </c>
      <c r="AB26" s="130">
        <v>1</v>
      </c>
      <c r="AC26" s="128">
        <f t="shared" si="9"/>
        <v>0.50177243958633722</v>
      </c>
      <c r="AD26" s="4">
        <f t="shared" si="10"/>
        <v>1.787437931598711</v>
      </c>
      <c r="AE26" s="4">
        <f t="shared" si="11"/>
        <v>2.9790632193311852</v>
      </c>
      <c r="AF26" s="32">
        <f t="shared" si="12"/>
        <v>0.91925000000000023</v>
      </c>
      <c r="AG26" s="4">
        <f t="shared" si="13"/>
        <v>1.1850000000000001</v>
      </c>
      <c r="AH26" s="42">
        <f t="shared" si="14"/>
        <v>1.8565000000000003</v>
      </c>
      <c r="AJ26" s="23">
        <v>4</v>
      </c>
      <c r="AK26" s="24">
        <v>0.8</v>
      </c>
      <c r="AL26" s="5">
        <f t="shared" si="15"/>
        <v>6.3700000000000062E-2</v>
      </c>
      <c r="AM26" s="5">
        <f t="shared" si="25"/>
        <v>0.1194718394324346</v>
      </c>
      <c r="AN26" s="25">
        <f t="shared" si="26"/>
        <v>-8.0000000000000002E-3</v>
      </c>
      <c r="AO26" s="30">
        <f t="shared" si="16"/>
        <v>1.925000000000001E-2</v>
      </c>
      <c r="AP26" s="5">
        <f t="shared" si="17"/>
        <v>0.18</v>
      </c>
      <c r="AQ26" s="25">
        <v>0</v>
      </c>
      <c r="AT26" s="32">
        <f t="shared" si="0"/>
        <v>29527.56</v>
      </c>
      <c r="AU26" s="17">
        <v>9000</v>
      </c>
      <c r="AV26" s="17">
        <v>229.7</v>
      </c>
      <c r="AW26" s="17">
        <v>30.8</v>
      </c>
      <c r="AX26" s="17">
        <v>0.38129999999999997</v>
      </c>
      <c r="AY26" s="17">
        <v>3.1960000000000002</v>
      </c>
      <c r="AZ26" s="17">
        <v>2.0609999999999999</v>
      </c>
      <c r="BA26" s="33">
        <v>303.8</v>
      </c>
    </row>
    <row r="27" spans="2:53" ht="15" thickBot="1">
      <c r="B27" s="39">
        <v>0</v>
      </c>
      <c r="C27" s="48">
        <v>0</v>
      </c>
      <c r="D27" s="48">
        <f t="shared" si="29"/>
        <v>1.0000000000000002</v>
      </c>
      <c r="E27" s="152" cm="1">
        <f t="array" ref="E27">((B27-INDEX($AT$4:$AW$53,MATCH(B27,$AT$4:$AT$53,1),1))/(INDEX($AT$4:$AW$53,MATCH(B27,$AT$4:$AT$53,1)+1,1)-INDEX($AT$4:$AW$53,MATCH(B27,$AT$4:$AT$53,1),1)))*(INDEX($AT$4:$AW$53,MATCH(B27,$AT$4:$AT$53,1)+1,4)-INDEX($AT$4:$AW$53,MATCH(B27,$AT$4:$AT$53,1),4))+INDEX($AT$4:$AW$53,MATCH(B27,$AT$4:$AT$53,1),4)</f>
        <v>101.325</v>
      </c>
      <c r="F27" s="152" cm="1">
        <f t="array" ref="F27">C27+((B27-INDEX($AT$4:$AW$53,MATCH(B27,$AT$4:$AT$53,1),1))/(INDEX($AT$4:$AW$53,MATCH(B27,$AT$4:$AT$53,1)+1,1)-INDEX($AT$4:$AW$53,MATCH(B27,$AT$4:$AT$53,1),1)))*(INDEX($AT$4:$AW$53,MATCH(B27,$AT$4:$AT$53,1)+1,3)-INDEX($AT$4:$AW$53,MATCH(B27,$AT$4:$AT$53,1),3))+INDEX($AT$4:$AW$53,MATCH(B27,$AT$4:$AT$53,1),3)</f>
        <v>288.14999999999998</v>
      </c>
      <c r="G27" s="43">
        <f t="shared" si="1"/>
        <v>1.2252256827617731</v>
      </c>
      <c r="H27" s="153">
        <f t="shared" si="18"/>
        <v>0</v>
      </c>
      <c r="I27" s="152">
        <f t="shared" si="2"/>
        <v>340.26264855255567</v>
      </c>
      <c r="J27" s="152">
        <f t="shared" si="19"/>
        <v>661.41614676239988</v>
      </c>
      <c r="K27" s="152">
        <f t="shared" si="3"/>
        <v>661.41614676239988</v>
      </c>
      <c r="L27" s="152">
        <f t="shared" si="20"/>
        <v>661.41614676239965</v>
      </c>
      <c r="M27" s="152">
        <f t="shared" si="21"/>
        <v>90.47604700911306</v>
      </c>
      <c r="N27" s="152">
        <f t="shared" si="22"/>
        <v>70.927500000000009</v>
      </c>
      <c r="O27" s="43">
        <f t="shared" si="4"/>
        <v>1.2</v>
      </c>
      <c r="P27" s="43">
        <f t="shared" si="5"/>
        <v>1.8929291587378541</v>
      </c>
      <c r="Q27" s="43">
        <f t="shared" si="6"/>
        <v>1.2</v>
      </c>
      <c r="R27" s="43">
        <f t="shared" si="7"/>
        <v>1.8929291587378541</v>
      </c>
      <c r="S27" s="43">
        <f t="shared" si="8"/>
        <v>1</v>
      </c>
      <c r="T27" s="98"/>
      <c r="U27" s="98"/>
      <c r="V27" s="98">
        <v>1</v>
      </c>
      <c r="W27" s="98">
        <v>1</v>
      </c>
      <c r="X27" s="104"/>
      <c r="Y27" s="98">
        <f t="shared" si="23"/>
        <v>-396.32747567857365</v>
      </c>
      <c r="Z27" s="1">
        <f t="shared" si="24"/>
        <v>84.034977052534131</v>
      </c>
      <c r="AB27" s="130">
        <v>1</v>
      </c>
      <c r="AC27" s="128">
        <f t="shared" si="9"/>
        <v>0.5</v>
      </c>
      <c r="AD27" s="4">
        <f t="shared" si="10"/>
        <v>1.8929291587378541</v>
      </c>
      <c r="AE27" s="4">
        <f t="shared" si="11"/>
        <v>3.1548819312297569</v>
      </c>
      <c r="AF27" s="32">
        <f t="shared" si="12"/>
        <v>0.94625000000000015</v>
      </c>
      <c r="AG27" s="4">
        <f t="shared" si="13"/>
        <v>1.2000000000000002</v>
      </c>
      <c r="AH27" s="42">
        <f t="shared" si="14"/>
        <v>1.87</v>
      </c>
      <c r="AJ27" s="23">
        <v>4</v>
      </c>
      <c r="AK27" s="24">
        <v>0.8</v>
      </c>
      <c r="AL27" s="5">
        <f t="shared" si="15"/>
        <v>7.8000000000000042E-2</v>
      </c>
      <c r="AM27" s="5">
        <f t="shared" si="25"/>
        <v>0.1194718394324346</v>
      </c>
      <c r="AN27" s="25">
        <f t="shared" si="26"/>
        <v>-8.0000000000000002E-3</v>
      </c>
      <c r="AO27" s="30">
        <f t="shared" si="16"/>
        <v>2.1000000000000008E-2</v>
      </c>
      <c r="AP27" s="5">
        <f t="shared" si="17"/>
        <v>0.18</v>
      </c>
      <c r="AQ27" s="25">
        <v>0</v>
      </c>
      <c r="AT27" s="32">
        <f t="shared" si="0"/>
        <v>31167.98</v>
      </c>
      <c r="AU27" s="17">
        <v>9500</v>
      </c>
      <c r="AV27" s="17">
        <v>226.5</v>
      </c>
      <c r="AW27" s="17">
        <v>28.58</v>
      </c>
      <c r="AX27" s="17">
        <v>0.3589</v>
      </c>
      <c r="AY27" s="17">
        <v>3.355</v>
      </c>
      <c r="AZ27" s="17">
        <v>2.0339999999999998</v>
      </c>
      <c r="BA27" s="33">
        <v>301.7</v>
      </c>
    </row>
    <row r="28" spans="2:53">
      <c r="B28" s="146">
        <v>5000</v>
      </c>
      <c r="C28" s="147">
        <v>0</v>
      </c>
      <c r="D28" s="147">
        <v>0.01</v>
      </c>
      <c r="E28" s="148" cm="1">
        <f t="array" ref="E28">((B28-INDEX($AT$4:$AW$53,MATCH(B28,$AT$4:$AT$53,1),1))/(INDEX($AT$4:$AW$53,MATCH(B28,$AT$4:$AT$53,1)+1,1)-INDEX($AT$4:$AW$53,MATCH(B28,$AT$4:$AT$53,1),1)))*(INDEX($AT$4:$AW$53,MATCH(B28,$AT$4:$AT$53,1)+1,4)-INDEX($AT$4:$AW$53,MATCH(B28,$AT$4:$AT$53,1),4))+INDEX($AT$4:$AW$53,MATCH(B28,$AT$4:$AT$53,1),4)</f>
        <v>84.317120493532144</v>
      </c>
      <c r="F28" s="148" cm="1">
        <f t="array" ref="F28">C28+((B28-INDEX($AT$4:$AW$53,MATCH(B28,$AT$4:$AT$53,1),1))/(INDEX($AT$4:$AW$53,MATCH(B28,$AT$4:$AT$53,1)+1,1)-INDEX($AT$4:$AW$53,MATCH(B28,$AT$4:$AT$53,1),1)))*(INDEX($AT$4:$AW$53,MATCH(B28,$AT$4:$AT$53,1)+1,3)-INDEX($AT$4:$AW$53,MATCH(B28,$AT$4:$AT$53,1),3))+INDEX($AT$4:$AW$53,MATCH(B28,$AT$4:$AT$53,1),3)</f>
        <v>278.24640031211516</v>
      </c>
      <c r="G28" s="149">
        <f t="shared" si="1"/>
        <v>1.0558550836759641</v>
      </c>
      <c r="H28" s="150">
        <f t="shared" si="18"/>
        <v>5000</v>
      </c>
      <c r="I28" s="148">
        <f t="shared" si="2"/>
        <v>3.3436417817315278</v>
      </c>
      <c r="J28" s="148">
        <f t="shared" si="19"/>
        <v>6.4995046410010131</v>
      </c>
      <c r="K28" s="148">
        <f t="shared" si="3"/>
        <v>6.0335701984426349</v>
      </c>
      <c r="L28" s="148">
        <f t="shared" si="20"/>
        <v>6.0335828576627151</v>
      </c>
      <c r="M28" s="148">
        <f t="shared" si="21"/>
        <v>5.9023459909631508E-3</v>
      </c>
      <c r="N28" s="148">
        <f t="shared" si="22"/>
        <v>5.9021984345472497E-3</v>
      </c>
      <c r="O28" s="149">
        <f t="shared" si="4"/>
        <v>1.0000199999999999</v>
      </c>
      <c r="P28" s="149">
        <f t="shared" si="5"/>
        <v>1.0000700017500173</v>
      </c>
      <c r="Q28" s="149">
        <f t="shared" si="6"/>
        <v>0.96564971452410686</v>
      </c>
      <c r="R28" s="149">
        <f t="shared" si="7"/>
        <v>0.83220353160151106</v>
      </c>
      <c r="S28" s="149">
        <f t="shared" si="8"/>
        <v>0.8617637538383689</v>
      </c>
      <c r="T28" s="151"/>
      <c r="U28" s="151"/>
      <c r="V28" s="151">
        <v>1</v>
      </c>
      <c r="W28" s="151">
        <v>1</v>
      </c>
      <c r="X28" s="125"/>
      <c r="Y28" s="151">
        <f t="shared" si="23"/>
        <v>-193.36384508008092</v>
      </c>
      <c r="Z28" s="1">
        <f t="shared" si="24"/>
        <v>-193.36384508008092</v>
      </c>
      <c r="AB28" s="130">
        <v>1</v>
      </c>
      <c r="AC28" s="128">
        <f t="shared" si="9"/>
        <v>0.56299999999999994</v>
      </c>
      <c r="AD28" s="4">
        <f t="shared" si="10"/>
        <v>0.83220353160151106</v>
      </c>
      <c r="AE28" s="4">
        <f t="shared" si="11"/>
        <v>1.3870058860025185</v>
      </c>
      <c r="AF28" s="32">
        <f t="shared" si="12"/>
        <v>0.40451402623970012</v>
      </c>
      <c r="AG28" s="4">
        <f t="shared" si="13"/>
        <v>0.88734644891157344</v>
      </c>
      <c r="AH28" s="42">
        <f t="shared" si="14"/>
        <v>1.5749171136994229</v>
      </c>
      <c r="AJ28" s="23">
        <v>4</v>
      </c>
      <c r="AK28" s="24">
        <v>0.8</v>
      </c>
      <c r="AL28" s="5">
        <f t="shared" si="15"/>
        <v>2.0799999999999999E-2</v>
      </c>
      <c r="AM28" s="5">
        <f t="shared" si="25"/>
        <v>0.1194718394324346</v>
      </c>
      <c r="AN28" s="25">
        <f t="shared" si="26"/>
        <v>-8.0000000000000002E-3</v>
      </c>
      <c r="AO28" s="30">
        <f t="shared" si="16"/>
        <v>1.4E-2</v>
      </c>
      <c r="AP28" s="5">
        <f t="shared" si="17"/>
        <v>0.18</v>
      </c>
      <c r="AQ28" s="25">
        <v>0</v>
      </c>
      <c r="AT28" s="32">
        <f t="shared" si="0"/>
        <v>32808.400000000001</v>
      </c>
      <c r="AU28" s="17">
        <v>10000</v>
      </c>
      <c r="AV28" s="17">
        <v>223.3</v>
      </c>
      <c r="AW28" s="17">
        <v>26.5</v>
      </c>
      <c r="AX28" s="17">
        <v>0.33760000000000001</v>
      </c>
      <c r="AY28" s="17">
        <v>3.5249999999999999</v>
      </c>
      <c r="AZ28" s="17">
        <v>2.0070000000000001</v>
      </c>
      <c r="BA28" s="33">
        <v>299.8</v>
      </c>
    </row>
    <row r="29" spans="2:53">
      <c r="B29" s="38">
        <v>5000</v>
      </c>
      <c r="C29" s="3">
        <v>0</v>
      </c>
      <c r="D29" s="3">
        <v>0.05</v>
      </c>
      <c r="E29" s="13" cm="1">
        <f t="array" ref="E29">((B29-INDEX($AT$4:$AW$53,MATCH(B29,$AT$4:$AT$53,1),1))/(INDEX($AT$4:$AW$53,MATCH(B29,$AT$4:$AT$53,1)+1,1)-INDEX($AT$4:$AW$53,MATCH(B29,$AT$4:$AT$53,1),1)))*(INDEX($AT$4:$AW$53,MATCH(B29,$AT$4:$AT$53,1)+1,4)-INDEX($AT$4:$AW$53,MATCH(B29,$AT$4:$AT$53,1),4))+INDEX($AT$4:$AW$53,MATCH(B29,$AT$4:$AT$53,1),4)</f>
        <v>84.317120493532144</v>
      </c>
      <c r="F29" s="13" cm="1">
        <f t="array" ref="F29">C29+((B29-INDEX($AT$4:$AW$53,MATCH(B29,$AT$4:$AT$53,1),1))/(INDEX($AT$4:$AW$53,MATCH(B29,$AT$4:$AT$53,1)+1,1)-INDEX($AT$4:$AW$53,MATCH(B29,$AT$4:$AT$53,1),1)))*(INDEX($AT$4:$AW$53,MATCH(B29,$AT$4:$AT$53,1)+1,3)-INDEX($AT$4:$AW$53,MATCH(B29,$AT$4:$AT$53,1),3))+INDEX($AT$4:$AW$53,MATCH(B29,$AT$4:$AT$53,1),3)</f>
        <v>278.24640031211516</v>
      </c>
      <c r="G29" s="4">
        <f t="shared" si="1"/>
        <v>1.0558550836759641</v>
      </c>
      <c r="H29" s="6">
        <f t="shared" si="18"/>
        <v>5000</v>
      </c>
      <c r="I29" s="13">
        <f t="shared" si="2"/>
        <v>16.71820890865764</v>
      </c>
      <c r="J29" s="13">
        <f t="shared" si="19"/>
        <v>32.497523205005066</v>
      </c>
      <c r="K29" s="13">
        <f t="shared" si="3"/>
        <v>30.167850992213175</v>
      </c>
      <c r="L29" s="13">
        <f t="shared" si="20"/>
        <v>30.169432472527781</v>
      </c>
      <c r="M29" s="13">
        <f t="shared" si="21"/>
        <v>0.14764720577110979</v>
      </c>
      <c r="N29" s="13">
        <f t="shared" si="22"/>
        <v>0.14755496086368125</v>
      </c>
      <c r="O29" s="4">
        <f t="shared" si="4"/>
        <v>1.0004999999999999</v>
      </c>
      <c r="P29" s="4">
        <f t="shared" si="5"/>
        <v>1.0017510940234544</v>
      </c>
      <c r="Q29" s="4">
        <f t="shared" si="6"/>
        <v>0.96611321711702669</v>
      </c>
      <c r="R29" s="4">
        <f t="shared" si="7"/>
        <v>0.83360244460205524</v>
      </c>
      <c r="S29" s="4">
        <f t="shared" si="8"/>
        <v>0.8617637538383689</v>
      </c>
      <c r="T29" s="1"/>
      <c r="U29" s="1"/>
      <c r="V29" s="1">
        <v>1</v>
      </c>
      <c r="W29" s="1">
        <v>1</v>
      </c>
      <c r="Y29" s="1">
        <f t="shared" si="23"/>
        <v>-33.210270553518768</v>
      </c>
      <c r="Z29" s="1">
        <f t="shared" si="24"/>
        <v>-33.210270553518768</v>
      </c>
      <c r="AB29" s="130">
        <v>1</v>
      </c>
      <c r="AC29" s="128">
        <f t="shared" si="9"/>
        <v>0.55434752415750155</v>
      </c>
      <c r="AD29" s="4">
        <f t="shared" si="10"/>
        <v>0.83360244460205524</v>
      </c>
      <c r="AE29" s="4">
        <f t="shared" si="11"/>
        <v>1.3893374076700922</v>
      </c>
      <c r="AF29" s="32">
        <f t="shared" si="12"/>
        <v>0.42573958913725274</v>
      </c>
      <c r="AG29" s="4">
        <f t="shared" si="13"/>
        <v>0.89913842829910273</v>
      </c>
      <c r="AH29" s="42">
        <f t="shared" si="14"/>
        <v>1.5855298951481993</v>
      </c>
      <c r="AJ29" s="23">
        <v>4</v>
      </c>
      <c r="AK29" s="24">
        <v>0.8</v>
      </c>
      <c r="AL29" s="5">
        <f t="shared" si="15"/>
        <v>2.0799999999999999E-2</v>
      </c>
      <c r="AM29" s="5">
        <f t="shared" si="25"/>
        <v>0.1194718394324346</v>
      </c>
      <c r="AN29" s="25">
        <f t="shared" si="26"/>
        <v>-8.0000000000000002E-3</v>
      </c>
      <c r="AO29" s="30">
        <f t="shared" si="16"/>
        <v>1.4E-2</v>
      </c>
      <c r="AP29" s="5">
        <f t="shared" si="17"/>
        <v>0.18</v>
      </c>
      <c r="AQ29" s="25">
        <v>0</v>
      </c>
      <c r="AT29" s="32">
        <f t="shared" si="0"/>
        <v>34448.82</v>
      </c>
      <c r="AU29" s="17">
        <v>10500</v>
      </c>
      <c r="AV29" s="17">
        <v>220</v>
      </c>
      <c r="AW29" s="17">
        <v>24.54</v>
      </c>
      <c r="AX29" s="17">
        <v>0.31719999999999998</v>
      </c>
      <c r="AY29" s="17">
        <v>3.706</v>
      </c>
      <c r="AZ29" s="17">
        <v>1.98</v>
      </c>
      <c r="BA29" s="33">
        <v>297.39999999999998</v>
      </c>
    </row>
    <row r="30" spans="2:53">
      <c r="B30" s="38">
        <v>5000</v>
      </c>
      <c r="C30" s="3">
        <v>0</v>
      </c>
      <c r="D30" s="3">
        <f>D29+0.05</f>
        <v>0.1</v>
      </c>
      <c r="E30" s="13" cm="1">
        <f t="array" ref="E30">((B30-INDEX($AT$4:$AW$53,MATCH(B30,$AT$4:$AT$53,1),1))/(INDEX($AT$4:$AW$53,MATCH(B30,$AT$4:$AT$53,1)+1,1)-INDEX($AT$4:$AW$53,MATCH(B30,$AT$4:$AT$53,1),1)))*(INDEX($AT$4:$AW$53,MATCH(B30,$AT$4:$AT$53,1)+1,4)-INDEX($AT$4:$AW$53,MATCH(B30,$AT$4:$AT$53,1),4))+INDEX($AT$4:$AW$53,MATCH(B30,$AT$4:$AT$53,1),4)</f>
        <v>84.317120493532144</v>
      </c>
      <c r="F30" s="13" cm="1">
        <f t="array" ref="F30">C30+((B30-INDEX($AT$4:$AW$53,MATCH(B30,$AT$4:$AT$53,1),1))/(INDEX($AT$4:$AW$53,MATCH(B30,$AT$4:$AT$53,1)+1,1)-INDEX($AT$4:$AW$53,MATCH(B30,$AT$4:$AT$53,1),1)))*(INDEX($AT$4:$AW$53,MATCH(B30,$AT$4:$AT$53,1)+1,3)-INDEX($AT$4:$AW$53,MATCH(B30,$AT$4:$AT$53,1),3))+INDEX($AT$4:$AW$53,MATCH(B30,$AT$4:$AT$53,1),3)</f>
        <v>278.24640031211516</v>
      </c>
      <c r="G30" s="4">
        <f t="shared" si="1"/>
        <v>1.0558550836759641</v>
      </c>
      <c r="H30" s="6">
        <f t="shared" si="18"/>
        <v>5000</v>
      </c>
      <c r="I30" s="13">
        <f t="shared" si="2"/>
        <v>33.436417817315281</v>
      </c>
      <c r="J30" s="13">
        <f t="shared" si="19"/>
        <v>64.995046410010133</v>
      </c>
      <c r="K30" s="13">
        <f t="shared" si="3"/>
        <v>60.33570198442635</v>
      </c>
      <c r="L30" s="13">
        <f t="shared" si="20"/>
        <v>60.348330778232771</v>
      </c>
      <c r="M30" s="13">
        <f t="shared" si="21"/>
        <v>0.59169686898177953</v>
      </c>
      <c r="N30" s="13">
        <f t="shared" si="22"/>
        <v>0.590219843454725</v>
      </c>
      <c r="O30" s="4">
        <f t="shared" si="4"/>
        <v>1.002</v>
      </c>
      <c r="P30" s="4">
        <f t="shared" si="5"/>
        <v>1.0070175175043741</v>
      </c>
      <c r="Q30" s="4">
        <f t="shared" si="6"/>
        <v>0.96756166271990085</v>
      </c>
      <c r="R30" s="4">
        <f t="shared" si="7"/>
        <v>0.83798487404405553</v>
      </c>
      <c r="S30" s="4">
        <f t="shared" si="8"/>
        <v>0.8617637538383689</v>
      </c>
      <c r="T30" s="1"/>
      <c r="U30" s="1"/>
      <c r="V30" s="1">
        <v>1</v>
      </c>
      <c r="W30" s="1">
        <v>1</v>
      </c>
      <c r="Y30" s="1">
        <f t="shared" si="23"/>
        <v>-8.1180095511396502</v>
      </c>
      <c r="Z30" s="1">
        <f t="shared" si="24"/>
        <v>-8.1180095511396502</v>
      </c>
      <c r="AB30" s="130">
        <v>1</v>
      </c>
      <c r="AC30" s="128">
        <f t="shared" si="9"/>
        <v>0.5478640563788213</v>
      </c>
      <c r="AD30" s="4">
        <f t="shared" si="10"/>
        <v>0.83798487404405553</v>
      </c>
      <c r="AE30" s="4">
        <f t="shared" si="11"/>
        <v>1.3966414567400927</v>
      </c>
      <c r="AF30" s="32">
        <f t="shared" si="12"/>
        <v>0.45227154275919346</v>
      </c>
      <c r="AG30" s="4">
        <f t="shared" si="13"/>
        <v>0.91387840253351427</v>
      </c>
      <c r="AH30" s="42">
        <f t="shared" si="14"/>
        <v>1.5987958719591695</v>
      </c>
      <c r="AJ30" s="23">
        <v>4</v>
      </c>
      <c r="AK30" s="24">
        <v>0.8</v>
      </c>
      <c r="AL30" s="5">
        <f t="shared" si="15"/>
        <v>2.0799999999999999E-2</v>
      </c>
      <c r="AM30" s="5">
        <f t="shared" si="25"/>
        <v>0.1194718394324346</v>
      </c>
      <c r="AN30" s="25">
        <f t="shared" si="26"/>
        <v>-8.0000000000000002E-3</v>
      </c>
      <c r="AO30" s="30">
        <f t="shared" si="16"/>
        <v>1.4E-2</v>
      </c>
      <c r="AP30" s="5">
        <f t="shared" si="17"/>
        <v>0.18</v>
      </c>
      <c r="AQ30" s="25">
        <v>0</v>
      </c>
      <c r="AT30" s="32">
        <f t="shared" si="0"/>
        <v>36089.24</v>
      </c>
      <c r="AU30" s="17">
        <v>11000</v>
      </c>
      <c r="AV30" s="17">
        <v>216.8</v>
      </c>
      <c r="AW30" s="17">
        <v>22.7</v>
      </c>
      <c r="AX30" s="17">
        <v>0.29780000000000001</v>
      </c>
      <c r="AY30" s="17">
        <v>3.899</v>
      </c>
      <c r="AZ30" s="17">
        <v>1.9530000000000001</v>
      </c>
      <c r="BA30" s="33">
        <v>295.2</v>
      </c>
    </row>
    <row r="31" spans="2:53">
      <c r="B31" s="38">
        <v>5000</v>
      </c>
      <c r="C31" s="3">
        <v>0</v>
      </c>
      <c r="D31" s="3">
        <f t="shared" ref="D31:D40" si="30">D30+0.05</f>
        <v>0.15000000000000002</v>
      </c>
      <c r="E31" s="13" cm="1">
        <f t="array" ref="E31">((B31-INDEX($AT$4:$AW$53,MATCH(B31,$AT$4:$AT$53,1),1))/(INDEX($AT$4:$AW$53,MATCH(B31,$AT$4:$AT$53,1)+1,1)-INDEX($AT$4:$AW$53,MATCH(B31,$AT$4:$AT$53,1),1)))*(INDEX($AT$4:$AW$53,MATCH(B31,$AT$4:$AT$53,1)+1,4)-INDEX($AT$4:$AW$53,MATCH(B31,$AT$4:$AT$53,1),4))+INDEX($AT$4:$AW$53,MATCH(B31,$AT$4:$AT$53,1),4)</f>
        <v>84.317120493532144</v>
      </c>
      <c r="F31" s="13" cm="1">
        <f t="array" ref="F31">C31+((B31-INDEX($AT$4:$AW$53,MATCH(B31,$AT$4:$AT$53,1),1))/(INDEX($AT$4:$AW$53,MATCH(B31,$AT$4:$AT$53,1)+1,1)-INDEX($AT$4:$AW$53,MATCH(B31,$AT$4:$AT$53,1),1)))*(INDEX($AT$4:$AW$53,MATCH(B31,$AT$4:$AT$53,1)+1,3)-INDEX($AT$4:$AW$53,MATCH(B31,$AT$4:$AT$53,1),3))+INDEX($AT$4:$AW$53,MATCH(B31,$AT$4:$AT$53,1),3)</f>
        <v>278.24640031211516</v>
      </c>
      <c r="G31" s="4">
        <f t="shared" si="1"/>
        <v>1.0558550836759641</v>
      </c>
      <c r="H31" s="6">
        <f t="shared" si="18"/>
        <v>5000</v>
      </c>
      <c r="I31" s="13">
        <f t="shared" si="2"/>
        <v>50.154626725972925</v>
      </c>
      <c r="J31" s="13">
        <f t="shared" si="19"/>
        <v>97.492569615015213</v>
      </c>
      <c r="K31" s="13">
        <f t="shared" si="3"/>
        <v>90.50355297663954</v>
      </c>
      <c r="L31" s="13">
        <f t="shared" si="20"/>
        <v>90.54604601306184</v>
      </c>
      <c r="M31" s="13">
        <f t="shared" si="21"/>
        <v>1.335481434549024</v>
      </c>
      <c r="N31" s="13">
        <f t="shared" si="22"/>
        <v>1.3279946477731319</v>
      </c>
      <c r="O31" s="4">
        <f t="shared" si="4"/>
        <v>1.0044999999999999</v>
      </c>
      <c r="P31" s="4">
        <f t="shared" si="5"/>
        <v>1.0158387931980133</v>
      </c>
      <c r="Q31" s="4">
        <f t="shared" si="6"/>
        <v>0.96997573872469089</v>
      </c>
      <c r="R31" s="4">
        <f t="shared" si="7"/>
        <v>0.84532545697588124</v>
      </c>
      <c r="S31" s="4">
        <f t="shared" si="8"/>
        <v>0.8617637538383689</v>
      </c>
      <c r="T31" s="1"/>
      <c r="U31" s="1"/>
      <c r="V31" s="1">
        <v>1</v>
      </c>
      <c r="W31" s="1">
        <v>1</v>
      </c>
      <c r="Y31" s="1">
        <f t="shared" si="23"/>
        <v>3.9110557819720131</v>
      </c>
      <c r="Z31" s="1">
        <f t="shared" si="24"/>
        <v>3.9110557819720131</v>
      </c>
      <c r="AB31" s="130">
        <v>1</v>
      </c>
      <c r="AC31" s="128">
        <f t="shared" si="9"/>
        <v>0.54288911657654815</v>
      </c>
      <c r="AD31" s="4">
        <f t="shared" si="10"/>
        <v>0.84532545697588124</v>
      </c>
      <c r="AE31" s="4">
        <f t="shared" si="11"/>
        <v>1.4088757616264689</v>
      </c>
      <c r="AF31" s="32">
        <f t="shared" si="12"/>
        <v>0.47880349638113417</v>
      </c>
      <c r="AG31" s="4">
        <f t="shared" si="13"/>
        <v>0.9286183767679258</v>
      </c>
      <c r="AH31" s="42">
        <f t="shared" si="14"/>
        <v>1.6120618487701399</v>
      </c>
      <c r="AJ31" s="23">
        <v>4</v>
      </c>
      <c r="AK31" s="24">
        <v>0.8</v>
      </c>
      <c r="AL31" s="5">
        <f t="shared" si="15"/>
        <v>2.0799999999999999E-2</v>
      </c>
      <c r="AM31" s="5">
        <f t="shared" si="25"/>
        <v>0.1194718394324346</v>
      </c>
      <c r="AN31" s="25">
        <f t="shared" si="26"/>
        <v>-8.0000000000000002E-3</v>
      </c>
      <c r="AO31" s="30">
        <f t="shared" si="16"/>
        <v>1.4E-2</v>
      </c>
      <c r="AP31" s="5">
        <f t="shared" si="17"/>
        <v>0.18</v>
      </c>
      <c r="AQ31" s="25">
        <v>0</v>
      </c>
      <c r="AT31" s="32">
        <f t="shared" si="0"/>
        <v>37729.659999999996</v>
      </c>
      <c r="AU31" s="17">
        <v>11500</v>
      </c>
      <c r="AV31" s="17">
        <v>216.7</v>
      </c>
      <c r="AW31" s="17">
        <v>20.98</v>
      </c>
      <c r="AX31" s="17">
        <v>0.27550000000000002</v>
      </c>
      <c r="AY31" s="17">
        <v>4.2130000000000001</v>
      </c>
      <c r="AZ31" s="17">
        <v>1.952</v>
      </c>
      <c r="BA31" s="33">
        <v>295.10000000000002</v>
      </c>
    </row>
    <row r="32" spans="2:53">
      <c r="B32" s="38">
        <v>5000</v>
      </c>
      <c r="C32" s="3">
        <v>0</v>
      </c>
      <c r="D32" s="3">
        <f t="shared" si="30"/>
        <v>0.2</v>
      </c>
      <c r="E32" s="13" cm="1">
        <f t="array" ref="E32">((B32-INDEX($AT$4:$AW$53,MATCH(B32,$AT$4:$AT$53,1),1))/(INDEX($AT$4:$AW$53,MATCH(B32,$AT$4:$AT$53,1)+1,1)-INDEX($AT$4:$AW$53,MATCH(B32,$AT$4:$AT$53,1),1)))*(INDEX($AT$4:$AW$53,MATCH(B32,$AT$4:$AT$53,1)+1,4)-INDEX($AT$4:$AW$53,MATCH(B32,$AT$4:$AT$53,1),4))+INDEX($AT$4:$AW$53,MATCH(B32,$AT$4:$AT$53,1),4)</f>
        <v>84.317120493532144</v>
      </c>
      <c r="F32" s="13" cm="1">
        <f t="array" ref="F32">C32+((B32-INDEX($AT$4:$AW$53,MATCH(B32,$AT$4:$AT$53,1),1))/(INDEX($AT$4:$AW$53,MATCH(B32,$AT$4:$AT$53,1)+1,1)-INDEX($AT$4:$AW$53,MATCH(B32,$AT$4:$AT$53,1),1)))*(INDEX($AT$4:$AW$53,MATCH(B32,$AT$4:$AT$53,1)+1,3)-INDEX($AT$4:$AW$53,MATCH(B32,$AT$4:$AT$53,1),3))+INDEX($AT$4:$AW$53,MATCH(B32,$AT$4:$AT$53,1),3)</f>
        <v>278.24640031211516</v>
      </c>
      <c r="G32" s="4">
        <f t="shared" si="1"/>
        <v>1.0558550836759641</v>
      </c>
      <c r="H32" s="6">
        <f t="shared" si="18"/>
        <v>5000</v>
      </c>
      <c r="I32" s="13">
        <f t="shared" si="2"/>
        <v>66.872835634630562</v>
      </c>
      <c r="J32" s="13">
        <f t="shared" si="19"/>
        <v>129.99009282002027</v>
      </c>
      <c r="K32" s="13">
        <f t="shared" si="3"/>
        <v>120.6714039688527</v>
      </c>
      <c r="L32" s="13">
        <f t="shared" si="20"/>
        <v>120.77170214728791</v>
      </c>
      <c r="M32" s="13">
        <f t="shared" si="21"/>
        <v>2.3845826970918251</v>
      </c>
      <c r="N32" s="13">
        <f t="shared" si="22"/>
        <v>2.3608793738189</v>
      </c>
      <c r="O32" s="4">
        <f t="shared" si="4"/>
        <v>1.008</v>
      </c>
      <c r="P32" s="4">
        <f t="shared" si="5"/>
        <v>1.0282811211191059</v>
      </c>
      <c r="Q32" s="4">
        <f t="shared" si="6"/>
        <v>0.97335544513139716</v>
      </c>
      <c r="R32" s="4">
        <f t="shared" si="7"/>
        <v>0.85567928142732763</v>
      </c>
      <c r="S32" s="4">
        <f t="shared" si="8"/>
        <v>0.8617637538383689</v>
      </c>
      <c r="T32" s="1"/>
      <c r="U32" s="1"/>
      <c r="V32" s="1">
        <v>1</v>
      </c>
      <c r="W32" s="1">
        <v>1</v>
      </c>
      <c r="Y32" s="1">
        <f t="shared" si="23"/>
        <v>12.555791601470839</v>
      </c>
      <c r="Z32" s="1">
        <f t="shared" si="24"/>
        <v>12.555791601470839</v>
      </c>
      <c r="AB32" s="130">
        <v>1</v>
      </c>
      <c r="AC32" s="128">
        <f t="shared" si="9"/>
        <v>0.53869504831500292</v>
      </c>
      <c r="AD32" s="4">
        <f t="shared" si="10"/>
        <v>0.85567928142732763</v>
      </c>
      <c r="AE32" s="4">
        <f t="shared" si="11"/>
        <v>1.4261321357122128</v>
      </c>
      <c r="AF32" s="32">
        <f t="shared" si="12"/>
        <v>0.50533545000307489</v>
      </c>
      <c r="AG32" s="4">
        <f t="shared" si="13"/>
        <v>0.94335835100233723</v>
      </c>
      <c r="AH32" s="42">
        <f t="shared" si="14"/>
        <v>1.6253278255811103</v>
      </c>
      <c r="AJ32" s="23">
        <v>4</v>
      </c>
      <c r="AK32" s="24">
        <v>0.8</v>
      </c>
      <c r="AL32" s="5">
        <f t="shared" si="15"/>
        <v>2.0799999999999999E-2</v>
      </c>
      <c r="AM32" s="5">
        <f t="shared" si="25"/>
        <v>0.1194718394324346</v>
      </c>
      <c r="AN32" s="25">
        <f t="shared" si="26"/>
        <v>-8.0000000000000002E-3</v>
      </c>
      <c r="AO32" s="30">
        <f t="shared" si="16"/>
        <v>1.4E-2</v>
      </c>
      <c r="AP32" s="5">
        <f t="shared" si="17"/>
        <v>0.18</v>
      </c>
      <c r="AQ32" s="25">
        <v>0</v>
      </c>
      <c r="AT32" s="32">
        <f t="shared" si="0"/>
        <v>39370.080000000002</v>
      </c>
      <c r="AU32" s="17">
        <v>12000</v>
      </c>
      <c r="AV32" s="17">
        <v>216.7</v>
      </c>
      <c r="AW32" s="17">
        <v>19.399999999999999</v>
      </c>
      <c r="AX32" s="17">
        <v>0.25459999999999999</v>
      </c>
      <c r="AY32" s="17">
        <v>4.5570000000000004</v>
      </c>
      <c r="AZ32" s="17">
        <v>1.952</v>
      </c>
      <c r="BA32" s="33">
        <v>295.10000000000002</v>
      </c>
    </row>
    <row r="33" spans="2:53">
      <c r="B33" s="38">
        <v>5000</v>
      </c>
      <c r="C33" s="3">
        <v>0</v>
      </c>
      <c r="D33" s="3">
        <f t="shared" si="30"/>
        <v>0.25</v>
      </c>
      <c r="E33" s="13" cm="1">
        <f t="array" ref="E33">((B33-INDEX($AT$4:$AW$53,MATCH(B33,$AT$4:$AT$53,1),1))/(INDEX($AT$4:$AW$53,MATCH(B33,$AT$4:$AT$53,1)+1,1)-INDEX($AT$4:$AW$53,MATCH(B33,$AT$4:$AT$53,1),1)))*(INDEX($AT$4:$AW$53,MATCH(B33,$AT$4:$AT$53,1)+1,4)-INDEX($AT$4:$AW$53,MATCH(B33,$AT$4:$AT$53,1),4))+INDEX($AT$4:$AW$53,MATCH(B33,$AT$4:$AT$53,1),4)</f>
        <v>84.317120493532144</v>
      </c>
      <c r="F33" s="13" cm="1">
        <f t="array" ref="F33">C33+((B33-INDEX($AT$4:$AW$53,MATCH(B33,$AT$4:$AT$53,1),1))/(INDEX($AT$4:$AW$53,MATCH(B33,$AT$4:$AT$53,1)+1,1)-INDEX($AT$4:$AW$53,MATCH(B33,$AT$4:$AT$53,1),1)))*(INDEX($AT$4:$AW$53,MATCH(B33,$AT$4:$AT$53,1)+1,3)-INDEX($AT$4:$AW$53,MATCH(B33,$AT$4:$AT$53,1),3))+INDEX($AT$4:$AW$53,MATCH(B33,$AT$4:$AT$53,1),3)</f>
        <v>278.24640031211516</v>
      </c>
      <c r="G33" s="4">
        <f t="shared" si="1"/>
        <v>1.0558550836759641</v>
      </c>
      <c r="H33" s="6">
        <f t="shared" si="18"/>
        <v>5000</v>
      </c>
      <c r="I33" s="13">
        <f t="shared" si="2"/>
        <v>83.591044543288191</v>
      </c>
      <c r="J33" s="13">
        <f t="shared" si="19"/>
        <v>162.48761602502532</v>
      </c>
      <c r="K33" s="13">
        <f t="shared" si="3"/>
        <v>150.83925496106588</v>
      </c>
      <c r="L33" s="13">
        <f t="shared" si="20"/>
        <v>151.03408827301465</v>
      </c>
      <c r="M33" s="13">
        <f t="shared" si="21"/>
        <v>3.7468734819591551</v>
      </c>
      <c r="N33" s="13">
        <f t="shared" si="22"/>
        <v>3.688874021592031</v>
      </c>
      <c r="O33" s="4">
        <f t="shared" si="4"/>
        <v>1.0125</v>
      </c>
      <c r="P33" s="4">
        <f t="shared" si="5"/>
        <v>1.0444378728783388</v>
      </c>
      <c r="Q33" s="4">
        <f t="shared" si="6"/>
        <v>0.97770078194001941</v>
      </c>
      <c r="R33" s="4">
        <f t="shared" si="7"/>
        <v>0.86912404614351146</v>
      </c>
      <c r="S33" s="4">
        <f t="shared" si="8"/>
        <v>0.8617637538383689</v>
      </c>
      <c r="T33" s="1"/>
      <c r="U33" s="1"/>
      <c r="V33" s="1">
        <v>1</v>
      </c>
      <c r="W33" s="1">
        <v>1</v>
      </c>
      <c r="Y33" s="1">
        <f t="shared" si="23"/>
        <v>19.717154138364204</v>
      </c>
      <c r="Z33" s="1">
        <f t="shared" si="24"/>
        <v>19.717154138364204</v>
      </c>
      <c r="AB33" s="130">
        <v>1</v>
      </c>
      <c r="AC33" s="128">
        <f t="shared" si="9"/>
        <v>0.53500000000000003</v>
      </c>
      <c r="AD33" s="4">
        <f t="shared" si="10"/>
        <v>0.86912404614351146</v>
      </c>
      <c r="AE33" s="4">
        <f t="shared" si="11"/>
        <v>1.4485400769058525</v>
      </c>
      <c r="AF33" s="32">
        <f t="shared" si="12"/>
        <v>0.5318674036250155</v>
      </c>
      <c r="AG33" s="4">
        <f t="shared" si="13"/>
        <v>0.95809832523674876</v>
      </c>
      <c r="AH33" s="42">
        <f t="shared" si="14"/>
        <v>1.6385938023920805</v>
      </c>
      <c r="AJ33" s="23">
        <v>4</v>
      </c>
      <c r="AK33" s="24">
        <v>0.8</v>
      </c>
      <c r="AL33" s="5">
        <f t="shared" si="15"/>
        <v>2.0799999999999999E-2</v>
      </c>
      <c r="AM33" s="5">
        <f t="shared" si="25"/>
        <v>0.1194718394324346</v>
      </c>
      <c r="AN33" s="25">
        <f t="shared" si="26"/>
        <v>-8.0000000000000002E-3</v>
      </c>
      <c r="AO33" s="30">
        <f t="shared" si="16"/>
        <v>1.4E-2</v>
      </c>
      <c r="AP33" s="5">
        <f t="shared" si="17"/>
        <v>0.18</v>
      </c>
      <c r="AQ33" s="25">
        <v>0</v>
      </c>
      <c r="AT33" s="32">
        <f t="shared" si="0"/>
        <v>41010.5</v>
      </c>
      <c r="AU33" s="17">
        <v>12500</v>
      </c>
      <c r="AV33" s="17">
        <v>216.7</v>
      </c>
      <c r="AW33" s="17">
        <v>17.93</v>
      </c>
      <c r="AX33" s="17">
        <v>0.2354</v>
      </c>
      <c r="AY33" s="17">
        <v>4.93</v>
      </c>
      <c r="AZ33" s="17">
        <v>1.952</v>
      </c>
      <c r="BA33" s="33">
        <v>295.10000000000002</v>
      </c>
    </row>
    <row r="34" spans="2:53">
      <c r="B34" s="38">
        <v>5000</v>
      </c>
      <c r="C34" s="3">
        <v>0</v>
      </c>
      <c r="D34" s="3">
        <f t="shared" si="30"/>
        <v>0.3</v>
      </c>
      <c r="E34" s="13" cm="1">
        <f t="array" ref="E34">((B34-INDEX($AT$4:$AW$53,MATCH(B34,$AT$4:$AT$53,1),1))/(INDEX($AT$4:$AW$53,MATCH(B34,$AT$4:$AT$53,1)+1,1)-INDEX($AT$4:$AW$53,MATCH(B34,$AT$4:$AT$53,1),1)))*(INDEX($AT$4:$AW$53,MATCH(B34,$AT$4:$AT$53,1)+1,4)-INDEX($AT$4:$AW$53,MATCH(B34,$AT$4:$AT$53,1),4))+INDEX($AT$4:$AW$53,MATCH(B34,$AT$4:$AT$53,1),4)</f>
        <v>84.317120493532144</v>
      </c>
      <c r="F34" s="13" cm="1">
        <f t="array" ref="F34">C34+((B34-INDEX($AT$4:$AW$53,MATCH(B34,$AT$4:$AT$53,1),1))/(INDEX($AT$4:$AW$53,MATCH(B34,$AT$4:$AT$53,1)+1,1)-INDEX($AT$4:$AW$53,MATCH(B34,$AT$4:$AT$53,1),1)))*(INDEX($AT$4:$AW$53,MATCH(B34,$AT$4:$AT$53,1)+1,3)-INDEX($AT$4:$AW$53,MATCH(B34,$AT$4:$AT$53,1),3))+INDEX($AT$4:$AW$53,MATCH(B34,$AT$4:$AT$53,1),3)</f>
        <v>278.24640031211516</v>
      </c>
      <c r="G34" s="4">
        <f t="shared" si="1"/>
        <v>1.0558550836759641</v>
      </c>
      <c r="H34" s="6">
        <f t="shared" si="18"/>
        <v>5000</v>
      </c>
      <c r="I34" s="13">
        <f t="shared" si="2"/>
        <v>100.30925345194582</v>
      </c>
      <c r="J34" s="13">
        <f t="shared" si="19"/>
        <v>194.98513923003037</v>
      </c>
      <c r="K34" s="13">
        <f t="shared" si="3"/>
        <v>181.00710595327902</v>
      </c>
      <c r="L34" s="13">
        <f t="shared" si="20"/>
        <v>181.34155765266112</v>
      </c>
      <c r="M34" s="13">
        <f t="shared" si="21"/>
        <v>5.4325762009900478</v>
      </c>
      <c r="N34" s="13">
        <f t="shared" si="22"/>
        <v>5.3119785910925241</v>
      </c>
      <c r="O34" s="4">
        <f t="shared" si="4"/>
        <v>1.018</v>
      </c>
      <c r="P34" s="4">
        <f t="shared" si="5"/>
        <v>1.0644302861529382</v>
      </c>
      <c r="Q34" s="4">
        <f t="shared" si="6"/>
        <v>0.98301174915055789</v>
      </c>
      <c r="R34" s="4">
        <f t="shared" si="7"/>
        <v>0.88576063848529174</v>
      </c>
      <c r="S34" s="4">
        <f t="shared" si="8"/>
        <v>0.8617637538383689</v>
      </c>
      <c r="T34" s="1"/>
      <c r="U34" s="1"/>
      <c r="V34" s="1">
        <v>1</v>
      </c>
      <c r="W34" s="1">
        <v>1</v>
      </c>
      <c r="Y34" s="1">
        <f t="shared" si="23"/>
        <v>26.002418493738016</v>
      </c>
      <c r="Z34" s="1">
        <f t="shared" si="24"/>
        <v>26.002418493738016</v>
      </c>
      <c r="AB34" s="130">
        <v>1</v>
      </c>
      <c r="AC34" s="128">
        <f t="shared" si="9"/>
        <v>0.53165942097463836</v>
      </c>
      <c r="AD34" s="4">
        <f t="shared" si="10"/>
        <v>0.88576063848529174</v>
      </c>
      <c r="AE34" s="4">
        <f t="shared" si="11"/>
        <v>1.4762677308088197</v>
      </c>
      <c r="AF34" s="32">
        <f t="shared" si="12"/>
        <v>0.55839935724695633</v>
      </c>
      <c r="AG34" s="4">
        <f t="shared" si="13"/>
        <v>0.97283829947116029</v>
      </c>
      <c r="AH34" s="42">
        <f t="shared" si="14"/>
        <v>1.6518597792030509</v>
      </c>
      <c r="AJ34" s="23">
        <v>4</v>
      </c>
      <c r="AK34" s="24">
        <v>0.8</v>
      </c>
      <c r="AL34" s="5">
        <f t="shared" si="15"/>
        <v>2.0799999999999999E-2</v>
      </c>
      <c r="AM34" s="5">
        <f t="shared" si="25"/>
        <v>0.1194718394324346</v>
      </c>
      <c r="AN34" s="25">
        <f t="shared" si="26"/>
        <v>-8.0000000000000002E-3</v>
      </c>
      <c r="AO34" s="30">
        <f t="shared" si="16"/>
        <v>1.4E-2</v>
      </c>
      <c r="AP34" s="5">
        <f t="shared" si="17"/>
        <v>0.18</v>
      </c>
      <c r="AQ34" s="25">
        <v>0</v>
      </c>
      <c r="AT34" s="32">
        <f t="shared" si="0"/>
        <v>42650.92</v>
      </c>
      <c r="AU34" s="17">
        <v>13000</v>
      </c>
      <c r="AV34" s="17">
        <v>216.7</v>
      </c>
      <c r="AW34" s="17">
        <v>16.579999999999998</v>
      </c>
      <c r="AX34" s="17">
        <v>0.21759999999999999</v>
      </c>
      <c r="AY34" s="17">
        <v>5.3330000000000002</v>
      </c>
      <c r="AZ34" s="17">
        <v>1.952</v>
      </c>
      <c r="BA34" s="33">
        <v>295.10000000000002</v>
      </c>
    </row>
    <row r="35" spans="2:53">
      <c r="B35" s="38">
        <v>5000</v>
      </c>
      <c r="C35" s="3">
        <v>0</v>
      </c>
      <c r="D35" s="3">
        <f t="shared" si="30"/>
        <v>0.35</v>
      </c>
      <c r="E35" s="13" cm="1">
        <f t="array" ref="E35">((B35-INDEX($AT$4:$AW$53,MATCH(B35,$AT$4:$AT$53,1),1))/(INDEX($AT$4:$AW$53,MATCH(B35,$AT$4:$AT$53,1)+1,1)-INDEX($AT$4:$AW$53,MATCH(B35,$AT$4:$AT$53,1),1)))*(INDEX($AT$4:$AW$53,MATCH(B35,$AT$4:$AT$53,1)+1,4)-INDEX($AT$4:$AW$53,MATCH(B35,$AT$4:$AT$53,1),4))+INDEX($AT$4:$AW$53,MATCH(B35,$AT$4:$AT$53,1),4)</f>
        <v>84.317120493532144</v>
      </c>
      <c r="F35" s="13" cm="1">
        <f t="array" ref="F35">C35+((B35-INDEX($AT$4:$AW$53,MATCH(B35,$AT$4:$AT$53,1),1))/(INDEX($AT$4:$AW$53,MATCH(B35,$AT$4:$AT$53,1)+1,1)-INDEX($AT$4:$AW$53,MATCH(B35,$AT$4:$AT$53,1),1)))*(INDEX($AT$4:$AW$53,MATCH(B35,$AT$4:$AT$53,1)+1,3)-INDEX($AT$4:$AW$53,MATCH(B35,$AT$4:$AT$53,1),3))+INDEX($AT$4:$AW$53,MATCH(B35,$AT$4:$AT$53,1),3)</f>
        <v>278.24640031211516</v>
      </c>
      <c r="G35" s="4">
        <f t="shared" si="1"/>
        <v>1.0558550836759641</v>
      </c>
      <c r="H35" s="6">
        <f t="shared" si="18"/>
        <v>5000</v>
      </c>
      <c r="I35" s="13">
        <f t="shared" si="2"/>
        <v>117.02746236060347</v>
      </c>
      <c r="J35" s="13">
        <f t="shared" si="19"/>
        <v>227.48266243503545</v>
      </c>
      <c r="K35" s="13">
        <f t="shared" si="3"/>
        <v>211.17495694549223</v>
      </c>
      <c r="L35" s="13">
        <f t="shared" si="20"/>
        <v>211.70193555324775</v>
      </c>
      <c r="M35" s="13">
        <f t="shared" si="21"/>
        <v>7.4543384842463078</v>
      </c>
      <c r="N35" s="13">
        <f t="shared" si="22"/>
        <v>7.2301930823203806</v>
      </c>
      <c r="O35" s="4">
        <f t="shared" si="4"/>
        <v>1.0245</v>
      </c>
      <c r="P35" s="4">
        <f t="shared" si="5"/>
        <v>1.0884083616780784</v>
      </c>
      <c r="Q35" s="4">
        <f t="shared" si="6"/>
        <v>0.98928834676301225</v>
      </c>
      <c r="R35" s="4">
        <f t="shared" si="7"/>
        <v>0.90571388085643667</v>
      </c>
      <c r="S35" s="4">
        <f t="shared" si="8"/>
        <v>0.8617637538383689</v>
      </c>
      <c r="T35" s="1"/>
      <c r="U35" s="1"/>
      <c r="V35" s="1">
        <v>1</v>
      </c>
      <c r="W35" s="1">
        <v>1</v>
      </c>
      <c r="Y35" s="1">
        <f t="shared" si="23"/>
        <v>31.652196007691717</v>
      </c>
      <c r="Z35" s="1">
        <f t="shared" si="24"/>
        <v>31.652196007691717</v>
      </c>
      <c r="AB35" s="130">
        <v>1</v>
      </c>
      <c r="AC35" s="128">
        <f t="shared" si="9"/>
        <v>0.52858744151830273</v>
      </c>
      <c r="AD35" s="4">
        <f t="shared" si="10"/>
        <v>0.90571388085643667</v>
      </c>
      <c r="AE35" s="4">
        <f t="shared" si="11"/>
        <v>1.5095231347607279</v>
      </c>
      <c r="AF35" s="32">
        <f t="shared" si="12"/>
        <v>0.58493131086889705</v>
      </c>
      <c r="AG35" s="4">
        <f t="shared" si="13"/>
        <v>0.98757827370557194</v>
      </c>
      <c r="AH35" s="42">
        <f t="shared" si="14"/>
        <v>1.6651257560140214</v>
      </c>
      <c r="AJ35" s="23">
        <v>4</v>
      </c>
      <c r="AK35" s="24">
        <v>0.8</v>
      </c>
      <c r="AL35" s="5">
        <f t="shared" si="15"/>
        <v>2.0799999999999999E-2</v>
      </c>
      <c r="AM35" s="5">
        <f t="shared" si="25"/>
        <v>0.1194718394324346</v>
      </c>
      <c r="AN35" s="25">
        <f t="shared" si="26"/>
        <v>-8.0000000000000002E-3</v>
      </c>
      <c r="AO35" s="30">
        <f t="shared" si="16"/>
        <v>1.4E-2</v>
      </c>
      <c r="AP35" s="5">
        <f t="shared" si="17"/>
        <v>0.18</v>
      </c>
      <c r="AQ35" s="25">
        <v>0</v>
      </c>
      <c r="AT35" s="32">
        <f t="shared" si="0"/>
        <v>44291.34</v>
      </c>
      <c r="AU35" s="17">
        <v>13500</v>
      </c>
      <c r="AV35" s="17">
        <v>216.7</v>
      </c>
      <c r="AW35" s="17">
        <v>15.33</v>
      </c>
      <c r="AX35" s="17">
        <v>0.20119999999999999</v>
      </c>
      <c r="AY35" s="17">
        <v>5.7679999999999998</v>
      </c>
      <c r="AZ35" s="17">
        <v>1.952</v>
      </c>
      <c r="BA35" s="33">
        <v>295.10000000000002</v>
      </c>
    </row>
    <row r="36" spans="2:53">
      <c r="B36" s="38">
        <v>5000</v>
      </c>
      <c r="C36" s="3">
        <v>0</v>
      </c>
      <c r="D36" s="3">
        <f t="shared" si="30"/>
        <v>0.39999999999999997</v>
      </c>
      <c r="E36" s="13" cm="1">
        <f t="array" ref="E36">((B36-INDEX($AT$4:$AW$53,MATCH(B36,$AT$4:$AT$53,1),1))/(INDEX($AT$4:$AW$53,MATCH(B36,$AT$4:$AT$53,1)+1,1)-INDEX($AT$4:$AW$53,MATCH(B36,$AT$4:$AT$53,1),1)))*(INDEX($AT$4:$AW$53,MATCH(B36,$AT$4:$AT$53,1)+1,4)-INDEX($AT$4:$AW$53,MATCH(B36,$AT$4:$AT$53,1),4))+INDEX($AT$4:$AW$53,MATCH(B36,$AT$4:$AT$53,1),4)</f>
        <v>84.317120493532144</v>
      </c>
      <c r="F36" s="13" cm="1">
        <f t="array" ref="F36">C36+((B36-INDEX($AT$4:$AW$53,MATCH(B36,$AT$4:$AT$53,1),1))/(INDEX($AT$4:$AW$53,MATCH(B36,$AT$4:$AT$53,1)+1,1)-INDEX($AT$4:$AW$53,MATCH(B36,$AT$4:$AT$53,1),1)))*(INDEX($AT$4:$AW$53,MATCH(B36,$AT$4:$AT$53,1)+1,3)-INDEX($AT$4:$AW$53,MATCH(B36,$AT$4:$AT$53,1),3))+INDEX($AT$4:$AW$53,MATCH(B36,$AT$4:$AT$53,1),3)</f>
        <v>278.24640031211516</v>
      </c>
      <c r="G36" s="4">
        <f t="shared" si="1"/>
        <v>1.0558550836759641</v>
      </c>
      <c r="H36" s="6">
        <f t="shared" si="18"/>
        <v>5000</v>
      </c>
      <c r="I36" s="13">
        <f t="shared" si="2"/>
        <v>133.74567126926109</v>
      </c>
      <c r="J36" s="13">
        <f t="shared" si="19"/>
        <v>259.98018564004047</v>
      </c>
      <c r="K36" s="13">
        <f t="shared" si="3"/>
        <v>241.34280793770535</v>
      </c>
      <c r="L36" s="13">
        <f t="shared" si="20"/>
        <v>242.12243761707683</v>
      </c>
      <c r="M36" s="13">
        <f t="shared" si="21"/>
        <v>9.827326144939013</v>
      </c>
      <c r="N36" s="13">
        <f t="shared" si="22"/>
        <v>9.4435174952755965</v>
      </c>
      <c r="O36" s="4">
        <f t="shared" si="4"/>
        <v>1.032</v>
      </c>
      <c r="P36" s="4">
        <f t="shared" si="5"/>
        <v>1.1165519658097534</v>
      </c>
      <c r="Q36" s="4">
        <f t="shared" si="6"/>
        <v>0.99653057477738283</v>
      </c>
      <c r="R36" s="4">
        <f t="shared" si="7"/>
        <v>0.92913344819611299</v>
      </c>
      <c r="S36" s="4">
        <f t="shared" si="8"/>
        <v>0.8617637538383689</v>
      </c>
      <c r="T36" s="1"/>
      <c r="U36" s="1"/>
      <c r="V36" s="1">
        <v>1</v>
      </c>
      <c r="W36" s="1">
        <v>1</v>
      </c>
      <c r="Y36" s="1">
        <f t="shared" si="23"/>
        <v>36.772835416617944</v>
      </c>
      <c r="Z36" s="1">
        <f t="shared" si="24"/>
        <v>36.772835416617944</v>
      </c>
      <c r="AB36" s="130">
        <v>1</v>
      </c>
      <c r="AC36" s="128">
        <f t="shared" si="9"/>
        <v>0.52572811275764275</v>
      </c>
      <c r="AD36" s="4">
        <f t="shared" si="10"/>
        <v>0.92913344819611299</v>
      </c>
      <c r="AE36" s="4">
        <f t="shared" si="11"/>
        <v>1.5485557469935216</v>
      </c>
      <c r="AF36" s="32">
        <f t="shared" si="12"/>
        <v>0.61146326449083788</v>
      </c>
      <c r="AG36" s="4">
        <f t="shared" si="13"/>
        <v>1.0023182479399833</v>
      </c>
      <c r="AH36" s="42">
        <f t="shared" si="14"/>
        <v>1.6783917328249918</v>
      </c>
      <c r="AJ36" s="23">
        <v>4</v>
      </c>
      <c r="AK36" s="24">
        <v>0.8</v>
      </c>
      <c r="AL36" s="5">
        <f t="shared" si="15"/>
        <v>2.0799999999999999E-2</v>
      </c>
      <c r="AM36" s="5">
        <f t="shared" si="25"/>
        <v>0.1194718394324346</v>
      </c>
      <c r="AN36" s="25">
        <f t="shared" si="26"/>
        <v>-8.0000000000000002E-3</v>
      </c>
      <c r="AO36" s="30">
        <f t="shared" si="16"/>
        <v>1.4E-2</v>
      </c>
      <c r="AP36" s="5">
        <f t="shared" si="17"/>
        <v>0.18</v>
      </c>
      <c r="AQ36" s="25">
        <v>0</v>
      </c>
      <c r="AT36" s="32">
        <f t="shared" si="0"/>
        <v>45931.76</v>
      </c>
      <c r="AU36" s="17">
        <v>14000</v>
      </c>
      <c r="AV36" s="17">
        <v>216.7</v>
      </c>
      <c r="AW36" s="17">
        <v>14.17</v>
      </c>
      <c r="AX36" s="17">
        <v>0.186</v>
      </c>
      <c r="AY36" s="17">
        <v>6.2389999999999999</v>
      </c>
      <c r="AZ36" s="17">
        <v>1.952</v>
      </c>
      <c r="BA36" s="33">
        <v>295.10000000000002</v>
      </c>
    </row>
    <row r="37" spans="2:53">
      <c r="B37" s="38">
        <v>5000</v>
      </c>
      <c r="C37" s="3">
        <v>0</v>
      </c>
      <c r="D37" s="3">
        <f t="shared" si="30"/>
        <v>0.44999999999999996</v>
      </c>
      <c r="E37" s="13" cm="1">
        <f t="array" ref="E37">((B37-INDEX($AT$4:$AW$53,MATCH(B37,$AT$4:$AT$53,1),1))/(INDEX($AT$4:$AW$53,MATCH(B37,$AT$4:$AT$53,1)+1,1)-INDEX($AT$4:$AW$53,MATCH(B37,$AT$4:$AT$53,1),1)))*(INDEX($AT$4:$AW$53,MATCH(B37,$AT$4:$AT$53,1)+1,4)-INDEX($AT$4:$AW$53,MATCH(B37,$AT$4:$AT$53,1),4))+INDEX($AT$4:$AW$53,MATCH(B37,$AT$4:$AT$53,1),4)</f>
        <v>84.317120493532144</v>
      </c>
      <c r="F37" s="13" cm="1">
        <f t="array" ref="F37">C37+((B37-INDEX($AT$4:$AW$53,MATCH(B37,$AT$4:$AT$53,1),1))/(INDEX($AT$4:$AW$53,MATCH(B37,$AT$4:$AT$53,1)+1,1)-INDEX($AT$4:$AW$53,MATCH(B37,$AT$4:$AT$53,1),1)))*(INDEX($AT$4:$AW$53,MATCH(B37,$AT$4:$AT$53,1)+1,3)-INDEX($AT$4:$AW$53,MATCH(B37,$AT$4:$AT$53,1),3))+INDEX($AT$4:$AW$53,MATCH(B37,$AT$4:$AT$53,1),3)</f>
        <v>278.24640031211516</v>
      </c>
      <c r="G37" s="4">
        <f t="shared" si="1"/>
        <v>1.0558550836759641</v>
      </c>
      <c r="H37" s="6">
        <f t="shared" si="18"/>
        <v>5000</v>
      </c>
      <c r="I37" s="13">
        <f t="shared" si="2"/>
        <v>150.46388017791872</v>
      </c>
      <c r="J37" s="13">
        <f t="shared" si="19"/>
        <v>292.47770884504553</v>
      </c>
      <c r="K37" s="13">
        <f t="shared" si="3"/>
        <v>271.51065892991852</v>
      </c>
      <c r="L37" s="13">
        <f t="shared" si="20"/>
        <v>272.60960023656395</v>
      </c>
      <c r="M37" s="13">
        <f t="shared" si="21"/>
        <v>12.569333789637676</v>
      </c>
      <c r="N37" s="13">
        <f t="shared" si="22"/>
        <v>11.951951829958178</v>
      </c>
      <c r="O37" s="4">
        <f t="shared" si="4"/>
        <v>1.0405</v>
      </c>
      <c r="P37" s="4">
        <f t="shared" si="5"/>
        <v>1.1490721423604813</v>
      </c>
      <c r="Q37" s="4">
        <f t="shared" si="6"/>
        <v>1.0047384331936695</v>
      </c>
      <c r="R37" s="4">
        <f t="shared" si="7"/>
        <v>0.95619495961677592</v>
      </c>
      <c r="S37" s="4">
        <f t="shared" si="8"/>
        <v>0.8617637538383689</v>
      </c>
      <c r="T37" s="1"/>
      <c r="U37" s="1"/>
      <c r="V37" s="1">
        <v>1</v>
      </c>
      <c r="W37" s="1">
        <v>1</v>
      </c>
      <c r="Y37" s="1">
        <f t="shared" si="23"/>
        <v>41.414503457430648</v>
      </c>
      <c r="Z37" s="1">
        <f t="shared" si="24"/>
        <v>41.414503457430648</v>
      </c>
      <c r="AB37" s="130">
        <v>1</v>
      </c>
      <c r="AC37" s="128">
        <f t="shared" si="9"/>
        <v>0.52304257247250441</v>
      </c>
      <c r="AD37" s="4">
        <f t="shared" si="10"/>
        <v>0.95619495961677592</v>
      </c>
      <c r="AE37" s="4">
        <f t="shared" si="11"/>
        <v>1.5936582660279599</v>
      </c>
      <c r="AF37" s="32">
        <f t="shared" si="12"/>
        <v>0.63799521811277859</v>
      </c>
      <c r="AG37" s="4">
        <f t="shared" si="13"/>
        <v>1.0170582221743947</v>
      </c>
      <c r="AH37" s="42">
        <f t="shared" si="14"/>
        <v>1.691657709635962</v>
      </c>
      <c r="AJ37" s="23">
        <v>4</v>
      </c>
      <c r="AK37" s="24">
        <v>0.8</v>
      </c>
      <c r="AL37" s="5">
        <f t="shared" si="15"/>
        <v>2.0799999999999999E-2</v>
      </c>
      <c r="AM37" s="5">
        <f t="shared" si="25"/>
        <v>0.1194718394324346</v>
      </c>
      <c r="AN37" s="25">
        <f t="shared" si="26"/>
        <v>-8.0000000000000002E-3</v>
      </c>
      <c r="AO37" s="30">
        <f t="shared" si="16"/>
        <v>1.4E-2</v>
      </c>
      <c r="AP37" s="5">
        <f t="shared" si="17"/>
        <v>0.18</v>
      </c>
      <c r="AQ37" s="25">
        <v>0</v>
      </c>
      <c r="AT37" s="32">
        <f t="shared" si="0"/>
        <v>47572.18</v>
      </c>
      <c r="AU37" s="17">
        <v>14500</v>
      </c>
      <c r="AV37" s="17">
        <v>216.7</v>
      </c>
      <c r="AW37" s="17">
        <v>13.1</v>
      </c>
      <c r="AX37" s="17">
        <v>0.17199999999999999</v>
      </c>
      <c r="AY37" s="17">
        <v>6.7489999999999997</v>
      </c>
      <c r="AZ37" s="17">
        <v>1.952</v>
      </c>
      <c r="BA37" s="33">
        <v>295.10000000000002</v>
      </c>
    </row>
    <row r="38" spans="2:53">
      <c r="B38" s="38">
        <v>5000</v>
      </c>
      <c r="C38" s="3">
        <v>0</v>
      </c>
      <c r="D38" s="3">
        <f t="shared" si="30"/>
        <v>0.49999999999999994</v>
      </c>
      <c r="E38" s="13" cm="1">
        <f t="array" ref="E38">((B38-INDEX($AT$4:$AW$53,MATCH(B38,$AT$4:$AT$53,1),1))/(INDEX($AT$4:$AW$53,MATCH(B38,$AT$4:$AT$53,1)+1,1)-INDEX($AT$4:$AW$53,MATCH(B38,$AT$4:$AT$53,1),1)))*(INDEX($AT$4:$AW$53,MATCH(B38,$AT$4:$AT$53,1)+1,4)-INDEX($AT$4:$AW$53,MATCH(B38,$AT$4:$AT$53,1),4))+INDEX($AT$4:$AW$53,MATCH(B38,$AT$4:$AT$53,1),4)</f>
        <v>84.317120493532144</v>
      </c>
      <c r="F38" s="13" cm="1">
        <f t="array" ref="F38">C38+((B38-INDEX($AT$4:$AW$53,MATCH(B38,$AT$4:$AT$53,1),1))/(INDEX($AT$4:$AW$53,MATCH(B38,$AT$4:$AT$53,1)+1,1)-INDEX($AT$4:$AW$53,MATCH(B38,$AT$4:$AT$53,1),1)))*(INDEX($AT$4:$AW$53,MATCH(B38,$AT$4:$AT$53,1)+1,3)-INDEX($AT$4:$AW$53,MATCH(B38,$AT$4:$AT$53,1),3))+INDEX($AT$4:$AW$53,MATCH(B38,$AT$4:$AT$53,1),3)</f>
        <v>278.24640031211516</v>
      </c>
      <c r="G38" s="4">
        <f t="shared" si="1"/>
        <v>1.0558550836759641</v>
      </c>
      <c r="H38" s="6">
        <f t="shared" si="18"/>
        <v>5000</v>
      </c>
      <c r="I38" s="13">
        <f t="shared" si="2"/>
        <v>167.18208908657635</v>
      </c>
      <c r="J38" s="13">
        <f t="shared" si="19"/>
        <v>324.97523205005058</v>
      </c>
      <c r="K38" s="13">
        <f t="shared" si="3"/>
        <v>301.6785099221317</v>
      </c>
      <c r="L38" s="13">
        <f t="shared" si="20"/>
        <v>303.16922407722495</v>
      </c>
      <c r="M38" s="13">
        <f t="shared" si="21"/>
        <v>15.700913439408016</v>
      </c>
      <c r="N38" s="13">
        <f t="shared" si="22"/>
        <v>14.755496086368121</v>
      </c>
      <c r="O38" s="4">
        <f t="shared" si="4"/>
        <v>1.05</v>
      </c>
      <c r="P38" s="4">
        <f t="shared" si="5"/>
        <v>1.1862126380443982</v>
      </c>
      <c r="Q38" s="4">
        <f t="shared" si="6"/>
        <v>1.013911922011872</v>
      </c>
      <c r="R38" s="4">
        <f t="shared" si="7"/>
        <v>0.9871012477961032</v>
      </c>
      <c r="S38" s="4">
        <f t="shared" si="8"/>
        <v>0.8617637538383689</v>
      </c>
      <c r="T38" s="1"/>
      <c r="U38" s="1"/>
      <c r="V38" s="1">
        <v>1</v>
      </c>
      <c r="W38" s="1">
        <v>1</v>
      </c>
      <c r="Y38" s="1">
        <f t="shared" si="23"/>
        <v>45.603010805077872</v>
      </c>
      <c r="Z38" s="1">
        <f t="shared" si="24"/>
        <v>45.603010805077872</v>
      </c>
      <c r="AB38" s="130">
        <v>1</v>
      </c>
      <c r="AC38" s="128">
        <f t="shared" si="9"/>
        <v>0.52050252531694174</v>
      </c>
      <c r="AD38" s="4">
        <f t="shared" si="10"/>
        <v>0.9871012477961032</v>
      </c>
      <c r="AE38" s="4">
        <f t="shared" si="11"/>
        <v>1.6451687463268387</v>
      </c>
      <c r="AF38" s="32">
        <f t="shared" si="12"/>
        <v>0.6645271717347192</v>
      </c>
      <c r="AG38" s="4">
        <f t="shared" si="13"/>
        <v>1.0317981964088063</v>
      </c>
      <c r="AH38" s="42">
        <f t="shared" si="14"/>
        <v>1.7049236864469326</v>
      </c>
      <c r="AJ38" s="23">
        <v>4</v>
      </c>
      <c r="AK38" s="24">
        <v>0.8</v>
      </c>
      <c r="AL38" s="5">
        <f t="shared" si="15"/>
        <v>2.0799999999999999E-2</v>
      </c>
      <c r="AM38" s="5">
        <f t="shared" si="25"/>
        <v>0.1194718394324346</v>
      </c>
      <c r="AN38" s="25">
        <f t="shared" si="26"/>
        <v>-8.0000000000000002E-3</v>
      </c>
      <c r="AO38" s="30">
        <f t="shared" si="16"/>
        <v>1.4E-2</v>
      </c>
      <c r="AP38" s="5">
        <f t="shared" si="17"/>
        <v>0.18</v>
      </c>
      <c r="AQ38" s="25">
        <v>0</v>
      </c>
      <c r="AT38" s="32">
        <f t="shared" si="0"/>
        <v>49212.6</v>
      </c>
      <c r="AU38" s="17">
        <v>15000</v>
      </c>
      <c r="AV38" s="17">
        <v>216.7</v>
      </c>
      <c r="AW38" s="17">
        <v>12.11</v>
      </c>
      <c r="AX38" s="17">
        <v>0.159</v>
      </c>
      <c r="AY38" s="17">
        <v>7.3</v>
      </c>
      <c r="AZ38" s="17">
        <v>1.952</v>
      </c>
      <c r="BA38" s="33">
        <v>295.10000000000002</v>
      </c>
    </row>
    <row r="39" spans="2:53">
      <c r="B39" s="38">
        <v>5000</v>
      </c>
      <c r="C39" s="3">
        <v>0</v>
      </c>
      <c r="D39" s="3">
        <f t="shared" si="30"/>
        <v>0.54999999999999993</v>
      </c>
      <c r="E39" s="13" cm="1">
        <f t="array" ref="E39">((B39-INDEX($AT$4:$AW$53,MATCH(B39,$AT$4:$AT$53,1),1))/(INDEX($AT$4:$AW$53,MATCH(B39,$AT$4:$AT$53,1)+1,1)-INDEX($AT$4:$AW$53,MATCH(B39,$AT$4:$AT$53,1),1)))*(INDEX($AT$4:$AW$53,MATCH(B39,$AT$4:$AT$53,1)+1,4)-INDEX($AT$4:$AW$53,MATCH(B39,$AT$4:$AT$53,1),4))+INDEX($AT$4:$AW$53,MATCH(B39,$AT$4:$AT$53,1),4)</f>
        <v>84.317120493532144</v>
      </c>
      <c r="F39" s="13" cm="1">
        <f t="array" ref="F39">C39+((B39-INDEX($AT$4:$AW$53,MATCH(B39,$AT$4:$AT$53,1),1))/(INDEX($AT$4:$AW$53,MATCH(B39,$AT$4:$AT$53,1)+1,1)-INDEX($AT$4:$AW$53,MATCH(B39,$AT$4:$AT$53,1),1)))*(INDEX($AT$4:$AW$53,MATCH(B39,$AT$4:$AT$53,1)+1,3)-INDEX($AT$4:$AW$53,MATCH(B39,$AT$4:$AT$53,1),3))+INDEX($AT$4:$AW$53,MATCH(B39,$AT$4:$AT$53,1),3)</f>
        <v>278.24640031211516</v>
      </c>
      <c r="G39" s="4">
        <f t="shared" si="1"/>
        <v>1.0558550836759641</v>
      </c>
      <c r="H39" s="6">
        <f t="shared" si="18"/>
        <v>5000</v>
      </c>
      <c r="I39" s="13">
        <f t="shared" si="2"/>
        <v>183.90029799523401</v>
      </c>
      <c r="J39" s="13">
        <f t="shared" si="19"/>
        <v>357.47275525505569</v>
      </c>
      <c r="K39" s="13">
        <f t="shared" si="3"/>
        <v>331.84636091434487</v>
      </c>
      <c r="L39" s="13">
        <f t="shared" si="20"/>
        <v>333.80633153756156</v>
      </c>
      <c r="M39" s="13">
        <f t="shared" si="21"/>
        <v>19.2455215795698</v>
      </c>
      <c r="N39" s="13">
        <f t="shared" si="22"/>
        <v>17.854150264505428</v>
      </c>
      <c r="O39" s="4">
        <f t="shared" si="4"/>
        <v>1.0605</v>
      </c>
      <c r="P39" s="4">
        <f t="shared" si="5"/>
        <v>1.2282516464855568</v>
      </c>
      <c r="Q39" s="4">
        <f t="shared" si="6"/>
        <v>1.0240510412319908</v>
      </c>
      <c r="R39" s="4">
        <f t="shared" si="7"/>
        <v>1.0220838102452696</v>
      </c>
      <c r="S39" s="4">
        <f t="shared" si="8"/>
        <v>0.8617637538383689</v>
      </c>
      <c r="T39" s="1"/>
      <c r="U39" s="1"/>
      <c r="V39" s="1">
        <v>1</v>
      </c>
      <c r="W39" s="1">
        <v>1</v>
      </c>
      <c r="Y39" s="1">
        <f t="shared" si="23"/>
        <v>49.354862192808241</v>
      </c>
      <c r="Z39" s="1">
        <f t="shared" si="24"/>
        <v>49.354862192808241</v>
      </c>
      <c r="AB39" s="130">
        <v>1</v>
      </c>
      <c r="AC39" s="128">
        <f t="shared" si="9"/>
        <v>0.51808661059033034</v>
      </c>
      <c r="AD39" s="4">
        <f t="shared" si="10"/>
        <v>1.0220838102452696</v>
      </c>
      <c r="AE39" s="4">
        <f t="shared" si="11"/>
        <v>1.7034730170754495</v>
      </c>
      <c r="AF39" s="32">
        <f t="shared" si="12"/>
        <v>0.69105912535666003</v>
      </c>
      <c r="AG39" s="4">
        <f t="shared" si="13"/>
        <v>1.0465381706432177</v>
      </c>
      <c r="AH39" s="42">
        <f t="shared" si="14"/>
        <v>1.718189663257903</v>
      </c>
      <c r="AJ39" s="23">
        <v>4</v>
      </c>
      <c r="AK39" s="24">
        <v>0.8</v>
      </c>
      <c r="AL39" s="5">
        <f t="shared" si="15"/>
        <v>2.0799999999999999E-2</v>
      </c>
      <c r="AM39" s="5">
        <f t="shared" si="25"/>
        <v>0.1194718394324346</v>
      </c>
      <c r="AN39" s="25">
        <f t="shared" si="26"/>
        <v>-8.0000000000000002E-3</v>
      </c>
      <c r="AO39" s="30">
        <f t="shared" si="16"/>
        <v>1.4E-2</v>
      </c>
      <c r="AP39" s="5">
        <f t="shared" si="17"/>
        <v>0.18</v>
      </c>
      <c r="AQ39" s="25">
        <v>0</v>
      </c>
      <c r="AT39" s="32">
        <f t="shared" si="0"/>
        <v>50853.02</v>
      </c>
      <c r="AU39" s="17">
        <v>15500</v>
      </c>
      <c r="AV39" s="17">
        <v>216.7</v>
      </c>
      <c r="AW39" s="17">
        <v>11.2</v>
      </c>
      <c r="AX39" s="17">
        <v>0.14699999999999999</v>
      </c>
      <c r="AY39" s="17">
        <v>7.8949999999999996</v>
      </c>
      <c r="AZ39" s="17">
        <v>1.952</v>
      </c>
      <c r="BA39" s="33">
        <v>295.10000000000002</v>
      </c>
    </row>
    <row r="40" spans="2:53">
      <c r="B40" s="38">
        <v>5000</v>
      </c>
      <c r="C40" s="3">
        <v>0</v>
      </c>
      <c r="D40" s="3">
        <f t="shared" si="30"/>
        <v>0.6</v>
      </c>
      <c r="E40" s="13" cm="1">
        <f t="array" ref="E40">((B40-INDEX($AT$4:$AW$53,MATCH(B40,$AT$4:$AT$53,1),1))/(INDEX($AT$4:$AW$53,MATCH(B40,$AT$4:$AT$53,1)+1,1)-INDEX($AT$4:$AW$53,MATCH(B40,$AT$4:$AT$53,1),1)))*(INDEX($AT$4:$AW$53,MATCH(B40,$AT$4:$AT$53,1)+1,4)-INDEX($AT$4:$AW$53,MATCH(B40,$AT$4:$AT$53,1),4))+INDEX($AT$4:$AW$53,MATCH(B40,$AT$4:$AT$53,1),4)</f>
        <v>84.317120493532144</v>
      </c>
      <c r="F40" s="13" cm="1">
        <f t="array" ref="F40">C40+((B40-INDEX($AT$4:$AW$53,MATCH(B40,$AT$4:$AT$53,1),1))/(INDEX($AT$4:$AW$53,MATCH(B40,$AT$4:$AT$53,1)+1,1)-INDEX($AT$4:$AW$53,MATCH(B40,$AT$4:$AT$53,1),1)))*(INDEX($AT$4:$AW$53,MATCH(B40,$AT$4:$AT$53,1)+1,3)-INDEX($AT$4:$AW$53,MATCH(B40,$AT$4:$AT$53,1),3))+INDEX($AT$4:$AW$53,MATCH(B40,$AT$4:$AT$53,1),3)</f>
        <v>278.24640031211516</v>
      </c>
      <c r="G40" s="4">
        <f t="shared" si="1"/>
        <v>1.0558550836759641</v>
      </c>
      <c r="H40" s="6">
        <f t="shared" si="18"/>
        <v>5000</v>
      </c>
      <c r="I40" s="13">
        <f t="shared" si="2"/>
        <v>200.61850690389164</v>
      </c>
      <c r="J40" s="13">
        <f t="shared" si="19"/>
        <v>389.97027846006074</v>
      </c>
      <c r="K40" s="13">
        <f t="shared" si="3"/>
        <v>362.01421190655805</v>
      </c>
      <c r="L40" s="13">
        <f t="shared" si="20"/>
        <v>364.52513855908012</v>
      </c>
      <c r="M40" s="13">
        <f t="shared" si="21"/>
        <v>23.229685106141464</v>
      </c>
      <c r="N40" s="13">
        <f t="shared" si="22"/>
        <v>21.247914364370097</v>
      </c>
      <c r="O40" s="4">
        <f t="shared" si="4"/>
        <v>1.0720000000000001</v>
      </c>
      <c r="P40" s="4">
        <f t="shared" si="5"/>
        <v>1.2755037763406945</v>
      </c>
      <c r="Q40" s="4">
        <f t="shared" si="6"/>
        <v>1.0351557908540256</v>
      </c>
      <c r="R40" s="4">
        <f t="shared" si="7"/>
        <v>1.0614044470730186</v>
      </c>
      <c r="S40" s="4">
        <f t="shared" si="8"/>
        <v>0.8617637538383689</v>
      </c>
      <c r="T40" s="1"/>
      <c r="U40" s="1"/>
      <c r="V40" s="1">
        <v>1</v>
      </c>
      <c r="W40" s="1">
        <v>1</v>
      </c>
      <c r="Y40" s="1">
        <f t="shared" si="23"/>
        <v>52.685363008164572</v>
      </c>
      <c r="Z40" s="1">
        <f t="shared" si="24"/>
        <v>52.685363008164572</v>
      </c>
      <c r="AB40" s="130">
        <v>1</v>
      </c>
      <c r="AC40" s="128">
        <f t="shared" si="9"/>
        <v>0.51577823315309623</v>
      </c>
      <c r="AD40" s="4">
        <f t="shared" si="10"/>
        <v>1.0614044470730186</v>
      </c>
      <c r="AE40" s="4">
        <f t="shared" si="11"/>
        <v>1.7690074117883645</v>
      </c>
      <c r="AF40" s="32">
        <f t="shared" si="12"/>
        <v>0.71759107897860075</v>
      </c>
      <c r="AG40" s="4">
        <f t="shared" si="13"/>
        <v>1.0612781448776294</v>
      </c>
      <c r="AH40" s="42">
        <f t="shared" si="14"/>
        <v>1.7314556400688732</v>
      </c>
      <c r="AJ40" s="23">
        <v>4</v>
      </c>
      <c r="AK40" s="24">
        <v>0.8</v>
      </c>
      <c r="AL40" s="5">
        <f t="shared" si="15"/>
        <v>2.0799999999999999E-2</v>
      </c>
      <c r="AM40" s="5">
        <f t="shared" si="25"/>
        <v>0.1194718394324346</v>
      </c>
      <c r="AN40" s="25">
        <f t="shared" si="26"/>
        <v>-8.0000000000000002E-3</v>
      </c>
      <c r="AO40" s="30">
        <f t="shared" si="16"/>
        <v>1.4E-2</v>
      </c>
      <c r="AP40" s="5">
        <f t="shared" si="17"/>
        <v>0.18</v>
      </c>
      <c r="AQ40" s="25">
        <v>0</v>
      </c>
      <c r="AT40" s="32">
        <f t="shared" si="0"/>
        <v>52493.440000000002</v>
      </c>
      <c r="AU40" s="17">
        <v>16000</v>
      </c>
      <c r="AV40" s="17">
        <v>216.7</v>
      </c>
      <c r="AW40" s="17">
        <v>10.35</v>
      </c>
      <c r="AX40" s="17">
        <v>0.13589999999999999</v>
      </c>
      <c r="AY40" s="17">
        <v>8.5399999999999991</v>
      </c>
      <c r="AZ40" s="17">
        <v>1.952</v>
      </c>
      <c r="BA40" s="33">
        <v>295.10000000000002</v>
      </c>
    </row>
    <row r="41" spans="2:53">
      <c r="B41" s="38">
        <v>5000</v>
      </c>
      <c r="C41" s="3">
        <v>0</v>
      </c>
      <c r="D41" s="3">
        <f>D40+0.05</f>
        <v>0.65</v>
      </c>
      <c r="E41" s="13" cm="1">
        <f t="array" ref="E41">((B41-INDEX($AT$4:$AW$53,MATCH(B41,$AT$4:$AT$53,1),1))/(INDEX($AT$4:$AW$53,MATCH(B41,$AT$4:$AT$53,1)+1,1)-INDEX($AT$4:$AW$53,MATCH(B41,$AT$4:$AT$53,1),1)))*(INDEX($AT$4:$AW$53,MATCH(B41,$AT$4:$AT$53,1)+1,4)-INDEX($AT$4:$AW$53,MATCH(B41,$AT$4:$AT$53,1),4))+INDEX($AT$4:$AW$53,MATCH(B41,$AT$4:$AT$53,1),4)</f>
        <v>84.317120493532144</v>
      </c>
      <c r="F41" s="13" cm="1">
        <f t="array" ref="F41">C41+((B41-INDEX($AT$4:$AW$53,MATCH(B41,$AT$4:$AT$53,1),1))/(INDEX($AT$4:$AW$53,MATCH(B41,$AT$4:$AT$53,1)+1,1)-INDEX($AT$4:$AW$53,MATCH(B41,$AT$4:$AT$53,1),1)))*(INDEX($AT$4:$AW$53,MATCH(B41,$AT$4:$AT$53,1)+1,3)-INDEX($AT$4:$AW$53,MATCH(B41,$AT$4:$AT$53,1),3))+INDEX($AT$4:$AW$53,MATCH(B41,$AT$4:$AT$53,1),3)</f>
        <v>278.24640031211516</v>
      </c>
      <c r="G41" s="4">
        <f t="shared" si="1"/>
        <v>1.0558550836759641</v>
      </c>
      <c r="H41" s="6">
        <f t="shared" si="18"/>
        <v>5000</v>
      </c>
      <c r="I41" s="13">
        <f t="shared" si="2"/>
        <v>217.3367158125493</v>
      </c>
      <c r="J41" s="13">
        <f t="shared" si="19"/>
        <v>422.46780166506585</v>
      </c>
      <c r="K41" s="13">
        <f t="shared" si="3"/>
        <v>392.18206289877128</v>
      </c>
      <c r="L41" s="13">
        <f t="shared" si="20"/>
        <v>395.32904081696734</v>
      </c>
      <c r="M41" s="13">
        <f t="shared" si="21"/>
        <v>27.683186685590442</v>
      </c>
      <c r="N41" s="13">
        <f t="shared" si="22"/>
        <v>24.936788385962128</v>
      </c>
      <c r="O41" s="4">
        <f t="shared" si="4"/>
        <v>1.0845</v>
      </c>
      <c r="P41" s="4">
        <f t="shared" si="5"/>
        <v>1.328322249663566</v>
      </c>
      <c r="Q41" s="4">
        <f t="shared" si="6"/>
        <v>1.0472261708779766</v>
      </c>
      <c r="R41" s="4">
        <f t="shared" si="7"/>
        <v>1.1053570903441656</v>
      </c>
      <c r="S41" s="4">
        <f t="shared" si="8"/>
        <v>0.8617637538383689</v>
      </c>
      <c r="T41" s="1"/>
      <c r="U41" s="1"/>
      <c r="V41" s="1">
        <v>1</v>
      </c>
      <c r="W41" s="1">
        <v>1</v>
      </c>
      <c r="Y41" s="1">
        <f t="shared" si="23"/>
        <v>55.613569772029123</v>
      </c>
      <c r="Z41" s="1">
        <f t="shared" si="24"/>
        <v>55.613569772029123</v>
      </c>
      <c r="AB41" s="130">
        <v>1</v>
      </c>
      <c r="AC41" s="128">
        <f t="shared" si="9"/>
        <v>0.51356419576191015</v>
      </c>
      <c r="AD41" s="4">
        <f t="shared" si="10"/>
        <v>1.1053570903441656</v>
      </c>
      <c r="AE41" s="4">
        <f t="shared" si="11"/>
        <v>1.842261817240276</v>
      </c>
      <c r="AF41" s="32">
        <f t="shared" si="12"/>
        <v>0.74412303260054147</v>
      </c>
      <c r="AG41" s="4">
        <f t="shared" si="13"/>
        <v>1.0760181191120408</v>
      </c>
      <c r="AH41" s="42">
        <f t="shared" si="14"/>
        <v>1.7447216168798436</v>
      </c>
      <c r="AJ41" s="23">
        <v>4</v>
      </c>
      <c r="AK41" s="24">
        <v>0.8</v>
      </c>
      <c r="AL41" s="5">
        <f t="shared" si="15"/>
        <v>2.0799999999999999E-2</v>
      </c>
      <c r="AM41" s="5">
        <f t="shared" si="25"/>
        <v>0.1194718394324346</v>
      </c>
      <c r="AN41" s="25">
        <f t="shared" si="26"/>
        <v>-8.0000000000000002E-3</v>
      </c>
      <c r="AO41" s="30">
        <f t="shared" si="16"/>
        <v>1.4E-2</v>
      </c>
      <c r="AP41" s="5">
        <f t="shared" si="17"/>
        <v>0.18</v>
      </c>
      <c r="AQ41" s="25">
        <v>0</v>
      </c>
      <c r="AT41" s="32">
        <f t="shared" si="0"/>
        <v>54133.86</v>
      </c>
      <c r="AU41" s="17">
        <v>16500</v>
      </c>
      <c r="AV41" s="17">
        <v>216.7</v>
      </c>
      <c r="AW41" s="17">
        <v>9.5719999999999992</v>
      </c>
      <c r="AX41" s="17">
        <v>0.12559999999999999</v>
      </c>
      <c r="AY41" s="17">
        <v>9.2370000000000001</v>
      </c>
      <c r="AZ41" s="17">
        <v>1.952</v>
      </c>
      <c r="BA41" s="33">
        <v>295.10000000000002</v>
      </c>
    </row>
    <row r="42" spans="2:53">
      <c r="B42" s="38">
        <v>5000</v>
      </c>
      <c r="C42" s="3">
        <v>0</v>
      </c>
      <c r="D42" s="3">
        <f t="shared" ref="D42:D45" si="31">D41+0.05</f>
        <v>0.70000000000000007</v>
      </c>
      <c r="E42" s="13" cm="1">
        <f t="array" ref="E42">((B42-INDEX($AT$4:$AW$53,MATCH(B42,$AT$4:$AT$53,1),1))/(INDEX($AT$4:$AW$53,MATCH(B42,$AT$4:$AT$53,1)+1,1)-INDEX($AT$4:$AW$53,MATCH(B42,$AT$4:$AT$53,1),1)))*(INDEX($AT$4:$AW$53,MATCH(B42,$AT$4:$AT$53,1)+1,4)-INDEX($AT$4:$AW$53,MATCH(B42,$AT$4:$AT$53,1),4))+INDEX($AT$4:$AW$53,MATCH(B42,$AT$4:$AT$53,1),4)</f>
        <v>84.317120493532144</v>
      </c>
      <c r="F42" s="13" cm="1">
        <f t="array" ref="F42">C42+((B42-INDEX($AT$4:$AW$53,MATCH(B42,$AT$4:$AT$53,1),1))/(INDEX($AT$4:$AW$53,MATCH(B42,$AT$4:$AT$53,1)+1,1)-INDEX($AT$4:$AW$53,MATCH(B42,$AT$4:$AT$53,1),1)))*(INDEX($AT$4:$AW$53,MATCH(B42,$AT$4:$AT$53,1)+1,3)-INDEX($AT$4:$AW$53,MATCH(B42,$AT$4:$AT$53,1),3))+INDEX($AT$4:$AW$53,MATCH(B42,$AT$4:$AT$53,1),3)</f>
        <v>278.24640031211516</v>
      </c>
      <c r="G42" s="4">
        <f t="shared" si="1"/>
        <v>1.0558550836759641</v>
      </c>
      <c r="H42" s="6">
        <f t="shared" si="18"/>
        <v>5000</v>
      </c>
      <c r="I42" s="13">
        <f t="shared" si="2"/>
        <v>234.05492472120696</v>
      </c>
      <c r="J42" s="13">
        <f t="shared" si="19"/>
        <v>454.96532487007096</v>
      </c>
      <c r="K42" s="13">
        <f t="shared" si="3"/>
        <v>422.34991389098451</v>
      </c>
      <c r="L42" s="13">
        <f t="shared" si="20"/>
        <v>426.22061394576349</v>
      </c>
      <c r="M42" s="13">
        <f t="shared" si="21"/>
        <v>32.639270091125418</v>
      </c>
      <c r="N42" s="13">
        <f t="shared" si="22"/>
        <v>28.92077232928153</v>
      </c>
      <c r="O42" s="4">
        <f t="shared" si="4"/>
        <v>1.0980000000000001</v>
      </c>
      <c r="P42" s="4">
        <f t="shared" si="5"/>
        <v>1.3871013371908156</v>
      </c>
      <c r="Q42" s="4">
        <f t="shared" si="6"/>
        <v>1.0602621813038435</v>
      </c>
      <c r="R42" s="4">
        <f t="shared" si="7"/>
        <v>1.1542698305912416</v>
      </c>
      <c r="S42" s="4">
        <f t="shared" si="8"/>
        <v>0.8617637538383689</v>
      </c>
      <c r="T42" s="1"/>
      <c r="U42" s="1"/>
      <c r="V42" s="1">
        <v>1</v>
      </c>
      <c r="W42" s="1">
        <v>1</v>
      </c>
      <c r="Y42" s="1">
        <f t="shared" si="23"/>
        <v>58.165713233015445</v>
      </c>
      <c r="Z42" s="1">
        <f t="shared" si="24"/>
        <v>58.165713233015445</v>
      </c>
      <c r="AB42" s="130">
        <v>1</v>
      </c>
      <c r="AC42" s="128">
        <f t="shared" si="9"/>
        <v>0.51143379814261469</v>
      </c>
      <c r="AD42" s="4">
        <f t="shared" si="10"/>
        <v>1.1542698305912416</v>
      </c>
      <c r="AE42" s="4">
        <f t="shared" si="11"/>
        <v>1.9237830509854026</v>
      </c>
      <c r="AF42" s="32">
        <f t="shared" si="12"/>
        <v>0.7706549862224823</v>
      </c>
      <c r="AG42" s="4">
        <f t="shared" si="13"/>
        <v>1.0907580933464525</v>
      </c>
      <c r="AH42" s="42">
        <f t="shared" si="14"/>
        <v>1.757987593690814</v>
      </c>
      <c r="AJ42" s="23">
        <v>4</v>
      </c>
      <c r="AK42" s="24">
        <v>0.8</v>
      </c>
      <c r="AL42" s="5">
        <f t="shared" si="15"/>
        <v>2.0799999999999999E-2</v>
      </c>
      <c r="AM42" s="5">
        <f t="shared" si="25"/>
        <v>0.1194718394324346</v>
      </c>
      <c r="AN42" s="25">
        <f t="shared" si="26"/>
        <v>-8.0000000000000002E-3</v>
      </c>
      <c r="AO42" s="30">
        <f t="shared" si="16"/>
        <v>1.4E-2</v>
      </c>
      <c r="AP42" s="5">
        <f t="shared" si="17"/>
        <v>0.18</v>
      </c>
      <c r="AQ42" s="25">
        <v>0</v>
      </c>
      <c r="AT42" s="32">
        <f t="shared" si="0"/>
        <v>55774.28</v>
      </c>
      <c r="AU42" s="17">
        <v>17000</v>
      </c>
      <c r="AV42" s="17">
        <v>216.7</v>
      </c>
      <c r="AW42" s="17">
        <v>8.85</v>
      </c>
      <c r="AX42" s="17">
        <v>0.1162</v>
      </c>
      <c r="AY42" s="17">
        <v>9.99</v>
      </c>
      <c r="AZ42" s="17">
        <v>1.952</v>
      </c>
      <c r="BA42" s="33">
        <v>295.10000000000002</v>
      </c>
    </row>
    <row r="43" spans="2:53">
      <c r="B43" s="38">
        <v>5000</v>
      </c>
      <c r="C43" s="3">
        <v>0</v>
      </c>
      <c r="D43" s="3">
        <f t="shared" si="31"/>
        <v>0.75000000000000011</v>
      </c>
      <c r="E43" s="13" cm="1">
        <f t="array" ref="E43">((B43-INDEX($AT$4:$AW$53,MATCH(B43,$AT$4:$AT$53,1),1))/(INDEX($AT$4:$AW$53,MATCH(B43,$AT$4:$AT$53,1)+1,1)-INDEX($AT$4:$AW$53,MATCH(B43,$AT$4:$AT$53,1),1)))*(INDEX($AT$4:$AW$53,MATCH(B43,$AT$4:$AT$53,1)+1,4)-INDEX($AT$4:$AW$53,MATCH(B43,$AT$4:$AT$53,1),4))+INDEX($AT$4:$AW$53,MATCH(B43,$AT$4:$AT$53,1),4)</f>
        <v>84.317120493532144</v>
      </c>
      <c r="F43" s="13" cm="1">
        <f t="array" ref="F43">C43+((B43-INDEX($AT$4:$AW$53,MATCH(B43,$AT$4:$AT$53,1),1))/(INDEX($AT$4:$AW$53,MATCH(B43,$AT$4:$AT$53,1)+1,1)-INDEX($AT$4:$AW$53,MATCH(B43,$AT$4:$AT$53,1),1)))*(INDEX($AT$4:$AW$53,MATCH(B43,$AT$4:$AT$53,1)+1,3)-INDEX($AT$4:$AW$53,MATCH(B43,$AT$4:$AT$53,1),3))+INDEX($AT$4:$AW$53,MATCH(B43,$AT$4:$AT$53,1),3)</f>
        <v>278.24640031211516</v>
      </c>
      <c r="G43" s="4">
        <f t="shared" si="1"/>
        <v>1.0558550836759641</v>
      </c>
      <c r="H43" s="6">
        <f t="shared" si="18"/>
        <v>5000</v>
      </c>
      <c r="I43" s="13">
        <f t="shared" si="2"/>
        <v>250.77313362986462</v>
      </c>
      <c r="J43" s="13">
        <f t="shared" si="19"/>
        <v>487.46284807507607</v>
      </c>
      <c r="K43" s="13">
        <f t="shared" si="3"/>
        <v>452.51776488319769</v>
      </c>
      <c r="L43" s="13">
        <f t="shared" si="20"/>
        <v>457.20162709896414</v>
      </c>
      <c r="M43" s="13">
        <f t="shared" si="21"/>
        <v>38.134866123345127</v>
      </c>
      <c r="N43" s="13">
        <f t="shared" si="22"/>
        <v>33.199866194328294</v>
      </c>
      <c r="O43" s="4">
        <f t="shared" si="4"/>
        <v>1.1125</v>
      </c>
      <c r="P43" s="4">
        <f t="shared" si="5"/>
        <v>1.4522790377580601</v>
      </c>
      <c r="Q43" s="4">
        <f t="shared" si="6"/>
        <v>1.0742638221316263</v>
      </c>
      <c r="R43" s="4">
        <f t="shared" si="7"/>
        <v>1.20850714647794</v>
      </c>
      <c r="S43" s="4">
        <f t="shared" si="8"/>
        <v>0.8617637538383689</v>
      </c>
      <c r="T43" s="1"/>
      <c r="U43" s="1"/>
      <c r="V43" s="1">
        <v>1</v>
      </c>
      <c r="W43" s="1">
        <v>1</v>
      </c>
      <c r="Y43" s="1">
        <f t="shared" si="23"/>
        <v>60.377859554665221</v>
      </c>
      <c r="Z43" s="1">
        <f t="shared" si="24"/>
        <v>60.377859554665221</v>
      </c>
      <c r="AB43" s="130">
        <v>1</v>
      </c>
      <c r="AC43" s="128">
        <f t="shared" si="9"/>
        <v>0.50937822173508929</v>
      </c>
      <c r="AD43" s="4">
        <f t="shared" si="10"/>
        <v>1.20850714647794</v>
      </c>
      <c r="AE43" s="4">
        <f t="shared" si="11"/>
        <v>2.0141785774632335</v>
      </c>
      <c r="AF43" s="32">
        <f t="shared" si="12"/>
        <v>0.79718693984442301</v>
      </c>
      <c r="AG43" s="4">
        <f t="shared" si="13"/>
        <v>1.1054980675808639</v>
      </c>
      <c r="AH43" s="42">
        <f t="shared" si="14"/>
        <v>1.7712535705017844</v>
      </c>
      <c r="AJ43" s="23">
        <v>4</v>
      </c>
      <c r="AK43" s="24">
        <v>0.8</v>
      </c>
      <c r="AL43" s="5">
        <f t="shared" si="15"/>
        <v>2.0799999999999999E-2</v>
      </c>
      <c r="AM43" s="5">
        <f t="shared" si="25"/>
        <v>0.1194718394324346</v>
      </c>
      <c r="AN43" s="25">
        <f t="shared" si="26"/>
        <v>-8.0000000000000002E-3</v>
      </c>
      <c r="AO43" s="30">
        <f t="shared" si="16"/>
        <v>1.4E-2</v>
      </c>
      <c r="AP43" s="5">
        <f t="shared" si="17"/>
        <v>0.18</v>
      </c>
      <c r="AQ43" s="25">
        <v>0</v>
      </c>
      <c r="AT43" s="32">
        <f t="shared" si="0"/>
        <v>57414.7</v>
      </c>
      <c r="AU43" s="17">
        <v>17500</v>
      </c>
      <c r="AV43" s="17">
        <v>216.7</v>
      </c>
      <c r="AW43" s="17">
        <v>8.1820000000000004</v>
      </c>
      <c r="AX43" s="17">
        <v>0.1074</v>
      </c>
      <c r="AY43" s="17">
        <v>10.805</v>
      </c>
      <c r="AZ43" s="17">
        <v>1.952</v>
      </c>
      <c r="BA43" s="33">
        <v>295.10000000000002</v>
      </c>
    </row>
    <row r="44" spans="2:53">
      <c r="B44" s="38">
        <v>5000</v>
      </c>
      <c r="C44" s="3">
        <v>0</v>
      </c>
      <c r="D44" s="3">
        <f t="shared" si="31"/>
        <v>0.80000000000000016</v>
      </c>
      <c r="E44" s="13" cm="1">
        <f t="array" ref="E44">((B44-INDEX($AT$4:$AW$53,MATCH(B44,$AT$4:$AT$53,1),1))/(INDEX($AT$4:$AW$53,MATCH(B44,$AT$4:$AT$53,1)+1,1)-INDEX($AT$4:$AW$53,MATCH(B44,$AT$4:$AT$53,1),1)))*(INDEX($AT$4:$AW$53,MATCH(B44,$AT$4:$AT$53,1)+1,4)-INDEX($AT$4:$AW$53,MATCH(B44,$AT$4:$AT$53,1),4))+INDEX($AT$4:$AW$53,MATCH(B44,$AT$4:$AT$53,1),4)</f>
        <v>84.317120493532144</v>
      </c>
      <c r="F44" s="13" cm="1">
        <f t="array" ref="F44">C44+((B44-INDEX($AT$4:$AW$53,MATCH(B44,$AT$4:$AT$53,1),1))/(INDEX($AT$4:$AW$53,MATCH(B44,$AT$4:$AT$53,1)+1,1)-INDEX($AT$4:$AW$53,MATCH(B44,$AT$4:$AT$53,1),1)))*(INDEX($AT$4:$AW$53,MATCH(B44,$AT$4:$AT$53,1)+1,3)-INDEX($AT$4:$AW$53,MATCH(B44,$AT$4:$AT$53,1),3))+INDEX($AT$4:$AW$53,MATCH(B44,$AT$4:$AT$53,1),3)</f>
        <v>278.24640031211516</v>
      </c>
      <c r="G44" s="4">
        <f t="shared" si="1"/>
        <v>1.0558550836759641</v>
      </c>
      <c r="H44" s="6">
        <f t="shared" si="18"/>
        <v>5000</v>
      </c>
      <c r="I44" s="13">
        <f t="shared" si="2"/>
        <v>267.49134253852225</v>
      </c>
      <c r="J44" s="13">
        <f t="shared" si="19"/>
        <v>519.96037128008106</v>
      </c>
      <c r="K44" s="13">
        <f t="shared" si="3"/>
        <v>482.6856158754108</v>
      </c>
      <c r="L44" s="13">
        <f t="shared" si="20"/>
        <v>488.27306882043723</v>
      </c>
      <c r="M44" s="13">
        <f t="shared" si="21"/>
        <v>44.21083976553637</v>
      </c>
      <c r="N44" s="13">
        <f t="shared" si="22"/>
        <v>37.7740699811024</v>
      </c>
      <c r="O44" s="4">
        <f t="shared" si="4"/>
        <v>1.1280000000000001</v>
      </c>
      <c r="P44" s="4">
        <f t="shared" si="5"/>
        <v>1.5243400095586486</v>
      </c>
      <c r="Q44" s="4">
        <f t="shared" si="6"/>
        <v>1.0892310933613254</v>
      </c>
      <c r="R44" s="4">
        <f t="shared" si="7"/>
        <v>1.2684723440322578</v>
      </c>
      <c r="S44" s="4">
        <f t="shared" si="8"/>
        <v>0.8617637538383689</v>
      </c>
      <c r="T44" s="1"/>
      <c r="U44" s="1"/>
      <c r="V44" s="1">
        <v>1</v>
      </c>
      <c r="W44" s="1">
        <v>1</v>
      </c>
      <c r="Y44" s="1">
        <f t="shared" si="23"/>
        <v>62.298197615281232</v>
      </c>
      <c r="Z44" s="1">
        <f t="shared" si="24"/>
        <v>62.298197615281232</v>
      </c>
      <c r="AB44" s="130">
        <v>1</v>
      </c>
      <c r="AC44" s="128">
        <f t="shared" si="9"/>
        <v>0.50739009663000589</v>
      </c>
      <c r="AD44" s="4">
        <f t="shared" si="10"/>
        <v>1.2684723440322578</v>
      </c>
      <c r="AE44" s="4">
        <f t="shared" si="11"/>
        <v>2.1141205733870967</v>
      </c>
      <c r="AF44" s="32">
        <f t="shared" si="12"/>
        <v>0.82371889346636373</v>
      </c>
      <c r="AG44" s="4">
        <f t="shared" si="13"/>
        <v>1.1202380418152755</v>
      </c>
      <c r="AH44" s="42">
        <f t="shared" si="14"/>
        <v>1.7845195473127546</v>
      </c>
      <c r="AJ44" s="23">
        <v>4</v>
      </c>
      <c r="AK44" s="24">
        <v>0.8</v>
      </c>
      <c r="AL44" s="5">
        <f t="shared" si="15"/>
        <v>2.0799999999999999E-2</v>
      </c>
      <c r="AM44" s="5">
        <f t="shared" si="25"/>
        <v>0.1194718394324346</v>
      </c>
      <c r="AN44" s="25">
        <f t="shared" si="26"/>
        <v>-8.0000000000000002E-3</v>
      </c>
      <c r="AO44" s="30">
        <f t="shared" si="16"/>
        <v>1.4000000000000004E-2</v>
      </c>
      <c r="AP44" s="5">
        <f t="shared" si="17"/>
        <v>0.18</v>
      </c>
      <c r="AQ44" s="25">
        <v>0</v>
      </c>
      <c r="AT44" s="32">
        <f t="shared" si="0"/>
        <v>59055.12</v>
      </c>
      <c r="AU44" s="17">
        <v>18000</v>
      </c>
      <c r="AV44" s="17">
        <v>216.7</v>
      </c>
      <c r="AW44" s="17">
        <v>7.5650000000000004</v>
      </c>
      <c r="AX44" s="17">
        <v>9.9299999999999999E-2</v>
      </c>
      <c r="AY44" s="17">
        <v>11.686</v>
      </c>
      <c r="AZ44" s="17">
        <v>1.952</v>
      </c>
      <c r="BA44" s="33">
        <v>295.10000000000002</v>
      </c>
    </row>
    <row r="45" spans="2:53">
      <c r="B45" s="38">
        <v>5000</v>
      </c>
      <c r="C45" s="3">
        <v>0</v>
      </c>
      <c r="D45" s="3">
        <f t="shared" si="31"/>
        <v>0.8500000000000002</v>
      </c>
      <c r="E45" s="13" cm="1">
        <f t="array" ref="E45">((B45-INDEX($AT$4:$AW$53,MATCH(B45,$AT$4:$AT$53,1),1))/(INDEX($AT$4:$AW$53,MATCH(B45,$AT$4:$AT$53,1)+1,1)-INDEX($AT$4:$AW$53,MATCH(B45,$AT$4:$AT$53,1),1)))*(INDEX($AT$4:$AW$53,MATCH(B45,$AT$4:$AT$53,1)+1,4)-INDEX($AT$4:$AW$53,MATCH(B45,$AT$4:$AT$53,1),4))+INDEX($AT$4:$AW$53,MATCH(B45,$AT$4:$AT$53,1),4)</f>
        <v>84.317120493532144</v>
      </c>
      <c r="F45" s="13" cm="1">
        <f t="array" ref="F45">C45+((B45-INDEX($AT$4:$AW$53,MATCH(B45,$AT$4:$AT$53,1),1))/(INDEX($AT$4:$AW$53,MATCH(B45,$AT$4:$AT$53,1)+1,1)-INDEX($AT$4:$AW$53,MATCH(B45,$AT$4:$AT$53,1),1)))*(INDEX($AT$4:$AW$53,MATCH(B45,$AT$4:$AT$53,1)+1,3)-INDEX($AT$4:$AW$53,MATCH(B45,$AT$4:$AT$53,1),3))+INDEX($AT$4:$AW$53,MATCH(B45,$AT$4:$AT$53,1),3)</f>
        <v>278.24640031211516</v>
      </c>
      <c r="G45" s="4">
        <f t="shared" si="1"/>
        <v>1.0558550836759641</v>
      </c>
      <c r="H45" s="6">
        <f t="shared" si="18"/>
        <v>5000</v>
      </c>
      <c r="I45" s="13">
        <f t="shared" si="2"/>
        <v>284.20955144717993</v>
      </c>
      <c r="J45" s="13">
        <f t="shared" si="19"/>
        <v>552.45789448508629</v>
      </c>
      <c r="K45" s="13">
        <f t="shared" si="3"/>
        <v>512.85346686762409</v>
      </c>
      <c r="L45" s="13">
        <f t="shared" si="20"/>
        <v>519.43518393090915</v>
      </c>
      <c r="M45" s="13">
        <f t="shared" si="21"/>
        <v>50.912259264234066</v>
      </c>
      <c r="N45" s="13">
        <f t="shared" si="22"/>
        <v>42.643383689603908</v>
      </c>
      <c r="O45" s="4">
        <f t="shared" si="4"/>
        <v>1.1445000000000001</v>
      </c>
      <c r="P45" s="4">
        <f t="shared" si="5"/>
        <v>1.6038187614357571</v>
      </c>
      <c r="Q45" s="4">
        <f t="shared" si="6"/>
        <v>1.1051639949929408</v>
      </c>
      <c r="R45" s="4">
        <f t="shared" si="7"/>
        <v>1.3346102122651491</v>
      </c>
      <c r="S45" s="4">
        <f t="shared" si="8"/>
        <v>0.8617637538383689</v>
      </c>
      <c r="T45" s="1"/>
      <c r="U45" s="1"/>
      <c r="V45" s="1">
        <v>1</v>
      </c>
      <c r="W45" s="1">
        <v>1</v>
      </c>
      <c r="Y45" s="1">
        <f t="shared" si="23"/>
        <v>3.6817833616817408</v>
      </c>
      <c r="Z45" s="1">
        <f t="shared" si="24"/>
        <v>63.989163029562263</v>
      </c>
      <c r="AB45" s="130">
        <v>1</v>
      </c>
      <c r="AC45" s="128">
        <f t="shared" si="9"/>
        <v>0.5054631887989498</v>
      </c>
      <c r="AD45" s="4">
        <f t="shared" si="10"/>
        <v>1.3346102122651491</v>
      </c>
      <c r="AE45" s="4">
        <f t="shared" si="11"/>
        <v>2.2243503537752485</v>
      </c>
      <c r="AF45" s="32">
        <f t="shared" si="12"/>
        <v>0.85025084708830456</v>
      </c>
      <c r="AG45" s="4">
        <f t="shared" si="13"/>
        <v>1.134978016049687</v>
      </c>
      <c r="AH45" s="42">
        <f t="shared" si="14"/>
        <v>1.7977855241237251</v>
      </c>
      <c r="AJ45" s="23">
        <v>4</v>
      </c>
      <c r="AK45" s="24">
        <v>0.8</v>
      </c>
      <c r="AL45" s="5">
        <f t="shared" si="15"/>
        <v>3.5100000000000048E-2</v>
      </c>
      <c r="AM45" s="5">
        <f t="shared" si="25"/>
        <v>0.1194718394324346</v>
      </c>
      <c r="AN45" s="25">
        <f t="shared" si="26"/>
        <v>-8.0000000000000002E-3</v>
      </c>
      <c r="AO45" s="30">
        <f t="shared" si="16"/>
        <v>1.5750000000000007E-2</v>
      </c>
      <c r="AP45" s="5">
        <f t="shared" si="17"/>
        <v>0.18</v>
      </c>
      <c r="AQ45" s="25">
        <v>0</v>
      </c>
      <c r="AT45" s="32">
        <f t="shared" si="0"/>
        <v>60695.54</v>
      </c>
      <c r="AU45" s="17">
        <v>18500</v>
      </c>
      <c r="AV45" s="17">
        <v>216.7</v>
      </c>
      <c r="AW45" s="17">
        <v>6.9950000000000001</v>
      </c>
      <c r="AX45" s="17">
        <v>9.1819999999999999E-2</v>
      </c>
      <c r="AY45" s="17">
        <v>12.638999999999999</v>
      </c>
      <c r="AZ45" s="17">
        <v>1.952</v>
      </c>
      <c r="BA45" s="33">
        <v>295.10000000000002</v>
      </c>
    </row>
    <row r="46" spans="2:53">
      <c r="B46" s="38">
        <v>5000</v>
      </c>
      <c r="C46" s="3">
        <v>0</v>
      </c>
      <c r="D46" s="3">
        <f>D45+0.05</f>
        <v>0.90000000000000024</v>
      </c>
      <c r="E46" s="13" cm="1">
        <f t="array" ref="E46">((B46-INDEX($AT$4:$AW$53,MATCH(B46,$AT$4:$AT$53,1),1))/(INDEX($AT$4:$AW$53,MATCH(B46,$AT$4:$AT$53,1)+1,1)-INDEX($AT$4:$AW$53,MATCH(B46,$AT$4:$AT$53,1),1)))*(INDEX($AT$4:$AW$53,MATCH(B46,$AT$4:$AT$53,1)+1,4)-INDEX($AT$4:$AW$53,MATCH(B46,$AT$4:$AT$53,1),4))+INDEX($AT$4:$AW$53,MATCH(B46,$AT$4:$AT$53,1),4)</f>
        <v>84.317120493532144</v>
      </c>
      <c r="F46" s="13" cm="1">
        <f t="array" ref="F46">C46+((B46-INDEX($AT$4:$AW$53,MATCH(B46,$AT$4:$AT$53,1),1))/(INDEX($AT$4:$AW$53,MATCH(B46,$AT$4:$AT$53,1)+1,1)-INDEX($AT$4:$AW$53,MATCH(B46,$AT$4:$AT$53,1),1)))*(INDEX($AT$4:$AW$53,MATCH(B46,$AT$4:$AT$53,1)+1,3)-INDEX($AT$4:$AW$53,MATCH(B46,$AT$4:$AT$53,1),3))+INDEX($AT$4:$AW$53,MATCH(B46,$AT$4:$AT$53,1),3)</f>
        <v>278.24640031211516</v>
      </c>
      <c r="G46" s="4">
        <f t="shared" si="1"/>
        <v>1.0558550836759641</v>
      </c>
      <c r="H46" s="6">
        <f t="shared" si="18"/>
        <v>5000</v>
      </c>
      <c r="I46" s="13">
        <f t="shared" si="2"/>
        <v>300.92776035583756</v>
      </c>
      <c r="J46" s="13">
        <f t="shared" si="19"/>
        <v>584.95541769009128</v>
      </c>
      <c r="K46" s="13">
        <f t="shared" si="3"/>
        <v>543.02131785983727</v>
      </c>
      <c r="L46" s="13">
        <f t="shared" si="20"/>
        <v>550.68751991442309</v>
      </c>
      <c r="M46" s="13">
        <f t="shared" si="21"/>
        <v>58.288687863805805</v>
      </c>
      <c r="N46" s="13">
        <f t="shared" si="22"/>
        <v>47.80780731983274</v>
      </c>
      <c r="O46" s="4">
        <f t="shared" si="4"/>
        <v>1.1619999999999999</v>
      </c>
      <c r="P46" s="4">
        <f t="shared" si="5"/>
        <v>1.691303112850931</v>
      </c>
      <c r="Q46" s="4">
        <f t="shared" si="6"/>
        <v>1.1220625270264717</v>
      </c>
      <c r="R46" s="4">
        <f t="shared" si="7"/>
        <v>1.4074099023670164</v>
      </c>
      <c r="S46" s="4">
        <f t="shared" si="8"/>
        <v>0.8617637538383689</v>
      </c>
      <c r="T46" s="1"/>
      <c r="U46" s="1"/>
      <c r="V46" s="1">
        <v>1</v>
      </c>
      <c r="W46" s="1">
        <v>1</v>
      </c>
      <c r="Y46" s="1">
        <f t="shared" si="23"/>
        <v>-77.646802303373136</v>
      </c>
      <c r="Z46" s="1">
        <f t="shared" si="24"/>
        <v>65.529521011537824</v>
      </c>
      <c r="AB46" s="130">
        <v>1</v>
      </c>
      <c r="AC46" s="128">
        <f t="shared" si="9"/>
        <v>0.50359216913646399</v>
      </c>
      <c r="AD46" s="4">
        <f t="shared" si="10"/>
        <v>1.4074099023670164</v>
      </c>
      <c r="AE46" s="4">
        <f t="shared" si="11"/>
        <v>2.3456831706116938</v>
      </c>
      <c r="AF46" s="32">
        <f t="shared" si="12"/>
        <v>0.87678280071024528</v>
      </c>
      <c r="AG46" s="4">
        <f t="shared" si="13"/>
        <v>1.1497179902840986</v>
      </c>
      <c r="AH46" s="42">
        <f t="shared" si="14"/>
        <v>1.8110515009346955</v>
      </c>
      <c r="AJ46" s="23">
        <v>4</v>
      </c>
      <c r="AK46" s="24">
        <v>0.8</v>
      </c>
      <c r="AL46" s="5">
        <f t="shared" si="15"/>
        <v>4.9400000000000062E-2</v>
      </c>
      <c r="AM46" s="5">
        <f t="shared" si="25"/>
        <v>0.1194718394324346</v>
      </c>
      <c r="AN46" s="25">
        <f t="shared" si="26"/>
        <v>-8.0000000000000002E-3</v>
      </c>
      <c r="AO46" s="30">
        <f t="shared" si="16"/>
        <v>1.7500000000000009E-2</v>
      </c>
      <c r="AP46" s="5">
        <f t="shared" si="17"/>
        <v>0.18</v>
      </c>
      <c r="AQ46" s="25">
        <v>0</v>
      </c>
      <c r="AT46" s="32">
        <f t="shared" si="0"/>
        <v>62335.96</v>
      </c>
      <c r="AU46" s="17">
        <v>19000</v>
      </c>
      <c r="AV46" s="17">
        <v>216.7</v>
      </c>
      <c r="AW46" s="17">
        <v>6.4669999999999996</v>
      </c>
      <c r="AX46" s="17">
        <v>8.4889999999999993E-2</v>
      </c>
      <c r="AY46" s="17">
        <v>13.67</v>
      </c>
      <c r="AZ46" s="17">
        <v>1.952</v>
      </c>
      <c r="BA46" s="33">
        <v>295.10000000000002</v>
      </c>
    </row>
    <row r="47" spans="2:53">
      <c r="B47" s="38">
        <v>5000</v>
      </c>
      <c r="C47" s="3">
        <v>0</v>
      </c>
      <c r="D47" s="3">
        <f t="shared" ref="D47:D48" si="32">D46+0.05</f>
        <v>0.95000000000000029</v>
      </c>
      <c r="E47" s="13" cm="1">
        <f t="array" ref="E47">((B47-INDEX($AT$4:$AW$53,MATCH(B47,$AT$4:$AT$53,1),1))/(INDEX($AT$4:$AW$53,MATCH(B47,$AT$4:$AT$53,1)+1,1)-INDEX($AT$4:$AW$53,MATCH(B47,$AT$4:$AT$53,1),1)))*(INDEX($AT$4:$AW$53,MATCH(B47,$AT$4:$AT$53,1)+1,4)-INDEX($AT$4:$AW$53,MATCH(B47,$AT$4:$AT$53,1),4))+INDEX($AT$4:$AW$53,MATCH(B47,$AT$4:$AT$53,1),4)</f>
        <v>84.317120493532144</v>
      </c>
      <c r="F47" s="13" cm="1">
        <f t="array" ref="F47">C47+((B47-INDEX($AT$4:$AW$53,MATCH(B47,$AT$4:$AT$53,1),1))/(INDEX($AT$4:$AW$53,MATCH(B47,$AT$4:$AT$53,1)+1,1)-INDEX($AT$4:$AW$53,MATCH(B47,$AT$4:$AT$53,1),1)))*(INDEX($AT$4:$AW$53,MATCH(B47,$AT$4:$AT$53,1)+1,3)-INDEX($AT$4:$AW$53,MATCH(B47,$AT$4:$AT$53,1),3))+INDEX($AT$4:$AW$53,MATCH(B47,$AT$4:$AT$53,1),3)</f>
        <v>278.24640031211516</v>
      </c>
      <c r="G47" s="4">
        <f t="shared" si="1"/>
        <v>1.0558550836759641</v>
      </c>
      <c r="H47" s="6">
        <f t="shared" si="18"/>
        <v>5000</v>
      </c>
      <c r="I47" s="13">
        <f t="shared" si="2"/>
        <v>317.64596926449525</v>
      </c>
      <c r="J47" s="13">
        <f t="shared" si="19"/>
        <v>617.4529408950965</v>
      </c>
      <c r="K47" s="13">
        <f t="shared" si="3"/>
        <v>573.18916885205056</v>
      </c>
      <c r="L47" s="13">
        <f t="shared" si="20"/>
        <v>582.02898113429433</v>
      </c>
      <c r="M47" s="13">
        <f t="shared" si="21"/>
        <v>66.394498959786219</v>
      </c>
      <c r="N47" s="13">
        <f t="shared" si="22"/>
        <v>53.267340871788967</v>
      </c>
      <c r="O47" s="4">
        <f t="shared" si="4"/>
        <v>1.1805000000000001</v>
      </c>
      <c r="P47" s="4">
        <f t="shared" si="5"/>
        <v>1.7874379315987108</v>
      </c>
      <c r="Q47" s="4">
        <f t="shared" si="6"/>
        <v>1.1399266894619191</v>
      </c>
      <c r="R47" s="4">
        <f t="shared" si="7"/>
        <v>1.4874080380292956</v>
      </c>
      <c r="S47" s="4">
        <f t="shared" si="8"/>
        <v>0.8617637538383689</v>
      </c>
      <c r="T47" s="1"/>
      <c r="U47" s="1"/>
      <c r="V47" s="1">
        <v>1</v>
      </c>
      <c r="W47" s="1">
        <v>1</v>
      </c>
      <c r="Y47" s="1">
        <f t="shared" si="23"/>
        <v>-185.56746719427551</v>
      </c>
      <c r="Z47" s="1">
        <f t="shared" si="24"/>
        <v>67.016483838896789</v>
      </c>
      <c r="AB47" s="130">
        <v>1</v>
      </c>
      <c r="AC47" s="128">
        <f t="shared" si="9"/>
        <v>0.50177243958633722</v>
      </c>
      <c r="AD47" s="4">
        <f t="shared" si="10"/>
        <v>1.4874080380292956</v>
      </c>
      <c r="AE47" s="4">
        <f t="shared" si="11"/>
        <v>2.4790133967154926</v>
      </c>
      <c r="AF47" s="32">
        <f t="shared" si="12"/>
        <v>0.90331475433218622</v>
      </c>
      <c r="AG47" s="4">
        <f t="shared" si="13"/>
        <v>1.16445796451851</v>
      </c>
      <c r="AH47" s="42">
        <f t="shared" si="14"/>
        <v>1.8243174777456659</v>
      </c>
      <c r="AJ47" s="23">
        <v>4</v>
      </c>
      <c r="AK47" s="24">
        <v>0.8</v>
      </c>
      <c r="AL47" s="5">
        <f t="shared" si="15"/>
        <v>6.3700000000000062E-2</v>
      </c>
      <c r="AM47" s="5">
        <f t="shared" si="25"/>
        <v>0.1194718394324346</v>
      </c>
      <c r="AN47" s="25">
        <f t="shared" si="26"/>
        <v>-8.0000000000000002E-3</v>
      </c>
      <c r="AO47" s="30">
        <f t="shared" si="16"/>
        <v>1.925000000000001E-2</v>
      </c>
      <c r="AP47" s="5">
        <f t="shared" si="17"/>
        <v>0.18</v>
      </c>
      <c r="AQ47" s="25">
        <v>0</v>
      </c>
      <c r="AT47" s="32">
        <f t="shared" si="0"/>
        <v>63976.38</v>
      </c>
      <c r="AU47" s="17">
        <v>19500</v>
      </c>
      <c r="AV47" s="17">
        <v>216.7</v>
      </c>
      <c r="AW47" s="17">
        <v>5.98</v>
      </c>
      <c r="AX47" s="17">
        <v>7.85E-2</v>
      </c>
      <c r="AY47" s="17">
        <v>14.784000000000001</v>
      </c>
      <c r="AZ47" s="17">
        <v>1.952</v>
      </c>
      <c r="BA47" s="33">
        <v>295.10000000000002</v>
      </c>
    </row>
    <row r="48" spans="2:53" ht="15" thickBot="1">
      <c r="B48" s="39">
        <v>5000</v>
      </c>
      <c r="C48" s="48">
        <v>0</v>
      </c>
      <c r="D48" s="48">
        <f t="shared" si="32"/>
        <v>1.0000000000000002</v>
      </c>
      <c r="E48" s="152" cm="1">
        <f t="array" ref="E48">((B48-INDEX($AT$4:$AW$53,MATCH(B48,$AT$4:$AT$53,1),1))/(INDEX($AT$4:$AW$53,MATCH(B48,$AT$4:$AT$53,1)+1,1)-INDEX($AT$4:$AW$53,MATCH(B48,$AT$4:$AT$53,1),1)))*(INDEX($AT$4:$AW$53,MATCH(B48,$AT$4:$AT$53,1)+1,4)-INDEX($AT$4:$AW$53,MATCH(B48,$AT$4:$AT$53,1),4))+INDEX($AT$4:$AW$53,MATCH(B48,$AT$4:$AT$53,1),4)</f>
        <v>84.317120493532144</v>
      </c>
      <c r="F48" s="152" cm="1">
        <f t="array" ref="F48">C48+((B48-INDEX($AT$4:$AW$53,MATCH(B48,$AT$4:$AT$53,1),1))/(INDEX($AT$4:$AW$53,MATCH(B48,$AT$4:$AT$53,1)+1,1)-INDEX($AT$4:$AW$53,MATCH(B48,$AT$4:$AT$53,1),1)))*(INDEX($AT$4:$AW$53,MATCH(B48,$AT$4:$AT$53,1)+1,3)-INDEX($AT$4:$AW$53,MATCH(B48,$AT$4:$AT$53,1),3))+INDEX($AT$4:$AW$53,MATCH(B48,$AT$4:$AT$53,1),3)</f>
        <v>278.24640031211516</v>
      </c>
      <c r="G48" s="43">
        <f t="shared" si="1"/>
        <v>1.0558550836759641</v>
      </c>
      <c r="H48" s="153">
        <f t="shared" si="18"/>
        <v>5000</v>
      </c>
      <c r="I48" s="152">
        <f t="shared" si="2"/>
        <v>334.36417817315282</v>
      </c>
      <c r="J48" s="152">
        <f t="shared" si="19"/>
        <v>649.95046410010139</v>
      </c>
      <c r="K48" s="152">
        <f t="shared" si="3"/>
        <v>603.35701984426362</v>
      </c>
      <c r="L48" s="152">
        <f t="shared" si="20"/>
        <v>613.45788911910859</v>
      </c>
      <c r="M48" s="152">
        <f t="shared" si="21"/>
        <v>75.289215469487928</v>
      </c>
      <c r="N48" s="152">
        <f t="shared" si="22"/>
        <v>59.021984345472518</v>
      </c>
      <c r="O48" s="43">
        <f t="shared" si="4"/>
        <v>1.2</v>
      </c>
      <c r="P48" s="43">
        <f t="shared" si="5"/>
        <v>1.8929291587378541</v>
      </c>
      <c r="Q48" s="43">
        <f t="shared" si="6"/>
        <v>1.1587564822992824</v>
      </c>
      <c r="R48" s="43">
        <f t="shared" si="7"/>
        <v>1.5751920647719722</v>
      </c>
      <c r="S48" s="43">
        <f t="shared" si="8"/>
        <v>0.8617637538383689</v>
      </c>
      <c r="T48" s="98"/>
      <c r="U48" s="98"/>
      <c r="V48" s="98">
        <v>1</v>
      </c>
      <c r="W48" s="98">
        <v>1</v>
      </c>
      <c r="X48" s="104"/>
      <c r="Y48" s="98">
        <f t="shared" si="23"/>
        <v>-324.23407100996201</v>
      </c>
      <c r="Z48" s="1">
        <f t="shared" si="24"/>
        <v>68.567913393085306</v>
      </c>
      <c r="AB48" s="130">
        <v>1</v>
      </c>
      <c r="AC48" s="128">
        <f t="shared" si="9"/>
        <v>0.5</v>
      </c>
      <c r="AD48" s="4">
        <f t="shared" si="10"/>
        <v>1.5751920647719722</v>
      </c>
      <c r="AE48" s="4">
        <f t="shared" si="11"/>
        <v>2.6253201079532871</v>
      </c>
      <c r="AF48" s="32">
        <f t="shared" si="12"/>
        <v>0.92984670795412683</v>
      </c>
      <c r="AG48" s="4">
        <f t="shared" si="13"/>
        <v>1.1791979387529217</v>
      </c>
      <c r="AH48" s="42">
        <f t="shared" si="14"/>
        <v>1.8375834545566361</v>
      </c>
      <c r="AJ48" s="23">
        <v>4</v>
      </c>
      <c r="AK48" s="24">
        <v>0.8</v>
      </c>
      <c r="AL48" s="5">
        <f t="shared" si="15"/>
        <v>7.8000000000000042E-2</v>
      </c>
      <c r="AM48" s="5">
        <f t="shared" si="25"/>
        <v>0.1194718394324346</v>
      </c>
      <c r="AN48" s="25">
        <f t="shared" si="26"/>
        <v>-8.0000000000000002E-3</v>
      </c>
      <c r="AO48" s="30">
        <f t="shared" si="16"/>
        <v>2.1000000000000008E-2</v>
      </c>
      <c r="AP48" s="5">
        <f t="shared" si="17"/>
        <v>0.18</v>
      </c>
      <c r="AQ48" s="25">
        <v>0</v>
      </c>
      <c r="AT48" s="32">
        <f t="shared" si="0"/>
        <v>65616.800000000003</v>
      </c>
      <c r="AU48" s="17">
        <v>20000</v>
      </c>
      <c r="AV48" s="17">
        <v>216.7</v>
      </c>
      <c r="AW48" s="17">
        <v>5.5289999999999999</v>
      </c>
      <c r="AX48" s="17">
        <v>7.2580000000000006E-2</v>
      </c>
      <c r="AY48" s="17">
        <v>15.989000000000001</v>
      </c>
      <c r="AZ48" s="17">
        <v>1.952</v>
      </c>
      <c r="BA48" s="33">
        <v>295.10000000000002</v>
      </c>
    </row>
    <row r="49" spans="2:53">
      <c r="B49" s="146">
        <v>10000</v>
      </c>
      <c r="C49" s="147">
        <v>0</v>
      </c>
      <c r="D49" s="147">
        <v>0.01</v>
      </c>
      <c r="E49" s="148" cm="1">
        <f t="array" ref="E49">((B49-INDEX($AT$4:$AW$53,MATCH(B49,$AT$4:$AT$53,1),1))/(INDEX($AT$4:$AW$53,MATCH(B49,$AT$4:$AT$53,1)+1,1)-INDEX($AT$4:$AW$53,MATCH(B49,$AT$4:$AT$53,1),1)))*(INDEX($AT$4:$AW$53,MATCH(B49,$AT$4:$AT$53,1)+1,4)-INDEX($AT$4:$AW$53,MATCH(B49,$AT$4:$AT$53,1),4))+INDEX($AT$4:$AW$53,MATCH(B49,$AT$4:$AT$53,1),4)</f>
        <v>69.703360846612455</v>
      </c>
      <c r="F49" s="148" cm="1">
        <f t="array" ref="F49">C49+((B49-INDEX($AT$4:$AW$53,MATCH(B49,$AT$4:$AT$53,1),1))/(INDEX($AT$4:$AW$53,MATCH(B49,$AT$4:$AT$53,1)+1,1)-INDEX($AT$4:$AW$53,MATCH(B49,$AT$4:$AT$53,1),1)))*(INDEX($AT$4:$AW$53,MATCH(B49,$AT$4:$AT$53,1)+1,3)-INDEX($AT$4:$AW$53,MATCH(B49,$AT$4:$AT$53,1),3))+INDEX($AT$4:$AW$53,MATCH(B49,$AT$4:$AT$53,1),3)</f>
        <v>268.38320064373755</v>
      </c>
      <c r="G49" s="149">
        <f t="shared" si="1"/>
        <v>0.90493314239321154</v>
      </c>
      <c r="H49" s="150">
        <f t="shared" si="18"/>
        <v>10000</v>
      </c>
      <c r="I49" s="148">
        <f t="shared" si="2"/>
        <v>3.2838448504558455</v>
      </c>
      <c r="J49" s="148">
        <f t="shared" si="19"/>
        <v>6.3832689741100905</v>
      </c>
      <c r="K49" s="148">
        <f t="shared" si="3"/>
        <v>5.4858426427680298</v>
      </c>
      <c r="L49" s="148">
        <f t="shared" si="20"/>
        <v>5.4858640426980525</v>
      </c>
      <c r="M49" s="148">
        <f t="shared" si="21"/>
        <v>4.8793572413472052E-3</v>
      </c>
      <c r="N49" s="148">
        <f t="shared" si="22"/>
        <v>4.8792352592628725E-3</v>
      </c>
      <c r="O49" s="149">
        <f t="shared" si="4"/>
        <v>1.0000199999999999</v>
      </c>
      <c r="P49" s="149">
        <f t="shared" si="5"/>
        <v>1.0000700017500173</v>
      </c>
      <c r="Q49" s="149">
        <f t="shared" si="6"/>
        <v>0.93141963667447658</v>
      </c>
      <c r="R49" s="149">
        <f t="shared" si="7"/>
        <v>0.68796684139011899</v>
      </c>
      <c r="S49" s="149">
        <f t="shared" si="8"/>
        <v>0.73858486246665001</v>
      </c>
      <c r="T49" s="151"/>
      <c r="U49" s="151"/>
      <c r="V49" s="151">
        <v>1</v>
      </c>
      <c r="W49" s="151">
        <v>1</v>
      </c>
      <c r="X49" s="125"/>
      <c r="Y49" s="151">
        <f t="shared" si="23"/>
        <v>-230.14483716625855</v>
      </c>
      <c r="Z49" s="1">
        <f t="shared" si="24"/>
        <v>-230.14483716625855</v>
      </c>
      <c r="AB49" s="130">
        <v>1</v>
      </c>
      <c r="AC49" s="128">
        <f t="shared" si="9"/>
        <v>0.56299999999999994</v>
      </c>
      <c r="AD49" s="4">
        <f t="shared" si="10"/>
        <v>0.68796684139011899</v>
      </c>
      <c r="AE49" s="4">
        <f t="shared" si="11"/>
        <v>1.146611402316865</v>
      </c>
      <c r="AF49" s="32">
        <f t="shared" si="12"/>
        <v>0.39727978913952289</v>
      </c>
      <c r="AG49" s="4">
        <f t="shared" si="13"/>
        <v>0.87147734627229245</v>
      </c>
      <c r="AH49" s="42">
        <f t="shared" si="14"/>
        <v>1.5467516532343333</v>
      </c>
      <c r="AJ49" s="23">
        <v>4</v>
      </c>
      <c r="AK49" s="24">
        <v>0.8</v>
      </c>
      <c r="AL49" s="5">
        <f t="shared" si="15"/>
        <v>2.0799999999999999E-2</v>
      </c>
      <c r="AM49" s="5">
        <f t="shared" si="25"/>
        <v>0.1194718394324346</v>
      </c>
      <c r="AN49" s="25">
        <f t="shared" si="26"/>
        <v>-8.0000000000000002E-3</v>
      </c>
      <c r="AO49" s="30">
        <f t="shared" si="16"/>
        <v>1.4E-2</v>
      </c>
      <c r="AP49" s="5">
        <f t="shared" si="17"/>
        <v>0.18</v>
      </c>
      <c r="AQ49" s="25">
        <v>0</v>
      </c>
      <c r="AT49" s="32">
        <f t="shared" si="0"/>
        <v>72178.48</v>
      </c>
      <c r="AU49" s="17">
        <v>22000</v>
      </c>
      <c r="AV49" s="17">
        <v>218.6</v>
      </c>
      <c r="AW49" s="17">
        <v>4.0469999999999997</v>
      </c>
      <c r="AX49" s="17">
        <v>5.2659999999999998E-2</v>
      </c>
      <c r="AY49" s="17">
        <v>22.201000000000001</v>
      </c>
      <c r="AZ49" s="17">
        <v>1.968</v>
      </c>
      <c r="BA49" s="33">
        <v>296.39999999999998</v>
      </c>
    </row>
    <row r="50" spans="2:53">
      <c r="B50" s="38">
        <v>10000</v>
      </c>
      <c r="C50" s="3">
        <v>0</v>
      </c>
      <c r="D50" s="3">
        <v>0.05</v>
      </c>
      <c r="E50" s="13" cm="1">
        <f t="array" ref="E50">((B50-INDEX($AT$4:$AW$53,MATCH(B50,$AT$4:$AT$53,1),1))/(INDEX($AT$4:$AW$53,MATCH(B50,$AT$4:$AT$53,1)+1,1)-INDEX($AT$4:$AW$53,MATCH(B50,$AT$4:$AT$53,1),1)))*(INDEX($AT$4:$AW$53,MATCH(B50,$AT$4:$AT$53,1)+1,4)-INDEX($AT$4:$AW$53,MATCH(B50,$AT$4:$AT$53,1),4))+INDEX($AT$4:$AW$53,MATCH(B50,$AT$4:$AT$53,1),4)</f>
        <v>69.703360846612455</v>
      </c>
      <c r="F50" s="13" cm="1">
        <f t="array" ref="F50">C50+((B50-INDEX($AT$4:$AW$53,MATCH(B50,$AT$4:$AT$53,1),1))/(INDEX($AT$4:$AW$53,MATCH(B50,$AT$4:$AT$53,1)+1,1)-INDEX($AT$4:$AW$53,MATCH(B50,$AT$4:$AT$53,1),1)))*(INDEX($AT$4:$AW$53,MATCH(B50,$AT$4:$AT$53,1)+1,3)-INDEX($AT$4:$AW$53,MATCH(B50,$AT$4:$AT$53,1),3))+INDEX($AT$4:$AW$53,MATCH(B50,$AT$4:$AT$53,1),3)</f>
        <v>268.38320064373755</v>
      </c>
      <c r="G50" s="4">
        <f t="shared" si="1"/>
        <v>0.90493314239321154</v>
      </c>
      <c r="H50" s="6">
        <f t="shared" si="18"/>
        <v>10000</v>
      </c>
      <c r="I50" s="13">
        <f t="shared" si="2"/>
        <v>16.419224252279228</v>
      </c>
      <c r="J50" s="13">
        <f t="shared" si="19"/>
        <v>31.916344870550457</v>
      </c>
      <c r="K50" s="13">
        <f t="shared" si="3"/>
        <v>27.429213213840153</v>
      </c>
      <c r="L50" s="13">
        <f t="shared" si="20"/>
        <v>27.4318869576346</v>
      </c>
      <c r="M50" s="13">
        <f t="shared" si="21"/>
        <v>0.12205713859318945</v>
      </c>
      <c r="N50" s="13">
        <f t="shared" si="22"/>
        <v>0.1219808814815718</v>
      </c>
      <c r="O50" s="4">
        <f t="shared" si="4"/>
        <v>1.0004999999999999</v>
      </c>
      <c r="P50" s="4">
        <f t="shared" si="5"/>
        <v>1.0017510940234544</v>
      </c>
      <c r="Q50" s="4">
        <f t="shared" si="6"/>
        <v>0.93186670915863068</v>
      </c>
      <c r="R50" s="4">
        <f t="shared" si="7"/>
        <v>0.68912329617770185</v>
      </c>
      <c r="S50" s="4">
        <f t="shared" si="8"/>
        <v>0.73858486246665001</v>
      </c>
      <c r="T50" s="1"/>
      <c r="U50" s="1"/>
      <c r="V50" s="1">
        <v>1</v>
      </c>
      <c r="W50" s="1">
        <v>1</v>
      </c>
      <c r="Y50" s="1">
        <f t="shared" si="23"/>
        <v>-41.572126853642644</v>
      </c>
      <c r="Z50" s="1">
        <f t="shared" si="24"/>
        <v>-41.572126853642644</v>
      </c>
      <c r="AB50" s="130">
        <v>1</v>
      </c>
      <c r="AC50" s="128">
        <f t="shared" si="9"/>
        <v>0.55434752415750155</v>
      </c>
      <c r="AD50" s="4">
        <f t="shared" si="10"/>
        <v>0.68912329617770185</v>
      </c>
      <c r="AE50" s="4">
        <f t="shared" si="11"/>
        <v>1.1485388269628365</v>
      </c>
      <c r="AF50" s="32">
        <f t="shared" si="12"/>
        <v>0.41812575888424219</v>
      </c>
      <c r="AG50" s="4">
        <f t="shared" si="13"/>
        <v>0.88305844057491423</v>
      </c>
      <c r="AH50" s="42">
        <f t="shared" si="14"/>
        <v>1.5571746381066931</v>
      </c>
      <c r="AJ50" s="23">
        <v>4</v>
      </c>
      <c r="AK50" s="24">
        <v>0.8</v>
      </c>
      <c r="AL50" s="5">
        <f t="shared" si="15"/>
        <v>2.0799999999999999E-2</v>
      </c>
      <c r="AM50" s="5">
        <f t="shared" si="25"/>
        <v>0.1194718394324346</v>
      </c>
      <c r="AN50" s="25">
        <f t="shared" si="26"/>
        <v>-8.0000000000000002E-3</v>
      </c>
      <c r="AO50" s="30">
        <f t="shared" si="16"/>
        <v>1.4E-2</v>
      </c>
      <c r="AP50" s="5">
        <f t="shared" si="17"/>
        <v>0.18</v>
      </c>
      <c r="AQ50" s="25">
        <v>0</v>
      </c>
      <c r="AT50" s="32">
        <f t="shared" si="0"/>
        <v>78740.160000000003</v>
      </c>
      <c r="AU50" s="17">
        <v>24000</v>
      </c>
      <c r="AV50" s="17">
        <v>220.6</v>
      </c>
      <c r="AW50" s="17">
        <v>2.972</v>
      </c>
      <c r="AX50" s="17">
        <v>3.832E-2</v>
      </c>
      <c r="AY50" s="17">
        <v>30.742999999999999</v>
      </c>
      <c r="AZ50" s="17">
        <v>1.9850000000000001</v>
      </c>
      <c r="BA50" s="33">
        <v>297.7</v>
      </c>
    </row>
    <row r="51" spans="2:53">
      <c r="B51" s="38">
        <v>10000</v>
      </c>
      <c r="C51" s="3">
        <v>0</v>
      </c>
      <c r="D51" s="3">
        <f t="shared" ref="D51:D69" si="33">D50+0.05</f>
        <v>0.1</v>
      </c>
      <c r="E51" s="13" cm="1">
        <f t="array" ref="E51">((B51-INDEX($AT$4:$AW$53,MATCH(B51,$AT$4:$AT$53,1),1))/(INDEX($AT$4:$AW$53,MATCH(B51,$AT$4:$AT$53,1)+1,1)-INDEX($AT$4:$AW$53,MATCH(B51,$AT$4:$AT$53,1),1)))*(INDEX($AT$4:$AW$53,MATCH(B51,$AT$4:$AT$53,1)+1,4)-INDEX($AT$4:$AW$53,MATCH(B51,$AT$4:$AT$53,1),4))+INDEX($AT$4:$AW$53,MATCH(B51,$AT$4:$AT$53,1),4)</f>
        <v>69.703360846612455</v>
      </c>
      <c r="F51" s="13" cm="1">
        <f t="array" ref="F51">C51+((B51-INDEX($AT$4:$AW$53,MATCH(B51,$AT$4:$AT$53,1),1))/(INDEX($AT$4:$AW$53,MATCH(B51,$AT$4:$AT$53,1)+1,1)-INDEX($AT$4:$AW$53,MATCH(B51,$AT$4:$AT$53,1),1)))*(INDEX($AT$4:$AW$53,MATCH(B51,$AT$4:$AT$53,1)+1,3)-INDEX($AT$4:$AW$53,MATCH(B51,$AT$4:$AT$53,1),3))+INDEX($AT$4:$AW$53,MATCH(B51,$AT$4:$AT$53,1),3)</f>
        <v>268.38320064373755</v>
      </c>
      <c r="G51" s="4">
        <f t="shared" si="1"/>
        <v>0.90493314239321154</v>
      </c>
      <c r="H51" s="6">
        <f t="shared" si="18"/>
        <v>10000</v>
      </c>
      <c r="I51" s="13">
        <f t="shared" si="2"/>
        <v>32.838448504558457</v>
      </c>
      <c r="J51" s="13">
        <f t="shared" si="19"/>
        <v>63.832689741100914</v>
      </c>
      <c r="K51" s="13">
        <f t="shared" si="3"/>
        <v>54.858426427680307</v>
      </c>
      <c r="L51" s="13">
        <f t="shared" si="20"/>
        <v>54.879785181387597</v>
      </c>
      <c r="M51" s="13">
        <f t="shared" si="21"/>
        <v>0.48914455485480518</v>
      </c>
      <c r="N51" s="13">
        <f t="shared" si="22"/>
        <v>0.48792352592628718</v>
      </c>
      <c r="O51" s="4">
        <f t="shared" si="4"/>
        <v>1.002</v>
      </c>
      <c r="P51" s="4">
        <f t="shared" si="5"/>
        <v>1.0070175175043741</v>
      </c>
      <c r="Q51" s="4">
        <f t="shared" si="6"/>
        <v>0.93326381067161224</v>
      </c>
      <c r="R51" s="4">
        <f t="shared" si="7"/>
        <v>0.69274616729797445</v>
      </c>
      <c r="S51" s="4">
        <f t="shared" si="8"/>
        <v>0.73858486246665001</v>
      </c>
      <c r="T51" s="1"/>
      <c r="U51" s="1"/>
      <c r="V51" s="1">
        <v>1</v>
      </c>
      <c r="W51" s="1">
        <v>1</v>
      </c>
      <c r="Y51" s="1">
        <f t="shared" si="23"/>
        <v>-13.861243900588429</v>
      </c>
      <c r="Z51" s="1">
        <f t="shared" si="24"/>
        <v>-13.861243900588429</v>
      </c>
      <c r="AB51" s="130">
        <v>1</v>
      </c>
      <c r="AC51" s="128">
        <f t="shared" si="9"/>
        <v>0.5478640563788213</v>
      </c>
      <c r="AD51" s="4">
        <f t="shared" si="10"/>
        <v>0.69274616729797445</v>
      </c>
      <c r="AE51" s="4">
        <f t="shared" si="11"/>
        <v>1.1545769454966242</v>
      </c>
      <c r="AF51" s="32">
        <f t="shared" si="12"/>
        <v>0.44418322106514124</v>
      </c>
      <c r="AG51" s="4">
        <f t="shared" si="13"/>
        <v>0.89753480845319156</v>
      </c>
      <c r="AH51" s="42">
        <f t="shared" si="14"/>
        <v>1.5702033691971424</v>
      </c>
      <c r="AJ51" s="23">
        <v>4</v>
      </c>
      <c r="AK51" s="24">
        <v>0.8</v>
      </c>
      <c r="AL51" s="5">
        <f t="shared" si="15"/>
        <v>2.0799999999999999E-2</v>
      </c>
      <c r="AM51" s="5">
        <f t="shared" si="25"/>
        <v>0.1194718394324346</v>
      </c>
      <c r="AN51" s="25">
        <f t="shared" si="26"/>
        <v>-8.0000000000000002E-3</v>
      </c>
      <c r="AO51" s="30">
        <f t="shared" si="16"/>
        <v>1.4E-2</v>
      </c>
      <c r="AP51" s="5">
        <f t="shared" si="17"/>
        <v>0.18</v>
      </c>
      <c r="AQ51" s="25">
        <v>0</v>
      </c>
      <c r="AT51" s="32">
        <f t="shared" si="0"/>
        <v>85301.84</v>
      </c>
      <c r="AU51" s="17">
        <v>26000</v>
      </c>
      <c r="AV51" s="17">
        <v>222.5</v>
      </c>
      <c r="AW51" s="17">
        <v>2.1880000000000002</v>
      </c>
      <c r="AX51" s="17">
        <v>2.7969999999999998E-2</v>
      </c>
      <c r="AY51" s="17">
        <v>42.439</v>
      </c>
      <c r="AZ51" s="17">
        <v>2.0009999999999999</v>
      </c>
      <c r="BA51" s="33">
        <v>299.10000000000002</v>
      </c>
    </row>
    <row r="52" spans="2:53">
      <c r="B52" s="38">
        <v>10000</v>
      </c>
      <c r="C52" s="3">
        <v>0</v>
      </c>
      <c r="D52" s="3">
        <f t="shared" si="33"/>
        <v>0.15000000000000002</v>
      </c>
      <c r="E52" s="13" cm="1">
        <f t="array" ref="E52">((B52-INDEX($AT$4:$AW$53,MATCH(B52,$AT$4:$AT$53,1),1))/(INDEX($AT$4:$AW$53,MATCH(B52,$AT$4:$AT$53,1)+1,1)-INDEX($AT$4:$AW$53,MATCH(B52,$AT$4:$AT$53,1),1)))*(INDEX($AT$4:$AW$53,MATCH(B52,$AT$4:$AT$53,1)+1,4)-INDEX($AT$4:$AW$53,MATCH(B52,$AT$4:$AT$53,1),4))+INDEX($AT$4:$AW$53,MATCH(B52,$AT$4:$AT$53,1),4)</f>
        <v>69.703360846612455</v>
      </c>
      <c r="F52" s="13" cm="1">
        <f t="array" ref="F52">C52+((B52-INDEX($AT$4:$AW$53,MATCH(B52,$AT$4:$AT$53,1),1))/(INDEX($AT$4:$AW$53,MATCH(B52,$AT$4:$AT$53,1)+1,1)-INDEX($AT$4:$AW$53,MATCH(B52,$AT$4:$AT$53,1),1)))*(INDEX($AT$4:$AW$53,MATCH(B52,$AT$4:$AT$53,1)+1,3)-INDEX($AT$4:$AW$53,MATCH(B52,$AT$4:$AT$53,1),3))+INDEX($AT$4:$AW$53,MATCH(B52,$AT$4:$AT$53,1),3)</f>
        <v>268.38320064373755</v>
      </c>
      <c r="G52" s="4">
        <f t="shared" si="1"/>
        <v>0.90493314239321154</v>
      </c>
      <c r="H52" s="6">
        <f t="shared" si="18"/>
        <v>10000</v>
      </c>
      <c r="I52" s="13">
        <f t="shared" si="2"/>
        <v>49.257672756837685</v>
      </c>
      <c r="J52" s="13">
        <f t="shared" si="19"/>
        <v>95.749034611651368</v>
      </c>
      <c r="K52" s="13">
        <f t="shared" si="3"/>
        <v>82.287639641520457</v>
      </c>
      <c r="L52" s="13">
        <f t="shared" si="20"/>
        <v>82.359550393401136</v>
      </c>
      <c r="M52" s="13">
        <f t="shared" si="21"/>
        <v>1.1040171176559912</v>
      </c>
      <c r="N52" s="13">
        <f t="shared" si="22"/>
        <v>1.0978279333341463</v>
      </c>
      <c r="O52" s="4">
        <f t="shared" si="4"/>
        <v>1.0044999999999999</v>
      </c>
      <c r="P52" s="4">
        <f t="shared" si="5"/>
        <v>1.0158387931980133</v>
      </c>
      <c r="Q52" s="4">
        <f t="shared" si="6"/>
        <v>0.93559231319324787</v>
      </c>
      <c r="R52" s="4">
        <f t="shared" si="7"/>
        <v>0.69881448768091226</v>
      </c>
      <c r="S52" s="4">
        <f t="shared" si="8"/>
        <v>0.73858486246665001</v>
      </c>
      <c r="T52" s="1"/>
      <c r="U52" s="1"/>
      <c r="V52" s="1">
        <v>1</v>
      </c>
      <c r="W52" s="1">
        <v>1</v>
      </c>
      <c r="Y52" s="1">
        <f t="shared" si="23"/>
        <v>-1.6335212675801449</v>
      </c>
      <c r="Z52" s="1">
        <f t="shared" si="24"/>
        <v>-1.6335212675801449</v>
      </c>
      <c r="AB52" s="130">
        <v>1</v>
      </c>
      <c r="AC52" s="128">
        <f t="shared" si="9"/>
        <v>0.54288911657654815</v>
      </c>
      <c r="AD52" s="4">
        <f t="shared" si="10"/>
        <v>0.69881448768091226</v>
      </c>
      <c r="AE52" s="4">
        <f t="shared" si="11"/>
        <v>1.1646908128015205</v>
      </c>
      <c r="AF52" s="32">
        <f t="shared" si="12"/>
        <v>0.4702406832460404</v>
      </c>
      <c r="AG52" s="4">
        <f t="shared" si="13"/>
        <v>0.91201117633146878</v>
      </c>
      <c r="AH52" s="42">
        <f t="shared" si="14"/>
        <v>1.5832321002875922</v>
      </c>
      <c r="AJ52" s="23">
        <v>4</v>
      </c>
      <c r="AK52" s="24">
        <v>0.8</v>
      </c>
      <c r="AL52" s="5">
        <f t="shared" si="15"/>
        <v>2.0799999999999999E-2</v>
      </c>
      <c r="AM52" s="5">
        <f t="shared" si="25"/>
        <v>0.1194718394324346</v>
      </c>
      <c r="AN52" s="25">
        <f t="shared" si="26"/>
        <v>-8.0000000000000002E-3</v>
      </c>
      <c r="AO52" s="30">
        <f t="shared" si="16"/>
        <v>1.4E-2</v>
      </c>
      <c r="AP52" s="5">
        <f t="shared" si="17"/>
        <v>0.18</v>
      </c>
      <c r="AQ52" s="25">
        <v>0</v>
      </c>
      <c r="AT52" s="32">
        <f t="shared" si="0"/>
        <v>91863.52</v>
      </c>
      <c r="AU52" s="17">
        <v>28000</v>
      </c>
      <c r="AV52" s="17">
        <v>224.5</v>
      </c>
      <c r="AW52" s="17">
        <v>1.6160000000000001</v>
      </c>
      <c r="AX52" s="17">
        <v>2.0469999999999999E-2</v>
      </c>
      <c r="AY52" s="17">
        <v>58.405000000000001</v>
      </c>
      <c r="AZ52" s="17">
        <v>2.0179999999999998</v>
      </c>
      <c r="BA52" s="33">
        <v>300.39999999999998</v>
      </c>
    </row>
    <row r="53" spans="2:53" ht="15" thickBot="1">
      <c r="B53" s="38">
        <v>10000</v>
      </c>
      <c r="C53" s="3">
        <v>0</v>
      </c>
      <c r="D53" s="3">
        <f t="shared" si="33"/>
        <v>0.2</v>
      </c>
      <c r="E53" s="13" cm="1">
        <f t="array" ref="E53">((B53-INDEX($AT$4:$AW$53,MATCH(B53,$AT$4:$AT$53,1),1))/(INDEX($AT$4:$AW$53,MATCH(B53,$AT$4:$AT$53,1)+1,1)-INDEX($AT$4:$AW$53,MATCH(B53,$AT$4:$AT$53,1),1)))*(INDEX($AT$4:$AW$53,MATCH(B53,$AT$4:$AT$53,1)+1,4)-INDEX($AT$4:$AW$53,MATCH(B53,$AT$4:$AT$53,1),4))+INDEX($AT$4:$AW$53,MATCH(B53,$AT$4:$AT$53,1),4)</f>
        <v>69.703360846612455</v>
      </c>
      <c r="F53" s="13" cm="1">
        <f t="array" ref="F53">C53+((B53-INDEX($AT$4:$AW$53,MATCH(B53,$AT$4:$AT$53,1),1))/(INDEX($AT$4:$AW$53,MATCH(B53,$AT$4:$AT$53,1)+1,1)-INDEX($AT$4:$AW$53,MATCH(B53,$AT$4:$AT$53,1),1)))*(INDEX($AT$4:$AW$53,MATCH(B53,$AT$4:$AT$53,1)+1,3)-INDEX($AT$4:$AW$53,MATCH(B53,$AT$4:$AT$53,1),3))+INDEX($AT$4:$AW$53,MATCH(B53,$AT$4:$AT$53,1),3)</f>
        <v>268.38320064373755</v>
      </c>
      <c r="G53" s="4">
        <f t="shared" si="1"/>
        <v>0.90493314239321154</v>
      </c>
      <c r="H53" s="6">
        <f t="shared" si="18"/>
        <v>10000</v>
      </c>
      <c r="I53" s="13">
        <f t="shared" si="2"/>
        <v>65.676897009116914</v>
      </c>
      <c r="J53" s="13">
        <f t="shared" si="19"/>
        <v>127.66537948220183</v>
      </c>
      <c r="K53" s="13">
        <f t="shared" si="3"/>
        <v>109.71685285536061</v>
      </c>
      <c r="L53" s="13">
        <f t="shared" si="20"/>
        <v>109.88672927686116</v>
      </c>
      <c r="M53" s="13">
        <f t="shared" si="21"/>
        <v>1.9712891905117877</v>
      </c>
      <c r="N53" s="13">
        <f t="shared" si="22"/>
        <v>1.9516941037051487</v>
      </c>
      <c r="O53" s="4">
        <f t="shared" si="4"/>
        <v>1.008</v>
      </c>
      <c r="P53" s="4">
        <f t="shared" si="5"/>
        <v>1.0282811211191059</v>
      </c>
      <c r="Q53" s="4">
        <f t="shared" si="6"/>
        <v>0.93885221672353802</v>
      </c>
      <c r="R53" s="4">
        <f t="shared" si="7"/>
        <v>0.70737379755365637</v>
      </c>
      <c r="S53" s="4">
        <f t="shared" si="8"/>
        <v>0.73858486246665001</v>
      </c>
      <c r="T53" s="1"/>
      <c r="U53" s="1"/>
      <c r="V53" s="1">
        <v>1</v>
      </c>
      <c r="W53" s="1">
        <v>1</v>
      </c>
      <c r="Y53" s="1">
        <f t="shared" si="23"/>
        <v>6.6271766715628013</v>
      </c>
      <c r="Z53" s="1">
        <f t="shared" si="24"/>
        <v>6.6271766715628013</v>
      </c>
      <c r="AB53" s="130">
        <v>1</v>
      </c>
      <c r="AC53" s="128">
        <f t="shared" si="9"/>
        <v>0.53869504831500292</v>
      </c>
      <c r="AD53" s="4">
        <f t="shared" si="10"/>
        <v>0.70737379755365637</v>
      </c>
      <c r="AE53" s="4">
        <f t="shared" si="11"/>
        <v>1.1789563292560941</v>
      </c>
      <c r="AF53" s="32">
        <f t="shared" si="12"/>
        <v>0.49629814542693945</v>
      </c>
      <c r="AG53" s="4">
        <f t="shared" si="13"/>
        <v>0.92648754420974599</v>
      </c>
      <c r="AH53" s="42">
        <f t="shared" si="14"/>
        <v>1.5962608313780418</v>
      </c>
      <c r="AJ53" s="23">
        <v>4</v>
      </c>
      <c r="AK53" s="24">
        <v>0.8</v>
      </c>
      <c r="AL53" s="5">
        <f t="shared" si="15"/>
        <v>2.0799999999999999E-2</v>
      </c>
      <c r="AM53" s="5">
        <f t="shared" si="25"/>
        <v>0.1194718394324346</v>
      </c>
      <c r="AN53" s="25">
        <f t="shared" si="26"/>
        <v>-8.0000000000000002E-3</v>
      </c>
      <c r="AO53" s="30">
        <f t="shared" si="16"/>
        <v>1.4E-2</v>
      </c>
      <c r="AP53" s="5">
        <f t="shared" si="17"/>
        <v>0.18</v>
      </c>
      <c r="AQ53" s="25">
        <v>0</v>
      </c>
      <c r="AT53" s="34">
        <f t="shared" si="0"/>
        <v>98425.2</v>
      </c>
      <c r="AU53" s="35">
        <v>30000</v>
      </c>
      <c r="AV53" s="35">
        <v>226.5</v>
      </c>
      <c r="AW53" s="35">
        <v>1.1970000000000001</v>
      </c>
      <c r="AX53" s="35">
        <v>1.503E-2</v>
      </c>
      <c r="AY53" s="35">
        <v>80.134</v>
      </c>
      <c r="AZ53" s="35">
        <v>2.0339999999999998</v>
      </c>
      <c r="BA53" s="36">
        <v>301.7</v>
      </c>
    </row>
    <row r="54" spans="2:53">
      <c r="B54" s="38">
        <v>10000</v>
      </c>
      <c r="C54" s="3">
        <v>0</v>
      </c>
      <c r="D54" s="3">
        <f t="shared" si="33"/>
        <v>0.25</v>
      </c>
      <c r="E54" s="13" cm="1">
        <f t="array" ref="E54">((B54-INDEX($AT$4:$AW$53,MATCH(B54,$AT$4:$AT$53,1),1))/(INDEX($AT$4:$AW$53,MATCH(B54,$AT$4:$AT$53,1)+1,1)-INDEX($AT$4:$AW$53,MATCH(B54,$AT$4:$AT$53,1),1)))*(INDEX($AT$4:$AW$53,MATCH(B54,$AT$4:$AT$53,1)+1,4)-INDEX($AT$4:$AW$53,MATCH(B54,$AT$4:$AT$53,1),4))+INDEX($AT$4:$AW$53,MATCH(B54,$AT$4:$AT$53,1),4)</f>
        <v>69.703360846612455</v>
      </c>
      <c r="F54" s="13" cm="1">
        <f t="array" ref="F54">C54+((B54-INDEX($AT$4:$AW$53,MATCH(B54,$AT$4:$AT$53,1),1))/(INDEX($AT$4:$AW$53,MATCH(B54,$AT$4:$AT$53,1)+1,1)-INDEX($AT$4:$AW$53,MATCH(B54,$AT$4:$AT$53,1),1)))*(INDEX($AT$4:$AW$53,MATCH(B54,$AT$4:$AT$53,1)+1,3)-INDEX($AT$4:$AW$53,MATCH(B54,$AT$4:$AT$53,1),3))+INDEX($AT$4:$AW$53,MATCH(B54,$AT$4:$AT$53,1),3)</f>
        <v>268.38320064373755</v>
      </c>
      <c r="G54" s="4">
        <f t="shared" si="1"/>
        <v>0.90493314239321154</v>
      </c>
      <c r="H54" s="6">
        <f t="shared" si="18"/>
        <v>10000</v>
      </c>
      <c r="I54" s="13">
        <f t="shared" si="2"/>
        <v>82.096121261396135</v>
      </c>
      <c r="J54" s="13">
        <f t="shared" si="19"/>
        <v>159.58172435275227</v>
      </c>
      <c r="K54" s="13">
        <f t="shared" si="3"/>
        <v>137.14606606920077</v>
      </c>
      <c r="L54" s="13">
        <f t="shared" si="20"/>
        <v>137.47641007380449</v>
      </c>
      <c r="M54" s="13">
        <f t="shared" si="21"/>
        <v>3.0974690884947407</v>
      </c>
      <c r="N54" s="13">
        <f t="shared" si="22"/>
        <v>3.0495220370392944</v>
      </c>
      <c r="O54" s="4">
        <f t="shared" si="4"/>
        <v>1.0125</v>
      </c>
      <c r="P54" s="4">
        <f t="shared" si="5"/>
        <v>1.0444378728783388</v>
      </c>
      <c r="Q54" s="4">
        <f t="shared" si="6"/>
        <v>0.94304352126248236</v>
      </c>
      <c r="R54" s="4">
        <f t="shared" si="7"/>
        <v>0.71848832899192894</v>
      </c>
      <c r="S54" s="4">
        <f t="shared" si="8"/>
        <v>0.73858486246665001</v>
      </c>
      <c r="T54" s="1"/>
      <c r="U54" s="1"/>
      <c r="V54" s="1">
        <v>1</v>
      </c>
      <c r="W54" s="1">
        <v>1</v>
      </c>
      <c r="Y54" s="1">
        <f t="shared" si="23"/>
        <v>13.195809230497558</v>
      </c>
      <c r="Z54" s="1">
        <f t="shared" si="24"/>
        <v>13.195809230497558</v>
      </c>
      <c r="AB54" s="130">
        <v>1</v>
      </c>
      <c r="AC54" s="128">
        <f t="shared" si="9"/>
        <v>0.53500000000000003</v>
      </c>
      <c r="AD54" s="4">
        <f t="shared" si="10"/>
        <v>0.71848832899192894</v>
      </c>
      <c r="AE54" s="4">
        <f t="shared" si="11"/>
        <v>1.1974805483198816</v>
      </c>
      <c r="AF54" s="32">
        <f t="shared" si="12"/>
        <v>0.5223556076078385</v>
      </c>
      <c r="AG54" s="4">
        <f t="shared" si="13"/>
        <v>0.94096391208802332</v>
      </c>
      <c r="AH54" s="42">
        <f t="shared" si="14"/>
        <v>1.6092895624684911</v>
      </c>
      <c r="AJ54" s="23">
        <v>4</v>
      </c>
      <c r="AK54" s="24">
        <v>0.8</v>
      </c>
      <c r="AL54" s="5">
        <f t="shared" si="15"/>
        <v>2.0799999999999999E-2</v>
      </c>
      <c r="AM54" s="5">
        <f t="shared" si="25"/>
        <v>0.1194718394324346</v>
      </c>
      <c r="AN54" s="25">
        <f t="shared" si="26"/>
        <v>-8.0000000000000002E-3</v>
      </c>
      <c r="AO54" s="30">
        <f t="shared" si="16"/>
        <v>1.4E-2</v>
      </c>
      <c r="AP54" s="5">
        <f t="shared" si="17"/>
        <v>0.18</v>
      </c>
      <c r="AQ54" s="25">
        <v>0</v>
      </c>
    </row>
    <row r="55" spans="2:53">
      <c r="B55" s="38">
        <v>10000</v>
      </c>
      <c r="C55" s="3">
        <v>0</v>
      </c>
      <c r="D55" s="3">
        <f t="shared" si="33"/>
        <v>0.3</v>
      </c>
      <c r="E55" s="13" cm="1">
        <f t="array" ref="E55">((B55-INDEX($AT$4:$AW$53,MATCH(B55,$AT$4:$AT$53,1),1))/(INDEX($AT$4:$AW$53,MATCH(B55,$AT$4:$AT$53,1)+1,1)-INDEX($AT$4:$AW$53,MATCH(B55,$AT$4:$AT$53,1),1)))*(INDEX($AT$4:$AW$53,MATCH(B55,$AT$4:$AT$53,1)+1,4)-INDEX($AT$4:$AW$53,MATCH(B55,$AT$4:$AT$53,1),4))+INDEX($AT$4:$AW$53,MATCH(B55,$AT$4:$AT$53,1),4)</f>
        <v>69.703360846612455</v>
      </c>
      <c r="F55" s="13" cm="1">
        <f t="array" ref="F55">C55+((B55-INDEX($AT$4:$AW$53,MATCH(B55,$AT$4:$AT$53,1),1))/(INDEX($AT$4:$AW$53,MATCH(B55,$AT$4:$AT$53,1)+1,1)-INDEX($AT$4:$AW$53,MATCH(B55,$AT$4:$AT$53,1),1)))*(INDEX($AT$4:$AW$53,MATCH(B55,$AT$4:$AT$53,1)+1,3)-INDEX($AT$4:$AW$53,MATCH(B55,$AT$4:$AT$53,1),3))+INDEX($AT$4:$AW$53,MATCH(B55,$AT$4:$AT$53,1),3)</f>
        <v>268.38320064373755</v>
      </c>
      <c r="G55" s="4">
        <f t="shared" si="1"/>
        <v>0.90493314239321154</v>
      </c>
      <c r="H55" s="6">
        <f t="shared" si="18"/>
        <v>10000</v>
      </c>
      <c r="I55" s="13">
        <f t="shared" si="2"/>
        <v>98.515345513675356</v>
      </c>
      <c r="J55" s="13">
        <f t="shared" si="19"/>
        <v>191.49806922330271</v>
      </c>
      <c r="K55" s="13">
        <f t="shared" si="3"/>
        <v>164.57527928304089</v>
      </c>
      <c r="L55" s="13">
        <f t="shared" si="20"/>
        <v>165.14307930595808</v>
      </c>
      <c r="M55" s="13">
        <f t="shared" si="21"/>
        <v>4.4910074851687503</v>
      </c>
      <c r="N55" s="13">
        <f t="shared" si="22"/>
        <v>4.3913117333365834</v>
      </c>
      <c r="O55" s="4">
        <f t="shared" si="4"/>
        <v>1.018</v>
      </c>
      <c r="P55" s="4">
        <f t="shared" si="5"/>
        <v>1.0644302861529382</v>
      </c>
      <c r="Q55" s="4">
        <f t="shared" si="6"/>
        <v>0.948166226810081</v>
      </c>
      <c r="R55" s="4">
        <f t="shared" si="7"/>
        <v>0.73224148365932595</v>
      </c>
      <c r="S55" s="4">
        <f t="shared" si="8"/>
        <v>0.73858486246665001</v>
      </c>
      <c r="T55" s="1"/>
      <c r="U55" s="1"/>
      <c r="V55" s="1">
        <v>1</v>
      </c>
      <c r="W55" s="1">
        <v>1</v>
      </c>
      <c r="Y55" s="1">
        <f t="shared" si="23"/>
        <v>18.809280797653503</v>
      </c>
      <c r="Z55" s="1">
        <f t="shared" si="24"/>
        <v>18.809280797653503</v>
      </c>
      <c r="AB55" s="130">
        <v>1</v>
      </c>
      <c r="AC55" s="128">
        <f t="shared" si="9"/>
        <v>0.53165942097463836</v>
      </c>
      <c r="AD55" s="4">
        <f t="shared" si="10"/>
        <v>0.73224148365932595</v>
      </c>
      <c r="AE55" s="4">
        <f t="shared" si="11"/>
        <v>1.2204024727655434</v>
      </c>
      <c r="AF55" s="32">
        <f t="shared" si="12"/>
        <v>0.54841306978873761</v>
      </c>
      <c r="AG55" s="4">
        <f t="shared" si="13"/>
        <v>0.95544027996630065</v>
      </c>
      <c r="AH55" s="42">
        <f t="shared" si="14"/>
        <v>1.6223182935589409</v>
      </c>
      <c r="AJ55" s="23">
        <v>4</v>
      </c>
      <c r="AK55" s="24">
        <v>0.8</v>
      </c>
      <c r="AL55" s="5">
        <f t="shared" si="15"/>
        <v>2.0799999999999999E-2</v>
      </c>
      <c r="AM55" s="5">
        <f t="shared" si="25"/>
        <v>0.1194718394324346</v>
      </c>
      <c r="AN55" s="25">
        <f t="shared" si="26"/>
        <v>-8.0000000000000002E-3</v>
      </c>
      <c r="AO55" s="30">
        <f t="shared" si="16"/>
        <v>1.4E-2</v>
      </c>
      <c r="AP55" s="5">
        <f t="shared" si="17"/>
        <v>0.18</v>
      </c>
      <c r="AQ55" s="25">
        <v>0</v>
      </c>
    </row>
    <row r="56" spans="2:53">
      <c r="B56" s="38">
        <v>10000</v>
      </c>
      <c r="C56" s="3">
        <v>0</v>
      </c>
      <c r="D56" s="3">
        <f t="shared" si="33"/>
        <v>0.35</v>
      </c>
      <c r="E56" s="13" cm="1">
        <f t="array" ref="E56">((B56-INDEX($AT$4:$AW$53,MATCH(B56,$AT$4:$AT$53,1),1))/(INDEX($AT$4:$AW$53,MATCH(B56,$AT$4:$AT$53,1)+1,1)-INDEX($AT$4:$AW$53,MATCH(B56,$AT$4:$AT$53,1),1)))*(INDEX($AT$4:$AW$53,MATCH(B56,$AT$4:$AT$53,1)+1,4)-INDEX($AT$4:$AW$53,MATCH(B56,$AT$4:$AT$53,1),4))+INDEX($AT$4:$AW$53,MATCH(B56,$AT$4:$AT$53,1),4)</f>
        <v>69.703360846612455</v>
      </c>
      <c r="F56" s="13" cm="1">
        <f t="array" ref="F56">C56+((B56-INDEX($AT$4:$AW$53,MATCH(B56,$AT$4:$AT$53,1),1))/(INDEX($AT$4:$AW$53,MATCH(B56,$AT$4:$AT$53,1)+1,1)-INDEX($AT$4:$AW$53,MATCH(B56,$AT$4:$AT$53,1),1)))*(INDEX($AT$4:$AW$53,MATCH(B56,$AT$4:$AT$53,1)+1,3)-INDEX($AT$4:$AW$53,MATCH(B56,$AT$4:$AT$53,1),3))+INDEX($AT$4:$AW$53,MATCH(B56,$AT$4:$AT$53,1),3)</f>
        <v>268.38320064373755</v>
      </c>
      <c r="G56" s="4">
        <f t="shared" si="1"/>
        <v>0.90493314239321154</v>
      </c>
      <c r="H56" s="6">
        <f t="shared" si="18"/>
        <v>10000</v>
      </c>
      <c r="I56" s="13">
        <f t="shared" si="2"/>
        <v>114.93456976595458</v>
      </c>
      <c r="J56" s="13">
        <f t="shared" si="19"/>
        <v>223.41441409385314</v>
      </c>
      <c r="K56" s="13">
        <f t="shared" si="3"/>
        <v>192.00449249688103</v>
      </c>
      <c r="L56" s="13">
        <f t="shared" si="20"/>
        <v>192.90048662116862</v>
      </c>
      <c r="M56" s="13">
        <f t="shared" si="21"/>
        <v>6.1623599359049246</v>
      </c>
      <c r="N56" s="13">
        <f t="shared" si="22"/>
        <v>5.9770631925970168</v>
      </c>
      <c r="O56" s="4">
        <f t="shared" si="4"/>
        <v>1.0245</v>
      </c>
      <c r="P56" s="4">
        <f t="shared" si="5"/>
        <v>1.0884083616780784</v>
      </c>
      <c r="Q56" s="4">
        <f t="shared" si="6"/>
        <v>0.95422033336633394</v>
      </c>
      <c r="R56" s="4">
        <f t="shared" si="7"/>
        <v>0.74873644986446963</v>
      </c>
      <c r="S56" s="4">
        <f t="shared" si="8"/>
        <v>0.73858486246665001</v>
      </c>
      <c r="T56" s="1"/>
      <c r="U56" s="1"/>
      <c r="V56" s="1">
        <v>1</v>
      </c>
      <c r="W56" s="1">
        <v>1</v>
      </c>
      <c r="Y56" s="1">
        <f t="shared" si="23"/>
        <v>23.767454239968448</v>
      </c>
      <c r="Z56" s="1">
        <f t="shared" si="24"/>
        <v>23.767454239968448</v>
      </c>
      <c r="AB56" s="130">
        <v>1</v>
      </c>
      <c r="AC56" s="128">
        <f t="shared" si="9"/>
        <v>0.52858744151830273</v>
      </c>
      <c r="AD56" s="4">
        <f t="shared" si="10"/>
        <v>0.74873644986446963</v>
      </c>
      <c r="AE56" s="4">
        <f t="shared" si="11"/>
        <v>1.2478940831074494</v>
      </c>
      <c r="AF56" s="32">
        <f t="shared" si="12"/>
        <v>0.57447053196963671</v>
      </c>
      <c r="AG56" s="4">
        <f t="shared" si="13"/>
        <v>0.96991664784457798</v>
      </c>
      <c r="AH56" s="42">
        <f t="shared" si="14"/>
        <v>1.6353470246493904</v>
      </c>
      <c r="AJ56" s="23">
        <v>4</v>
      </c>
      <c r="AK56" s="24">
        <v>0.8</v>
      </c>
      <c r="AL56" s="5">
        <f t="shared" si="15"/>
        <v>2.0799999999999999E-2</v>
      </c>
      <c r="AM56" s="5">
        <f t="shared" si="25"/>
        <v>0.1194718394324346</v>
      </c>
      <c r="AN56" s="25">
        <f t="shared" si="26"/>
        <v>-8.0000000000000002E-3</v>
      </c>
      <c r="AO56" s="30">
        <f t="shared" si="16"/>
        <v>1.4E-2</v>
      </c>
      <c r="AP56" s="5">
        <f t="shared" si="17"/>
        <v>0.18</v>
      </c>
      <c r="AQ56" s="25">
        <v>0</v>
      </c>
    </row>
    <row r="57" spans="2:53">
      <c r="B57" s="38">
        <v>10000</v>
      </c>
      <c r="C57" s="3">
        <v>0</v>
      </c>
      <c r="D57" s="3">
        <f t="shared" si="33"/>
        <v>0.39999999999999997</v>
      </c>
      <c r="E57" s="13" cm="1">
        <f t="array" ref="E57">((B57-INDEX($AT$4:$AW$53,MATCH(B57,$AT$4:$AT$53,1),1))/(INDEX($AT$4:$AW$53,MATCH(B57,$AT$4:$AT$53,1)+1,1)-INDEX($AT$4:$AW$53,MATCH(B57,$AT$4:$AT$53,1),1)))*(INDEX($AT$4:$AW$53,MATCH(B57,$AT$4:$AT$53,1)+1,4)-INDEX($AT$4:$AW$53,MATCH(B57,$AT$4:$AT$53,1),4))+INDEX($AT$4:$AW$53,MATCH(B57,$AT$4:$AT$53,1),4)</f>
        <v>69.703360846612455</v>
      </c>
      <c r="F57" s="13" cm="1">
        <f t="array" ref="F57">C57+((B57-INDEX($AT$4:$AW$53,MATCH(B57,$AT$4:$AT$53,1),1))/(INDEX($AT$4:$AW$53,MATCH(B57,$AT$4:$AT$53,1)+1,1)-INDEX($AT$4:$AW$53,MATCH(B57,$AT$4:$AT$53,1),1)))*(INDEX($AT$4:$AW$53,MATCH(B57,$AT$4:$AT$53,1)+1,3)-INDEX($AT$4:$AW$53,MATCH(B57,$AT$4:$AT$53,1),3))+INDEX($AT$4:$AW$53,MATCH(B57,$AT$4:$AT$53,1),3)</f>
        <v>268.38320064373755</v>
      </c>
      <c r="G57" s="4">
        <f t="shared" si="1"/>
        <v>0.90493314239321154</v>
      </c>
      <c r="H57" s="6">
        <f t="shared" si="18"/>
        <v>10000</v>
      </c>
      <c r="I57" s="13">
        <f t="shared" si="2"/>
        <v>131.3537940182338</v>
      </c>
      <c r="J57" s="13">
        <f t="shared" si="19"/>
        <v>255.3307589644036</v>
      </c>
      <c r="K57" s="13">
        <f t="shared" si="3"/>
        <v>219.43370571072117</v>
      </c>
      <c r="L57" s="13">
        <f t="shared" si="20"/>
        <v>220.76151971804362</v>
      </c>
      <c r="M57" s="13">
        <f t="shared" si="21"/>
        <v>8.1240637302192749</v>
      </c>
      <c r="N57" s="13">
        <f t="shared" si="22"/>
        <v>7.8067764148205914</v>
      </c>
      <c r="O57" s="4">
        <f t="shared" si="4"/>
        <v>1.032</v>
      </c>
      <c r="P57" s="4">
        <f t="shared" si="5"/>
        <v>1.1165519658097534</v>
      </c>
      <c r="Q57" s="4">
        <f t="shared" si="6"/>
        <v>0.9612058409312414</v>
      </c>
      <c r="R57" s="4">
        <f t="shared" si="7"/>
        <v>0.76809696103460867</v>
      </c>
      <c r="S57" s="4">
        <f t="shared" si="8"/>
        <v>0.73858486246665001</v>
      </c>
      <c r="T57" s="1"/>
      <c r="U57" s="1"/>
      <c r="V57" s="1">
        <v>1</v>
      </c>
      <c r="W57" s="1">
        <v>1</v>
      </c>
      <c r="Y57" s="1">
        <f t="shared" si="23"/>
        <v>28.20892940089951</v>
      </c>
      <c r="Z57" s="1">
        <f t="shared" si="24"/>
        <v>28.20892940089951</v>
      </c>
      <c r="AB57" s="130">
        <v>1</v>
      </c>
      <c r="AC57" s="128">
        <f t="shared" si="9"/>
        <v>0.52572811275764275</v>
      </c>
      <c r="AD57" s="4">
        <f t="shared" si="10"/>
        <v>0.76809696103460867</v>
      </c>
      <c r="AE57" s="4">
        <f t="shared" si="11"/>
        <v>1.2801616017243478</v>
      </c>
      <c r="AF57" s="32">
        <f t="shared" si="12"/>
        <v>0.60052799415053593</v>
      </c>
      <c r="AG57" s="4">
        <f t="shared" si="13"/>
        <v>0.9843930157228552</v>
      </c>
      <c r="AH57" s="42">
        <f t="shared" si="14"/>
        <v>1.64837575573984</v>
      </c>
      <c r="AJ57" s="23">
        <v>4</v>
      </c>
      <c r="AK57" s="24">
        <v>0.8</v>
      </c>
      <c r="AL57" s="5">
        <f t="shared" si="15"/>
        <v>2.0799999999999999E-2</v>
      </c>
      <c r="AM57" s="5">
        <f t="shared" si="25"/>
        <v>0.1194718394324346</v>
      </c>
      <c r="AN57" s="25">
        <f t="shared" si="26"/>
        <v>-8.0000000000000002E-3</v>
      </c>
      <c r="AO57" s="30">
        <f t="shared" si="16"/>
        <v>1.4E-2</v>
      </c>
      <c r="AP57" s="5">
        <f t="shared" si="17"/>
        <v>0.18</v>
      </c>
      <c r="AQ57" s="25">
        <v>0</v>
      </c>
    </row>
    <row r="58" spans="2:53">
      <c r="B58" s="38">
        <v>10000</v>
      </c>
      <c r="C58" s="3">
        <v>0</v>
      </c>
      <c r="D58" s="3">
        <f t="shared" si="33"/>
        <v>0.44999999999999996</v>
      </c>
      <c r="E58" s="13" cm="1">
        <f t="array" ref="E58">((B58-INDEX($AT$4:$AW$53,MATCH(B58,$AT$4:$AT$53,1),1))/(INDEX($AT$4:$AW$53,MATCH(B58,$AT$4:$AT$53,1)+1,1)-INDEX($AT$4:$AW$53,MATCH(B58,$AT$4:$AT$53,1),1)))*(INDEX($AT$4:$AW$53,MATCH(B58,$AT$4:$AT$53,1)+1,4)-INDEX($AT$4:$AW$53,MATCH(B58,$AT$4:$AT$53,1),4))+INDEX($AT$4:$AW$53,MATCH(B58,$AT$4:$AT$53,1),4)</f>
        <v>69.703360846612455</v>
      </c>
      <c r="F58" s="13" cm="1">
        <f t="array" ref="F58">C58+((B58-INDEX($AT$4:$AW$53,MATCH(B58,$AT$4:$AT$53,1),1))/(INDEX($AT$4:$AW$53,MATCH(B58,$AT$4:$AT$53,1)+1,1)-INDEX($AT$4:$AW$53,MATCH(B58,$AT$4:$AT$53,1),1)))*(INDEX($AT$4:$AW$53,MATCH(B58,$AT$4:$AT$53,1)+1,3)-INDEX($AT$4:$AW$53,MATCH(B58,$AT$4:$AT$53,1),3))+INDEX($AT$4:$AW$53,MATCH(B58,$AT$4:$AT$53,1),3)</f>
        <v>268.38320064373755</v>
      </c>
      <c r="G58" s="4">
        <f t="shared" si="1"/>
        <v>0.90493314239321154</v>
      </c>
      <c r="H58" s="6">
        <f t="shared" si="18"/>
        <v>10000</v>
      </c>
      <c r="I58" s="13">
        <f t="shared" si="2"/>
        <v>147.77301827051303</v>
      </c>
      <c r="J58" s="13">
        <f t="shared" si="19"/>
        <v>287.24710383495403</v>
      </c>
      <c r="K58" s="13">
        <f t="shared" si="3"/>
        <v>246.86291892456131</v>
      </c>
      <c r="L58" s="13">
        <f t="shared" si="20"/>
        <v>248.73809122022752</v>
      </c>
      <c r="M58" s="13">
        <f t="shared" si="21"/>
        <v>10.390829331130208</v>
      </c>
      <c r="N58" s="13">
        <f t="shared" si="22"/>
        <v>9.8804514000073134</v>
      </c>
      <c r="O58" s="4">
        <f t="shared" si="4"/>
        <v>1.0405</v>
      </c>
      <c r="P58" s="4">
        <f t="shared" si="5"/>
        <v>1.1490721423604813</v>
      </c>
      <c r="Q58" s="4">
        <f t="shared" si="6"/>
        <v>0.96912274950480271</v>
      </c>
      <c r="R58" s="4">
        <f t="shared" si="7"/>
        <v>0.79046819815191371</v>
      </c>
      <c r="S58" s="4">
        <f t="shared" si="8"/>
        <v>0.73858486246665001</v>
      </c>
      <c r="T58" s="1"/>
      <c r="U58" s="1"/>
      <c r="V58" s="1">
        <v>1</v>
      </c>
      <c r="W58" s="1">
        <v>1</v>
      </c>
      <c r="Y58" s="1">
        <f t="shared" si="23"/>
        <v>32.203467407181655</v>
      </c>
      <c r="Z58" s="1">
        <f t="shared" si="24"/>
        <v>32.203467407181655</v>
      </c>
      <c r="AB58" s="130">
        <v>1</v>
      </c>
      <c r="AC58" s="128">
        <f t="shared" si="9"/>
        <v>0.52304257247250441</v>
      </c>
      <c r="AD58" s="4">
        <f t="shared" si="10"/>
        <v>0.79046819815191371</v>
      </c>
      <c r="AE58" s="4">
        <f t="shared" si="11"/>
        <v>1.3174469969198563</v>
      </c>
      <c r="AF58" s="32">
        <f t="shared" si="12"/>
        <v>0.62658545633143503</v>
      </c>
      <c r="AG58" s="4">
        <f t="shared" si="13"/>
        <v>0.99886938360113242</v>
      </c>
      <c r="AH58" s="42">
        <f t="shared" si="14"/>
        <v>1.6614044868302895</v>
      </c>
      <c r="AJ58" s="23">
        <v>4</v>
      </c>
      <c r="AK58" s="24">
        <v>0.8</v>
      </c>
      <c r="AL58" s="5">
        <f t="shared" si="15"/>
        <v>2.0799999999999999E-2</v>
      </c>
      <c r="AM58" s="5">
        <f t="shared" si="25"/>
        <v>0.1194718394324346</v>
      </c>
      <c r="AN58" s="25">
        <f t="shared" si="26"/>
        <v>-8.0000000000000002E-3</v>
      </c>
      <c r="AO58" s="30">
        <f t="shared" si="16"/>
        <v>1.4E-2</v>
      </c>
      <c r="AP58" s="5">
        <f t="shared" si="17"/>
        <v>0.18</v>
      </c>
      <c r="AQ58" s="25">
        <v>0</v>
      </c>
    </row>
    <row r="59" spans="2:53">
      <c r="B59" s="38">
        <v>10000</v>
      </c>
      <c r="C59" s="3">
        <v>0</v>
      </c>
      <c r="D59" s="3">
        <f t="shared" si="33"/>
        <v>0.49999999999999994</v>
      </c>
      <c r="E59" s="13" cm="1">
        <f t="array" ref="E59">((B59-INDEX($AT$4:$AW$53,MATCH(B59,$AT$4:$AT$53,1),1))/(INDEX($AT$4:$AW$53,MATCH(B59,$AT$4:$AT$53,1)+1,1)-INDEX($AT$4:$AW$53,MATCH(B59,$AT$4:$AT$53,1),1)))*(INDEX($AT$4:$AW$53,MATCH(B59,$AT$4:$AT$53,1)+1,4)-INDEX($AT$4:$AW$53,MATCH(B59,$AT$4:$AT$53,1),4))+INDEX($AT$4:$AW$53,MATCH(B59,$AT$4:$AT$53,1),4)</f>
        <v>69.703360846612455</v>
      </c>
      <c r="F59" s="13" cm="1">
        <f t="array" ref="F59">C59+((B59-INDEX($AT$4:$AW$53,MATCH(B59,$AT$4:$AT$53,1),1))/(INDEX($AT$4:$AW$53,MATCH(B59,$AT$4:$AT$53,1)+1,1)-INDEX($AT$4:$AW$53,MATCH(B59,$AT$4:$AT$53,1),1)))*(INDEX($AT$4:$AW$53,MATCH(B59,$AT$4:$AT$53,1)+1,3)-INDEX($AT$4:$AW$53,MATCH(B59,$AT$4:$AT$53,1),3))+INDEX($AT$4:$AW$53,MATCH(B59,$AT$4:$AT$53,1),3)</f>
        <v>268.38320064373755</v>
      </c>
      <c r="G59" s="4">
        <f t="shared" si="1"/>
        <v>0.90493314239321154</v>
      </c>
      <c r="H59" s="6">
        <f t="shared" si="18"/>
        <v>10000</v>
      </c>
      <c r="I59" s="13">
        <f t="shared" si="2"/>
        <v>164.19224252279224</v>
      </c>
      <c r="J59" s="13">
        <f t="shared" si="19"/>
        <v>319.16344870550449</v>
      </c>
      <c r="K59" s="13">
        <f t="shared" si="3"/>
        <v>274.29213213840148</v>
      </c>
      <c r="L59" s="13">
        <f t="shared" si="20"/>
        <v>276.84103924996771</v>
      </c>
      <c r="M59" s="13">
        <f t="shared" si="21"/>
        <v>12.979646703808326</v>
      </c>
      <c r="N59" s="13">
        <f t="shared" si="22"/>
        <v>12.198088148157174</v>
      </c>
      <c r="O59" s="4">
        <f t="shared" si="4"/>
        <v>1.05</v>
      </c>
      <c r="P59" s="4">
        <f t="shared" si="5"/>
        <v>1.1862126380443982</v>
      </c>
      <c r="Q59" s="4">
        <f t="shared" si="6"/>
        <v>0.97797105908701876</v>
      </c>
      <c r="R59" s="4">
        <f t="shared" si="7"/>
        <v>0.81601783913566028</v>
      </c>
      <c r="S59" s="4">
        <f t="shared" si="8"/>
        <v>0.73858486246665001</v>
      </c>
      <c r="T59" s="1"/>
      <c r="U59" s="1"/>
      <c r="V59" s="1">
        <v>1</v>
      </c>
      <c r="W59" s="1">
        <v>1</v>
      </c>
      <c r="Y59" s="1">
        <f t="shared" si="23"/>
        <v>35.789442411278849</v>
      </c>
      <c r="Z59" s="1">
        <f t="shared" si="24"/>
        <v>35.789442411278849</v>
      </c>
      <c r="AB59" s="130">
        <v>1</v>
      </c>
      <c r="AC59" s="128">
        <f t="shared" si="9"/>
        <v>0.52050252531694174</v>
      </c>
      <c r="AD59" s="4">
        <f t="shared" si="10"/>
        <v>0.81601783913566028</v>
      </c>
      <c r="AE59" s="4">
        <f t="shared" si="11"/>
        <v>1.3600297318927672</v>
      </c>
      <c r="AF59" s="32">
        <f t="shared" si="12"/>
        <v>0.65264291851233402</v>
      </c>
      <c r="AG59" s="4">
        <f t="shared" si="13"/>
        <v>1.0133457514794098</v>
      </c>
      <c r="AH59" s="42">
        <f t="shared" si="14"/>
        <v>1.6744332179207391</v>
      </c>
      <c r="AJ59" s="23">
        <v>4</v>
      </c>
      <c r="AK59" s="24">
        <v>0.8</v>
      </c>
      <c r="AL59" s="5">
        <f t="shared" si="15"/>
        <v>2.0799999999999999E-2</v>
      </c>
      <c r="AM59" s="5">
        <f t="shared" si="25"/>
        <v>0.1194718394324346</v>
      </c>
      <c r="AN59" s="25">
        <f t="shared" si="26"/>
        <v>-8.0000000000000002E-3</v>
      </c>
      <c r="AO59" s="30">
        <f t="shared" si="16"/>
        <v>1.4E-2</v>
      </c>
      <c r="AP59" s="5">
        <f t="shared" si="17"/>
        <v>0.18</v>
      </c>
      <c r="AQ59" s="25">
        <v>0</v>
      </c>
    </row>
    <row r="60" spans="2:53">
      <c r="B60" s="38">
        <v>10000</v>
      </c>
      <c r="C60" s="3">
        <v>0</v>
      </c>
      <c r="D60" s="3">
        <f t="shared" si="33"/>
        <v>0.54999999999999993</v>
      </c>
      <c r="E60" s="13" cm="1">
        <f t="array" ref="E60">((B60-INDEX($AT$4:$AW$53,MATCH(B60,$AT$4:$AT$53,1),1))/(INDEX($AT$4:$AW$53,MATCH(B60,$AT$4:$AT$53,1)+1,1)-INDEX($AT$4:$AW$53,MATCH(B60,$AT$4:$AT$53,1),1)))*(INDEX($AT$4:$AW$53,MATCH(B60,$AT$4:$AT$53,1)+1,4)-INDEX($AT$4:$AW$53,MATCH(B60,$AT$4:$AT$53,1),4))+INDEX($AT$4:$AW$53,MATCH(B60,$AT$4:$AT$53,1),4)</f>
        <v>69.703360846612455</v>
      </c>
      <c r="F60" s="13" cm="1">
        <f t="array" ref="F60">C60+((B60-INDEX($AT$4:$AW$53,MATCH(B60,$AT$4:$AT$53,1),1))/(INDEX($AT$4:$AW$53,MATCH(B60,$AT$4:$AT$53,1)+1,1)-INDEX($AT$4:$AW$53,MATCH(B60,$AT$4:$AT$53,1),1)))*(INDEX($AT$4:$AW$53,MATCH(B60,$AT$4:$AT$53,1)+1,3)-INDEX($AT$4:$AW$53,MATCH(B60,$AT$4:$AT$53,1),3))+INDEX($AT$4:$AW$53,MATCH(B60,$AT$4:$AT$53,1),3)</f>
        <v>268.38320064373755</v>
      </c>
      <c r="G60" s="4">
        <f t="shared" si="1"/>
        <v>0.90493314239321154</v>
      </c>
      <c r="H60" s="6">
        <f t="shared" si="18"/>
        <v>10000</v>
      </c>
      <c r="I60" s="13">
        <f t="shared" si="2"/>
        <v>180.61146677507148</v>
      </c>
      <c r="J60" s="13">
        <f t="shared" si="19"/>
        <v>351.07979357605495</v>
      </c>
      <c r="K60" s="13">
        <f t="shared" si="3"/>
        <v>301.7213453522416</v>
      </c>
      <c r="L60" s="13">
        <f t="shared" si="20"/>
        <v>305.08004328029648</v>
      </c>
      <c r="M60" s="13">
        <f t="shared" si="21"/>
        <v>15.909906878816191</v>
      </c>
      <c r="N60" s="13">
        <f t="shared" si="22"/>
        <v>14.759686659270184</v>
      </c>
      <c r="O60" s="4">
        <f t="shared" si="4"/>
        <v>1.0605</v>
      </c>
      <c r="P60" s="4">
        <f t="shared" si="5"/>
        <v>1.2282516464855568</v>
      </c>
      <c r="Q60" s="4">
        <f t="shared" si="6"/>
        <v>0.987750769677889</v>
      </c>
      <c r="R60" s="4">
        <f t="shared" si="7"/>
        <v>0.84493725857812618</v>
      </c>
      <c r="S60" s="4">
        <f t="shared" si="8"/>
        <v>0.73858486246665001</v>
      </c>
      <c r="T60" s="1"/>
      <c r="U60" s="1"/>
      <c r="V60" s="1">
        <v>1</v>
      </c>
      <c r="W60" s="1">
        <v>1</v>
      </c>
      <c r="Y60" s="1">
        <f t="shared" si="23"/>
        <v>38.991339083890395</v>
      </c>
      <c r="Z60" s="1">
        <f t="shared" si="24"/>
        <v>38.991339083890395</v>
      </c>
      <c r="AB60" s="130">
        <v>1</v>
      </c>
      <c r="AC60" s="128">
        <f t="shared" si="9"/>
        <v>0.51808661059033034</v>
      </c>
      <c r="AD60" s="4">
        <f t="shared" si="10"/>
        <v>0.84493725857812618</v>
      </c>
      <c r="AE60" s="4">
        <f t="shared" si="11"/>
        <v>1.4082287642968769</v>
      </c>
      <c r="AF60" s="32">
        <f t="shared" si="12"/>
        <v>0.67870038069323313</v>
      </c>
      <c r="AG60" s="4">
        <f t="shared" si="13"/>
        <v>1.0278221193576871</v>
      </c>
      <c r="AH60" s="42">
        <f t="shared" si="14"/>
        <v>1.6874619490111886</v>
      </c>
      <c r="AJ60" s="23">
        <v>4</v>
      </c>
      <c r="AK60" s="24">
        <v>0.8</v>
      </c>
      <c r="AL60" s="5">
        <f t="shared" si="15"/>
        <v>2.0799999999999999E-2</v>
      </c>
      <c r="AM60" s="5">
        <f t="shared" si="25"/>
        <v>0.1194718394324346</v>
      </c>
      <c r="AN60" s="25">
        <f t="shared" si="26"/>
        <v>-8.0000000000000002E-3</v>
      </c>
      <c r="AO60" s="30">
        <f t="shared" si="16"/>
        <v>1.4E-2</v>
      </c>
      <c r="AP60" s="5">
        <f t="shared" si="17"/>
        <v>0.18</v>
      </c>
      <c r="AQ60" s="25">
        <v>0</v>
      </c>
    </row>
    <row r="61" spans="2:53">
      <c r="B61" s="38">
        <v>10000</v>
      </c>
      <c r="C61" s="3">
        <v>0</v>
      </c>
      <c r="D61" s="3">
        <f t="shared" si="33"/>
        <v>0.6</v>
      </c>
      <c r="E61" s="13" cm="1">
        <f t="array" ref="E61">((B61-INDEX($AT$4:$AW$53,MATCH(B61,$AT$4:$AT$53,1),1))/(INDEX($AT$4:$AW$53,MATCH(B61,$AT$4:$AT$53,1)+1,1)-INDEX($AT$4:$AW$53,MATCH(B61,$AT$4:$AT$53,1),1)))*(INDEX($AT$4:$AW$53,MATCH(B61,$AT$4:$AT$53,1)+1,4)-INDEX($AT$4:$AW$53,MATCH(B61,$AT$4:$AT$53,1),4))+INDEX($AT$4:$AW$53,MATCH(B61,$AT$4:$AT$53,1),4)</f>
        <v>69.703360846612455</v>
      </c>
      <c r="F61" s="13" cm="1">
        <f t="array" ref="F61">C61+((B61-INDEX($AT$4:$AW$53,MATCH(B61,$AT$4:$AT$53,1),1))/(INDEX($AT$4:$AW$53,MATCH(B61,$AT$4:$AT$53,1)+1,1)-INDEX($AT$4:$AW$53,MATCH(B61,$AT$4:$AT$53,1),1)))*(INDEX($AT$4:$AW$53,MATCH(B61,$AT$4:$AT$53,1)+1,3)-INDEX($AT$4:$AW$53,MATCH(B61,$AT$4:$AT$53,1),3))+INDEX($AT$4:$AW$53,MATCH(B61,$AT$4:$AT$53,1),3)</f>
        <v>268.38320064373755</v>
      </c>
      <c r="G61" s="4">
        <f t="shared" si="1"/>
        <v>0.90493314239321154</v>
      </c>
      <c r="H61" s="6">
        <f t="shared" si="18"/>
        <v>10000</v>
      </c>
      <c r="I61" s="13">
        <f t="shared" si="2"/>
        <v>197.03069102735071</v>
      </c>
      <c r="J61" s="13">
        <f t="shared" si="19"/>
        <v>382.99613844660541</v>
      </c>
      <c r="K61" s="13">
        <f t="shared" si="3"/>
        <v>329.15055856608177</v>
      </c>
      <c r="L61" s="13">
        <f t="shared" si="20"/>
        <v>333.46355662077559</v>
      </c>
      <c r="M61" s="13">
        <f t="shared" si="21"/>
        <v>19.203539136879836</v>
      </c>
      <c r="N61" s="13">
        <f t="shared" si="22"/>
        <v>17.565246933346334</v>
      </c>
      <c r="O61" s="4">
        <f t="shared" si="4"/>
        <v>1.0720000000000001</v>
      </c>
      <c r="P61" s="4">
        <f t="shared" si="5"/>
        <v>1.2755037763406945</v>
      </c>
      <c r="Q61" s="4">
        <f t="shared" si="6"/>
        <v>0.99846188127741342</v>
      </c>
      <c r="R61" s="4">
        <f t="shared" si="7"/>
        <v>0.87744288165302042</v>
      </c>
      <c r="S61" s="4">
        <f t="shared" si="8"/>
        <v>0.73858486246665001</v>
      </c>
      <c r="T61" s="1"/>
      <c r="U61" s="1"/>
      <c r="V61" s="1">
        <v>1</v>
      </c>
      <c r="W61" s="1">
        <v>1</v>
      </c>
      <c r="Y61" s="1">
        <f t="shared" si="23"/>
        <v>41.828973507318381</v>
      </c>
      <c r="Z61" s="1">
        <f t="shared" si="24"/>
        <v>41.828973507318381</v>
      </c>
      <c r="AB61" s="130">
        <v>1</v>
      </c>
      <c r="AC61" s="128">
        <f t="shared" si="9"/>
        <v>0.51577823315309623</v>
      </c>
      <c r="AD61" s="4">
        <f t="shared" si="10"/>
        <v>0.87744288165302042</v>
      </c>
      <c r="AE61" s="4">
        <f t="shared" si="11"/>
        <v>1.462404802755034</v>
      </c>
      <c r="AF61" s="32">
        <f t="shared" si="12"/>
        <v>0.70475784287413235</v>
      </c>
      <c r="AG61" s="4">
        <f t="shared" si="13"/>
        <v>1.0422984872359644</v>
      </c>
      <c r="AH61" s="42">
        <f t="shared" si="14"/>
        <v>1.7004906801016382</v>
      </c>
      <c r="AJ61" s="23">
        <v>4</v>
      </c>
      <c r="AK61" s="24">
        <v>0.8</v>
      </c>
      <c r="AL61" s="5">
        <f t="shared" si="15"/>
        <v>2.0799999999999999E-2</v>
      </c>
      <c r="AM61" s="5">
        <f t="shared" si="25"/>
        <v>0.1194718394324346</v>
      </c>
      <c r="AN61" s="25">
        <f t="shared" si="26"/>
        <v>-8.0000000000000002E-3</v>
      </c>
      <c r="AO61" s="30">
        <f t="shared" si="16"/>
        <v>1.4E-2</v>
      </c>
      <c r="AP61" s="5">
        <f t="shared" si="17"/>
        <v>0.18</v>
      </c>
      <c r="AQ61" s="25">
        <v>0</v>
      </c>
    </row>
    <row r="62" spans="2:53">
      <c r="B62" s="38">
        <v>10000</v>
      </c>
      <c r="C62" s="3">
        <v>0</v>
      </c>
      <c r="D62" s="3">
        <f t="shared" si="33"/>
        <v>0.65</v>
      </c>
      <c r="E62" s="13" cm="1">
        <f t="array" ref="E62">((B62-INDEX($AT$4:$AW$53,MATCH(B62,$AT$4:$AT$53,1),1))/(INDEX($AT$4:$AW$53,MATCH(B62,$AT$4:$AT$53,1)+1,1)-INDEX($AT$4:$AW$53,MATCH(B62,$AT$4:$AT$53,1),1)))*(INDEX($AT$4:$AW$53,MATCH(B62,$AT$4:$AT$53,1)+1,4)-INDEX($AT$4:$AW$53,MATCH(B62,$AT$4:$AT$53,1),4))+INDEX($AT$4:$AW$53,MATCH(B62,$AT$4:$AT$53,1),4)</f>
        <v>69.703360846612455</v>
      </c>
      <c r="F62" s="13" cm="1">
        <f t="array" ref="F62">C62+((B62-INDEX($AT$4:$AW$53,MATCH(B62,$AT$4:$AT$53,1),1))/(INDEX($AT$4:$AW$53,MATCH(B62,$AT$4:$AT$53,1)+1,1)-INDEX($AT$4:$AW$53,MATCH(B62,$AT$4:$AT$53,1),1)))*(INDEX($AT$4:$AW$53,MATCH(B62,$AT$4:$AT$53,1)+1,3)-INDEX($AT$4:$AW$53,MATCH(B62,$AT$4:$AT$53,1),3))+INDEX($AT$4:$AW$53,MATCH(B62,$AT$4:$AT$53,1),3)</f>
        <v>268.38320064373755</v>
      </c>
      <c r="G62" s="4">
        <f t="shared" si="1"/>
        <v>0.90493314239321154</v>
      </c>
      <c r="H62" s="6">
        <f t="shared" si="18"/>
        <v>10000</v>
      </c>
      <c r="I62" s="13">
        <f t="shared" si="2"/>
        <v>213.44991527962995</v>
      </c>
      <c r="J62" s="13">
        <f t="shared" si="19"/>
        <v>414.91248331715587</v>
      </c>
      <c r="K62" s="13">
        <f t="shared" si="3"/>
        <v>356.57977177992194</v>
      </c>
      <c r="L62" s="13">
        <f t="shared" si="20"/>
        <v>361.99875661103812</v>
      </c>
      <c r="M62" s="13">
        <f t="shared" si="21"/>
        <v>22.885164242271127</v>
      </c>
      <c r="N62" s="13">
        <f t="shared" si="22"/>
        <v>20.614768970385629</v>
      </c>
      <c r="O62" s="4">
        <f t="shared" si="4"/>
        <v>1.0845</v>
      </c>
      <c r="P62" s="4">
        <f t="shared" si="5"/>
        <v>1.328322249663566</v>
      </c>
      <c r="Q62" s="4">
        <f t="shared" si="6"/>
        <v>1.0101043938855923</v>
      </c>
      <c r="R62" s="4">
        <f t="shared" si="7"/>
        <v>0.91377769641138495</v>
      </c>
      <c r="S62" s="4">
        <f t="shared" si="8"/>
        <v>0.73858486246665001</v>
      </c>
      <c r="T62" s="1"/>
      <c r="U62" s="1"/>
      <c r="V62" s="1">
        <v>1</v>
      </c>
      <c r="W62" s="1">
        <v>1</v>
      </c>
      <c r="Y62" s="1">
        <f t="shared" si="23"/>
        <v>44.322933547276435</v>
      </c>
      <c r="Z62" s="1">
        <f t="shared" si="24"/>
        <v>44.322933547276435</v>
      </c>
      <c r="AB62" s="130">
        <v>1</v>
      </c>
      <c r="AC62" s="128">
        <f t="shared" si="9"/>
        <v>0.51356419576191015</v>
      </c>
      <c r="AD62" s="4">
        <f t="shared" si="10"/>
        <v>0.91377769641138495</v>
      </c>
      <c r="AE62" s="4">
        <f t="shared" si="11"/>
        <v>1.5229628273523084</v>
      </c>
      <c r="AF62" s="32">
        <f t="shared" si="12"/>
        <v>0.73081530505503145</v>
      </c>
      <c r="AG62" s="4">
        <f t="shared" si="13"/>
        <v>1.0567748551142415</v>
      </c>
      <c r="AH62" s="42">
        <f t="shared" si="14"/>
        <v>1.7135194111920877</v>
      </c>
      <c r="AJ62" s="23">
        <v>4</v>
      </c>
      <c r="AK62" s="24">
        <v>0.8</v>
      </c>
      <c r="AL62" s="5">
        <f t="shared" si="15"/>
        <v>2.0799999999999999E-2</v>
      </c>
      <c r="AM62" s="5">
        <f t="shared" si="25"/>
        <v>0.1194718394324346</v>
      </c>
      <c r="AN62" s="25">
        <f t="shared" si="26"/>
        <v>-8.0000000000000002E-3</v>
      </c>
      <c r="AO62" s="30">
        <f t="shared" si="16"/>
        <v>1.4E-2</v>
      </c>
      <c r="AP62" s="5">
        <f t="shared" si="17"/>
        <v>0.18</v>
      </c>
      <c r="AQ62" s="25">
        <v>0</v>
      </c>
    </row>
    <row r="63" spans="2:53">
      <c r="B63" s="38">
        <v>10000</v>
      </c>
      <c r="C63" s="3">
        <v>0</v>
      </c>
      <c r="D63" s="3">
        <f t="shared" si="33"/>
        <v>0.70000000000000007</v>
      </c>
      <c r="E63" s="13" cm="1">
        <f t="array" ref="E63">((B63-INDEX($AT$4:$AW$53,MATCH(B63,$AT$4:$AT$53,1),1))/(INDEX($AT$4:$AW$53,MATCH(B63,$AT$4:$AT$53,1)+1,1)-INDEX($AT$4:$AW$53,MATCH(B63,$AT$4:$AT$53,1),1)))*(INDEX($AT$4:$AW$53,MATCH(B63,$AT$4:$AT$53,1)+1,4)-INDEX($AT$4:$AW$53,MATCH(B63,$AT$4:$AT$53,1),4))+INDEX($AT$4:$AW$53,MATCH(B63,$AT$4:$AT$53,1),4)</f>
        <v>69.703360846612455</v>
      </c>
      <c r="F63" s="13" cm="1">
        <f t="array" ref="F63">C63+((B63-INDEX($AT$4:$AW$53,MATCH(B63,$AT$4:$AT$53,1),1))/(INDEX($AT$4:$AW$53,MATCH(B63,$AT$4:$AT$53,1)+1,1)-INDEX($AT$4:$AW$53,MATCH(B63,$AT$4:$AT$53,1),1)))*(INDEX($AT$4:$AW$53,MATCH(B63,$AT$4:$AT$53,1)+1,3)-INDEX($AT$4:$AW$53,MATCH(B63,$AT$4:$AT$53,1),3))+INDEX($AT$4:$AW$53,MATCH(B63,$AT$4:$AT$53,1),3)</f>
        <v>268.38320064373755</v>
      </c>
      <c r="G63" s="4">
        <f t="shared" si="1"/>
        <v>0.90493314239321154</v>
      </c>
      <c r="H63" s="6">
        <f t="shared" si="18"/>
        <v>10000</v>
      </c>
      <c r="I63" s="13">
        <f t="shared" si="2"/>
        <v>229.86913953190921</v>
      </c>
      <c r="J63" s="13">
        <f t="shared" si="19"/>
        <v>446.82882818770639</v>
      </c>
      <c r="K63" s="13">
        <f t="shared" si="3"/>
        <v>384.00898499376217</v>
      </c>
      <c r="L63" s="13">
        <f t="shared" si="20"/>
        <v>390.6915132617687</v>
      </c>
      <c r="M63" s="13">
        <f t="shared" si="21"/>
        <v>26.982264190417624</v>
      </c>
      <c r="N63" s="13">
        <f t="shared" si="22"/>
        <v>23.908252770388078</v>
      </c>
      <c r="O63" s="4">
        <f t="shared" si="4"/>
        <v>1.0980000000000001</v>
      </c>
      <c r="P63" s="4">
        <f t="shared" si="5"/>
        <v>1.3871013371908156</v>
      </c>
      <c r="Q63" s="4">
        <f t="shared" si="6"/>
        <v>1.0226783075024253</v>
      </c>
      <c r="R63" s="4">
        <f t="shared" si="7"/>
        <v>0.95421292906025246</v>
      </c>
      <c r="S63" s="4">
        <f t="shared" si="8"/>
        <v>0.73858486246665001</v>
      </c>
      <c r="T63" s="1"/>
      <c r="U63" s="1"/>
      <c r="V63" s="1">
        <v>1</v>
      </c>
      <c r="W63" s="1">
        <v>1</v>
      </c>
      <c r="Y63" s="1">
        <f t="shared" si="23"/>
        <v>46.498170105833431</v>
      </c>
      <c r="Z63" s="1">
        <f t="shared" si="24"/>
        <v>46.498170105833431</v>
      </c>
      <c r="AB63" s="130">
        <v>1</v>
      </c>
      <c r="AC63" s="128">
        <f t="shared" si="9"/>
        <v>0.51143379814261469</v>
      </c>
      <c r="AD63" s="4">
        <f t="shared" si="10"/>
        <v>0.95421292906025246</v>
      </c>
      <c r="AE63" s="4">
        <f t="shared" si="11"/>
        <v>1.5903548817670874</v>
      </c>
      <c r="AF63" s="32">
        <f t="shared" si="12"/>
        <v>0.75687276723593055</v>
      </c>
      <c r="AG63" s="4">
        <f t="shared" si="13"/>
        <v>1.0712512229925191</v>
      </c>
      <c r="AH63" s="42">
        <f t="shared" si="14"/>
        <v>1.7265481422825373</v>
      </c>
      <c r="AJ63" s="23">
        <v>4</v>
      </c>
      <c r="AK63" s="24">
        <v>0.8</v>
      </c>
      <c r="AL63" s="5">
        <f t="shared" si="15"/>
        <v>2.0799999999999999E-2</v>
      </c>
      <c r="AM63" s="5">
        <f t="shared" si="25"/>
        <v>0.1194718394324346</v>
      </c>
      <c r="AN63" s="25">
        <f t="shared" si="26"/>
        <v>-8.0000000000000002E-3</v>
      </c>
      <c r="AO63" s="30">
        <f t="shared" si="16"/>
        <v>1.4E-2</v>
      </c>
      <c r="AP63" s="5">
        <f t="shared" si="17"/>
        <v>0.18</v>
      </c>
      <c r="AQ63" s="25">
        <v>0</v>
      </c>
    </row>
    <row r="64" spans="2:53">
      <c r="B64" s="38">
        <v>10000</v>
      </c>
      <c r="C64" s="3">
        <v>0</v>
      </c>
      <c r="D64" s="3">
        <f t="shared" si="33"/>
        <v>0.75000000000000011</v>
      </c>
      <c r="E64" s="13" cm="1">
        <f t="array" ref="E64">((B64-INDEX($AT$4:$AW$53,MATCH(B64,$AT$4:$AT$53,1),1))/(INDEX($AT$4:$AW$53,MATCH(B64,$AT$4:$AT$53,1)+1,1)-INDEX($AT$4:$AW$53,MATCH(B64,$AT$4:$AT$53,1),1)))*(INDEX($AT$4:$AW$53,MATCH(B64,$AT$4:$AT$53,1)+1,4)-INDEX($AT$4:$AW$53,MATCH(B64,$AT$4:$AT$53,1),4))+INDEX($AT$4:$AW$53,MATCH(B64,$AT$4:$AT$53,1),4)</f>
        <v>69.703360846612455</v>
      </c>
      <c r="F64" s="13" cm="1">
        <f t="array" ref="F64">C64+((B64-INDEX($AT$4:$AW$53,MATCH(B64,$AT$4:$AT$53,1),1))/(INDEX($AT$4:$AW$53,MATCH(B64,$AT$4:$AT$53,1)+1,1)-INDEX($AT$4:$AW$53,MATCH(B64,$AT$4:$AT$53,1),1)))*(INDEX($AT$4:$AW$53,MATCH(B64,$AT$4:$AT$53,1)+1,3)-INDEX($AT$4:$AW$53,MATCH(B64,$AT$4:$AT$53,1),3))+INDEX($AT$4:$AW$53,MATCH(B64,$AT$4:$AT$53,1),3)</f>
        <v>268.38320064373755</v>
      </c>
      <c r="G64" s="4">
        <f t="shared" si="1"/>
        <v>0.90493314239321154</v>
      </c>
      <c r="H64" s="6">
        <f t="shared" si="18"/>
        <v>10000</v>
      </c>
      <c r="I64" s="13">
        <f t="shared" si="2"/>
        <v>246.28836378418845</v>
      </c>
      <c r="J64" s="13">
        <f t="shared" si="19"/>
        <v>478.74517305825685</v>
      </c>
      <c r="K64" s="13">
        <f t="shared" si="3"/>
        <v>411.43819820760228</v>
      </c>
      <c r="L64" s="13">
        <f t="shared" si="20"/>
        <v>419.54637670106308</v>
      </c>
      <c r="M64" s="13">
        <f t="shared" si="21"/>
        <v>31.525368972208724</v>
      </c>
      <c r="N64" s="13">
        <f t="shared" si="22"/>
        <v>27.445698333353661</v>
      </c>
      <c r="O64" s="4">
        <f t="shared" si="4"/>
        <v>1.1125</v>
      </c>
      <c r="P64" s="4">
        <f t="shared" si="5"/>
        <v>1.4522790377580601</v>
      </c>
      <c r="Q64" s="4">
        <f t="shared" si="6"/>
        <v>1.0361836221279128</v>
      </c>
      <c r="R64" s="4">
        <f t="shared" si="7"/>
        <v>0.99904988718303656</v>
      </c>
      <c r="S64" s="4">
        <f t="shared" si="8"/>
        <v>0.73858486246665001</v>
      </c>
      <c r="T64" s="1"/>
      <c r="U64" s="1"/>
      <c r="V64" s="1">
        <v>1</v>
      </c>
      <c r="W64" s="1">
        <v>1</v>
      </c>
      <c r="Y64" s="1">
        <f t="shared" si="23"/>
        <v>48.386644962929722</v>
      </c>
      <c r="Z64" s="1">
        <f t="shared" si="24"/>
        <v>48.386644962929722</v>
      </c>
      <c r="AB64" s="130">
        <v>1</v>
      </c>
      <c r="AC64" s="128">
        <f t="shared" si="9"/>
        <v>0.50937822173508929</v>
      </c>
      <c r="AD64" s="4">
        <f t="shared" si="10"/>
        <v>0.99904988718303656</v>
      </c>
      <c r="AE64" s="4">
        <f t="shared" si="11"/>
        <v>1.665083145305061</v>
      </c>
      <c r="AF64" s="32">
        <f t="shared" si="12"/>
        <v>0.78293022941682966</v>
      </c>
      <c r="AG64" s="4">
        <f t="shared" si="13"/>
        <v>1.0857275908707962</v>
      </c>
      <c r="AH64" s="42">
        <f t="shared" si="14"/>
        <v>1.7395768733729868</v>
      </c>
      <c r="AJ64" s="23">
        <v>4</v>
      </c>
      <c r="AK64" s="24">
        <v>0.8</v>
      </c>
      <c r="AL64" s="5">
        <f t="shared" si="15"/>
        <v>2.0799999999999999E-2</v>
      </c>
      <c r="AM64" s="5">
        <f t="shared" si="25"/>
        <v>0.1194718394324346</v>
      </c>
      <c r="AN64" s="25">
        <f t="shared" si="26"/>
        <v>-8.0000000000000002E-3</v>
      </c>
      <c r="AO64" s="30">
        <f t="shared" si="16"/>
        <v>1.4E-2</v>
      </c>
      <c r="AP64" s="5">
        <f t="shared" si="17"/>
        <v>0.18</v>
      </c>
      <c r="AQ64" s="25">
        <v>0</v>
      </c>
    </row>
    <row r="65" spans="2:43">
      <c r="B65" s="38">
        <v>10000</v>
      </c>
      <c r="C65" s="3">
        <v>0</v>
      </c>
      <c r="D65" s="3">
        <f t="shared" si="33"/>
        <v>0.80000000000000016</v>
      </c>
      <c r="E65" s="13" cm="1">
        <f t="array" ref="E65">((B65-INDEX($AT$4:$AW$53,MATCH(B65,$AT$4:$AT$53,1),1))/(INDEX($AT$4:$AW$53,MATCH(B65,$AT$4:$AT$53,1)+1,1)-INDEX($AT$4:$AW$53,MATCH(B65,$AT$4:$AT$53,1),1)))*(INDEX($AT$4:$AW$53,MATCH(B65,$AT$4:$AT$53,1)+1,4)-INDEX($AT$4:$AW$53,MATCH(B65,$AT$4:$AT$53,1),4))+INDEX($AT$4:$AW$53,MATCH(B65,$AT$4:$AT$53,1),4)</f>
        <v>69.703360846612455</v>
      </c>
      <c r="F65" s="13" cm="1">
        <f t="array" ref="F65">C65+((B65-INDEX($AT$4:$AW$53,MATCH(B65,$AT$4:$AT$53,1),1))/(INDEX($AT$4:$AW$53,MATCH(B65,$AT$4:$AT$53,1)+1,1)-INDEX($AT$4:$AW$53,MATCH(B65,$AT$4:$AT$53,1),1)))*(INDEX($AT$4:$AW$53,MATCH(B65,$AT$4:$AT$53,1)+1,3)-INDEX($AT$4:$AW$53,MATCH(B65,$AT$4:$AT$53,1),3))+INDEX($AT$4:$AW$53,MATCH(B65,$AT$4:$AT$53,1),3)</f>
        <v>268.38320064373755</v>
      </c>
      <c r="G65" s="4">
        <f t="shared" si="1"/>
        <v>0.90493314239321154</v>
      </c>
      <c r="H65" s="6">
        <f t="shared" si="18"/>
        <v>10000</v>
      </c>
      <c r="I65" s="13">
        <f t="shared" si="2"/>
        <v>262.70758803646766</v>
      </c>
      <c r="J65" s="13">
        <f t="shared" si="19"/>
        <v>510.66151792880731</v>
      </c>
      <c r="K65" s="13">
        <f t="shared" si="3"/>
        <v>438.86741142144245</v>
      </c>
      <c r="L65" s="13">
        <f t="shared" si="20"/>
        <v>448.56658336708733</v>
      </c>
      <c r="M65" s="13">
        <f t="shared" si="21"/>
        <v>36.548260892582704</v>
      </c>
      <c r="N65" s="13">
        <f t="shared" si="22"/>
        <v>31.22710565928238</v>
      </c>
      <c r="O65" s="4">
        <f t="shared" si="4"/>
        <v>1.1280000000000001</v>
      </c>
      <c r="P65" s="4">
        <f t="shared" si="5"/>
        <v>1.5243400095586486</v>
      </c>
      <c r="Q65" s="4">
        <f t="shared" si="6"/>
        <v>1.0506203377620544</v>
      </c>
      <c r="R65" s="4">
        <f t="shared" si="7"/>
        <v>1.048621976207206</v>
      </c>
      <c r="S65" s="4">
        <f t="shared" si="8"/>
        <v>0.73858486246665001</v>
      </c>
      <c r="T65" s="1"/>
      <c r="U65" s="1"/>
      <c r="V65" s="1">
        <v>1</v>
      </c>
      <c r="W65" s="1">
        <v>1</v>
      </c>
      <c r="Y65" s="1">
        <f t="shared" si="23"/>
        <v>50.02949234789434</v>
      </c>
      <c r="Z65" s="1">
        <f t="shared" si="24"/>
        <v>50.02949234789434</v>
      </c>
      <c r="AB65" s="130">
        <v>1</v>
      </c>
      <c r="AC65" s="128">
        <f t="shared" si="9"/>
        <v>0.50739009663000589</v>
      </c>
      <c r="AD65" s="4">
        <f t="shared" si="10"/>
        <v>1.048621976207206</v>
      </c>
      <c r="AE65" s="4">
        <f t="shared" si="11"/>
        <v>1.7477032936786767</v>
      </c>
      <c r="AF65" s="32">
        <f t="shared" si="12"/>
        <v>0.80898769159772888</v>
      </c>
      <c r="AG65" s="4">
        <f t="shared" si="13"/>
        <v>1.1002039587490735</v>
      </c>
      <c r="AH65" s="42">
        <f t="shared" si="14"/>
        <v>1.7526056044634364</v>
      </c>
      <c r="AJ65" s="23">
        <v>4</v>
      </c>
      <c r="AK65" s="24">
        <v>0.8</v>
      </c>
      <c r="AL65" s="5">
        <f t="shared" si="15"/>
        <v>2.0799999999999999E-2</v>
      </c>
      <c r="AM65" s="5">
        <f t="shared" si="25"/>
        <v>0.1194718394324346</v>
      </c>
      <c r="AN65" s="25">
        <f t="shared" si="26"/>
        <v>-8.0000000000000002E-3</v>
      </c>
      <c r="AO65" s="30">
        <f t="shared" si="16"/>
        <v>1.4000000000000004E-2</v>
      </c>
      <c r="AP65" s="5">
        <f t="shared" si="17"/>
        <v>0.18</v>
      </c>
      <c r="AQ65" s="25">
        <v>0</v>
      </c>
    </row>
    <row r="66" spans="2:43">
      <c r="B66" s="38">
        <v>10000</v>
      </c>
      <c r="C66" s="3">
        <v>0</v>
      </c>
      <c r="D66" s="3">
        <f t="shared" si="33"/>
        <v>0.8500000000000002</v>
      </c>
      <c r="E66" s="13" cm="1">
        <f t="array" ref="E66">((B66-INDEX($AT$4:$AW$53,MATCH(B66,$AT$4:$AT$53,1),1))/(INDEX($AT$4:$AW$53,MATCH(B66,$AT$4:$AT$53,1)+1,1)-INDEX($AT$4:$AW$53,MATCH(B66,$AT$4:$AT$53,1),1)))*(INDEX($AT$4:$AW$53,MATCH(B66,$AT$4:$AT$53,1)+1,4)-INDEX($AT$4:$AW$53,MATCH(B66,$AT$4:$AT$53,1),4))+INDEX($AT$4:$AW$53,MATCH(B66,$AT$4:$AT$53,1),4)</f>
        <v>69.703360846612455</v>
      </c>
      <c r="F66" s="13" cm="1">
        <f t="array" ref="F66">C66+((B66-INDEX($AT$4:$AW$53,MATCH(B66,$AT$4:$AT$53,1),1))/(INDEX($AT$4:$AW$53,MATCH(B66,$AT$4:$AT$53,1)+1,1)-INDEX($AT$4:$AW$53,MATCH(B66,$AT$4:$AT$53,1),1)))*(INDEX($AT$4:$AW$53,MATCH(B66,$AT$4:$AT$53,1)+1,3)-INDEX($AT$4:$AW$53,MATCH(B66,$AT$4:$AT$53,1),3))+INDEX($AT$4:$AW$53,MATCH(B66,$AT$4:$AT$53,1),3)</f>
        <v>268.38320064373755</v>
      </c>
      <c r="G66" s="4">
        <f t="shared" si="1"/>
        <v>0.90493314239321154</v>
      </c>
      <c r="H66" s="6">
        <f t="shared" si="18"/>
        <v>10000</v>
      </c>
      <c r="I66" s="13">
        <f t="shared" si="2"/>
        <v>279.12681228874692</v>
      </c>
      <c r="J66" s="13">
        <f t="shared" si="19"/>
        <v>542.57786279935783</v>
      </c>
      <c r="K66" s="13">
        <f t="shared" si="3"/>
        <v>466.29662463528268</v>
      </c>
      <c r="L66" s="13">
        <f t="shared" si="20"/>
        <v>477.7540804514046</v>
      </c>
      <c r="M66" s="13">
        <f t="shared" si="21"/>
        <v>42.088197014311177</v>
      </c>
      <c r="N66" s="13">
        <f t="shared" si="22"/>
        <v>35.252474748174258</v>
      </c>
      <c r="O66" s="4">
        <f t="shared" si="4"/>
        <v>1.1445000000000001</v>
      </c>
      <c r="P66" s="4">
        <f t="shared" si="5"/>
        <v>1.6038187614357571</v>
      </c>
      <c r="Q66" s="4">
        <f t="shared" si="6"/>
        <v>1.0659884544048506</v>
      </c>
      <c r="R66" s="4">
        <f t="shared" si="7"/>
        <v>1.1032968947537491</v>
      </c>
      <c r="S66" s="4">
        <f t="shared" si="8"/>
        <v>0.73858486246665001</v>
      </c>
      <c r="T66" s="1"/>
      <c r="U66" s="1"/>
      <c r="V66" s="1">
        <v>1</v>
      </c>
      <c r="W66" s="1">
        <v>1</v>
      </c>
      <c r="Y66" s="1">
        <f t="shared" si="23"/>
        <v>2.5155708722243646</v>
      </c>
      <c r="Z66" s="1">
        <f t="shared" si="24"/>
        <v>51.47894046824397</v>
      </c>
      <c r="AB66" s="130">
        <v>1</v>
      </c>
      <c r="AC66" s="128">
        <f t="shared" si="9"/>
        <v>0.5054631887989498</v>
      </c>
      <c r="AD66" s="4">
        <f t="shared" si="10"/>
        <v>1.1032968947537491</v>
      </c>
      <c r="AE66" s="4">
        <f t="shared" si="11"/>
        <v>1.8388281579229153</v>
      </c>
      <c r="AF66" s="32">
        <f t="shared" si="12"/>
        <v>0.83504515377862798</v>
      </c>
      <c r="AG66" s="4">
        <f t="shared" si="13"/>
        <v>1.1146803266273508</v>
      </c>
      <c r="AH66" s="42">
        <f t="shared" si="14"/>
        <v>1.7656343355538859</v>
      </c>
      <c r="AJ66" s="23">
        <v>4</v>
      </c>
      <c r="AK66" s="24">
        <v>0.8</v>
      </c>
      <c r="AL66" s="5">
        <f t="shared" si="15"/>
        <v>3.5100000000000048E-2</v>
      </c>
      <c r="AM66" s="5">
        <f t="shared" si="25"/>
        <v>0.1194718394324346</v>
      </c>
      <c r="AN66" s="25">
        <f t="shared" si="26"/>
        <v>-8.0000000000000002E-3</v>
      </c>
      <c r="AO66" s="30">
        <f t="shared" si="16"/>
        <v>1.5750000000000007E-2</v>
      </c>
      <c r="AP66" s="5">
        <f t="shared" si="17"/>
        <v>0.18</v>
      </c>
      <c r="AQ66" s="25">
        <v>0</v>
      </c>
    </row>
    <row r="67" spans="2:43">
      <c r="B67" s="38">
        <v>10000</v>
      </c>
      <c r="C67" s="3">
        <v>0</v>
      </c>
      <c r="D67" s="3">
        <f t="shared" si="33"/>
        <v>0.90000000000000024</v>
      </c>
      <c r="E67" s="13" cm="1">
        <f t="array" ref="E67">((B67-INDEX($AT$4:$AW$53,MATCH(B67,$AT$4:$AT$53,1),1))/(INDEX($AT$4:$AW$53,MATCH(B67,$AT$4:$AT$53,1)+1,1)-INDEX($AT$4:$AW$53,MATCH(B67,$AT$4:$AT$53,1),1)))*(INDEX($AT$4:$AW$53,MATCH(B67,$AT$4:$AT$53,1)+1,4)-INDEX($AT$4:$AW$53,MATCH(B67,$AT$4:$AT$53,1),4))+INDEX($AT$4:$AW$53,MATCH(B67,$AT$4:$AT$53,1),4)</f>
        <v>69.703360846612455</v>
      </c>
      <c r="F67" s="13" cm="1">
        <f t="array" ref="F67">C67+((B67-INDEX($AT$4:$AW$53,MATCH(B67,$AT$4:$AT$53,1),1))/(INDEX($AT$4:$AW$53,MATCH(B67,$AT$4:$AT$53,1)+1,1)-INDEX($AT$4:$AW$53,MATCH(B67,$AT$4:$AT$53,1),1)))*(INDEX($AT$4:$AW$53,MATCH(B67,$AT$4:$AT$53,1)+1,3)-INDEX($AT$4:$AW$53,MATCH(B67,$AT$4:$AT$53,1),3))+INDEX($AT$4:$AW$53,MATCH(B67,$AT$4:$AT$53,1),3)</f>
        <v>268.38320064373755</v>
      </c>
      <c r="G67" s="4">
        <f t="shared" si="1"/>
        <v>0.90493314239321154</v>
      </c>
      <c r="H67" s="6">
        <f t="shared" si="18"/>
        <v>10000</v>
      </c>
      <c r="I67" s="13">
        <f t="shared" si="2"/>
        <v>295.54603654102618</v>
      </c>
      <c r="J67" s="13">
        <f t="shared" si="19"/>
        <v>574.49420766990829</v>
      </c>
      <c r="K67" s="13">
        <f t="shared" si="3"/>
        <v>493.7258378491228</v>
      </c>
      <c r="L67" s="13">
        <f t="shared" si="20"/>
        <v>507.10956766014942</v>
      </c>
      <c r="M67" s="13">
        <f t="shared" si="21"/>
        <v>48.186150329434895</v>
      </c>
      <c r="N67" s="13">
        <f t="shared" si="22"/>
        <v>39.521805600029282</v>
      </c>
      <c r="O67" s="4">
        <f t="shared" si="4"/>
        <v>1.1619999999999999</v>
      </c>
      <c r="P67" s="4">
        <f t="shared" si="5"/>
        <v>1.691303112850931</v>
      </c>
      <c r="Q67" s="4">
        <f t="shared" si="6"/>
        <v>1.0822879720563008</v>
      </c>
      <c r="R67" s="4">
        <f t="shared" si="7"/>
        <v>1.1634790148141856</v>
      </c>
      <c r="S67" s="4">
        <f t="shared" si="8"/>
        <v>0.73858486246665001</v>
      </c>
      <c r="T67" s="1"/>
      <c r="U67" s="1"/>
      <c r="V67" s="1">
        <v>1</v>
      </c>
      <c r="W67" s="1">
        <v>1</v>
      </c>
      <c r="Y67" s="1">
        <f t="shared" si="23"/>
        <v>-63.444267232956882</v>
      </c>
      <c r="Z67" s="1">
        <f t="shared" si="24"/>
        <v>52.800133941065567</v>
      </c>
      <c r="AB67" s="130">
        <v>1</v>
      </c>
      <c r="AC67" s="128">
        <f t="shared" si="9"/>
        <v>0.50359216913646399</v>
      </c>
      <c r="AD67" s="4">
        <f t="shared" si="10"/>
        <v>1.1634790148141856</v>
      </c>
      <c r="AE67" s="4">
        <f t="shared" si="11"/>
        <v>1.9391316913569761</v>
      </c>
      <c r="AF67" s="32">
        <f t="shared" si="12"/>
        <v>0.86110261595952708</v>
      </c>
      <c r="AG67" s="4">
        <f t="shared" si="13"/>
        <v>1.1291566945056282</v>
      </c>
      <c r="AH67" s="42">
        <f t="shared" si="14"/>
        <v>1.7786630666443355</v>
      </c>
      <c r="AJ67" s="23">
        <v>4</v>
      </c>
      <c r="AK67" s="24">
        <v>0.8</v>
      </c>
      <c r="AL67" s="5">
        <f t="shared" si="15"/>
        <v>4.9400000000000062E-2</v>
      </c>
      <c r="AM67" s="5">
        <f t="shared" si="25"/>
        <v>0.1194718394324346</v>
      </c>
      <c r="AN67" s="25">
        <f t="shared" si="26"/>
        <v>-8.0000000000000002E-3</v>
      </c>
      <c r="AO67" s="30">
        <f t="shared" si="16"/>
        <v>1.7500000000000009E-2</v>
      </c>
      <c r="AP67" s="5">
        <f t="shared" si="17"/>
        <v>0.18</v>
      </c>
      <c r="AQ67" s="25">
        <v>0</v>
      </c>
    </row>
    <row r="68" spans="2:43">
      <c r="B68" s="38">
        <v>10000</v>
      </c>
      <c r="C68" s="3">
        <v>0</v>
      </c>
      <c r="D68" s="3">
        <f t="shared" si="33"/>
        <v>0.95000000000000029</v>
      </c>
      <c r="E68" s="13" cm="1">
        <f t="array" ref="E68">((B68-INDEX($AT$4:$AW$53,MATCH(B68,$AT$4:$AT$53,1),1))/(INDEX($AT$4:$AW$53,MATCH(B68,$AT$4:$AT$53,1)+1,1)-INDEX($AT$4:$AW$53,MATCH(B68,$AT$4:$AT$53,1),1)))*(INDEX($AT$4:$AW$53,MATCH(B68,$AT$4:$AT$53,1)+1,4)-INDEX($AT$4:$AW$53,MATCH(B68,$AT$4:$AT$53,1),4))+INDEX($AT$4:$AW$53,MATCH(B68,$AT$4:$AT$53,1),4)</f>
        <v>69.703360846612455</v>
      </c>
      <c r="F68" s="13" cm="1">
        <f t="array" ref="F68">C68+((B68-INDEX($AT$4:$AW$53,MATCH(B68,$AT$4:$AT$53,1),1))/(INDEX($AT$4:$AW$53,MATCH(B68,$AT$4:$AT$53,1)+1,1)-INDEX($AT$4:$AW$53,MATCH(B68,$AT$4:$AT$53,1),1)))*(INDEX($AT$4:$AW$53,MATCH(B68,$AT$4:$AT$53,1)+1,3)-INDEX($AT$4:$AW$53,MATCH(B68,$AT$4:$AT$53,1),3))+INDEX($AT$4:$AW$53,MATCH(B68,$AT$4:$AT$53,1),3)</f>
        <v>268.38320064373755</v>
      </c>
      <c r="G68" s="4">
        <f t="shared" si="1"/>
        <v>0.90493314239321154</v>
      </c>
      <c r="H68" s="6">
        <f t="shared" si="18"/>
        <v>10000</v>
      </c>
      <c r="I68" s="13">
        <f t="shared" si="2"/>
        <v>311.96526079330539</v>
      </c>
      <c r="J68" s="13">
        <f t="shared" si="19"/>
        <v>606.41055254045875</v>
      </c>
      <c r="K68" s="13">
        <f t="shared" si="3"/>
        <v>521.15505106296303</v>
      </c>
      <c r="L68" s="13">
        <f t="shared" si="20"/>
        <v>536.63255494311841</v>
      </c>
      <c r="M68" s="13">
        <f t="shared" si="21"/>
        <v>54.887070290535071</v>
      </c>
      <c r="N68" s="13">
        <f t="shared" si="22"/>
        <v>44.035098214847437</v>
      </c>
      <c r="O68" s="4">
        <f t="shared" si="4"/>
        <v>1.1805000000000001</v>
      </c>
      <c r="P68" s="4">
        <f t="shared" si="5"/>
        <v>1.7874379315987108</v>
      </c>
      <c r="Q68" s="4">
        <f t="shared" si="6"/>
        <v>1.0995188907164053</v>
      </c>
      <c r="R68" s="4">
        <f t="shared" si="7"/>
        <v>1.2296119529943008</v>
      </c>
      <c r="S68" s="4">
        <f t="shared" si="8"/>
        <v>0.73858486246665001</v>
      </c>
      <c r="T68" s="1"/>
      <c r="U68" s="1"/>
      <c r="V68" s="1">
        <v>1</v>
      </c>
      <c r="W68" s="1">
        <v>1</v>
      </c>
      <c r="Y68" s="1">
        <f t="shared" si="23"/>
        <v>-150.99916304317924</v>
      </c>
      <c r="Z68" s="1">
        <f t="shared" si="24"/>
        <v>54.07294283455208</v>
      </c>
      <c r="AB68" s="130">
        <v>1</v>
      </c>
      <c r="AC68" s="128">
        <f t="shared" si="9"/>
        <v>0.50177243958633722</v>
      </c>
      <c r="AD68" s="4">
        <f t="shared" si="10"/>
        <v>1.2296119529943008</v>
      </c>
      <c r="AE68" s="4">
        <f t="shared" si="11"/>
        <v>2.0493532549905016</v>
      </c>
      <c r="AF68" s="32">
        <f t="shared" si="12"/>
        <v>0.8871600781404263</v>
      </c>
      <c r="AG68" s="4">
        <f t="shared" si="13"/>
        <v>1.1436330623839053</v>
      </c>
      <c r="AH68" s="42">
        <f t="shared" si="14"/>
        <v>1.7916917977347853</v>
      </c>
      <c r="AJ68" s="23">
        <v>4</v>
      </c>
      <c r="AK68" s="24">
        <v>0.8</v>
      </c>
      <c r="AL68" s="5">
        <f t="shared" si="15"/>
        <v>6.3700000000000062E-2</v>
      </c>
      <c r="AM68" s="5">
        <f t="shared" si="25"/>
        <v>0.1194718394324346</v>
      </c>
      <c r="AN68" s="25">
        <f t="shared" si="26"/>
        <v>-8.0000000000000002E-3</v>
      </c>
      <c r="AO68" s="30">
        <f t="shared" si="16"/>
        <v>1.925000000000001E-2</v>
      </c>
      <c r="AP68" s="5">
        <f t="shared" si="17"/>
        <v>0.18</v>
      </c>
      <c r="AQ68" s="25">
        <v>0</v>
      </c>
    </row>
    <row r="69" spans="2:43" ht="15" thickBot="1">
      <c r="B69" s="39">
        <v>10000</v>
      </c>
      <c r="C69" s="48">
        <v>0</v>
      </c>
      <c r="D69" s="48">
        <f t="shared" si="33"/>
        <v>1.0000000000000002</v>
      </c>
      <c r="E69" s="152" cm="1">
        <f t="array" ref="E69">((B69-INDEX($AT$4:$AW$53,MATCH(B69,$AT$4:$AT$53,1),1))/(INDEX($AT$4:$AW$53,MATCH(B69,$AT$4:$AT$53,1)+1,1)-INDEX($AT$4:$AW$53,MATCH(B69,$AT$4:$AT$53,1),1)))*(INDEX($AT$4:$AW$53,MATCH(B69,$AT$4:$AT$53,1)+1,4)-INDEX($AT$4:$AW$53,MATCH(B69,$AT$4:$AT$53,1),4))+INDEX($AT$4:$AW$53,MATCH(B69,$AT$4:$AT$53,1),4)</f>
        <v>69.703360846612455</v>
      </c>
      <c r="F69" s="152" cm="1">
        <f t="array" ref="F69">C69+((B69-INDEX($AT$4:$AW$53,MATCH(B69,$AT$4:$AT$53,1),1))/(INDEX($AT$4:$AW$53,MATCH(B69,$AT$4:$AT$53,1)+1,1)-INDEX($AT$4:$AW$53,MATCH(B69,$AT$4:$AT$53,1),1)))*(INDEX($AT$4:$AW$53,MATCH(B69,$AT$4:$AT$53,1)+1,3)-INDEX($AT$4:$AW$53,MATCH(B69,$AT$4:$AT$53,1),3))+INDEX($AT$4:$AW$53,MATCH(B69,$AT$4:$AT$53,1),3)</f>
        <v>268.38320064373755</v>
      </c>
      <c r="G69" s="43">
        <f t="shared" si="1"/>
        <v>0.90493314239321154</v>
      </c>
      <c r="H69" s="153">
        <f t="shared" si="18"/>
        <v>10000</v>
      </c>
      <c r="I69" s="152">
        <f t="shared" si="2"/>
        <v>328.3844850455846</v>
      </c>
      <c r="J69" s="152">
        <f t="shared" si="19"/>
        <v>638.32689741100921</v>
      </c>
      <c r="K69" s="152">
        <f t="shared" si="3"/>
        <v>548.58426427680308</v>
      </c>
      <c r="L69" s="152">
        <f t="shared" si="20"/>
        <v>566.32143446435259</v>
      </c>
      <c r="M69" s="152">
        <f t="shared" si="21"/>
        <v>62.240163361966736</v>
      </c>
      <c r="N69" s="152">
        <f t="shared" si="22"/>
        <v>48.792352592628731</v>
      </c>
      <c r="O69" s="43">
        <f t="shared" si="4"/>
        <v>1.2</v>
      </c>
      <c r="P69" s="43">
        <f t="shared" si="5"/>
        <v>1.8929291587378541</v>
      </c>
      <c r="Q69" s="43">
        <f t="shared" si="6"/>
        <v>1.1176812103851643</v>
      </c>
      <c r="R69" s="43">
        <f t="shared" si="7"/>
        <v>1.3021813393395429</v>
      </c>
      <c r="S69" s="43">
        <f t="shared" si="8"/>
        <v>0.73858486246665001</v>
      </c>
      <c r="T69" s="98"/>
      <c r="U69" s="98"/>
      <c r="V69" s="98">
        <v>1</v>
      </c>
      <c r="W69" s="98">
        <v>1</v>
      </c>
      <c r="X69" s="104"/>
      <c r="Y69" s="98">
        <f t="shared" si="23"/>
        <v>-263.52086704292725</v>
      </c>
      <c r="Z69" s="1">
        <f t="shared" si="24"/>
        <v>55.393813818587809</v>
      </c>
      <c r="AB69" s="130">
        <v>1</v>
      </c>
      <c r="AC69" s="128">
        <f t="shared" si="9"/>
        <v>0.5</v>
      </c>
      <c r="AD69" s="4">
        <f t="shared" si="10"/>
        <v>1.3021813393395429</v>
      </c>
      <c r="AE69" s="4">
        <f t="shared" si="11"/>
        <v>2.1703022322325718</v>
      </c>
      <c r="AF69" s="32">
        <f t="shared" si="12"/>
        <v>0.91321754032132529</v>
      </c>
      <c r="AG69" s="4">
        <f t="shared" si="13"/>
        <v>1.1581094302621828</v>
      </c>
      <c r="AH69" s="42">
        <f t="shared" si="14"/>
        <v>1.8047205288252346</v>
      </c>
      <c r="AJ69" s="23">
        <v>4</v>
      </c>
      <c r="AK69" s="24">
        <v>0.8</v>
      </c>
      <c r="AL69" s="5">
        <f t="shared" si="15"/>
        <v>7.8000000000000042E-2</v>
      </c>
      <c r="AM69" s="5">
        <f t="shared" si="25"/>
        <v>0.1194718394324346</v>
      </c>
      <c r="AN69" s="25">
        <f t="shared" si="26"/>
        <v>-8.0000000000000002E-3</v>
      </c>
      <c r="AO69" s="30">
        <f t="shared" si="16"/>
        <v>2.1000000000000008E-2</v>
      </c>
      <c r="AP69" s="5">
        <f t="shared" si="17"/>
        <v>0.18</v>
      </c>
      <c r="AQ69" s="25">
        <v>0</v>
      </c>
    </row>
    <row r="70" spans="2:43">
      <c r="B70" s="146">
        <v>15000</v>
      </c>
      <c r="C70" s="147">
        <v>0</v>
      </c>
      <c r="D70" s="147">
        <v>0.01</v>
      </c>
      <c r="E70" s="148" cm="1">
        <f t="array" ref="E70">((B70-INDEX($AT$4:$AW$53,MATCH(B70,$AT$4:$AT$53,1),1))/(INDEX($AT$4:$AW$53,MATCH(B70,$AT$4:$AT$53,1)+1,1)-INDEX($AT$4:$AW$53,MATCH(B70,$AT$4:$AT$53,1),1)))*(INDEX($AT$4:$AW$53,MATCH(B70,$AT$4:$AT$53,1)+1,4)-INDEX($AT$4:$AW$53,MATCH(B70,$AT$4:$AT$53,1),4))+INDEX($AT$4:$AW$53,MATCH(B70,$AT$4:$AT$53,1),4)</f>
        <v>57.217201082649567</v>
      </c>
      <c r="F70" s="148" cm="1">
        <f t="array" ref="F70">C70+((B70-INDEX($AT$4:$AW$53,MATCH(B70,$AT$4:$AT$53,1),1))/(INDEX($AT$4:$AW$53,MATCH(B70,$AT$4:$AT$53,1)+1,1)-INDEX($AT$4:$AW$53,MATCH(B70,$AT$4:$AT$53,1),1)))*(INDEX($AT$4:$AW$53,MATCH(B70,$AT$4:$AT$53,1)+1,3)-INDEX($AT$4:$AW$53,MATCH(B70,$AT$4:$AT$53,1),3))+INDEX($AT$4:$AW$53,MATCH(B70,$AT$4:$AT$53,1),3)</f>
        <v>258.43920093634557</v>
      </c>
      <c r="G70" s="149">
        <f t="shared" si="1"/>
        <v>0.7714118804425979</v>
      </c>
      <c r="H70" s="150">
        <f t="shared" si="18"/>
        <v>15000</v>
      </c>
      <c r="I70" s="148">
        <f t="shared" si="2"/>
        <v>3.222434963443384</v>
      </c>
      <c r="J70" s="148">
        <f t="shared" si="19"/>
        <v>6.263897979339788</v>
      </c>
      <c r="K70" s="148">
        <f t="shared" si="3"/>
        <v>4.970267823647057</v>
      </c>
      <c r="L70" s="148">
        <f t="shared" si="20"/>
        <v>4.9702948683178363</v>
      </c>
      <c r="M70" s="148">
        <f t="shared" si="21"/>
        <v>4.005304206874746E-3</v>
      </c>
      <c r="N70" s="148">
        <f t="shared" si="22"/>
        <v>4.0052040757854691E-3</v>
      </c>
      <c r="O70" s="149">
        <f t="shared" si="4"/>
        <v>1.0000199999999999</v>
      </c>
      <c r="P70" s="149">
        <f t="shared" si="5"/>
        <v>1.0000700017500173</v>
      </c>
      <c r="Q70" s="149">
        <f t="shared" si="6"/>
        <v>0.89690914357232088</v>
      </c>
      <c r="R70" s="149">
        <f t="shared" si="7"/>
        <v>0.56472939932747535</v>
      </c>
      <c r="S70" s="149">
        <f t="shared" si="8"/>
        <v>0.62960799083460561</v>
      </c>
      <c r="T70" s="151"/>
      <c r="U70" s="151"/>
      <c r="V70" s="151">
        <v>1</v>
      </c>
      <c r="W70" s="151">
        <v>1</v>
      </c>
      <c r="X70" s="125"/>
      <c r="Y70" s="151">
        <f t="shared" si="23"/>
        <v>-275.48283190588677</v>
      </c>
      <c r="Z70" s="1">
        <f t="shared" si="24"/>
        <v>-275.48283190588677</v>
      </c>
      <c r="AB70" s="130">
        <v>1</v>
      </c>
      <c r="AC70" s="128">
        <f t="shared" si="9"/>
        <v>0.56299999999999994</v>
      </c>
      <c r="AD70" s="4">
        <f t="shared" si="10"/>
        <v>0.56472939932747535</v>
      </c>
      <c r="AE70" s="4">
        <f t="shared" si="11"/>
        <v>0.94121566554579228</v>
      </c>
      <c r="AF70" s="32">
        <f t="shared" si="12"/>
        <v>0.38985041653685382</v>
      </c>
      <c r="AG70" s="4">
        <f t="shared" si="13"/>
        <v>0.85518019223315678</v>
      </c>
      <c r="AH70" s="42">
        <f t="shared" si="14"/>
        <v>1.5178264607885719</v>
      </c>
      <c r="AJ70" s="23">
        <v>4</v>
      </c>
      <c r="AK70" s="24">
        <v>0.8</v>
      </c>
      <c r="AL70" s="5">
        <f t="shared" si="15"/>
        <v>2.0799999999999999E-2</v>
      </c>
      <c r="AM70" s="5">
        <f t="shared" si="25"/>
        <v>0.1194718394324346</v>
      </c>
      <c r="AN70" s="25">
        <f t="shared" si="26"/>
        <v>-8.0000000000000002E-3</v>
      </c>
      <c r="AO70" s="30">
        <f t="shared" si="16"/>
        <v>1.4E-2</v>
      </c>
      <c r="AP70" s="5">
        <f t="shared" si="17"/>
        <v>0.18</v>
      </c>
      <c r="AQ70" s="25">
        <v>0</v>
      </c>
    </row>
    <row r="71" spans="2:43">
      <c r="B71" s="38">
        <v>15000</v>
      </c>
      <c r="C71" s="3">
        <v>0</v>
      </c>
      <c r="D71" s="3">
        <v>0.05</v>
      </c>
      <c r="E71" s="13" cm="1">
        <f t="array" ref="E71">((B71-INDEX($AT$4:$AW$53,MATCH(B71,$AT$4:$AT$53,1),1))/(INDEX($AT$4:$AW$53,MATCH(B71,$AT$4:$AT$53,1)+1,1)-INDEX($AT$4:$AW$53,MATCH(B71,$AT$4:$AT$53,1),1)))*(INDEX($AT$4:$AW$53,MATCH(B71,$AT$4:$AT$53,1)+1,4)-INDEX($AT$4:$AW$53,MATCH(B71,$AT$4:$AT$53,1),4))+INDEX($AT$4:$AW$53,MATCH(B71,$AT$4:$AT$53,1),4)</f>
        <v>57.217201082649567</v>
      </c>
      <c r="F71" s="13" cm="1">
        <f t="array" ref="F71">C71+((B71-INDEX($AT$4:$AW$53,MATCH(B71,$AT$4:$AT$53,1),1))/(INDEX($AT$4:$AW$53,MATCH(B71,$AT$4:$AT$53,1)+1,1)-INDEX($AT$4:$AW$53,MATCH(B71,$AT$4:$AT$53,1),1)))*(INDEX($AT$4:$AW$53,MATCH(B71,$AT$4:$AT$53,1)+1,3)-INDEX($AT$4:$AW$53,MATCH(B71,$AT$4:$AT$53,1),3))+INDEX($AT$4:$AW$53,MATCH(B71,$AT$4:$AT$53,1),3)</f>
        <v>258.43920093634557</v>
      </c>
      <c r="G71" s="4">
        <f t="shared" ref="G71:G134" si="34">E71*1000/($D$3*F71)</f>
        <v>0.7714118804425979</v>
      </c>
      <c r="H71" s="6">
        <f t="shared" si="18"/>
        <v>15000</v>
      </c>
      <c r="I71" s="13">
        <f t="shared" ref="I71:I134" si="35">D71*SQRT($E$3*$D$3*F71)</f>
        <v>16.112174817216921</v>
      </c>
      <c r="J71" s="13">
        <f t="shared" si="19"/>
        <v>31.31948989669894</v>
      </c>
      <c r="K71" s="13">
        <f t="shared" ref="K71:K134" si="36">J71*SQRT(S71)</f>
        <v>24.851339118235284</v>
      </c>
      <c r="L71" s="13">
        <f t="shared" si="20"/>
        <v>24.854718462029155</v>
      </c>
      <c r="M71" s="13">
        <f t="shared" si="21"/>
        <v>0.10019269885461707</v>
      </c>
      <c r="N71" s="13">
        <f t="shared" si="22"/>
        <v>0.10013010189463675</v>
      </c>
      <c r="O71" s="4">
        <f t="shared" ref="O71:O134" si="37">(1+($E$3-1)/2*D71^2)</f>
        <v>1.0004999999999999</v>
      </c>
      <c r="P71" s="4">
        <f t="shared" ref="P71:P134" si="38">O71^($E$3/($E$3-1))</f>
        <v>1.0017510940234544</v>
      </c>
      <c r="Q71" s="4">
        <f t="shared" ref="Q71:Q134" si="39">F71*O71/$C$3</f>
        <v>0.89733965135108018</v>
      </c>
      <c r="R71" s="4">
        <f t="shared" ref="R71:R134" si="40">E71*P71/$B$3</f>
        <v>0.56567869510490187</v>
      </c>
      <c r="S71" s="4">
        <f t="shared" ref="S71:S134" si="41">G71/($B$3*1000/($D$3*$C$3))</f>
        <v>0.62960799083460561</v>
      </c>
      <c r="T71" s="1"/>
      <c r="U71" s="1"/>
      <c r="V71" s="1">
        <v>1</v>
      </c>
      <c r="W71" s="1">
        <v>1</v>
      </c>
      <c r="Y71" s="1">
        <f t="shared" si="23"/>
        <v>-51.48434175096191</v>
      </c>
      <c r="Z71" s="1">
        <f t="shared" si="24"/>
        <v>-51.48434175096191</v>
      </c>
      <c r="AB71" s="130">
        <v>1</v>
      </c>
      <c r="AC71" s="128">
        <f t="shared" ref="AC71:AC134" si="42">1-(0.43+0.014*MIN(MAX(AB71,5),15)*SQRT(D71))</f>
        <v>0.55434752415750155</v>
      </c>
      <c r="AD71" s="4">
        <f t="shared" ref="AD71:AD134" si="43">R71</f>
        <v>0.56567869510490187</v>
      </c>
      <c r="AE71" s="4">
        <f t="shared" ref="AE71:AE134" si="44">R71/0.6</f>
        <v>0.94279782517483646</v>
      </c>
      <c r="AF71" s="32">
        <f t="shared" ref="AF71:AF134" si="45">(0.45+0.54*D71-MIN(MAX(AB71,5),15)/100+(MIN(MAX(AB71,5),15)^2)/4000)*SQRT(F71/$C$3)</f>
        <v>0.41030655402548749</v>
      </c>
      <c r="AG71" s="4">
        <f t="shared" ref="AG71:AG134" si="46">(0.9+0.3*D71)*SQRT(F71/$C$3)</f>
        <v>0.86654471306017555</v>
      </c>
      <c r="AH71" s="42">
        <f t="shared" ref="AH71:AH134" si="47">(1.6+0.27*D71)*SQRT(F71/$C$3)</f>
        <v>1.5280545295328889</v>
      </c>
      <c r="AJ71" s="23">
        <v>4</v>
      </c>
      <c r="AK71" s="24">
        <v>0.8</v>
      </c>
      <c r="AL71" s="5">
        <f t="shared" ref="AL71:AL134" si="48">IF(D71&gt;0.8, 0.02+(D71-0.8)*0.286,0.02)+0.02*0.2^2</f>
        <v>2.0799999999999999E-2</v>
      </c>
      <c r="AM71" s="5">
        <f t="shared" si="25"/>
        <v>0.1194718394324346</v>
      </c>
      <c r="AN71" s="25">
        <f t="shared" si="26"/>
        <v>-8.0000000000000002E-3</v>
      </c>
      <c r="AO71" s="30">
        <f t="shared" ref="AO71:AO134" si="49">IF(D71&lt;0.8,0.014, IF(D71&gt;1.2, 0.028,0.014+(D71-0.8)*0.035))</f>
        <v>1.4E-2</v>
      </c>
      <c r="AP71" s="5">
        <f t="shared" ref="AP71:AP134" si="50">IF(D71&gt;1,0.18+(D71-1)*0.18,0.18)</f>
        <v>0.18</v>
      </c>
      <c r="AQ71" s="25">
        <v>0</v>
      </c>
    </row>
    <row r="72" spans="2:43">
      <c r="B72" s="38">
        <v>15000</v>
      </c>
      <c r="C72" s="3">
        <v>0</v>
      </c>
      <c r="D72" s="3">
        <f t="shared" ref="D72:D90" si="51">D71+0.05</f>
        <v>0.1</v>
      </c>
      <c r="E72" s="13" cm="1">
        <f t="array" ref="E72">((B72-INDEX($AT$4:$AW$53,MATCH(B72,$AT$4:$AT$53,1),1))/(INDEX($AT$4:$AW$53,MATCH(B72,$AT$4:$AT$53,1)+1,1)-INDEX($AT$4:$AW$53,MATCH(B72,$AT$4:$AT$53,1),1)))*(INDEX($AT$4:$AW$53,MATCH(B72,$AT$4:$AT$53,1)+1,4)-INDEX($AT$4:$AW$53,MATCH(B72,$AT$4:$AT$53,1),4))+INDEX($AT$4:$AW$53,MATCH(B72,$AT$4:$AT$53,1),4)</f>
        <v>57.217201082649567</v>
      </c>
      <c r="F72" s="13" cm="1">
        <f t="array" ref="F72">C72+((B72-INDEX($AT$4:$AW$53,MATCH(B72,$AT$4:$AT$53,1),1))/(INDEX($AT$4:$AW$53,MATCH(B72,$AT$4:$AT$53,1)+1,1)-INDEX($AT$4:$AW$53,MATCH(B72,$AT$4:$AT$53,1),1)))*(INDEX($AT$4:$AW$53,MATCH(B72,$AT$4:$AT$53,1)+1,3)-INDEX($AT$4:$AW$53,MATCH(B72,$AT$4:$AT$53,1),3))+INDEX($AT$4:$AW$53,MATCH(B72,$AT$4:$AT$53,1),3)</f>
        <v>258.43920093634557</v>
      </c>
      <c r="G72" s="4">
        <f t="shared" si="34"/>
        <v>0.7714118804425979</v>
      </c>
      <c r="H72" s="6">
        <f t="shared" ref="H72:H135" si="52">B72+(120*C72)</f>
        <v>15000</v>
      </c>
      <c r="I72" s="13">
        <f t="shared" si="35"/>
        <v>32.224349634433842</v>
      </c>
      <c r="J72" s="13">
        <f t="shared" ref="J72:J135" si="53">I72*1.94384</f>
        <v>62.63897979339788</v>
      </c>
      <c r="K72" s="13">
        <f t="shared" si="36"/>
        <v>49.702678236470568</v>
      </c>
      <c r="L72" s="13">
        <f t="shared" ref="L72:L135" si="54">SQRT($E$3*$D$3*$C$3)*SQRT(5*(((((P72-1)*E72)/$B$3)+1)^(2/7)-1))*1.94384</f>
        <v>49.729681959433648</v>
      </c>
      <c r="M72" s="13">
        <f t="shared" ref="M72:M135" si="55">(P72-1)*E72</f>
        <v>0.40152271014878438</v>
      </c>
      <c r="N72" s="13">
        <f t="shared" ref="N72:N135" si="56">(0.5*G72*I72^2)/1000</f>
        <v>0.40052040757854701</v>
      </c>
      <c r="O72" s="4">
        <f t="shared" si="37"/>
        <v>1.002</v>
      </c>
      <c r="P72" s="4">
        <f t="shared" si="38"/>
        <v>1.0070175175043741</v>
      </c>
      <c r="Q72" s="4">
        <f t="shared" si="39"/>
        <v>0.89868498815970255</v>
      </c>
      <c r="R72" s="4">
        <f t="shared" si="40"/>
        <v>0.568652591095962</v>
      </c>
      <c r="S72" s="4">
        <f t="shared" si="41"/>
        <v>0.62960799083460561</v>
      </c>
      <c r="T72" s="1"/>
      <c r="U72" s="1"/>
      <c r="V72" s="1">
        <v>1</v>
      </c>
      <c r="W72" s="1">
        <v>1</v>
      </c>
      <c r="Y72" s="1">
        <f t="shared" ref="Y72:Y135" si="57">I72*((AD72/W72)*$H$3-AM72*V72^2*W72/(N72*1000)*$J$3*1000-AN72*V72-(AL72/((W72/(N72*1000))*$J$3*1000)))</f>
        <v>-20.129480102637725</v>
      </c>
      <c r="Z72" s="1">
        <f t="shared" ref="Z72:Z135" si="58">I72*((AD72/W72)*$H$3-AM72*V72^2*W72/(N72*1000)*$J$3*1000-AN72*V72-($AL$7/((W72/(N72*1000))*$J$3*1000)))</f>
        <v>-20.129480102637725</v>
      </c>
      <c r="AB72" s="130">
        <v>1</v>
      </c>
      <c r="AC72" s="128">
        <f t="shared" si="42"/>
        <v>0.5478640563788213</v>
      </c>
      <c r="AD72" s="4">
        <f t="shared" si="43"/>
        <v>0.568652591095962</v>
      </c>
      <c r="AE72" s="4">
        <f t="shared" si="44"/>
        <v>0.94775431849327008</v>
      </c>
      <c r="AF72" s="32">
        <f t="shared" si="45"/>
        <v>0.43587672588627951</v>
      </c>
      <c r="AG72" s="4">
        <f t="shared" si="46"/>
        <v>0.88075036409394891</v>
      </c>
      <c r="AH72" s="42">
        <f t="shared" si="47"/>
        <v>1.5408396154632846</v>
      </c>
      <c r="AJ72" s="23">
        <v>4</v>
      </c>
      <c r="AK72" s="24">
        <v>0.8</v>
      </c>
      <c r="AL72" s="5">
        <f t="shared" si="48"/>
        <v>2.0799999999999999E-2</v>
      </c>
      <c r="AM72" s="5">
        <f t="shared" ref="AM72:AM135" si="59">1/(PI()*AJ72*AK72)+0.02</f>
        <v>0.1194718394324346</v>
      </c>
      <c r="AN72" s="25">
        <f t="shared" si="26"/>
        <v>-8.0000000000000002E-3</v>
      </c>
      <c r="AO72" s="30">
        <f t="shared" si="49"/>
        <v>1.4E-2</v>
      </c>
      <c r="AP72" s="5">
        <f t="shared" si="50"/>
        <v>0.18</v>
      </c>
      <c r="AQ72" s="25">
        <v>0</v>
      </c>
    </row>
    <row r="73" spans="2:43">
      <c r="B73" s="38">
        <v>15000</v>
      </c>
      <c r="C73" s="3">
        <v>0</v>
      </c>
      <c r="D73" s="3">
        <f t="shared" si="51"/>
        <v>0.15000000000000002</v>
      </c>
      <c r="E73" s="13" cm="1">
        <f t="array" ref="E73">((B73-INDEX($AT$4:$AW$53,MATCH(B73,$AT$4:$AT$53,1),1))/(INDEX($AT$4:$AW$53,MATCH(B73,$AT$4:$AT$53,1)+1,1)-INDEX($AT$4:$AW$53,MATCH(B73,$AT$4:$AT$53,1),1)))*(INDEX($AT$4:$AW$53,MATCH(B73,$AT$4:$AT$53,1)+1,4)-INDEX($AT$4:$AW$53,MATCH(B73,$AT$4:$AT$53,1),4))+INDEX($AT$4:$AW$53,MATCH(B73,$AT$4:$AT$53,1),4)</f>
        <v>57.217201082649567</v>
      </c>
      <c r="F73" s="13" cm="1">
        <f t="array" ref="F73">C73+((B73-INDEX($AT$4:$AW$53,MATCH(B73,$AT$4:$AT$53,1),1))/(INDEX($AT$4:$AW$53,MATCH(B73,$AT$4:$AT$53,1)+1,1)-INDEX($AT$4:$AW$53,MATCH(B73,$AT$4:$AT$53,1),1)))*(INDEX($AT$4:$AW$53,MATCH(B73,$AT$4:$AT$53,1)+1,3)-INDEX($AT$4:$AW$53,MATCH(B73,$AT$4:$AT$53,1),3))+INDEX($AT$4:$AW$53,MATCH(B73,$AT$4:$AT$53,1),3)</f>
        <v>258.43920093634557</v>
      </c>
      <c r="G73" s="4">
        <f t="shared" si="34"/>
        <v>0.7714118804425979</v>
      </c>
      <c r="H73" s="6">
        <f t="shared" si="52"/>
        <v>15000</v>
      </c>
      <c r="I73" s="13">
        <f t="shared" si="35"/>
        <v>48.336524451650767</v>
      </c>
      <c r="J73" s="13">
        <f t="shared" si="53"/>
        <v>93.958469690096834</v>
      </c>
      <c r="K73" s="13">
        <f t="shared" si="36"/>
        <v>74.554017354705863</v>
      </c>
      <c r="L73" s="13">
        <f t="shared" si="54"/>
        <v>74.644980604564964</v>
      </c>
      <c r="M73" s="13">
        <f t="shared" si="55"/>
        <v>0.90625141531722864</v>
      </c>
      <c r="N73" s="13">
        <f t="shared" si="56"/>
        <v>0.90117091705173091</v>
      </c>
      <c r="O73" s="4">
        <f t="shared" si="37"/>
        <v>1.0044999999999999</v>
      </c>
      <c r="P73" s="4">
        <f t="shared" si="38"/>
        <v>1.0158387931980133</v>
      </c>
      <c r="Q73" s="4">
        <f t="shared" si="39"/>
        <v>0.90092721617407312</v>
      </c>
      <c r="R73" s="4">
        <f t="shared" si="40"/>
        <v>0.57363387612106387</v>
      </c>
      <c r="S73" s="4">
        <f t="shared" si="41"/>
        <v>0.62960799083460561</v>
      </c>
      <c r="T73" s="1"/>
      <c r="U73" s="1"/>
      <c r="V73" s="1">
        <v>1</v>
      </c>
      <c r="W73" s="1">
        <v>1</v>
      </c>
      <c r="Y73" s="1">
        <f t="shared" si="57"/>
        <v>-7.2533586345581487</v>
      </c>
      <c r="Z73" s="1">
        <f t="shared" si="58"/>
        <v>-7.2533586345581487</v>
      </c>
      <c r="AB73" s="130">
        <v>1</v>
      </c>
      <c r="AC73" s="128">
        <f t="shared" si="42"/>
        <v>0.54288911657654815</v>
      </c>
      <c r="AD73" s="4">
        <f t="shared" si="43"/>
        <v>0.57363387612106387</v>
      </c>
      <c r="AE73" s="4">
        <f t="shared" si="44"/>
        <v>0.95605646020177315</v>
      </c>
      <c r="AF73" s="32">
        <f t="shared" si="45"/>
        <v>0.46144689774707159</v>
      </c>
      <c r="AG73" s="4">
        <f t="shared" si="46"/>
        <v>0.89495601512772227</v>
      </c>
      <c r="AH73" s="42">
        <f t="shared" si="47"/>
        <v>1.5536247013936808</v>
      </c>
      <c r="AJ73" s="23">
        <v>4</v>
      </c>
      <c r="AK73" s="24">
        <v>0.8</v>
      </c>
      <c r="AL73" s="5">
        <f t="shared" si="48"/>
        <v>2.0799999999999999E-2</v>
      </c>
      <c r="AM73" s="5">
        <f t="shared" si="59"/>
        <v>0.1194718394324346</v>
      </c>
      <c r="AN73" s="25">
        <f t="shared" ref="AN73:AN136" si="60">AN72</f>
        <v>-8.0000000000000002E-3</v>
      </c>
      <c r="AO73" s="30">
        <f t="shared" si="49"/>
        <v>1.4E-2</v>
      </c>
      <c r="AP73" s="5">
        <f t="shared" si="50"/>
        <v>0.18</v>
      </c>
      <c r="AQ73" s="25">
        <v>0</v>
      </c>
    </row>
    <row r="74" spans="2:43">
      <c r="B74" s="38">
        <v>15000</v>
      </c>
      <c r="C74" s="3">
        <v>0</v>
      </c>
      <c r="D74" s="3">
        <f t="shared" si="51"/>
        <v>0.2</v>
      </c>
      <c r="E74" s="13" cm="1">
        <f t="array" ref="E74">((B74-INDEX($AT$4:$AW$53,MATCH(B74,$AT$4:$AT$53,1),1))/(INDEX($AT$4:$AW$53,MATCH(B74,$AT$4:$AT$53,1)+1,1)-INDEX($AT$4:$AW$53,MATCH(B74,$AT$4:$AT$53,1),1)))*(INDEX($AT$4:$AW$53,MATCH(B74,$AT$4:$AT$53,1)+1,4)-INDEX($AT$4:$AW$53,MATCH(B74,$AT$4:$AT$53,1),4))+INDEX($AT$4:$AW$53,MATCH(B74,$AT$4:$AT$53,1),4)</f>
        <v>57.217201082649567</v>
      </c>
      <c r="F74" s="13" cm="1">
        <f t="array" ref="F74">C74+((B74-INDEX($AT$4:$AW$53,MATCH(B74,$AT$4:$AT$53,1),1))/(INDEX($AT$4:$AW$53,MATCH(B74,$AT$4:$AT$53,1)+1,1)-INDEX($AT$4:$AW$53,MATCH(B74,$AT$4:$AT$53,1),1)))*(INDEX($AT$4:$AW$53,MATCH(B74,$AT$4:$AT$53,1)+1,3)-INDEX($AT$4:$AW$53,MATCH(B74,$AT$4:$AT$53,1),3))+INDEX($AT$4:$AW$53,MATCH(B74,$AT$4:$AT$53,1),3)</f>
        <v>258.43920093634557</v>
      </c>
      <c r="G74" s="4">
        <f t="shared" si="34"/>
        <v>0.7714118804425979</v>
      </c>
      <c r="H74" s="6">
        <f t="shared" si="52"/>
        <v>15000</v>
      </c>
      <c r="I74" s="13">
        <f t="shared" si="35"/>
        <v>64.448699268867685</v>
      </c>
      <c r="J74" s="13">
        <f t="shared" si="53"/>
        <v>125.27795958679576</v>
      </c>
      <c r="K74" s="13">
        <f t="shared" si="36"/>
        <v>99.405356472941136</v>
      </c>
      <c r="L74" s="13">
        <f t="shared" si="54"/>
        <v>99.620395672228028</v>
      </c>
      <c r="M74" s="13">
        <f t="shared" si="55"/>
        <v>1.6181665939146472</v>
      </c>
      <c r="N74" s="13">
        <f t="shared" si="56"/>
        <v>1.602081630314188</v>
      </c>
      <c r="O74" s="4">
        <f t="shared" si="37"/>
        <v>1.008</v>
      </c>
      <c r="P74" s="4">
        <f t="shared" si="38"/>
        <v>1.0282811211191059</v>
      </c>
      <c r="Q74" s="4">
        <f t="shared" si="39"/>
        <v>0.90406633539419168</v>
      </c>
      <c r="R74" s="4">
        <f t="shared" si="40"/>
        <v>0.58065993265792459</v>
      </c>
      <c r="S74" s="4">
        <f t="shared" si="41"/>
        <v>0.62960799083460561</v>
      </c>
      <c r="T74" s="1"/>
      <c r="U74" s="1"/>
      <c r="V74" s="1">
        <v>1</v>
      </c>
      <c r="W74" s="1">
        <v>1</v>
      </c>
      <c r="Y74" s="1">
        <f t="shared" si="57"/>
        <v>0.92555922256622336</v>
      </c>
      <c r="Z74" s="1">
        <f t="shared" si="58"/>
        <v>0.92555922256622336</v>
      </c>
      <c r="AB74" s="130">
        <v>1</v>
      </c>
      <c r="AC74" s="128">
        <f t="shared" si="42"/>
        <v>0.53869504831500292</v>
      </c>
      <c r="AD74" s="4">
        <f t="shared" si="43"/>
        <v>0.58065993265792459</v>
      </c>
      <c r="AE74" s="4">
        <f t="shared" si="44"/>
        <v>0.96776655442987436</v>
      </c>
      <c r="AF74" s="32">
        <f t="shared" si="45"/>
        <v>0.48701706960786367</v>
      </c>
      <c r="AG74" s="4">
        <f t="shared" si="46"/>
        <v>0.90916166616149552</v>
      </c>
      <c r="AH74" s="42">
        <f t="shared" si="47"/>
        <v>1.566409787324077</v>
      </c>
      <c r="AJ74" s="23">
        <v>4</v>
      </c>
      <c r="AK74" s="24">
        <v>0.8</v>
      </c>
      <c r="AL74" s="5">
        <f t="shared" si="48"/>
        <v>2.0799999999999999E-2</v>
      </c>
      <c r="AM74" s="5">
        <f t="shared" si="59"/>
        <v>0.1194718394324346</v>
      </c>
      <c r="AN74" s="25">
        <f t="shared" si="60"/>
        <v>-8.0000000000000002E-3</v>
      </c>
      <c r="AO74" s="30">
        <f t="shared" si="49"/>
        <v>1.4E-2</v>
      </c>
      <c r="AP74" s="5">
        <f t="shared" si="50"/>
        <v>0.18</v>
      </c>
      <c r="AQ74" s="25">
        <v>0</v>
      </c>
    </row>
    <row r="75" spans="2:43">
      <c r="B75" s="38">
        <v>15000</v>
      </c>
      <c r="C75" s="3">
        <v>0</v>
      </c>
      <c r="D75" s="3">
        <f t="shared" si="51"/>
        <v>0.25</v>
      </c>
      <c r="E75" s="13" cm="1">
        <f t="array" ref="E75">((B75-INDEX($AT$4:$AW$53,MATCH(B75,$AT$4:$AT$53,1),1))/(INDEX($AT$4:$AW$53,MATCH(B75,$AT$4:$AT$53,1)+1,1)-INDEX($AT$4:$AW$53,MATCH(B75,$AT$4:$AT$53,1),1)))*(INDEX($AT$4:$AW$53,MATCH(B75,$AT$4:$AT$53,1)+1,4)-INDEX($AT$4:$AW$53,MATCH(B75,$AT$4:$AT$53,1),4))+INDEX($AT$4:$AW$53,MATCH(B75,$AT$4:$AT$53,1),4)</f>
        <v>57.217201082649567</v>
      </c>
      <c r="F75" s="13" cm="1">
        <f t="array" ref="F75">C75+((B75-INDEX($AT$4:$AW$53,MATCH(B75,$AT$4:$AT$53,1),1))/(INDEX($AT$4:$AW$53,MATCH(B75,$AT$4:$AT$53,1)+1,1)-INDEX($AT$4:$AW$53,MATCH(B75,$AT$4:$AT$53,1),1)))*(INDEX($AT$4:$AW$53,MATCH(B75,$AT$4:$AT$53,1)+1,3)-INDEX($AT$4:$AW$53,MATCH(B75,$AT$4:$AT$53,1),3))+INDEX($AT$4:$AW$53,MATCH(B75,$AT$4:$AT$53,1),3)</f>
        <v>258.43920093634557</v>
      </c>
      <c r="G75" s="4">
        <f t="shared" si="34"/>
        <v>0.7714118804425979</v>
      </c>
      <c r="H75" s="6">
        <f t="shared" si="52"/>
        <v>15000</v>
      </c>
      <c r="I75" s="13">
        <f t="shared" si="35"/>
        <v>80.560874086084596</v>
      </c>
      <c r="J75" s="13">
        <f t="shared" si="53"/>
        <v>156.59744948349467</v>
      </c>
      <c r="K75" s="13">
        <f t="shared" si="36"/>
        <v>124.2566955911764</v>
      </c>
      <c r="L75" s="13">
        <f t="shared" si="54"/>
        <v>124.6752477442152</v>
      </c>
      <c r="M75" s="13">
        <f t="shared" si="55"/>
        <v>2.5426107081651295</v>
      </c>
      <c r="N75" s="13">
        <f t="shared" si="56"/>
        <v>2.5032525473659182</v>
      </c>
      <c r="O75" s="4">
        <f t="shared" si="37"/>
        <v>1.0125</v>
      </c>
      <c r="P75" s="4">
        <f t="shared" si="38"/>
        <v>1.0444378728783388</v>
      </c>
      <c r="Q75" s="4">
        <f t="shared" si="39"/>
        <v>0.90810234582005867</v>
      </c>
      <c r="R75" s="4">
        <f t="shared" si="40"/>
        <v>0.5897834867092494</v>
      </c>
      <c r="S75" s="4">
        <f t="shared" si="41"/>
        <v>0.62960799083460561</v>
      </c>
      <c r="T75" s="1"/>
      <c r="U75" s="1"/>
      <c r="V75" s="1">
        <v>1</v>
      </c>
      <c r="W75" s="1">
        <v>1</v>
      </c>
      <c r="Y75" s="1">
        <f t="shared" si="57"/>
        <v>7.1408105949569167</v>
      </c>
      <c r="Z75" s="1">
        <f t="shared" si="58"/>
        <v>7.1408105949569167</v>
      </c>
      <c r="AB75" s="130">
        <v>1</v>
      </c>
      <c r="AC75" s="128">
        <f t="shared" si="42"/>
        <v>0.53500000000000003</v>
      </c>
      <c r="AD75" s="4">
        <f t="shared" si="43"/>
        <v>0.5897834867092494</v>
      </c>
      <c r="AE75" s="4">
        <f t="shared" si="44"/>
        <v>0.98297247784874908</v>
      </c>
      <c r="AF75" s="32">
        <f t="shared" si="45"/>
        <v>0.51258724146865564</v>
      </c>
      <c r="AG75" s="4">
        <f t="shared" si="46"/>
        <v>0.92336731719526899</v>
      </c>
      <c r="AH75" s="42">
        <f t="shared" si="47"/>
        <v>1.5791948732544727</v>
      </c>
      <c r="AJ75" s="23">
        <v>4</v>
      </c>
      <c r="AK75" s="24">
        <v>0.8</v>
      </c>
      <c r="AL75" s="5">
        <f t="shared" si="48"/>
        <v>2.0799999999999999E-2</v>
      </c>
      <c r="AM75" s="5">
        <f t="shared" si="59"/>
        <v>0.1194718394324346</v>
      </c>
      <c r="AN75" s="25">
        <f t="shared" si="60"/>
        <v>-8.0000000000000002E-3</v>
      </c>
      <c r="AO75" s="30">
        <f t="shared" si="49"/>
        <v>1.4E-2</v>
      </c>
      <c r="AP75" s="5">
        <f t="shared" si="50"/>
        <v>0.18</v>
      </c>
      <c r="AQ75" s="25">
        <v>0</v>
      </c>
    </row>
    <row r="76" spans="2:43">
      <c r="B76" s="38">
        <v>15000</v>
      </c>
      <c r="C76" s="3">
        <v>0</v>
      </c>
      <c r="D76" s="3">
        <f t="shared" si="51"/>
        <v>0.3</v>
      </c>
      <c r="E76" s="13" cm="1">
        <f t="array" ref="E76">((B76-INDEX($AT$4:$AW$53,MATCH(B76,$AT$4:$AT$53,1),1))/(INDEX($AT$4:$AW$53,MATCH(B76,$AT$4:$AT$53,1)+1,1)-INDEX($AT$4:$AW$53,MATCH(B76,$AT$4:$AT$53,1),1)))*(INDEX($AT$4:$AW$53,MATCH(B76,$AT$4:$AT$53,1)+1,4)-INDEX($AT$4:$AW$53,MATCH(B76,$AT$4:$AT$53,1),4))+INDEX($AT$4:$AW$53,MATCH(B76,$AT$4:$AT$53,1),4)</f>
        <v>57.217201082649567</v>
      </c>
      <c r="F76" s="13" cm="1">
        <f t="array" ref="F76">C76+((B76-INDEX($AT$4:$AW$53,MATCH(B76,$AT$4:$AT$53,1),1))/(INDEX($AT$4:$AW$53,MATCH(B76,$AT$4:$AT$53,1)+1,1)-INDEX($AT$4:$AW$53,MATCH(B76,$AT$4:$AT$53,1),1)))*(INDEX($AT$4:$AW$53,MATCH(B76,$AT$4:$AT$53,1)+1,3)-INDEX($AT$4:$AW$53,MATCH(B76,$AT$4:$AT$53,1),3))+INDEX($AT$4:$AW$53,MATCH(B76,$AT$4:$AT$53,1),3)</f>
        <v>258.43920093634557</v>
      </c>
      <c r="G76" s="4">
        <f t="shared" si="34"/>
        <v>0.7714118804425979</v>
      </c>
      <c r="H76" s="6">
        <f t="shared" si="52"/>
        <v>15000</v>
      </c>
      <c r="I76" s="13">
        <f t="shared" si="35"/>
        <v>96.673048903301506</v>
      </c>
      <c r="J76" s="13">
        <f t="shared" si="53"/>
        <v>187.91693938019361</v>
      </c>
      <c r="K76" s="13">
        <f t="shared" si="36"/>
        <v>149.10803470941167</v>
      </c>
      <c r="L76" s="13">
        <f t="shared" si="54"/>
        <v>149.82824804405223</v>
      </c>
      <c r="M76" s="13">
        <f t="shared" si="55"/>
        <v>3.6865206386253182</v>
      </c>
      <c r="N76" s="13">
        <f t="shared" si="56"/>
        <v>3.6046836682069214</v>
      </c>
      <c r="O76" s="4">
        <f t="shared" si="37"/>
        <v>1.018</v>
      </c>
      <c r="P76" s="4">
        <f t="shared" si="38"/>
        <v>1.0644302861529382</v>
      </c>
      <c r="Q76" s="4">
        <f t="shared" si="39"/>
        <v>0.91303524745167375</v>
      </c>
      <c r="R76" s="4">
        <f t="shared" si="40"/>
        <v>0.60107299996323593</v>
      </c>
      <c r="S76" s="4">
        <f t="shared" si="41"/>
        <v>0.62960799083460561</v>
      </c>
      <c r="T76" s="1"/>
      <c r="U76" s="1"/>
      <c r="V76" s="1">
        <v>1</v>
      </c>
      <c r="W76" s="1">
        <v>1</v>
      </c>
      <c r="Y76" s="1">
        <f t="shared" si="57"/>
        <v>12.286324081261604</v>
      </c>
      <c r="Z76" s="1">
        <f t="shared" si="58"/>
        <v>12.286324081261604</v>
      </c>
      <c r="AB76" s="130">
        <v>1</v>
      </c>
      <c r="AC76" s="128">
        <f t="shared" si="42"/>
        <v>0.53165942097463836</v>
      </c>
      <c r="AD76" s="4">
        <f t="shared" si="43"/>
        <v>0.60107299996323593</v>
      </c>
      <c r="AE76" s="4">
        <f t="shared" si="44"/>
        <v>1.0017883332720598</v>
      </c>
      <c r="AF76" s="32">
        <f t="shared" si="45"/>
        <v>0.53815741332944766</v>
      </c>
      <c r="AG76" s="4">
        <f t="shared" si="46"/>
        <v>0.93757296822904235</v>
      </c>
      <c r="AH76" s="42">
        <f t="shared" si="47"/>
        <v>1.5919799591848689</v>
      </c>
      <c r="AJ76" s="23">
        <v>4</v>
      </c>
      <c r="AK76" s="24">
        <v>0.8</v>
      </c>
      <c r="AL76" s="5">
        <f t="shared" si="48"/>
        <v>2.0799999999999999E-2</v>
      </c>
      <c r="AM76" s="5">
        <f t="shared" si="59"/>
        <v>0.1194718394324346</v>
      </c>
      <c r="AN76" s="25">
        <f t="shared" si="60"/>
        <v>-8.0000000000000002E-3</v>
      </c>
      <c r="AO76" s="30">
        <f t="shared" si="49"/>
        <v>1.4E-2</v>
      </c>
      <c r="AP76" s="5">
        <f t="shared" si="50"/>
        <v>0.18</v>
      </c>
      <c r="AQ76" s="25">
        <v>0</v>
      </c>
    </row>
    <row r="77" spans="2:43">
      <c r="B77" s="38">
        <v>15000</v>
      </c>
      <c r="C77" s="3">
        <v>0</v>
      </c>
      <c r="D77" s="3">
        <f t="shared" si="51"/>
        <v>0.35</v>
      </c>
      <c r="E77" s="13" cm="1">
        <f t="array" ref="E77">((B77-INDEX($AT$4:$AW$53,MATCH(B77,$AT$4:$AT$53,1),1))/(INDEX($AT$4:$AW$53,MATCH(B77,$AT$4:$AT$53,1)+1,1)-INDEX($AT$4:$AW$53,MATCH(B77,$AT$4:$AT$53,1),1)))*(INDEX($AT$4:$AW$53,MATCH(B77,$AT$4:$AT$53,1)+1,4)-INDEX($AT$4:$AW$53,MATCH(B77,$AT$4:$AT$53,1),4))+INDEX($AT$4:$AW$53,MATCH(B77,$AT$4:$AT$53,1),4)</f>
        <v>57.217201082649567</v>
      </c>
      <c r="F77" s="13" cm="1">
        <f t="array" ref="F77">C77+((B77-INDEX($AT$4:$AW$53,MATCH(B77,$AT$4:$AT$53,1),1))/(INDEX($AT$4:$AW$53,MATCH(B77,$AT$4:$AT$53,1)+1,1)-INDEX($AT$4:$AW$53,MATCH(B77,$AT$4:$AT$53,1),1)))*(INDEX($AT$4:$AW$53,MATCH(B77,$AT$4:$AT$53,1)+1,3)-INDEX($AT$4:$AW$53,MATCH(B77,$AT$4:$AT$53,1),3))+INDEX($AT$4:$AW$53,MATCH(B77,$AT$4:$AT$53,1),3)</f>
        <v>258.43920093634557</v>
      </c>
      <c r="G77" s="4">
        <f t="shared" si="34"/>
        <v>0.7714118804425979</v>
      </c>
      <c r="H77" s="6">
        <f t="shared" si="52"/>
        <v>15000</v>
      </c>
      <c r="I77" s="13">
        <f t="shared" si="35"/>
        <v>112.78522372051843</v>
      </c>
      <c r="J77" s="13">
        <f t="shared" si="53"/>
        <v>219.23642927689255</v>
      </c>
      <c r="K77" s="13">
        <f t="shared" si="36"/>
        <v>173.95937382764697</v>
      </c>
      <c r="L77" s="13">
        <f t="shared" si="54"/>
        <v>175.09735420405454</v>
      </c>
      <c r="M77" s="13">
        <f t="shared" si="55"/>
        <v>5.058479007522223</v>
      </c>
      <c r="N77" s="13">
        <f t="shared" si="56"/>
        <v>4.9063749928371987</v>
      </c>
      <c r="O77" s="4">
        <f t="shared" si="37"/>
        <v>1.0245</v>
      </c>
      <c r="P77" s="4">
        <f t="shared" si="38"/>
        <v>1.0884083616780784</v>
      </c>
      <c r="Q77" s="4">
        <f t="shared" si="39"/>
        <v>0.91886504028903715</v>
      </c>
      <c r="R77" s="4">
        <f t="shared" si="40"/>
        <v>0.61461317631553702</v>
      </c>
      <c r="S77" s="4">
        <f t="shared" si="41"/>
        <v>0.62960799083460561</v>
      </c>
      <c r="T77" s="1"/>
      <c r="U77" s="1"/>
      <c r="V77" s="1">
        <v>1</v>
      </c>
      <c r="W77" s="1">
        <v>1</v>
      </c>
      <c r="Y77" s="1">
        <f t="shared" si="57"/>
        <v>16.73236129261079</v>
      </c>
      <c r="Z77" s="1">
        <f t="shared" si="58"/>
        <v>16.73236129261079</v>
      </c>
      <c r="AB77" s="130">
        <v>1</v>
      </c>
      <c r="AC77" s="128">
        <f t="shared" si="42"/>
        <v>0.52858744151830273</v>
      </c>
      <c r="AD77" s="4">
        <f t="shared" si="43"/>
        <v>0.61461317631553702</v>
      </c>
      <c r="AE77" s="4">
        <f t="shared" si="44"/>
        <v>1.0243552938592284</v>
      </c>
      <c r="AF77" s="32">
        <f t="shared" si="45"/>
        <v>0.5637275851902398</v>
      </c>
      <c r="AG77" s="4">
        <f t="shared" si="46"/>
        <v>0.95177861926281582</v>
      </c>
      <c r="AH77" s="42">
        <f t="shared" si="47"/>
        <v>1.6047650451152651</v>
      </c>
      <c r="AJ77" s="23">
        <v>4</v>
      </c>
      <c r="AK77" s="24">
        <v>0.8</v>
      </c>
      <c r="AL77" s="5">
        <f t="shared" si="48"/>
        <v>2.0799999999999999E-2</v>
      </c>
      <c r="AM77" s="5">
        <f t="shared" si="59"/>
        <v>0.1194718394324346</v>
      </c>
      <c r="AN77" s="25">
        <f t="shared" si="60"/>
        <v>-8.0000000000000002E-3</v>
      </c>
      <c r="AO77" s="30">
        <f t="shared" si="49"/>
        <v>1.4E-2</v>
      </c>
      <c r="AP77" s="5">
        <f t="shared" si="50"/>
        <v>0.18</v>
      </c>
      <c r="AQ77" s="25">
        <v>0</v>
      </c>
    </row>
    <row r="78" spans="2:43">
      <c r="B78" s="38">
        <v>15000</v>
      </c>
      <c r="C78" s="3">
        <v>0</v>
      </c>
      <c r="D78" s="3">
        <f t="shared" si="51"/>
        <v>0.39999999999999997</v>
      </c>
      <c r="E78" s="13" cm="1">
        <f t="array" ref="E78">((B78-INDEX($AT$4:$AW$53,MATCH(B78,$AT$4:$AT$53,1),1))/(INDEX($AT$4:$AW$53,MATCH(B78,$AT$4:$AT$53,1)+1,1)-INDEX($AT$4:$AW$53,MATCH(B78,$AT$4:$AT$53,1),1)))*(INDEX($AT$4:$AW$53,MATCH(B78,$AT$4:$AT$53,1)+1,4)-INDEX($AT$4:$AW$53,MATCH(B78,$AT$4:$AT$53,1),4))+INDEX($AT$4:$AW$53,MATCH(B78,$AT$4:$AT$53,1),4)</f>
        <v>57.217201082649567</v>
      </c>
      <c r="F78" s="13" cm="1">
        <f t="array" ref="F78">C78+((B78-INDEX($AT$4:$AW$53,MATCH(B78,$AT$4:$AT$53,1),1))/(INDEX($AT$4:$AW$53,MATCH(B78,$AT$4:$AT$53,1)+1,1)-INDEX($AT$4:$AW$53,MATCH(B78,$AT$4:$AT$53,1),1)))*(INDEX($AT$4:$AW$53,MATCH(B78,$AT$4:$AT$53,1)+1,3)-INDEX($AT$4:$AW$53,MATCH(B78,$AT$4:$AT$53,1),3))+INDEX($AT$4:$AW$53,MATCH(B78,$AT$4:$AT$53,1),3)</f>
        <v>258.43920093634557</v>
      </c>
      <c r="G78" s="4">
        <f t="shared" si="34"/>
        <v>0.7714118804425979</v>
      </c>
      <c r="H78" s="6">
        <f t="shared" si="52"/>
        <v>15000</v>
      </c>
      <c r="I78" s="13">
        <f t="shared" si="35"/>
        <v>128.89739853773534</v>
      </c>
      <c r="J78" s="13">
        <f t="shared" si="53"/>
        <v>250.55591917359146</v>
      </c>
      <c r="K78" s="13">
        <f t="shared" si="36"/>
        <v>198.81071294588222</v>
      </c>
      <c r="L78" s="13">
        <f t="shared" si="54"/>
        <v>200.49963183732262</v>
      </c>
      <c r="M78" s="13">
        <f t="shared" si="55"/>
        <v>6.6687772643147554</v>
      </c>
      <c r="N78" s="13">
        <f t="shared" si="56"/>
        <v>6.4083265212567495</v>
      </c>
      <c r="O78" s="4">
        <f t="shared" si="37"/>
        <v>1.032</v>
      </c>
      <c r="P78" s="4">
        <f t="shared" si="38"/>
        <v>1.1165519658097534</v>
      </c>
      <c r="Q78" s="4">
        <f t="shared" si="39"/>
        <v>0.92559172433214876</v>
      </c>
      <c r="R78" s="4">
        <f t="shared" si="40"/>
        <v>0.63050558447534488</v>
      </c>
      <c r="S78" s="4">
        <f t="shared" si="41"/>
        <v>0.62960799083460561</v>
      </c>
      <c r="T78" s="1"/>
      <c r="U78" s="1"/>
      <c r="V78" s="1">
        <v>1</v>
      </c>
      <c r="W78" s="1">
        <v>1</v>
      </c>
      <c r="Y78" s="1">
        <f t="shared" si="57"/>
        <v>20.654925252248663</v>
      </c>
      <c r="Z78" s="1">
        <f t="shared" si="58"/>
        <v>20.654925252248663</v>
      </c>
      <c r="AB78" s="130">
        <v>1</v>
      </c>
      <c r="AC78" s="128">
        <f t="shared" si="42"/>
        <v>0.52572811275764275</v>
      </c>
      <c r="AD78" s="4">
        <f t="shared" si="43"/>
        <v>0.63050558447534488</v>
      </c>
      <c r="AE78" s="4">
        <f t="shared" si="44"/>
        <v>1.0508426407922415</v>
      </c>
      <c r="AF78" s="32">
        <f t="shared" si="45"/>
        <v>0.58929775705103193</v>
      </c>
      <c r="AG78" s="4">
        <f t="shared" si="46"/>
        <v>0.96598427029658906</v>
      </c>
      <c r="AH78" s="42">
        <f t="shared" si="47"/>
        <v>1.617550131045661</v>
      </c>
      <c r="AJ78" s="23">
        <v>4</v>
      </c>
      <c r="AK78" s="24">
        <v>0.8</v>
      </c>
      <c r="AL78" s="5">
        <f t="shared" si="48"/>
        <v>2.0799999999999999E-2</v>
      </c>
      <c r="AM78" s="5">
        <f t="shared" si="59"/>
        <v>0.1194718394324346</v>
      </c>
      <c r="AN78" s="25">
        <f t="shared" si="60"/>
        <v>-8.0000000000000002E-3</v>
      </c>
      <c r="AO78" s="30">
        <f t="shared" si="49"/>
        <v>1.4E-2</v>
      </c>
      <c r="AP78" s="5">
        <f t="shared" si="50"/>
        <v>0.18</v>
      </c>
      <c r="AQ78" s="25">
        <v>0</v>
      </c>
    </row>
    <row r="79" spans="2:43">
      <c r="B79" s="38">
        <v>15000</v>
      </c>
      <c r="C79" s="3">
        <v>0</v>
      </c>
      <c r="D79" s="3">
        <f t="shared" si="51"/>
        <v>0.44999999999999996</v>
      </c>
      <c r="E79" s="13" cm="1">
        <f t="array" ref="E79">((B79-INDEX($AT$4:$AW$53,MATCH(B79,$AT$4:$AT$53,1),1))/(INDEX($AT$4:$AW$53,MATCH(B79,$AT$4:$AT$53,1)+1,1)-INDEX($AT$4:$AW$53,MATCH(B79,$AT$4:$AT$53,1),1)))*(INDEX($AT$4:$AW$53,MATCH(B79,$AT$4:$AT$53,1)+1,4)-INDEX($AT$4:$AW$53,MATCH(B79,$AT$4:$AT$53,1),4))+INDEX($AT$4:$AW$53,MATCH(B79,$AT$4:$AT$53,1),4)</f>
        <v>57.217201082649567</v>
      </c>
      <c r="F79" s="13" cm="1">
        <f t="array" ref="F79">C79+((B79-INDEX($AT$4:$AW$53,MATCH(B79,$AT$4:$AT$53,1),1))/(INDEX($AT$4:$AW$53,MATCH(B79,$AT$4:$AT$53,1)+1,1)-INDEX($AT$4:$AW$53,MATCH(B79,$AT$4:$AT$53,1),1)))*(INDEX($AT$4:$AW$53,MATCH(B79,$AT$4:$AT$53,1)+1,3)-INDEX($AT$4:$AW$53,MATCH(B79,$AT$4:$AT$53,1),3))+INDEX($AT$4:$AW$53,MATCH(B79,$AT$4:$AT$53,1),3)</f>
        <v>258.43920093634557</v>
      </c>
      <c r="G79" s="4">
        <f t="shared" si="34"/>
        <v>0.7714118804425979</v>
      </c>
      <c r="H79" s="6">
        <f t="shared" si="52"/>
        <v>15000</v>
      </c>
      <c r="I79" s="13">
        <f t="shared" si="35"/>
        <v>145.00957335495227</v>
      </c>
      <c r="J79" s="13">
        <f t="shared" si="53"/>
        <v>281.8754090702904</v>
      </c>
      <c r="K79" s="13">
        <f t="shared" si="36"/>
        <v>223.66205206411752</v>
      </c>
      <c r="L79" s="13">
        <f t="shared" si="54"/>
        <v>226.05112342335488</v>
      </c>
      <c r="M79" s="13">
        <f t="shared" si="55"/>
        <v>8.52949074526102</v>
      </c>
      <c r="N79" s="13">
        <f t="shared" si="56"/>
        <v>8.1105382534655739</v>
      </c>
      <c r="O79" s="4">
        <f t="shared" si="37"/>
        <v>1.0405</v>
      </c>
      <c r="P79" s="4">
        <f t="shared" si="38"/>
        <v>1.1490721423604813</v>
      </c>
      <c r="Q79" s="4">
        <f t="shared" si="39"/>
        <v>0.93321529958100846</v>
      </c>
      <c r="R79" s="4">
        <f t="shared" si="40"/>
        <v>0.64886939874572491</v>
      </c>
      <c r="S79" s="4">
        <f t="shared" si="41"/>
        <v>0.62960799083460561</v>
      </c>
      <c r="T79" s="1"/>
      <c r="U79" s="1"/>
      <c r="V79" s="1">
        <v>1</v>
      </c>
      <c r="W79" s="1">
        <v>1</v>
      </c>
      <c r="Y79" s="1">
        <f t="shared" si="57"/>
        <v>24.145964455989553</v>
      </c>
      <c r="Z79" s="1">
        <f t="shared" si="58"/>
        <v>24.145964455989553</v>
      </c>
      <c r="AB79" s="130">
        <v>1</v>
      </c>
      <c r="AC79" s="128">
        <f t="shared" si="42"/>
        <v>0.52304257247250441</v>
      </c>
      <c r="AD79" s="4">
        <f t="shared" si="43"/>
        <v>0.64886939874572491</v>
      </c>
      <c r="AE79" s="4">
        <f t="shared" si="44"/>
        <v>1.0814489979095416</v>
      </c>
      <c r="AF79" s="32">
        <f t="shared" si="45"/>
        <v>0.61486792891182396</v>
      </c>
      <c r="AG79" s="4">
        <f t="shared" si="46"/>
        <v>0.98018992133036242</v>
      </c>
      <c r="AH79" s="42">
        <f t="shared" si="47"/>
        <v>1.630335216976057</v>
      </c>
      <c r="AJ79" s="23">
        <v>4</v>
      </c>
      <c r="AK79" s="24">
        <v>0.8</v>
      </c>
      <c r="AL79" s="5">
        <f t="shared" si="48"/>
        <v>2.0799999999999999E-2</v>
      </c>
      <c r="AM79" s="5">
        <f t="shared" si="59"/>
        <v>0.1194718394324346</v>
      </c>
      <c r="AN79" s="25">
        <f t="shared" si="60"/>
        <v>-8.0000000000000002E-3</v>
      </c>
      <c r="AO79" s="30">
        <f t="shared" si="49"/>
        <v>1.4E-2</v>
      </c>
      <c r="AP79" s="5">
        <f t="shared" si="50"/>
        <v>0.18</v>
      </c>
      <c r="AQ79" s="25">
        <v>0</v>
      </c>
    </row>
    <row r="80" spans="2:43">
      <c r="B80" s="38">
        <v>15000</v>
      </c>
      <c r="C80" s="3">
        <v>0</v>
      </c>
      <c r="D80" s="3">
        <f t="shared" si="51"/>
        <v>0.49999999999999994</v>
      </c>
      <c r="E80" s="13" cm="1">
        <f t="array" ref="E80">((B80-INDEX($AT$4:$AW$53,MATCH(B80,$AT$4:$AT$53,1),1))/(INDEX($AT$4:$AW$53,MATCH(B80,$AT$4:$AT$53,1)+1,1)-INDEX($AT$4:$AW$53,MATCH(B80,$AT$4:$AT$53,1),1)))*(INDEX($AT$4:$AW$53,MATCH(B80,$AT$4:$AT$53,1)+1,4)-INDEX($AT$4:$AW$53,MATCH(B80,$AT$4:$AT$53,1),4))+INDEX($AT$4:$AW$53,MATCH(B80,$AT$4:$AT$53,1),4)</f>
        <v>57.217201082649567</v>
      </c>
      <c r="F80" s="13" cm="1">
        <f t="array" ref="F80">C80+((B80-INDEX($AT$4:$AW$53,MATCH(B80,$AT$4:$AT$53,1),1))/(INDEX($AT$4:$AW$53,MATCH(B80,$AT$4:$AT$53,1)+1,1)-INDEX($AT$4:$AW$53,MATCH(B80,$AT$4:$AT$53,1),1)))*(INDEX($AT$4:$AW$53,MATCH(B80,$AT$4:$AT$53,1)+1,3)-INDEX($AT$4:$AW$53,MATCH(B80,$AT$4:$AT$53,1),3))+INDEX($AT$4:$AW$53,MATCH(B80,$AT$4:$AT$53,1),3)</f>
        <v>258.43920093634557</v>
      </c>
      <c r="G80" s="4">
        <f t="shared" si="34"/>
        <v>0.7714118804425979</v>
      </c>
      <c r="H80" s="6">
        <f t="shared" si="52"/>
        <v>15000</v>
      </c>
      <c r="I80" s="13">
        <f t="shared" si="35"/>
        <v>161.12174817216916</v>
      </c>
      <c r="J80" s="13">
        <f t="shared" si="53"/>
        <v>313.19489896698929</v>
      </c>
      <c r="K80" s="13">
        <f t="shared" si="36"/>
        <v>248.51339118235276</v>
      </c>
      <c r="L80" s="13">
        <f t="shared" si="54"/>
        <v>251.76672614145616</v>
      </c>
      <c r="M80" s="13">
        <f t="shared" si="55"/>
        <v>10.654565955116976</v>
      </c>
      <c r="N80" s="13">
        <f t="shared" si="56"/>
        <v>10.013010189463667</v>
      </c>
      <c r="O80" s="4">
        <f t="shared" si="37"/>
        <v>1.05</v>
      </c>
      <c r="P80" s="4">
        <f t="shared" si="38"/>
        <v>1.1862126380443982</v>
      </c>
      <c r="Q80" s="4">
        <f t="shared" si="39"/>
        <v>0.94173576603561637</v>
      </c>
      <c r="R80" s="4">
        <f t="shared" si="40"/>
        <v>0.66984226042700756</v>
      </c>
      <c r="S80" s="4">
        <f t="shared" si="41"/>
        <v>0.62960799083460561</v>
      </c>
      <c r="T80" s="1"/>
      <c r="U80" s="1"/>
      <c r="V80" s="1">
        <v>1</v>
      </c>
      <c r="W80" s="1">
        <v>1</v>
      </c>
      <c r="Y80" s="1">
        <f t="shared" si="57"/>
        <v>27.257842771243485</v>
      </c>
      <c r="Z80" s="1">
        <f t="shared" si="58"/>
        <v>27.257842771243485</v>
      </c>
      <c r="AB80" s="130">
        <v>1</v>
      </c>
      <c r="AC80" s="128">
        <f t="shared" si="42"/>
        <v>0.52050252531694174</v>
      </c>
      <c r="AD80" s="4">
        <f t="shared" si="43"/>
        <v>0.66984226042700756</v>
      </c>
      <c r="AE80" s="4">
        <f t="shared" si="44"/>
        <v>1.116403767378346</v>
      </c>
      <c r="AF80" s="32">
        <f t="shared" si="45"/>
        <v>0.64043810077261598</v>
      </c>
      <c r="AG80" s="4">
        <f t="shared" si="46"/>
        <v>0.99439557236413589</v>
      </c>
      <c r="AH80" s="42">
        <f t="shared" si="47"/>
        <v>1.6431203029064532</v>
      </c>
      <c r="AJ80" s="23">
        <v>4</v>
      </c>
      <c r="AK80" s="24">
        <v>0.8</v>
      </c>
      <c r="AL80" s="5">
        <f t="shared" si="48"/>
        <v>2.0799999999999999E-2</v>
      </c>
      <c r="AM80" s="5">
        <f t="shared" si="59"/>
        <v>0.1194718394324346</v>
      </c>
      <c r="AN80" s="25">
        <f t="shared" si="60"/>
        <v>-8.0000000000000002E-3</v>
      </c>
      <c r="AO80" s="30">
        <f t="shared" si="49"/>
        <v>1.4E-2</v>
      </c>
      <c r="AP80" s="5">
        <f t="shared" si="50"/>
        <v>0.18</v>
      </c>
      <c r="AQ80" s="25">
        <v>0</v>
      </c>
    </row>
    <row r="81" spans="2:43">
      <c r="B81" s="38">
        <v>15000</v>
      </c>
      <c r="C81" s="3">
        <v>0</v>
      </c>
      <c r="D81" s="3">
        <f t="shared" si="51"/>
        <v>0.54999999999999993</v>
      </c>
      <c r="E81" s="13" cm="1">
        <f t="array" ref="E81">((B81-INDEX($AT$4:$AW$53,MATCH(B81,$AT$4:$AT$53,1),1))/(INDEX($AT$4:$AW$53,MATCH(B81,$AT$4:$AT$53,1)+1,1)-INDEX($AT$4:$AW$53,MATCH(B81,$AT$4:$AT$53,1),1)))*(INDEX($AT$4:$AW$53,MATCH(B81,$AT$4:$AT$53,1)+1,4)-INDEX($AT$4:$AW$53,MATCH(B81,$AT$4:$AT$53,1),4))+INDEX($AT$4:$AW$53,MATCH(B81,$AT$4:$AT$53,1),4)</f>
        <v>57.217201082649567</v>
      </c>
      <c r="F81" s="13" cm="1">
        <f t="array" ref="F81">C81+((B81-INDEX($AT$4:$AW$53,MATCH(B81,$AT$4:$AT$53,1),1))/(INDEX($AT$4:$AW$53,MATCH(B81,$AT$4:$AT$53,1)+1,1)-INDEX($AT$4:$AW$53,MATCH(B81,$AT$4:$AT$53,1),1)))*(INDEX($AT$4:$AW$53,MATCH(B81,$AT$4:$AT$53,1)+1,3)-INDEX($AT$4:$AW$53,MATCH(B81,$AT$4:$AT$53,1),3))+INDEX($AT$4:$AW$53,MATCH(B81,$AT$4:$AT$53,1),3)</f>
        <v>258.43920093634557</v>
      </c>
      <c r="G81" s="4">
        <f t="shared" si="34"/>
        <v>0.7714118804425979</v>
      </c>
      <c r="H81" s="6">
        <f t="shared" si="52"/>
        <v>15000</v>
      </c>
      <c r="I81" s="13">
        <f t="shared" si="35"/>
        <v>177.23392298938609</v>
      </c>
      <c r="J81" s="13">
        <f t="shared" si="53"/>
        <v>344.51438886368828</v>
      </c>
      <c r="K81" s="13">
        <f t="shared" si="36"/>
        <v>273.36473030058806</v>
      </c>
      <c r="L81" s="13">
        <f t="shared" si="54"/>
        <v>277.66008038370057</v>
      </c>
      <c r="M81" s="13">
        <f t="shared" si="55"/>
        <v>13.059920354409948</v>
      </c>
      <c r="N81" s="13">
        <f t="shared" si="56"/>
        <v>12.11574232925104</v>
      </c>
      <c r="O81" s="4">
        <f t="shared" si="37"/>
        <v>1.0605</v>
      </c>
      <c r="P81" s="4">
        <f t="shared" si="38"/>
        <v>1.2282516464855568</v>
      </c>
      <c r="Q81" s="4">
        <f t="shared" si="39"/>
        <v>0.95115312369597249</v>
      </c>
      <c r="R81" s="4">
        <f t="shared" si="40"/>
        <v>0.69358126264060715</v>
      </c>
      <c r="S81" s="4">
        <f t="shared" si="41"/>
        <v>0.62960799083460561</v>
      </c>
      <c r="T81" s="1"/>
      <c r="U81" s="1"/>
      <c r="V81" s="1">
        <v>1</v>
      </c>
      <c r="W81" s="1">
        <v>1</v>
      </c>
      <c r="Y81" s="1">
        <f t="shared" si="57"/>
        <v>30.023934820706955</v>
      </c>
      <c r="Z81" s="1">
        <f t="shared" si="58"/>
        <v>30.023934820706955</v>
      </c>
      <c r="AB81" s="130">
        <v>1</v>
      </c>
      <c r="AC81" s="128">
        <f t="shared" si="42"/>
        <v>0.51808661059033034</v>
      </c>
      <c r="AD81" s="4">
        <f t="shared" si="43"/>
        <v>0.69358126264060715</v>
      </c>
      <c r="AE81" s="4">
        <f t="shared" si="44"/>
        <v>1.1559687710676787</v>
      </c>
      <c r="AF81" s="32">
        <f t="shared" si="45"/>
        <v>0.666008272633408</v>
      </c>
      <c r="AG81" s="4">
        <f t="shared" si="46"/>
        <v>1.0086012233979091</v>
      </c>
      <c r="AH81" s="42">
        <f t="shared" si="47"/>
        <v>1.6559053888368491</v>
      </c>
      <c r="AJ81" s="23">
        <v>4</v>
      </c>
      <c r="AK81" s="24">
        <v>0.8</v>
      </c>
      <c r="AL81" s="5">
        <f t="shared" si="48"/>
        <v>2.0799999999999999E-2</v>
      </c>
      <c r="AM81" s="5">
        <f t="shared" si="59"/>
        <v>0.1194718394324346</v>
      </c>
      <c r="AN81" s="25">
        <f t="shared" si="60"/>
        <v>-8.0000000000000002E-3</v>
      </c>
      <c r="AO81" s="30">
        <f t="shared" si="49"/>
        <v>1.4E-2</v>
      </c>
      <c r="AP81" s="5">
        <f t="shared" si="50"/>
        <v>0.18</v>
      </c>
      <c r="AQ81" s="25">
        <v>0</v>
      </c>
    </row>
    <row r="82" spans="2:43">
      <c r="B82" s="38">
        <v>15000</v>
      </c>
      <c r="C82" s="3">
        <v>0</v>
      </c>
      <c r="D82" s="3">
        <f t="shared" si="51"/>
        <v>0.6</v>
      </c>
      <c r="E82" s="13" cm="1">
        <f t="array" ref="E82">((B82-INDEX($AT$4:$AW$53,MATCH(B82,$AT$4:$AT$53,1),1))/(INDEX($AT$4:$AW$53,MATCH(B82,$AT$4:$AT$53,1)+1,1)-INDEX($AT$4:$AW$53,MATCH(B82,$AT$4:$AT$53,1),1)))*(INDEX($AT$4:$AW$53,MATCH(B82,$AT$4:$AT$53,1)+1,4)-INDEX($AT$4:$AW$53,MATCH(B82,$AT$4:$AT$53,1),4))+INDEX($AT$4:$AW$53,MATCH(B82,$AT$4:$AT$53,1),4)</f>
        <v>57.217201082649567</v>
      </c>
      <c r="F82" s="13" cm="1">
        <f t="array" ref="F82">C82+((B82-INDEX($AT$4:$AW$53,MATCH(B82,$AT$4:$AT$53,1),1))/(INDEX($AT$4:$AW$53,MATCH(B82,$AT$4:$AT$53,1)+1,1)-INDEX($AT$4:$AW$53,MATCH(B82,$AT$4:$AT$53,1),1)))*(INDEX($AT$4:$AW$53,MATCH(B82,$AT$4:$AT$53,1)+1,3)-INDEX($AT$4:$AW$53,MATCH(B82,$AT$4:$AT$53,1),3))+INDEX($AT$4:$AW$53,MATCH(B82,$AT$4:$AT$53,1),3)</f>
        <v>258.43920093634557</v>
      </c>
      <c r="G82" s="4">
        <f t="shared" si="34"/>
        <v>0.7714118804425979</v>
      </c>
      <c r="H82" s="6">
        <f t="shared" si="52"/>
        <v>15000</v>
      </c>
      <c r="I82" s="13">
        <f t="shared" si="35"/>
        <v>193.34609780660301</v>
      </c>
      <c r="J82" s="13">
        <f t="shared" si="53"/>
        <v>375.83387876038722</v>
      </c>
      <c r="K82" s="13">
        <f t="shared" si="36"/>
        <v>298.21606941882334</v>
      </c>
      <c r="L82" s="13">
        <f t="shared" si="54"/>
        <v>303.74347073182059</v>
      </c>
      <c r="M82" s="13">
        <f t="shared" si="55"/>
        <v>15.763554969914827</v>
      </c>
      <c r="N82" s="13">
        <f t="shared" si="56"/>
        <v>14.418734672827686</v>
      </c>
      <c r="O82" s="4">
        <f t="shared" si="37"/>
        <v>1.0720000000000001</v>
      </c>
      <c r="P82" s="4">
        <f t="shared" si="38"/>
        <v>1.2755037763406945</v>
      </c>
      <c r="Q82" s="4">
        <f t="shared" si="39"/>
        <v>0.96146737256207693</v>
      </c>
      <c r="R82" s="4">
        <f t="shared" si="40"/>
        <v>0.72026406170801272</v>
      </c>
      <c r="S82" s="4">
        <f t="shared" si="41"/>
        <v>0.62960799083460561</v>
      </c>
      <c r="T82" s="1"/>
      <c r="U82" s="1"/>
      <c r="V82" s="1">
        <v>1</v>
      </c>
      <c r="W82" s="1">
        <v>1</v>
      </c>
      <c r="Y82" s="1">
        <f t="shared" si="57"/>
        <v>32.469303996482253</v>
      </c>
      <c r="Z82" s="1">
        <f t="shared" si="58"/>
        <v>32.469303996482253</v>
      </c>
      <c r="AB82" s="130">
        <v>1</v>
      </c>
      <c r="AC82" s="128">
        <f t="shared" si="42"/>
        <v>0.51577823315309623</v>
      </c>
      <c r="AD82" s="4">
        <f t="shared" si="43"/>
        <v>0.72026406170801272</v>
      </c>
      <c r="AE82" s="4">
        <f t="shared" si="44"/>
        <v>1.200440102846688</v>
      </c>
      <c r="AF82" s="32">
        <f t="shared" si="45"/>
        <v>0.69157844449420014</v>
      </c>
      <c r="AG82" s="4">
        <f t="shared" si="46"/>
        <v>1.0228068744316827</v>
      </c>
      <c r="AH82" s="42">
        <f t="shared" si="47"/>
        <v>1.6686904747672451</v>
      </c>
      <c r="AJ82" s="23">
        <v>4</v>
      </c>
      <c r="AK82" s="24">
        <v>0.8</v>
      </c>
      <c r="AL82" s="5">
        <f t="shared" si="48"/>
        <v>2.0799999999999999E-2</v>
      </c>
      <c r="AM82" s="5">
        <f t="shared" si="59"/>
        <v>0.1194718394324346</v>
      </c>
      <c r="AN82" s="25">
        <f t="shared" si="60"/>
        <v>-8.0000000000000002E-3</v>
      </c>
      <c r="AO82" s="30">
        <f t="shared" si="49"/>
        <v>1.4E-2</v>
      </c>
      <c r="AP82" s="5">
        <f t="shared" si="50"/>
        <v>0.18</v>
      </c>
      <c r="AQ82" s="25">
        <v>0</v>
      </c>
    </row>
    <row r="83" spans="2:43">
      <c r="B83" s="38">
        <v>15000</v>
      </c>
      <c r="C83" s="3">
        <v>0</v>
      </c>
      <c r="D83" s="3">
        <f t="shared" si="51"/>
        <v>0.65</v>
      </c>
      <c r="E83" s="13" cm="1">
        <f t="array" ref="E83">((B83-INDEX($AT$4:$AW$53,MATCH(B83,$AT$4:$AT$53,1),1))/(INDEX($AT$4:$AW$53,MATCH(B83,$AT$4:$AT$53,1)+1,1)-INDEX($AT$4:$AW$53,MATCH(B83,$AT$4:$AT$53,1),1)))*(INDEX($AT$4:$AW$53,MATCH(B83,$AT$4:$AT$53,1)+1,4)-INDEX($AT$4:$AW$53,MATCH(B83,$AT$4:$AT$53,1),4))+INDEX($AT$4:$AW$53,MATCH(B83,$AT$4:$AT$53,1),4)</f>
        <v>57.217201082649567</v>
      </c>
      <c r="F83" s="13" cm="1">
        <f t="array" ref="F83">C83+((B83-INDEX($AT$4:$AW$53,MATCH(B83,$AT$4:$AT$53,1),1))/(INDEX($AT$4:$AW$53,MATCH(B83,$AT$4:$AT$53,1)+1,1)-INDEX($AT$4:$AW$53,MATCH(B83,$AT$4:$AT$53,1),1)))*(INDEX($AT$4:$AW$53,MATCH(B83,$AT$4:$AT$53,1)+1,3)-INDEX($AT$4:$AW$53,MATCH(B83,$AT$4:$AT$53,1),3))+INDEX($AT$4:$AW$53,MATCH(B83,$AT$4:$AT$53,1),3)</f>
        <v>258.43920093634557</v>
      </c>
      <c r="G83" s="4">
        <f t="shared" si="34"/>
        <v>0.7714118804425979</v>
      </c>
      <c r="H83" s="6">
        <f t="shared" si="52"/>
        <v>15000</v>
      </c>
      <c r="I83" s="13">
        <f t="shared" si="35"/>
        <v>209.45827262381997</v>
      </c>
      <c r="J83" s="13">
        <f t="shared" si="53"/>
        <v>407.15336865708622</v>
      </c>
      <c r="K83" s="13">
        <f t="shared" si="36"/>
        <v>323.06740853705867</v>
      </c>
      <c r="L83" s="13">
        <f t="shared" si="54"/>
        <v>330.02774117385655</v>
      </c>
      <c r="M83" s="13">
        <f t="shared" si="55"/>
        <v>18.785680178908134</v>
      </c>
      <c r="N83" s="13">
        <f t="shared" si="56"/>
        <v>16.921987220193607</v>
      </c>
      <c r="O83" s="4">
        <f t="shared" si="37"/>
        <v>1.0845</v>
      </c>
      <c r="P83" s="4">
        <f t="shared" si="38"/>
        <v>1.328322249663566</v>
      </c>
      <c r="Q83" s="4">
        <f t="shared" si="39"/>
        <v>0.97267851263392957</v>
      </c>
      <c r="R83" s="4">
        <f t="shared" si="40"/>
        <v>0.75009011854485763</v>
      </c>
      <c r="S83" s="4">
        <f t="shared" si="41"/>
        <v>0.62960799083460561</v>
      </c>
      <c r="T83" s="1"/>
      <c r="U83" s="1"/>
      <c r="V83" s="1">
        <v>1</v>
      </c>
      <c r="W83" s="1">
        <v>1</v>
      </c>
      <c r="Y83" s="1">
        <f t="shared" si="57"/>
        <v>34.616835002131978</v>
      </c>
      <c r="Z83" s="1">
        <f t="shared" si="58"/>
        <v>34.616835002131978</v>
      </c>
      <c r="AB83" s="130">
        <v>1</v>
      </c>
      <c r="AC83" s="128">
        <f t="shared" si="42"/>
        <v>0.51356419576191015</v>
      </c>
      <c r="AD83" s="4">
        <f t="shared" si="43"/>
        <v>0.75009011854485763</v>
      </c>
      <c r="AE83" s="4">
        <f t="shared" si="44"/>
        <v>1.2501501975747629</v>
      </c>
      <c r="AF83" s="32">
        <f t="shared" si="45"/>
        <v>0.71714861635499216</v>
      </c>
      <c r="AG83" s="4">
        <f t="shared" si="46"/>
        <v>1.0370125254654559</v>
      </c>
      <c r="AH83" s="42">
        <f t="shared" si="47"/>
        <v>1.6814755606976413</v>
      </c>
      <c r="AJ83" s="23">
        <v>4</v>
      </c>
      <c r="AK83" s="24">
        <v>0.8</v>
      </c>
      <c r="AL83" s="5">
        <f t="shared" si="48"/>
        <v>2.0799999999999999E-2</v>
      </c>
      <c r="AM83" s="5">
        <f t="shared" si="59"/>
        <v>0.1194718394324346</v>
      </c>
      <c r="AN83" s="25">
        <f t="shared" si="60"/>
        <v>-8.0000000000000002E-3</v>
      </c>
      <c r="AO83" s="30">
        <f t="shared" si="49"/>
        <v>1.4E-2</v>
      </c>
      <c r="AP83" s="5">
        <f t="shared" si="50"/>
        <v>0.18</v>
      </c>
      <c r="AQ83" s="25">
        <v>0</v>
      </c>
    </row>
    <row r="84" spans="2:43">
      <c r="B84" s="38">
        <v>15000</v>
      </c>
      <c r="C84" s="3">
        <v>0</v>
      </c>
      <c r="D84" s="3">
        <f t="shared" si="51"/>
        <v>0.70000000000000007</v>
      </c>
      <c r="E84" s="13" cm="1">
        <f t="array" ref="E84">((B84-INDEX($AT$4:$AW$53,MATCH(B84,$AT$4:$AT$53,1),1))/(INDEX($AT$4:$AW$53,MATCH(B84,$AT$4:$AT$53,1)+1,1)-INDEX($AT$4:$AW$53,MATCH(B84,$AT$4:$AT$53,1),1)))*(INDEX($AT$4:$AW$53,MATCH(B84,$AT$4:$AT$53,1)+1,4)-INDEX($AT$4:$AW$53,MATCH(B84,$AT$4:$AT$53,1),4))+INDEX($AT$4:$AW$53,MATCH(B84,$AT$4:$AT$53,1),4)</f>
        <v>57.217201082649567</v>
      </c>
      <c r="F84" s="13" cm="1">
        <f t="array" ref="F84">C84+((B84-INDEX($AT$4:$AW$53,MATCH(B84,$AT$4:$AT$53,1),1))/(INDEX($AT$4:$AW$53,MATCH(B84,$AT$4:$AT$53,1)+1,1)-INDEX($AT$4:$AW$53,MATCH(B84,$AT$4:$AT$53,1),1)))*(INDEX($AT$4:$AW$53,MATCH(B84,$AT$4:$AT$53,1)+1,3)-INDEX($AT$4:$AW$53,MATCH(B84,$AT$4:$AT$53,1),3))+INDEX($AT$4:$AW$53,MATCH(B84,$AT$4:$AT$53,1),3)</f>
        <v>258.43920093634557</v>
      </c>
      <c r="G84" s="4">
        <f t="shared" si="34"/>
        <v>0.7714118804425979</v>
      </c>
      <c r="H84" s="6">
        <f t="shared" si="52"/>
        <v>15000</v>
      </c>
      <c r="I84" s="13">
        <f t="shared" si="35"/>
        <v>225.57044744103689</v>
      </c>
      <c r="J84" s="13">
        <f t="shared" si="53"/>
        <v>438.47285855378516</v>
      </c>
      <c r="K84" s="13">
        <f t="shared" si="36"/>
        <v>347.918747655294</v>
      </c>
      <c r="L84" s="13">
        <f t="shared" si="54"/>
        <v>356.52222625371087</v>
      </c>
      <c r="M84" s="13">
        <f t="shared" si="55"/>
        <v>22.148855049409431</v>
      </c>
      <c r="N84" s="13">
        <f t="shared" si="56"/>
        <v>19.625499971348798</v>
      </c>
      <c r="O84" s="4">
        <f t="shared" si="37"/>
        <v>1.0980000000000001</v>
      </c>
      <c r="P84" s="4">
        <f t="shared" si="38"/>
        <v>1.3871013371908156</v>
      </c>
      <c r="Q84" s="4">
        <f t="shared" si="39"/>
        <v>0.98478654391153042</v>
      </c>
      <c r="R84" s="4">
        <f t="shared" si="40"/>
        <v>0.78328207384218107</v>
      </c>
      <c r="S84" s="4">
        <f t="shared" si="41"/>
        <v>0.62960799083460561</v>
      </c>
      <c r="T84" s="1"/>
      <c r="U84" s="1"/>
      <c r="V84" s="1">
        <v>1</v>
      </c>
      <c r="W84" s="1">
        <v>1</v>
      </c>
      <c r="Y84" s="1">
        <f t="shared" si="57"/>
        <v>36.491126799189786</v>
      </c>
      <c r="Z84" s="1">
        <f t="shared" si="58"/>
        <v>36.491126799189786</v>
      </c>
      <c r="AB84" s="130">
        <v>1</v>
      </c>
      <c r="AC84" s="128">
        <f t="shared" si="42"/>
        <v>0.51143379814261469</v>
      </c>
      <c r="AD84" s="4">
        <f t="shared" si="43"/>
        <v>0.78328207384218107</v>
      </c>
      <c r="AE84" s="4">
        <f t="shared" si="44"/>
        <v>1.3054701230703019</v>
      </c>
      <c r="AF84" s="32">
        <f t="shared" si="45"/>
        <v>0.7427187882157843</v>
      </c>
      <c r="AG84" s="4">
        <f t="shared" si="46"/>
        <v>1.0512181764992294</v>
      </c>
      <c r="AH84" s="42">
        <f t="shared" si="47"/>
        <v>1.6942606466280372</v>
      </c>
      <c r="AJ84" s="23">
        <v>4</v>
      </c>
      <c r="AK84" s="24">
        <v>0.8</v>
      </c>
      <c r="AL84" s="5">
        <f t="shared" si="48"/>
        <v>2.0799999999999999E-2</v>
      </c>
      <c r="AM84" s="5">
        <f t="shared" si="59"/>
        <v>0.1194718394324346</v>
      </c>
      <c r="AN84" s="25">
        <f t="shared" si="60"/>
        <v>-8.0000000000000002E-3</v>
      </c>
      <c r="AO84" s="30">
        <f t="shared" si="49"/>
        <v>1.4E-2</v>
      </c>
      <c r="AP84" s="5">
        <f t="shared" si="50"/>
        <v>0.18</v>
      </c>
      <c r="AQ84" s="25">
        <v>0</v>
      </c>
    </row>
    <row r="85" spans="2:43">
      <c r="B85" s="38">
        <v>15000</v>
      </c>
      <c r="C85" s="3">
        <v>0</v>
      </c>
      <c r="D85" s="3">
        <f t="shared" si="51"/>
        <v>0.75000000000000011</v>
      </c>
      <c r="E85" s="13" cm="1">
        <f t="array" ref="E85">((B85-INDEX($AT$4:$AW$53,MATCH(B85,$AT$4:$AT$53,1),1))/(INDEX($AT$4:$AW$53,MATCH(B85,$AT$4:$AT$53,1)+1,1)-INDEX($AT$4:$AW$53,MATCH(B85,$AT$4:$AT$53,1),1)))*(INDEX($AT$4:$AW$53,MATCH(B85,$AT$4:$AT$53,1)+1,4)-INDEX($AT$4:$AW$53,MATCH(B85,$AT$4:$AT$53,1),4))+INDEX($AT$4:$AW$53,MATCH(B85,$AT$4:$AT$53,1),4)</f>
        <v>57.217201082649567</v>
      </c>
      <c r="F85" s="13" cm="1">
        <f t="array" ref="F85">C85+((B85-INDEX($AT$4:$AW$53,MATCH(B85,$AT$4:$AT$53,1),1))/(INDEX($AT$4:$AW$53,MATCH(B85,$AT$4:$AT$53,1)+1,1)-INDEX($AT$4:$AW$53,MATCH(B85,$AT$4:$AT$53,1),1)))*(INDEX($AT$4:$AW$53,MATCH(B85,$AT$4:$AT$53,1)+1,3)-INDEX($AT$4:$AW$53,MATCH(B85,$AT$4:$AT$53,1),3))+INDEX($AT$4:$AW$53,MATCH(B85,$AT$4:$AT$53,1),3)</f>
        <v>258.43920093634557</v>
      </c>
      <c r="G85" s="4">
        <f t="shared" si="34"/>
        <v>0.7714118804425979</v>
      </c>
      <c r="H85" s="6">
        <f t="shared" si="52"/>
        <v>15000</v>
      </c>
      <c r="I85" s="13">
        <f t="shared" si="35"/>
        <v>241.68262225825382</v>
      </c>
      <c r="J85" s="13">
        <f t="shared" si="53"/>
        <v>469.7923484504841</v>
      </c>
      <c r="K85" s="13">
        <f t="shared" si="36"/>
        <v>372.77008677352927</v>
      </c>
      <c r="L85" s="13">
        <f t="shared" si="54"/>
        <v>383.23469968064597</v>
      </c>
      <c r="M85" s="13">
        <f t="shared" si="55"/>
        <v>25.878140648870183</v>
      </c>
      <c r="N85" s="13">
        <f t="shared" si="56"/>
        <v>22.52927292629327</v>
      </c>
      <c r="O85" s="4">
        <f t="shared" si="37"/>
        <v>1.1125</v>
      </c>
      <c r="P85" s="4">
        <f t="shared" si="38"/>
        <v>1.4522790377580601</v>
      </c>
      <c r="Q85" s="4">
        <f t="shared" si="39"/>
        <v>0.99779146639487926</v>
      </c>
      <c r="R85" s="4">
        <f t="shared" si="40"/>
        <v>0.82008726110554897</v>
      </c>
      <c r="S85" s="4">
        <f t="shared" si="41"/>
        <v>0.62960799083460561</v>
      </c>
      <c r="T85" s="1"/>
      <c r="U85" s="1"/>
      <c r="V85" s="1">
        <v>1</v>
      </c>
      <c r="W85" s="1">
        <v>1</v>
      </c>
      <c r="Y85" s="1">
        <f t="shared" si="57"/>
        <v>38.121225566979042</v>
      </c>
      <c r="Z85" s="1">
        <f t="shared" si="58"/>
        <v>38.121225566979042</v>
      </c>
      <c r="AB85" s="130">
        <v>1</v>
      </c>
      <c r="AC85" s="128">
        <f t="shared" si="42"/>
        <v>0.50937822173508929</v>
      </c>
      <c r="AD85" s="4">
        <f t="shared" si="43"/>
        <v>0.82008726110554897</v>
      </c>
      <c r="AE85" s="4">
        <f t="shared" si="44"/>
        <v>1.3668121018425816</v>
      </c>
      <c r="AF85" s="32">
        <f t="shared" si="45"/>
        <v>0.76828896007657643</v>
      </c>
      <c r="AG85" s="4">
        <f t="shared" si="46"/>
        <v>1.0654238275330026</v>
      </c>
      <c r="AH85" s="42">
        <f t="shared" si="47"/>
        <v>1.7070457325584334</v>
      </c>
      <c r="AJ85" s="23">
        <v>4</v>
      </c>
      <c r="AK85" s="24">
        <v>0.8</v>
      </c>
      <c r="AL85" s="5">
        <f t="shared" si="48"/>
        <v>2.0799999999999999E-2</v>
      </c>
      <c r="AM85" s="5">
        <f t="shared" si="59"/>
        <v>0.1194718394324346</v>
      </c>
      <c r="AN85" s="25">
        <f t="shared" si="60"/>
        <v>-8.0000000000000002E-3</v>
      </c>
      <c r="AO85" s="30">
        <f t="shared" si="49"/>
        <v>1.4E-2</v>
      </c>
      <c r="AP85" s="5">
        <f t="shared" si="50"/>
        <v>0.18</v>
      </c>
      <c r="AQ85" s="25">
        <v>0</v>
      </c>
    </row>
    <row r="86" spans="2:43">
      <c r="B86" s="38">
        <v>15000</v>
      </c>
      <c r="C86" s="3">
        <v>0</v>
      </c>
      <c r="D86" s="3">
        <f t="shared" si="51"/>
        <v>0.80000000000000016</v>
      </c>
      <c r="E86" s="13" cm="1">
        <f t="array" ref="E86">((B86-INDEX($AT$4:$AW$53,MATCH(B86,$AT$4:$AT$53,1),1))/(INDEX($AT$4:$AW$53,MATCH(B86,$AT$4:$AT$53,1)+1,1)-INDEX($AT$4:$AW$53,MATCH(B86,$AT$4:$AT$53,1),1)))*(INDEX($AT$4:$AW$53,MATCH(B86,$AT$4:$AT$53,1)+1,4)-INDEX($AT$4:$AW$53,MATCH(B86,$AT$4:$AT$53,1),4))+INDEX($AT$4:$AW$53,MATCH(B86,$AT$4:$AT$53,1),4)</f>
        <v>57.217201082649567</v>
      </c>
      <c r="F86" s="13" cm="1">
        <f t="array" ref="F86">C86+((B86-INDEX($AT$4:$AW$53,MATCH(B86,$AT$4:$AT$53,1),1))/(INDEX($AT$4:$AW$53,MATCH(B86,$AT$4:$AT$53,1)+1,1)-INDEX($AT$4:$AW$53,MATCH(B86,$AT$4:$AT$53,1),1)))*(INDEX($AT$4:$AW$53,MATCH(B86,$AT$4:$AT$53,1)+1,3)-INDEX($AT$4:$AW$53,MATCH(B86,$AT$4:$AT$53,1),3))+INDEX($AT$4:$AW$53,MATCH(B86,$AT$4:$AT$53,1),3)</f>
        <v>258.43920093634557</v>
      </c>
      <c r="G86" s="4">
        <f t="shared" si="34"/>
        <v>0.7714118804425979</v>
      </c>
      <c r="H86" s="6">
        <f t="shared" si="52"/>
        <v>15000</v>
      </c>
      <c r="I86" s="13">
        <f t="shared" si="35"/>
        <v>257.79479707547074</v>
      </c>
      <c r="J86" s="13">
        <f t="shared" si="53"/>
        <v>501.11183834718304</v>
      </c>
      <c r="K86" s="13">
        <f t="shared" si="36"/>
        <v>397.62142589176455</v>
      </c>
      <c r="L86" s="13">
        <f t="shared" si="54"/>
        <v>410.17134167264669</v>
      </c>
      <c r="M86" s="13">
        <f t="shared" si="55"/>
        <v>30.001267762595592</v>
      </c>
      <c r="N86" s="13">
        <f t="shared" si="56"/>
        <v>25.633306085027009</v>
      </c>
      <c r="O86" s="4">
        <f t="shared" si="37"/>
        <v>1.1280000000000001</v>
      </c>
      <c r="P86" s="4">
        <f t="shared" si="38"/>
        <v>1.5243400095586486</v>
      </c>
      <c r="Q86" s="4">
        <f t="shared" si="39"/>
        <v>1.0116932800839766</v>
      </c>
      <c r="R86" s="4">
        <f t="shared" si="40"/>
        <v>0.86077936190718141</v>
      </c>
      <c r="S86" s="4">
        <f t="shared" si="41"/>
        <v>0.62960799083460561</v>
      </c>
      <c r="T86" s="1"/>
      <c r="U86" s="1"/>
      <c r="V86" s="1">
        <v>1</v>
      </c>
      <c r="W86" s="1">
        <v>1</v>
      </c>
      <c r="Y86" s="1">
        <f t="shared" si="57"/>
        <v>39.542740933985364</v>
      </c>
      <c r="Z86" s="1">
        <f t="shared" si="58"/>
        <v>39.542740933985364</v>
      </c>
      <c r="AB86" s="130">
        <v>1</v>
      </c>
      <c r="AC86" s="128">
        <f t="shared" si="42"/>
        <v>0.50739009663000589</v>
      </c>
      <c r="AD86" s="4">
        <f t="shared" si="43"/>
        <v>0.86077936190718141</v>
      </c>
      <c r="AE86" s="4">
        <f t="shared" si="44"/>
        <v>1.4346322698453025</v>
      </c>
      <c r="AF86" s="32">
        <f t="shared" si="45"/>
        <v>0.79385913193736846</v>
      </c>
      <c r="AG86" s="4">
        <f t="shared" si="46"/>
        <v>1.0796294785667762</v>
      </c>
      <c r="AH86" s="42">
        <f t="shared" si="47"/>
        <v>1.7198308184888291</v>
      </c>
      <c r="AJ86" s="23">
        <v>4</v>
      </c>
      <c r="AK86" s="24">
        <v>0.8</v>
      </c>
      <c r="AL86" s="5">
        <f t="shared" si="48"/>
        <v>2.0799999999999999E-2</v>
      </c>
      <c r="AM86" s="5">
        <f t="shared" si="59"/>
        <v>0.1194718394324346</v>
      </c>
      <c r="AN86" s="25">
        <f t="shared" si="60"/>
        <v>-8.0000000000000002E-3</v>
      </c>
      <c r="AO86" s="30">
        <f t="shared" si="49"/>
        <v>1.4000000000000004E-2</v>
      </c>
      <c r="AP86" s="5">
        <f t="shared" si="50"/>
        <v>0.18</v>
      </c>
      <c r="AQ86" s="25">
        <v>0</v>
      </c>
    </row>
    <row r="87" spans="2:43">
      <c r="B87" s="38">
        <v>15000</v>
      </c>
      <c r="C87" s="3">
        <v>0</v>
      </c>
      <c r="D87" s="3">
        <f t="shared" si="51"/>
        <v>0.8500000000000002</v>
      </c>
      <c r="E87" s="13" cm="1">
        <f t="array" ref="E87">((B87-INDEX($AT$4:$AW$53,MATCH(B87,$AT$4:$AT$53,1),1))/(INDEX($AT$4:$AW$53,MATCH(B87,$AT$4:$AT$53,1)+1,1)-INDEX($AT$4:$AW$53,MATCH(B87,$AT$4:$AT$53,1),1)))*(INDEX($AT$4:$AW$53,MATCH(B87,$AT$4:$AT$53,1)+1,4)-INDEX($AT$4:$AW$53,MATCH(B87,$AT$4:$AT$53,1),4))+INDEX($AT$4:$AW$53,MATCH(B87,$AT$4:$AT$53,1),4)</f>
        <v>57.217201082649567</v>
      </c>
      <c r="F87" s="13" cm="1">
        <f t="array" ref="F87">C87+((B87-INDEX($AT$4:$AW$53,MATCH(B87,$AT$4:$AT$53,1),1))/(INDEX($AT$4:$AW$53,MATCH(B87,$AT$4:$AT$53,1)+1,1)-INDEX($AT$4:$AW$53,MATCH(B87,$AT$4:$AT$53,1),1)))*(INDEX($AT$4:$AW$53,MATCH(B87,$AT$4:$AT$53,1)+1,3)-INDEX($AT$4:$AW$53,MATCH(B87,$AT$4:$AT$53,1),3))+INDEX($AT$4:$AW$53,MATCH(B87,$AT$4:$AT$53,1),3)</f>
        <v>258.43920093634557</v>
      </c>
      <c r="G87" s="4">
        <f t="shared" si="34"/>
        <v>0.7714118804425979</v>
      </c>
      <c r="H87" s="6">
        <f t="shared" si="52"/>
        <v>15000</v>
      </c>
      <c r="I87" s="13">
        <f t="shared" si="35"/>
        <v>273.90697189268769</v>
      </c>
      <c r="J87" s="13">
        <f t="shared" si="53"/>
        <v>532.43132824388204</v>
      </c>
      <c r="K87" s="13">
        <f t="shared" si="36"/>
        <v>422.47276500999988</v>
      </c>
      <c r="L87" s="13">
        <f t="shared" si="54"/>
        <v>437.33672596972337</v>
      </c>
      <c r="M87" s="13">
        <f t="shared" si="55"/>
        <v>34.548819490546123</v>
      </c>
      <c r="N87" s="13">
        <f t="shared" si="56"/>
        <v>28.937599447550031</v>
      </c>
      <c r="O87" s="4">
        <f t="shared" si="37"/>
        <v>1.1445000000000001</v>
      </c>
      <c r="P87" s="4">
        <f t="shared" si="38"/>
        <v>1.6038187614357571</v>
      </c>
      <c r="Q87" s="4">
        <f t="shared" si="39"/>
        <v>1.0264919849788219</v>
      </c>
      <c r="R87" s="4">
        <f t="shared" si="40"/>
        <v>0.90566020797627123</v>
      </c>
      <c r="S87" s="4">
        <f t="shared" si="41"/>
        <v>0.62960799083460561</v>
      </c>
      <c r="T87" s="1"/>
      <c r="U87" s="1"/>
      <c r="V87" s="1">
        <v>1</v>
      </c>
      <c r="W87" s="1">
        <v>1</v>
      </c>
      <c r="Y87" s="1">
        <f t="shared" si="57"/>
        <v>1.3588361235063307</v>
      </c>
      <c r="Z87" s="1">
        <f t="shared" si="58"/>
        <v>40.799636480304748</v>
      </c>
      <c r="AB87" s="130">
        <v>1</v>
      </c>
      <c r="AC87" s="128">
        <f t="shared" si="42"/>
        <v>0.5054631887989498</v>
      </c>
      <c r="AD87" s="4">
        <f t="shared" si="43"/>
        <v>0.90566020797627123</v>
      </c>
      <c r="AE87" s="4">
        <f t="shared" si="44"/>
        <v>1.5094336799604522</v>
      </c>
      <c r="AF87" s="32">
        <f t="shared" si="45"/>
        <v>0.81942930379816059</v>
      </c>
      <c r="AG87" s="4">
        <f t="shared" si="46"/>
        <v>1.0938351296005495</v>
      </c>
      <c r="AH87" s="42">
        <f t="shared" si="47"/>
        <v>1.7326159044192253</v>
      </c>
      <c r="AJ87" s="23">
        <v>4</v>
      </c>
      <c r="AK87" s="24">
        <v>0.8</v>
      </c>
      <c r="AL87" s="5">
        <f t="shared" si="48"/>
        <v>3.5100000000000048E-2</v>
      </c>
      <c r="AM87" s="5">
        <f t="shared" si="59"/>
        <v>0.1194718394324346</v>
      </c>
      <c r="AN87" s="25">
        <f t="shared" si="60"/>
        <v>-8.0000000000000002E-3</v>
      </c>
      <c r="AO87" s="30">
        <f t="shared" si="49"/>
        <v>1.5750000000000007E-2</v>
      </c>
      <c r="AP87" s="5">
        <f t="shared" si="50"/>
        <v>0.18</v>
      </c>
      <c r="AQ87" s="25">
        <v>0</v>
      </c>
    </row>
    <row r="88" spans="2:43">
      <c r="B88" s="38">
        <v>15000</v>
      </c>
      <c r="C88" s="3">
        <v>0</v>
      </c>
      <c r="D88" s="3">
        <f t="shared" si="51"/>
        <v>0.90000000000000024</v>
      </c>
      <c r="E88" s="13" cm="1">
        <f t="array" ref="E88">((B88-INDEX($AT$4:$AW$53,MATCH(B88,$AT$4:$AT$53,1),1))/(INDEX($AT$4:$AW$53,MATCH(B88,$AT$4:$AT$53,1)+1,1)-INDEX($AT$4:$AW$53,MATCH(B88,$AT$4:$AT$53,1),1)))*(INDEX($AT$4:$AW$53,MATCH(B88,$AT$4:$AT$53,1)+1,4)-INDEX($AT$4:$AW$53,MATCH(B88,$AT$4:$AT$53,1),4))+INDEX($AT$4:$AW$53,MATCH(B88,$AT$4:$AT$53,1),4)</f>
        <v>57.217201082649567</v>
      </c>
      <c r="F88" s="13" cm="1">
        <f t="array" ref="F88">C88+((B88-INDEX($AT$4:$AW$53,MATCH(B88,$AT$4:$AT$53,1),1))/(INDEX($AT$4:$AW$53,MATCH(B88,$AT$4:$AT$53,1)+1,1)-INDEX($AT$4:$AW$53,MATCH(B88,$AT$4:$AT$53,1),1)))*(INDEX($AT$4:$AW$53,MATCH(B88,$AT$4:$AT$53,1)+1,3)-INDEX($AT$4:$AW$53,MATCH(B88,$AT$4:$AT$53,1),3))+INDEX($AT$4:$AW$53,MATCH(B88,$AT$4:$AT$53,1),3)</f>
        <v>258.43920093634557</v>
      </c>
      <c r="G88" s="4">
        <f t="shared" si="34"/>
        <v>0.7714118804425979</v>
      </c>
      <c r="H88" s="6">
        <f t="shared" si="52"/>
        <v>15000</v>
      </c>
      <c r="I88" s="13">
        <f t="shared" si="35"/>
        <v>290.01914670990465</v>
      </c>
      <c r="J88" s="13">
        <f t="shared" si="53"/>
        <v>563.75081814058103</v>
      </c>
      <c r="K88" s="13">
        <f t="shared" si="36"/>
        <v>447.32410412823521</v>
      </c>
      <c r="L88" s="13">
        <f t="shared" si="54"/>
        <v>464.73382703996646</v>
      </c>
      <c r="M88" s="13">
        <f t="shared" si="55"/>
        <v>39.554429217053304</v>
      </c>
      <c r="N88" s="13">
        <f t="shared" si="56"/>
        <v>32.442153013862317</v>
      </c>
      <c r="O88" s="4">
        <f t="shared" si="37"/>
        <v>1.1619999999999999</v>
      </c>
      <c r="P88" s="4">
        <f t="shared" si="38"/>
        <v>1.691303112850931</v>
      </c>
      <c r="Q88" s="4">
        <f t="shared" si="39"/>
        <v>1.0421875810794154</v>
      </c>
      <c r="R88" s="4">
        <f t="shared" si="40"/>
        <v>0.95506173500817049</v>
      </c>
      <c r="S88" s="4">
        <f t="shared" si="41"/>
        <v>0.62960799083460561</v>
      </c>
      <c r="T88" s="1"/>
      <c r="U88" s="1"/>
      <c r="V88" s="1">
        <v>1</v>
      </c>
      <c r="W88" s="1">
        <v>1</v>
      </c>
      <c r="Y88" s="1">
        <f t="shared" si="57"/>
        <v>-51.690919505045919</v>
      </c>
      <c r="Z88" s="1">
        <f t="shared" si="58"/>
        <v>41.945859522370384</v>
      </c>
      <c r="AB88" s="130">
        <v>1</v>
      </c>
      <c r="AC88" s="128">
        <f t="shared" si="42"/>
        <v>0.50359216913646399</v>
      </c>
      <c r="AD88" s="4">
        <f t="shared" si="43"/>
        <v>0.95506173500817049</v>
      </c>
      <c r="AE88" s="4">
        <f t="shared" si="44"/>
        <v>1.5917695583469509</v>
      </c>
      <c r="AF88" s="32">
        <f t="shared" si="45"/>
        <v>0.84499947565895261</v>
      </c>
      <c r="AG88" s="4">
        <f t="shared" si="46"/>
        <v>1.1080407806343229</v>
      </c>
      <c r="AH88" s="42">
        <f t="shared" si="47"/>
        <v>1.7454009903496215</v>
      </c>
      <c r="AJ88" s="23">
        <v>4</v>
      </c>
      <c r="AK88" s="24">
        <v>0.8</v>
      </c>
      <c r="AL88" s="5">
        <f t="shared" si="48"/>
        <v>4.9400000000000062E-2</v>
      </c>
      <c r="AM88" s="5">
        <f t="shared" si="59"/>
        <v>0.1194718394324346</v>
      </c>
      <c r="AN88" s="25">
        <f t="shared" si="60"/>
        <v>-8.0000000000000002E-3</v>
      </c>
      <c r="AO88" s="30">
        <f t="shared" si="49"/>
        <v>1.7500000000000009E-2</v>
      </c>
      <c r="AP88" s="5">
        <f t="shared" si="50"/>
        <v>0.18</v>
      </c>
      <c r="AQ88" s="25">
        <v>0</v>
      </c>
    </row>
    <row r="89" spans="2:43">
      <c r="B89" s="38">
        <v>15000</v>
      </c>
      <c r="C89" s="3">
        <v>0</v>
      </c>
      <c r="D89" s="3">
        <f t="shared" si="51"/>
        <v>0.95000000000000029</v>
      </c>
      <c r="E89" s="13" cm="1">
        <f t="array" ref="E89">((B89-INDEX($AT$4:$AW$53,MATCH(B89,$AT$4:$AT$53,1),1))/(INDEX($AT$4:$AW$53,MATCH(B89,$AT$4:$AT$53,1)+1,1)-INDEX($AT$4:$AW$53,MATCH(B89,$AT$4:$AT$53,1),1)))*(INDEX($AT$4:$AW$53,MATCH(B89,$AT$4:$AT$53,1)+1,4)-INDEX($AT$4:$AW$53,MATCH(B89,$AT$4:$AT$53,1),4))+INDEX($AT$4:$AW$53,MATCH(B89,$AT$4:$AT$53,1),4)</f>
        <v>57.217201082649567</v>
      </c>
      <c r="F89" s="13" cm="1">
        <f t="array" ref="F89">C89+((B89-INDEX($AT$4:$AW$53,MATCH(B89,$AT$4:$AT$53,1),1))/(INDEX($AT$4:$AW$53,MATCH(B89,$AT$4:$AT$53,1)+1,1)-INDEX($AT$4:$AW$53,MATCH(B89,$AT$4:$AT$53,1),1)))*(INDEX($AT$4:$AW$53,MATCH(B89,$AT$4:$AT$53,1)+1,3)-INDEX($AT$4:$AW$53,MATCH(B89,$AT$4:$AT$53,1),3))+INDEX($AT$4:$AW$53,MATCH(B89,$AT$4:$AT$53,1),3)</f>
        <v>258.43920093634557</v>
      </c>
      <c r="G89" s="4">
        <f t="shared" si="34"/>
        <v>0.7714118804425979</v>
      </c>
      <c r="H89" s="6">
        <f t="shared" si="52"/>
        <v>15000</v>
      </c>
      <c r="I89" s="13">
        <f t="shared" si="35"/>
        <v>306.13132152712154</v>
      </c>
      <c r="J89" s="13">
        <f t="shared" si="53"/>
        <v>595.07030803727991</v>
      </c>
      <c r="K89" s="13">
        <f t="shared" si="36"/>
        <v>472.17544324647042</v>
      </c>
      <c r="L89" s="13">
        <f t="shared" si="54"/>
        <v>492.36404752793561</v>
      </c>
      <c r="M89" s="13">
        <f t="shared" si="55"/>
        <v>45.05499447238909</v>
      </c>
      <c r="N89" s="13">
        <f t="shared" si="56"/>
        <v>36.146966783963876</v>
      </c>
      <c r="O89" s="4">
        <f t="shared" si="37"/>
        <v>1.1805000000000001</v>
      </c>
      <c r="P89" s="4">
        <f t="shared" si="38"/>
        <v>1.7874379315987108</v>
      </c>
      <c r="Q89" s="4">
        <f t="shared" si="39"/>
        <v>1.0587800683857573</v>
      </c>
      <c r="R89" s="4">
        <f t="shared" si="40"/>
        <v>1.0093480933139762</v>
      </c>
      <c r="S89" s="4">
        <f t="shared" si="41"/>
        <v>0.62960799083460561</v>
      </c>
      <c r="T89" s="1"/>
      <c r="U89" s="1"/>
      <c r="V89" s="1">
        <v>1</v>
      </c>
      <c r="W89" s="1">
        <v>1</v>
      </c>
      <c r="Y89" s="1">
        <f t="shared" si="57"/>
        <v>-122.14204862995973</v>
      </c>
      <c r="Z89" s="1">
        <f t="shared" si="58"/>
        <v>43.046909021544352</v>
      </c>
      <c r="AB89" s="130">
        <v>1</v>
      </c>
      <c r="AC89" s="128">
        <f t="shared" si="42"/>
        <v>0.50177243958633722</v>
      </c>
      <c r="AD89" s="4">
        <f t="shared" si="43"/>
        <v>1.0093480933139762</v>
      </c>
      <c r="AE89" s="4">
        <f t="shared" si="44"/>
        <v>1.6822468221899605</v>
      </c>
      <c r="AF89" s="32">
        <f t="shared" si="45"/>
        <v>0.87056964751974486</v>
      </c>
      <c r="AG89" s="4">
        <f t="shared" si="46"/>
        <v>1.1222464316680962</v>
      </c>
      <c r="AH89" s="42">
        <f t="shared" si="47"/>
        <v>1.7581860762800174</v>
      </c>
      <c r="AJ89" s="23">
        <v>4</v>
      </c>
      <c r="AK89" s="24">
        <v>0.8</v>
      </c>
      <c r="AL89" s="5">
        <f t="shared" si="48"/>
        <v>6.3700000000000062E-2</v>
      </c>
      <c r="AM89" s="5">
        <f t="shared" si="59"/>
        <v>0.1194718394324346</v>
      </c>
      <c r="AN89" s="25">
        <f t="shared" si="60"/>
        <v>-8.0000000000000002E-3</v>
      </c>
      <c r="AO89" s="30">
        <f t="shared" si="49"/>
        <v>1.925000000000001E-2</v>
      </c>
      <c r="AP89" s="5">
        <f t="shared" si="50"/>
        <v>0.18</v>
      </c>
      <c r="AQ89" s="25">
        <v>0</v>
      </c>
    </row>
    <row r="90" spans="2:43" ht="15" thickBot="1">
      <c r="B90" s="39">
        <v>15000</v>
      </c>
      <c r="C90" s="48">
        <v>0</v>
      </c>
      <c r="D90" s="48">
        <f t="shared" si="51"/>
        <v>1.0000000000000002</v>
      </c>
      <c r="E90" s="152" cm="1">
        <f t="array" ref="E90">((B90-INDEX($AT$4:$AW$53,MATCH(B90,$AT$4:$AT$53,1),1))/(INDEX($AT$4:$AW$53,MATCH(B90,$AT$4:$AT$53,1)+1,1)-INDEX($AT$4:$AW$53,MATCH(B90,$AT$4:$AT$53,1),1)))*(INDEX($AT$4:$AW$53,MATCH(B90,$AT$4:$AT$53,1)+1,4)-INDEX($AT$4:$AW$53,MATCH(B90,$AT$4:$AT$53,1),4))+INDEX($AT$4:$AW$53,MATCH(B90,$AT$4:$AT$53,1),4)</f>
        <v>57.217201082649567</v>
      </c>
      <c r="F90" s="152" cm="1">
        <f t="array" ref="F90">C90+((B90-INDEX($AT$4:$AW$53,MATCH(B90,$AT$4:$AT$53,1),1))/(INDEX($AT$4:$AW$53,MATCH(B90,$AT$4:$AT$53,1)+1,1)-INDEX($AT$4:$AW$53,MATCH(B90,$AT$4:$AT$53,1),1)))*(INDEX($AT$4:$AW$53,MATCH(B90,$AT$4:$AT$53,1)+1,3)-INDEX($AT$4:$AW$53,MATCH(B90,$AT$4:$AT$53,1),3))+INDEX($AT$4:$AW$53,MATCH(B90,$AT$4:$AT$53,1),3)</f>
        <v>258.43920093634557</v>
      </c>
      <c r="G90" s="43">
        <f t="shared" si="34"/>
        <v>0.7714118804425979</v>
      </c>
      <c r="H90" s="153">
        <f t="shared" si="52"/>
        <v>15000</v>
      </c>
      <c r="I90" s="152">
        <f t="shared" si="35"/>
        <v>322.24349634433844</v>
      </c>
      <c r="J90" s="152">
        <f t="shared" si="53"/>
        <v>626.3897979339788</v>
      </c>
      <c r="K90" s="152">
        <f t="shared" si="36"/>
        <v>497.0267823647057</v>
      </c>
      <c r="L90" s="152">
        <f t="shared" si="54"/>
        <v>520.22726548326864</v>
      </c>
      <c r="M90" s="152">
        <f t="shared" si="55"/>
        <v>51.090907228064907</v>
      </c>
      <c r="N90" s="152">
        <f t="shared" si="56"/>
        <v>40.052040757854705</v>
      </c>
      <c r="O90" s="43">
        <f t="shared" si="37"/>
        <v>1.2</v>
      </c>
      <c r="P90" s="43">
        <f t="shared" si="38"/>
        <v>1.8929291587378541</v>
      </c>
      <c r="Q90" s="43">
        <f t="shared" si="39"/>
        <v>1.0762694468978473</v>
      </c>
      <c r="R90" s="43">
        <f t="shared" si="40"/>
        <v>1.0689179206584207</v>
      </c>
      <c r="S90" s="43">
        <f t="shared" si="41"/>
        <v>0.62960799083460561</v>
      </c>
      <c r="T90" s="98"/>
      <c r="U90" s="98"/>
      <c r="V90" s="98">
        <v>1</v>
      </c>
      <c r="W90" s="98">
        <v>1</v>
      </c>
      <c r="X90" s="104"/>
      <c r="Y90" s="98">
        <f t="shared" si="57"/>
        <v>-212.70962193482825</v>
      </c>
      <c r="Z90" s="1">
        <f t="shared" si="58"/>
        <v>44.181404203487574</v>
      </c>
      <c r="AB90" s="130">
        <v>1</v>
      </c>
      <c r="AC90" s="128">
        <f t="shared" si="42"/>
        <v>0.5</v>
      </c>
      <c r="AD90" s="4">
        <f t="shared" si="43"/>
        <v>1.0689179206584207</v>
      </c>
      <c r="AE90" s="4">
        <f t="shared" si="44"/>
        <v>1.7815298677640345</v>
      </c>
      <c r="AF90" s="32">
        <f t="shared" si="45"/>
        <v>0.89613981938053677</v>
      </c>
      <c r="AG90" s="4">
        <f t="shared" si="46"/>
        <v>1.1364520827018696</v>
      </c>
      <c r="AH90" s="42">
        <f t="shared" si="47"/>
        <v>1.7709711622104134</v>
      </c>
      <c r="AJ90" s="23">
        <v>4</v>
      </c>
      <c r="AK90" s="24">
        <v>0.8</v>
      </c>
      <c r="AL90" s="5">
        <f t="shared" si="48"/>
        <v>7.8000000000000042E-2</v>
      </c>
      <c r="AM90" s="5">
        <f t="shared" si="59"/>
        <v>0.1194718394324346</v>
      </c>
      <c r="AN90" s="25">
        <f t="shared" si="60"/>
        <v>-8.0000000000000002E-3</v>
      </c>
      <c r="AO90" s="30">
        <f t="shared" si="49"/>
        <v>2.1000000000000008E-2</v>
      </c>
      <c r="AP90" s="5">
        <f t="shared" si="50"/>
        <v>0.18</v>
      </c>
      <c r="AQ90" s="25">
        <v>0</v>
      </c>
    </row>
    <row r="91" spans="2:43">
      <c r="B91" s="146">
        <v>20000</v>
      </c>
      <c r="C91" s="147">
        <v>0</v>
      </c>
      <c r="D91" s="147">
        <v>0.01</v>
      </c>
      <c r="E91" s="148" cm="1">
        <f t="array" ref="E91">((B91-INDEX($AT$4:$AW$53,MATCH(B91,$AT$4:$AT$53,1),1))/(INDEX($AT$4:$AW$53,MATCH(B91,$AT$4:$AT$53,1)+1,1)-INDEX($AT$4:$AW$53,MATCH(B91,$AT$4:$AT$53,1),1)))*(INDEX($AT$4:$AW$53,MATCH(B91,$AT$4:$AT$53,1)+1,4)-INDEX($AT$4:$AW$53,MATCH(B91,$AT$4:$AT$53,1),4))+INDEX($AT$4:$AW$53,MATCH(B91,$AT$4:$AT$53,1),4)</f>
        <v>46.617121225052124</v>
      </c>
      <c r="F91" s="148" cm="1">
        <f t="array" ref="F91">C91+((B91-INDEX($AT$4:$AW$53,MATCH(B91,$AT$4:$AT$53,1),1))/(INDEX($AT$4:$AW$53,MATCH(B91,$AT$4:$AT$53,1)+1,1)-INDEX($AT$4:$AW$53,MATCH(B91,$AT$4:$AT$53,1),1)))*(INDEX($AT$4:$AW$53,MATCH(B91,$AT$4:$AT$53,1)+1,3)-INDEX($AT$4:$AW$53,MATCH(B91,$AT$4:$AT$53,1),3))+INDEX($AT$4:$AW$53,MATCH(B91,$AT$4:$AT$53,1),3)</f>
        <v>248.56640128747514</v>
      </c>
      <c r="G91" s="149">
        <f t="shared" si="34"/>
        <v>0.65346319122051488</v>
      </c>
      <c r="H91" s="150">
        <f t="shared" si="52"/>
        <v>20000</v>
      </c>
      <c r="I91" s="148">
        <f t="shared" si="35"/>
        <v>3.1602844814558626</v>
      </c>
      <c r="J91" s="148">
        <f t="shared" si="53"/>
        <v>6.1430873864331641</v>
      </c>
      <c r="K91" s="148">
        <f t="shared" si="36"/>
        <v>4.4863093018400475</v>
      </c>
      <c r="L91" s="148">
        <f t="shared" si="54"/>
        <v>4.4863395798761241</v>
      </c>
      <c r="M91" s="148">
        <f t="shared" si="55"/>
        <v>3.2632800665202515E-3</v>
      </c>
      <c r="N91" s="148">
        <f t="shared" si="56"/>
        <v>3.2631984857536475E-3</v>
      </c>
      <c r="O91" s="149">
        <f t="shared" si="37"/>
        <v>1.0000199999999999</v>
      </c>
      <c r="P91" s="149">
        <f t="shared" si="38"/>
        <v>1.0000700017500173</v>
      </c>
      <c r="Q91" s="149">
        <f t="shared" si="39"/>
        <v>0.86264574914281067</v>
      </c>
      <c r="R91" s="149">
        <f t="shared" si="40"/>
        <v>0.46010742171348279</v>
      </c>
      <c r="S91" s="149">
        <f t="shared" si="41"/>
        <v>0.53334108190382346</v>
      </c>
      <c r="T91" s="151"/>
      <c r="U91" s="151"/>
      <c r="V91" s="151">
        <v>1</v>
      </c>
      <c r="W91" s="151">
        <v>1</v>
      </c>
      <c r="X91" s="125"/>
      <c r="Y91" s="151">
        <f t="shared" si="57"/>
        <v>-331.90273001232856</v>
      </c>
      <c r="Z91" s="1">
        <f t="shared" si="58"/>
        <v>-331.90273001232856</v>
      </c>
      <c r="AB91" s="130">
        <v>1</v>
      </c>
      <c r="AC91" s="128">
        <f t="shared" si="42"/>
        <v>0.56299999999999994</v>
      </c>
      <c r="AD91" s="4">
        <f t="shared" si="43"/>
        <v>0.46010742171348279</v>
      </c>
      <c r="AE91" s="4">
        <f t="shared" si="44"/>
        <v>0.76684570285580467</v>
      </c>
      <c r="AF91" s="32">
        <f t="shared" si="45"/>
        <v>0.3823314467001715</v>
      </c>
      <c r="AG91" s="4">
        <f t="shared" si="46"/>
        <v>0.83868649670898787</v>
      </c>
      <c r="AH91" s="42">
        <f t="shared" si="47"/>
        <v>1.4885524344136154</v>
      </c>
      <c r="AJ91" s="23">
        <v>4</v>
      </c>
      <c r="AK91" s="24">
        <v>0.8</v>
      </c>
      <c r="AL91" s="5">
        <f t="shared" si="48"/>
        <v>2.0799999999999999E-2</v>
      </c>
      <c r="AM91" s="5">
        <f t="shared" si="59"/>
        <v>0.1194718394324346</v>
      </c>
      <c r="AN91" s="25">
        <f t="shared" si="60"/>
        <v>-8.0000000000000002E-3</v>
      </c>
      <c r="AO91" s="30">
        <f t="shared" si="49"/>
        <v>1.4E-2</v>
      </c>
      <c r="AP91" s="5">
        <f t="shared" si="50"/>
        <v>0.18</v>
      </c>
      <c r="AQ91" s="25">
        <v>0</v>
      </c>
    </row>
    <row r="92" spans="2:43">
      <c r="B92" s="38">
        <v>20000</v>
      </c>
      <c r="C92" s="3">
        <v>0</v>
      </c>
      <c r="D92" s="3">
        <v>0.05</v>
      </c>
      <c r="E92" s="13" cm="1">
        <f t="array" ref="E92">((B92-INDEX($AT$4:$AW$53,MATCH(B92,$AT$4:$AT$53,1),1))/(INDEX($AT$4:$AW$53,MATCH(B92,$AT$4:$AT$53,1)+1,1)-INDEX($AT$4:$AW$53,MATCH(B92,$AT$4:$AT$53,1),1)))*(INDEX($AT$4:$AW$53,MATCH(B92,$AT$4:$AT$53,1)+1,4)-INDEX($AT$4:$AW$53,MATCH(B92,$AT$4:$AT$53,1),4))+INDEX($AT$4:$AW$53,MATCH(B92,$AT$4:$AT$53,1),4)</f>
        <v>46.617121225052124</v>
      </c>
      <c r="F92" s="13" cm="1">
        <f t="array" ref="F92">C92+((B92-INDEX($AT$4:$AW$53,MATCH(B92,$AT$4:$AT$53,1),1))/(INDEX($AT$4:$AW$53,MATCH(B92,$AT$4:$AT$53,1)+1,1)-INDEX($AT$4:$AW$53,MATCH(B92,$AT$4:$AT$53,1),1)))*(INDEX($AT$4:$AW$53,MATCH(B92,$AT$4:$AT$53,1)+1,3)-INDEX($AT$4:$AW$53,MATCH(B92,$AT$4:$AT$53,1),3))+INDEX($AT$4:$AW$53,MATCH(B92,$AT$4:$AT$53,1),3)</f>
        <v>248.56640128747514</v>
      </c>
      <c r="G92" s="4">
        <f t="shared" si="34"/>
        <v>0.65346319122051488</v>
      </c>
      <c r="H92" s="6">
        <f t="shared" si="52"/>
        <v>20000</v>
      </c>
      <c r="I92" s="13">
        <f t="shared" si="35"/>
        <v>15.801422407279313</v>
      </c>
      <c r="J92" s="13">
        <f t="shared" si="53"/>
        <v>30.715436932165819</v>
      </c>
      <c r="K92" s="13">
        <f t="shared" si="36"/>
        <v>22.431546509200238</v>
      </c>
      <c r="L92" s="13">
        <f t="shared" si="54"/>
        <v>22.435330191037778</v>
      </c>
      <c r="M92" s="13">
        <f t="shared" si="55"/>
        <v>8.1630962367838664E-2</v>
      </c>
      <c r="N92" s="13">
        <f t="shared" si="56"/>
        <v>8.1579962143841195E-2</v>
      </c>
      <c r="O92" s="4">
        <f t="shared" si="37"/>
        <v>1.0004999999999999</v>
      </c>
      <c r="P92" s="4">
        <f t="shared" si="38"/>
        <v>1.0017510940234544</v>
      </c>
      <c r="Q92" s="4">
        <f t="shared" si="39"/>
        <v>0.86305981082116567</v>
      </c>
      <c r="R92" s="4">
        <f t="shared" si="40"/>
        <v>0.4608808506037006</v>
      </c>
      <c r="S92" s="4">
        <f t="shared" si="41"/>
        <v>0.53334108190382346</v>
      </c>
      <c r="T92" s="1"/>
      <c r="U92" s="1"/>
      <c r="V92" s="1">
        <v>1</v>
      </c>
      <c r="W92" s="1">
        <v>1</v>
      </c>
      <c r="Y92" s="1">
        <f t="shared" si="57"/>
        <v>-63.471802695302287</v>
      </c>
      <c r="Z92" s="1">
        <f t="shared" si="58"/>
        <v>-63.471802695302287</v>
      </c>
      <c r="AB92" s="130">
        <v>1</v>
      </c>
      <c r="AC92" s="128">
        <f t="shared" si="42"/>
        <v>0.55434752415750155</v>
      </c>
      <c r="AD92" s="4">
        <f t="shared" si="43"/>
        <v>0.4608808506037006</v>
      </c>
      <c r="AE92" s="4">
        <f t="shared" si="44"/>
        <v>0.76813475100616768</v>
      </c>
      <c r="AF92" s="32">
        <f t="shared" si="45"/>
        <v>0.40239305060816055</v>
      </c>
      <c r="AG92" s="4">
        <f t="shared" si="46"/>
        <v>0.84983183221342617</v>
      </c>
      <c r="AH92" s="42">
        <f t="shared" si="47"/>
        <v>1.4985832363676101</v>
      </c>
      <c r="AJ92" s="23">
        <v>4</v>
      </c>
      <c r="AK92" s="24">
        <v>0.8</v>
      </c>
      <c r="AL92" s="5">
        <f t="shared" si="48"/>
        <v>2.0799999999999999E-2</v>
      </c>
      <c r="AM92" s="5">
        <f t="shared" si="59"/>
        <v>0.1194718394324346</v>
      </c>
      <c r="AN92" s="25">
        <f t="shared" si="60"/>
        <v>-8.0000000000000002E-3</v>
      </c>
      <c r="AO92" s="30">
        <f t="shared" si="49"/>
        <v>1.4E-2</v>
      </c>
      <c r="AP92" s="5">
        <f t="shared" si="50"/>
        <v>0.18</v>
      </c>
      <c r="AQ92" s="25">
        <v>0</v>
      </c>
    </row>
    <row r="93" spans="2:43">
      <c r="B93" s="38">
        <v>20000</v>
      </c>
      <c r="C93" s="3">
        <v>0</v>
      </c>
      <c r="D93" s="3">
        <f t="shared" ref="D93:D111" si="61">D92+0.05</f>
        <v>0.1</v>
      </c>
      <c r="E93" s="13" cm="1">
        <f t="array" ref="E93">((B93-INDEX($AT$4:$AW$53,MATCH(B93,$AT$4:$AT$53,1),1))/(INDEX($AT$4:$AW$53,MATCH(B93,$AT$4:$AT$53,1)+1,1)-INDEX($AT$4:$AW$53,MATCH(B93,$AT$4:$AT$53,1),1)))*(INDEX($AT$4:$AW$53,MATCH(B93,$AT$4:$AT$53,1)+1,4)-INDEX($AT$4:$AW$53,MATCH(B93,$AT$4:$AT$53,1),4))+INDEX($AT$4:$AW$53,MATCH(B93,$AT$4:$AT$53,1),4)</f>
        <v>46.617121225052124</v>
      </c>
      <c r="F93" s="13" cm="1">
        <f t="array" ref="F93">C93+((B93-INDEX($AT$4:$AW$53,MATCH(B93,$AT$4:$AT$53,1),1))/(INDEX($AT$4:$AW$53,MATCH(B93,$AT$4:$AT$53,1)+1,1)-INDEX($AT$4:$AW$53,MATCH(B93,$AT$4:$AT$53,1),1)))*(INDEX($AT$4:$AW$53,MATCH(B93,$AT$4:$AT$53,1)+1,3)-INDEX($AT$4:$AW$53,MATCH(B93,$AT$4:$AT$53,1),3))+INDEX($AT$4:$AW$53,MATCH(B93,$AT$4:$AT$53,1),3)</f>
        <v>248.56640128747514</v>
      </c>
      <c r="G93" s="4">
        <f t="shared" si="34"/>
        <v>0.65346319122051488</v>
      </c>
      <c r="H93" s="6">
        <f t="shared" si="52"/>
        <v>20000</v>
      </c>
      <c r="I93" s="13">
        <f t="shared" si="35"/>
        <v>31.602844814558626</v>
      </c>
      <c r="J93" s="13">
        <f t="shared" si="53"/>
        <v>61.430873864331637</v>
      </c>
      <c r="K93" s="13">
        <f t="shared" si="36"/>
        <v>44.863093018400477</v>
      </c>
      <c r="L93" s="13">
        <f t="shared" si="54"/>
        <v>44.893335727971277</v>
      </c>
      <c r="M93" s="13">
        <f t="shared" si="55"/>
        <v>0.32713646420033132</v>
      </c>
      <c r="N93" s="13">
        <f t="shared" si="56"/>
        <v>0.32631984857536478</v>
      </c>
      <c r="O93" s="4">
        <f t="shared" si="37"/>
        <v>1.002</v>
      </c>
      <c r="P93" s="4">
        <f t="shared" si="38"/>
        <v>1.0070175175043741</v>
      </c>
      <c r="Q93" s="4">
        <f t="shared" si="39"/>
        <v>0.86435375356602506</v>
      </c>
      <c r="R93" s="4">
        <f t="shared" si="40"/>
        <v>0.46330380152235334</v>
      </c>
      <c r="S93" s="4">
        <f t="shared" si="41"/>
        <v>0.53334108190382346</v>
      </c>
      <c r="T93" s="1"/>
      <c r="U93" s="1"/>
      <c r="V93" s="1">
        <v>1</v>
      </c>
      <c r="W93" s="1">
        <v>1</v>
      </c>
      <c r="Y93" s="1">
        <f t="shared" si="57"/>
        <v>-27.216087503127227</v>
      </c>
      <c r="Z93" s="1">
        <f t="shared" si="58"/>
        <v>-27.216087503127227</v>
      </c>
      <c r="AB93" s="130">
        <v>1</v>
      </c>
      <c r="AC93" s="128">
        <f t="shared" si="42"/>
        <v>0.5478640563788213</v>
      </c>
      <c r="AD93" s="4">
        <f t="shared" si="43"/>
        <v>0.46330380152235334</v>
      </c>
      <c r="AE93" s="4">
        <f t="shared" si="44"/>
        <v>0.77217300253725563</v>
      </c>
      <c r="AF93" s="32">
        <f t="shared" si="45"/>
        <v>0.42747005549314687</v>
      </c>
      <c r="AG93" s="4">
        <f t="shared" si="46"/>
        <v>0.86376350159397419</v>
      </c>
      <c r="AH93" s="42">
        <f t="shared" si="47"/>
        <v>1.5111217388101033</v>
      </c>
      <c r="AJ93" s="23">
        <v>4</v>
      </c>
      <c r="AK93" s="24">
        <v>0.8</v>
      </c>
      <c r="AL93" s="5">
        <f t="shared" si="48"/>
        <v>2.0799999999999999E-2</v>
      </c>
      <c r="AM93" s="5">
        <f t="shared" si="59"/>
        <v>0.1194718394324346</v>
      </c>
      <c r="AN93" s="25">
        <f t="shared" si="60"/>
        <v>-8.0000000000000002E-3</v>
      </c>
      <c r="AO93" s="30">
        <f t="shared" si="49"/>
        <v>1.4E-2</v>
      </c>
      <c r="AP93" s="5">
        <f t="shared" si="50"/>
        <v>0.18</v>
      </c>
      <c r="AQ93" s="25">
        <v>0</v>
      </c>
    </row>
    <row r="94" spans="2:43">
      <c r="B94" s="38">
        <v>20000</v>
      </c>
      <c r="C94" s="3">
        <v>0</v>
      </c>
      <c r="D94" s="3">
        <f t="shared" si="61"/>
        <v>0.15000000000000002</v>
      </c>
      <c r="E94" s="13" cm="1">
        <f t="array" ref="E94">((B94-INDEX($AT$4:$AW$53,MATCH(B94,$AT$4:$AT$53,1),1))/(INDEX($AT$4:$AW$53,MATCH(B94,$AT$4:$AT$53,1)+1,1)-INDEX($AT$4:$AW$53,MATCH(B94,$AT$4:$AT$53,1),1)))*(INDEX($AT$4:$AW$53,MATCH(B94,$AT$4:$AT$53,1)+1,4)-INDEX($AT$4:$AW$53,MATCH(B94,$AT$4:$AT$53,1),4))+INDEX($AT$4:$AW$53,MATCH(B94,$AT$4:$AT$53,1),4)</f>
        <v>46.617121225052124</v>
      </c>
      <c r="F94" s="13" cm="1">
        <f t="array" ref="F94">C94+((B94-INDEX($AT$4:$AW$53,MATCH(B94,$AT$4:$AT$53,1),1))/(INDEX($AT$4:$AW$53,MATCH(B94,$AT$4:$AT$53,1)+1,1)-INDEX($AT$4:$AW$53,MATCH(B94,$AT$4:$AT$53,1),1)))*(INDEX($AT$4:$AW$53,MATCH(B94,$AT$4:$AT$53,1)+1,3)-INDEX($AT$4:$AW$53,MATCH(B94,$AT$4:$AT$53,1),3))+INDEX($AT$4:$AW$53,MATCH(B94,$AT$4:$AT$53,1),3)</f>
        <v>248.56640128747514</v>
      </c>
      <c r="G94" s="4">
        <f t="shared" si="34"/>
        <v>0.65346319122051488</v>
      </c>
      <c r="H94" s="6">
        <f t="shared" si="52"/>
        <v>20000</v>
      </c>
      <c r="I94" s="13">
        <f t="shared" si="35"/>
        <v>47.404267221837948</v>
      </c>
      <c r="J94" s="13">
        <f t="shared" si="53"/>
        <v>92.146310796497474</v>
      </c>
      <c r="K94" s="13">
        <f t="shared" si="36"/>
        <v>67.294639527600722</v>
      </c>
      <c r="L94" s="13">
        <f t="shared" si="54"/>
        <v>67.396558235179413</v>
      </c>
      <c r="M94" s="13">
        <f t="shared" si="55"/>
        <v>0.73835894257031653</v>
      </c>
      <c r="N94" s="13">
        <f t="shared" si="56"/>
        <v>0.734219659294571</v>
      </c>
      <c r="O94" s="4">
        <f t="shared" si="37"/>
        <v>1.0044999999999999</v>
      </c>
      <c r="P94" s="4">
        <f t="shared" si="38"/>
        <v>1.0158387931980133</v>
      </c>
      <c r="Q94" s="4">
        <f t="shared" si="39"/>
        <v>0.86651032480745727</v>
      </c>
      <c r="R94" s="4">
        <f t="shared" si="40"/>
        <v>0.46736225183935293</v>
      </c>
      <c r="S94" s="4">
        <f t="shared" si="41"/>
        <v>0.53334108190382346</v>
      </c>
      <c r="T94" s="1"/>
      <c r="U94" s="1"/>
      <c r="V94" s="1">
        <v>1</v>
      </c>
      <c r="W94" s="1">
        <v>1</v>
      </c>
      <c r="Y94" s="1">
        <f t="shared" si="57"/>
        <v>-13.177997389271477</v>
      </c>
      <c r="Z94" s="1">
        <f t="shared" si="58"/>
        <v>-13.177997389271477</v>
      </c>
      <c r="AB94" s="130">
        <v>1</v>
      </c>
      <c r="AC94" s="128">
        <f t="shared" si="42"/>
        <v>0.54288911657654815</v>
      </c>
      <c r="AD94" s="4">
        <f t="shared" si="43"/>
        <v>0.46736225183935293</v>
      </c>
      <c r="AE94" s="4">
        <f t="shared" si="44"/>
        <v>0.77893708639892156</v>
      </c>
      <c r="AF94" s="32">
        <f t="shared" si="45"/>
        <v>0.45254706037813325</v>
      </c>
      <c r="AG94" s="4">
        <f t="shared" si="46"/>
        <v>0.87769517097452221</v>
      </c>
      <c r="AH94" s="42">
        <f t="shared" si="47"/>
        <v>1.5236602412525964</v>
      </c>
      <c r="AJ94" s="23">
        <v>4</v>
      </c>
      <c r="AK94" s="24">
        <v>0.8</v>
      </c>
      <c r="AL94" s="5">
        <f t="shared" si="48"/>
        <v>2.0799999999999999E-2</v>
      </c>
      <c r="AM94" s="5">
        <f t="shared" si="59"/>
        <v>0.1194718394324346</v>
      </c>
      <c r="AN94" s="25">
        <f t="shared" si="60"/>
        <v>-8.0000000000000002E-3</v>
      </c>
      <c r="AO94" s="30">
        <f t="shared" si="49"/>
        <v>1.4E-2</v>
      </c>
      <c r="AP94" s="5">
        <f t="shared" si="50"/>
        <v>0.18</v>
      </c>
      <c r="AQ94" s="25">
        <v>0</v>
      </c>
    </row>
    <row r="95" spans="2:43">
      <c r="B95" s="38">
        <v>20000</v>
      </c>
      <c r="C95" s="3">
        <v>0</v>
      </c>
      <c r="D95" s="3">
        <f t="shared" si="61"/>
        <v>0.2</v>
      </c>
      <c r="E95" s="13" cm="1">
        <f t="array" ref="E95">((B95-INDEX($AT$4:$AW$53,MATCH(B95,$AT$4:$AT$53,1),1))/(INDEX($AT$4:$AW$53,MATCH(B95,$AT$4:$AT$53,1)+1,1)-INDEX($AT$4:$AW$53,MATCH(B95,$AT$4:$AT$53,1),1)))*(INDEX($AT$4:$AW$53,MATCH(B95,$AT$4:$AT$53,1)+1,4)-INDEX($AT$4:$AW$53,MATCH(B95,$AT$4:$AT$53,1),4))+INDEX($AT$4:$AW$53,MATCH(B95,$AT$4:$AT$53,1),4)</f>
        <v>46.617121225052124</v>
      </c>
      <c r="F95" s="13" cm="1">
        <f t="array" ref="F95">C95+((B95-INDEX($AT$4:$AW$53,MATCH(B95,$AT$4:$AT$53,1),1))/(INDEX($AT$4:$AW$53,MATCH(B95,$AT$4:$AT$53,1)+1,1)-INDEX($AT$4:$AW$53,MATCH(B95,$AT$4:$AT$53,1),1)))*(INDEX($AT$4:$AW$53,MATCH(B95,$AT$4:$AT$53,1)+1,3)-INDEX($AT$4:$AW$53,MATCH(B95,$AT$4:$AT$53,1),3))+INDEX($AT$4:$AW$53,MATCH(B95,$AT$4:$AT$53,1),3)</f>
        <v>248.56640128747514</v>
      </c>
      <c r="G95" s="4">
        <f t="shared" si="34"/>
        <v>0.65346319122051488</v>
      </c>
      <c r="H95" s="6">
        <f t="shared" si="52"/>
        <v>20000</v>
      </c>
      <c r="I95" s="13">
        <f t="shared" si="35"/>
        <v>63.205689629117252</v>
      </c>
      <c r="J95" s="13">
        <f t="shared" si="53"/>
        <v>122.86174772866327</v>
      </c>
      <c r="K95" s="13">
        <f t="shared" si="36"/>
        <v>89.726186036800954</v>
      </c>
      <c r="L95" s="13">
        <f t="shared" si="54"/>
        <v>89.967271925742224</v>
      </c>
      <c r="M95" s="13">
        <f t="shared" si="55"/>
        <v>1.3183844515897394</v>
      </c>
      <c r="N95" s="13">
        <f t="shared" si="56"/>
        <v>1.3052793943014591</v>
      </c>
      <c r="O95" s="4">
        <f t="shared" si="37"/>
        <v>1.008</v>
      </c>
      <c r="P95" s="4">
        <f t="shared" si="38"/>
        <v>1.0282811211191059</v>
      </c>
      <c r="Q95" s="4">
        <f t="shared" si="39"/>
        <v>0.8695295245454624</v>
      </c>
      <c r="R95" s="4">
        <f t="shared" si="40"/>
        <v>0.4730866585407536</v>
      </c>
      <c r="S95" s="4">
        <f t="shared" si="41"/>
        <v>0.53334108190382346</v>
      </c>
      <c r="T95" s="1"/>
      <c r="U95" s="1"/>
      <c r="V95" s="1">
        <v>1</v>
      </c>
      <c r="W95" s="1">
        <v>1</v>
      </c>
      <c r="Y95" s="1">
        <f t="shared" si="57"/>
        <v>-4.7562528871511773</v>
      </c>
      <c r="Z95" s="1">
        <f t="shared" si="58"/>
        <v>-4.7562528871511773</v>
      </c>
      <c r="AB95" s="130">
        <v>1</v>
      </c>
      <c r="AC95" s="128">
        <f t="shared" si="42"/>
        <v>0.53869504831500292</v>
      </c>
      <c r="AD95" s="4">
        <f t="shared" si="43"/>
        <v>0.4730866585407536</v>
      </c>
      <c r="AE95" s="4">
        <f t="shared" si="44"/>
        <v>0.78847776423458937</v>
      </c>
      <c r="AF95" s="32">
        <f t="shared" si="45"/>
        <v>0.47762406526311957</v>
      </c>
      <c r="AG95" s="4">
        <f t="shared" si="46"/>
        <v>0.89162684035507012</v>
      </c>
      <c r="AH95" s="42">
        <f t="shared" si="47"/>
        <v>1.5361987436950897</v>
      </c>
      <c r="AJ95" s="23">
        <v>4</v>
      </c>
      <c r="AK95" s="24">
        <v>0.8</v>
      </c>
      <c r="AL95" s="5">
        <f t="shared" si="48"/>
        <v>2.0799999999999999E-2</v>
      </c>
      <c r="AM95" s="5">
        <f t="shared" si="59"/>
        <v>0.1194718394324346</v>
      </c>
      <c r="AN95" s="25">
        <f t="shared" si="60"/>
        <v>-8.0000000000000002E-3</v>
      </c>
      <c r="AO95" s="30">
        <f t="shared" si="49"/>
        <v>1.4E-2</v>
      </c>
      <c r="AP95" s="5">
        <f t="shared" si="50"/>
        <v>0.18</v>
      </c>
      <c r="AQ95" s="25">
        <v>0</v>
      </c>
    </row>
    <row r="96" spans="2:43">
      <c r="B96" s="38">
        <v>20000</v>
      </c>
      <c r="C96" s="3">
        <v>0</v>
      </c>
      <c r="D96" s="3">
        <f t="shared" si="61"/>
        <v>0.25</v>
      </c>
      <c r="E96" s="13" cm="1">
        <f t="array" ref="E96">((B96-INDEX($AT$4:$AW$53,MATCH(B96,$AT$4:$AT$53,1),1))/(INDEX($AT$4:$AW$53,MATCH(B96,$AT$4:$AT$53,1)+1,1)-INDEX($AT$4:$AW$53,MATCH(B96,$AT$4:$AT$53,1),1)))*(INDEX($AT$4:$AW$53,MATCH(B96,$AT$4:$AT$53,1)+1,4)-INDEX($AT$4:$AW$53,MATCH(B96,$AT$4:$AT$53,1),4))+INDEX($AT$4:$AW$53,MATCH(B96,$AT$4:$AT$53,1),4)</f>
        <v>46.617121225052124</v>
      </c>
      <c r="F96" s="13" cm="1">
        <f t="array" ref="F96">C96+((B96-INDEX($AT$4:$AW$53,MATCH(B96,$AT$4:$AT$53,1),1))/(INDEX($AT$4:$AW$53,MATCH(B96,$AT$4:$AT$53,1)+1,1)-INDEX($AT$4:$AW$53,MATCH(B96,$AT$4:$AT$53,1),1)))*(INDEX($AT$4:$AW$53,MATCH(B96,$AT$4:$AT$53,1)+1,3)-INDEX($AT$4:$AW$53,MATCH(B96,$AT$4:$AT$53,1),3))+INDEX($AT$4:$AW$53,MATCH(B96,$AT$4:$AT$53,1),3)</f>
        <v>248.56640128747514</v>
      </c>
      <c r="G96" s="4">
        <f t="shared" si="34"/>
        <v>0.65346319122051488</v>
      </c>
      <c r="H96" s="6">
        <f t="shared" si="52"/>
        <v>20000</v>
      </c>
      <c r="I96" s="13">
        <f t="shared" si="35"/>
        <v>79.007112036396563</v>
      </c>
      <c r="J96" s="13">
        <f t="shared" si="53"/>
        <v>153.57718466082909</v>
      </c>
      <c r="K96" s="13">
        <f t="shared" si="36"/>
        <v>112.15773254600118</v>
      </c>
      <c r="L96" s="13">
        <f t="shared" si="54"/>
        <v>112.62735003438058</v>
      </c>
      <c r="M96" s="13">
        <f t="shared" si="55"/>
        <v>2.0715657069529749</v>
      </c>
      <c r="N96" s="13">
        <f t="shared" si="56"/>
        <v>2.03949905359603</v>
      </c>
      <c r="O96" s="4">
        <f t="shared" si="37"/>
        <v>1.0125</v>
      </c>
      <c r="P96" s="4">
        <f t="shared" si="38"/>
        <v>1.0444378728783388</v>
      </c>
      <c r="Q96" s="4">
        <f t="shared" si="39"/>
        <v>0.87341135278004023</v>
      </c>
      <c r="R96" s="4">
        <f t="shared" si="40"/>
        <v>0.48051997959047715</v>
      </c>
      <c r="S96" s="4">
        <f t="shared" si="41"/>
        <v>0.53334108190382346</v>
      </c>
      <c r="T96" s="1"/>
      <c r="U96" s="1"/>
      <c r="V96" s="1">
        <v>1</v>
      </c>
      <c r="W96" s="1">
        <v>1</v>
      </c>
      <c r="Y96" s="1">
        <f t="shared" si="57"/>
        <v>1.3512079268002193</v>
      </c>
      <c r="Z96" s="1">
        <f t="shared" si="58"/>
        <v>1.3512079268002193</v>
      </c>
      <c r="AB96" s="130">
        <v>1</v>
      </c>
      <c r="AC96" s="128">
        <f t="shared" si="42"/>
        <v>0.53500000000000003</v>
      </c>
      <c r="AD96" s="4">
        <f t="shared" si="43"/>
        <v>0.48051997959047715</v>
      </c>
      <c r="AE96" s="4">
        <f t="shared" si="44"/>
        <v>0.80086663265079527</v>
      </c>
      <c r="AF96" s="32">
        <f t="shared" si="45"/>
        <v>0.50270107014810583</v>
      </c>
      <c r="AG96" s="4">
        <f t="shared" si="46"/>
        <v>0.90555850973561802</v>
      </c>
      <c r="AH96" s="42">
        <f t="shared" si="47"/>
        <v>1.5487372461375826</v>
      </c>
      <c r="AJ96" s="23">
        <v>4</v>
      </c>
      <c r="AK96" s="24">
        <v>0.8</v>
      </c>
      <c r="AL96" s="5">
        <f t="shared" si="48"/>
        <v>2.0799999999999999E-2</v>
      </c>
      <c r="AM96" s="5">
        <f t="shared" si="59"/>
        <v>0.1194718394324346</v>
      </c>
      <c r="AN96" s="25">
        <f t="shared" si="60"/>
        <v>-8.0000000000000002E-3</v>
      </c>
      <c r="AO96" s="30">
        <f t="shared" si="49"/>
        <v>1.4E-2</v>
      </c>
      <c r="AP96" s="5">
        <f t="shared" si="50"/>
        <v>0.18</v>
      </c>
      <c r="AQ96" s="25">
        <v>0</v>
      </c>
    </row>
    <row r="97" spans="2:43">
      <c r="B97" s="38">
        <v>20000</v>
      </c>
      <c r="C97" s="3">
        <v>0</v>
      </c>
      <c r="D97" s="3">
        <f t="shared" si="61"/>
        <v>0.3</v>
      </c>
      <c r="E97" s="13" cm="1">
        <f t="array" ref="E97">((B97-INDEX($AT$4:$AW$53,MATCH(B97,$AT$4:$AT$53,1),1))/(INDEX($AT$4:$AW$53,MATCH(B97,$AT$4:$AT$53,1)+1,1)-INDEX($AT$4:$AW$53,MATCH(B97,$AT$4:$AT$53,1),1)))*(INDEX($AT$4:$AW$53,MATCH(B97,$AT$4:$AT$53,1)+1,4)-INDEX($AT$4:$AW$53,MATCH(B97,$AT$4:$AT$53,1),4))+INDEX($AT$4:$AW$53,MATCH(B97,$AT$4:$AT$53,1),4)</f>
        <v>46.617121225052124</v>
      </c>
      <c r="F97" s="13" cm="1">
        <f t="array" ref="F97">C97+((B97-INDEX($AT$4:$AW$53,MATCH(B97,$AT$4:$AT$53,1),1))/(INDEX($AT$4:$AW$53,MATCH(B97,$AT$4:$AT$53,1)+1,1)-INDEX($AT$4:$AW$53,MATCH(B97,$AT$4:$AT$53,1),1)))*(INDEX($AT$4:$AW$53,MATCH(B97,$AT$4:$AT$53,1)+1,3)-INDEX($AT$4:$AW$53,MATCH(B97,$AT$4:$AT$53,1),3))+INDEX($AT$4:$AW$53,MATCH(B97,$AT$4:$AT$53,1),3)</f>
        <v>248.56640128747514</v>
      </c>
      <c r="G97" s="4">
        <f t="shared" si="34"/>
        <v>0.65346319122051488</v>
      </c>
      <c r="H97" s="6">
        <f t="shared" si="52"/>
        <v>20000</v>
      </c>
      <c r="I97" s="13">
        <f t="shared" si="35"/>
        <v>94.808534443675867</v>
      </c>
      <c r="J97" s="13">
        <f t="shared" si="53"/>
        <v>184.29262159299489</v>
      </c>
      <c r="K97" s="13">
        <f t="shared" si="36"/>
        <v>134.58927905520142</v>
      </c>
      <c r="L97" s="13">
        <f t="shared" si="54"/>
        <v>135.39813157923484</v>
      </c>
      <c r="M97" s="13">
        <f t="shared" si="55"/>
        <v>3.0035544601563182</v>
      </c>
      <c r="N97" s="13">
        <f t="shared" si="56"/>
        <v>2.9368786371782827</v>
      </c>
      <c r="O97" s="4">
        <f t="shared" si="37"/>
        <v>1.018</v>
      </c>
      <c r="P97" s="4">
        <f t="shared" si="38"/>
        <v>1.0644302861529382</v>
      </c>
      <c r="Q97" s="4">
        <f t="shared" si="39"/>
        <v>0.8781558095111911</v>
      </c>
      <c r="R97" s="4">
        <f t="shared" si="40"/>
        <v>0.4897179934390174</v>
      </c>
      <c r="S97" s="4">
        <f t="shared" si="41"/>
        <v>0.53334108190382346</v>
      </c>
      <c r="T97" s="1"/>
      <c r="U97" s="1"/>
      <c r="V97" s="1">
        <v>1</v>
      </c>
      <c r="W97" s="1">
        <v>1</v>
      </c>
      <c r="Y97" s="1">
        <f t="shared" si="57"/>
        <v>6.2312888092929439</v>
      </c>
      <c r="Z97" s="1">
        <f t="shared" si="58"/>
        <v>6.2312888092929439</v>
      </c>
      <c r="AB97" s="130">
        <v>1</v>
      </c>
      <c r="AC97" s="128">
        <f t="shared" si="42"/>
        <v>0.53165942097463836</v>
      </c>
      <c r="AD97" s="4">
        <f t="shared" si="43"/>
        <v>0.4897179934390174</v>
      </c>
      <c r="AE97" s="4">
        <f t="shared" si="44"/>
        <v>0.81619665573169564</v>
      </c>
      <c r="AF97" s="32">
        <f t="shared" si="45"/>
        <v>0.52777807503309215</v>
      </c>
      <c r="AG97" s="4">
        <f t="shared" si="46"/>
        <v>0.91949017911616604</v>
      </c>
      <c r="AH97" s="42">
        <f t="shared" si="47"/>
        <v>1.5612757485800759</v>
      </c>
      <c r="AJ97" s="23">
        <v>4</v>
      </c>
      <c r="AK97" s="24">
        <v>0.8</v>
      </c>
      <c r="AL97" s="5">
        <f t="shared" si="48"/>
        <v>2.0799999999999999E-2</v>
      </c>
      <c r="AM97" s="5">
        <f t="shared" si="59"/>
        <v>0.1194718394324346</v>
      </c>
      <c r="AN97" s="25">
        <f t="shared" si="60"/>
        <v>-8.0000000000000002E-3</v>
      </c>
      <c r="AO97" s="30">
        <f t="shared" si="49"/>
        <v>1.4E-2</v>
      </c>
      <c r="AP97" s="5">
        <f t="shared" si="50"/>
        <v>0.18</v>
      </c>
      <c r="AQ97" s="25">
        <v>0</v>
      </c>
    </row>
    <row r="98" spans="2:43">
      <c r="B98" s="38">
        <v>20000</v>
      </c>
      <c r="C98" s="3">
        <v>0</v>
      </c>
      <c r="D98" s="3">
        <f t="shared" si="61"/>
        <v>0.35</v>
      </c>
      <c r="E98" s="13" cm="1">
        <f t="array" ref="E98">((B98-INDEX($AT$4:$AW$53,MATCH(B98,$AT$4:$AT$53,1),1))/(INDEX($AT$4:$AW$53,MATCH(B98,$AT$4:$AT$53,1)+1,1)-INDEX($AT$4:$AW$53,MATCH(B98,$AT$4:$AT$53,1),1)))*(INDEX($AT$4:$AW$53,MATCH(B98,$AT$4:$AT$53,1)+1,4)-INDEX($AT$4:$AW$53,MATCH(B98,$AT$4:$AT$53,1),4))+INDEX($AT$4:$AW$53,MATCH(B98,$AT$4:$AT$53,1),4)</f>
        <v>46.617121225052124</v>
      </c>
      <c r="F98" s="13" cm="1">
        <f t="array" ref="F98">C98+((B98-INDEX($AT$4:$AW$53,MATCH(B98,$AT$4:$AT$53,1),1))/(INDEX($AT$4:$AW$53,MATCH(B98,$AT$4:$AT$53,1)+1,1)-INDEX($AT$4:$AW$53,MATCH(B98,$AT$4:$AT$53,1),1)))*(INDEX($AT$4:$AW$53,MATCH(B98,$AT$4:$AT$53,1)+1,3)-INDEX($AT$4:$AW$53,MATCH(B98,$AT$4:$AT$53,1),3))+INDEX($AT$4:$AW$53,MATCH(B98,$AT$4:$AT$53,1),3)</f>
        <v>248.56640128747514</v>
      </c>
      <c r="G98" s="4">
        <f t="shared" si="34"/>
        <v>0.65346319122051488</v>
      </c>
      <c r="H98" s="6">
        <f t="shared" si="52"/>
        <v>20000</v>
      </c>
      <c r="I98" s="13">
        <f t="shared" si="35"/>
        <v>110.60995685095519</v>
      </c>
      <c r="J98" s="13">
        <f t="shared" si="53"/>
        <v>215.00805852516072</v>
      </c>
      <c r="K98" s="13">
        <f t="shared" si="36"/>
        <v>157.02082556440166</v>
      </c>
      <c r="L98" s="13">
        <f t="shared" si="54"/>
        <v>158.30028882543886</v>
      </c>
      <c r="M98" s="13">
        <f t="shared" si="55"/>
        <v>4.1213433136552338</v>
      </c>
      <c r="N98" s="13">
        <f t="shared" si="56"/>
        <v>3.9974181450482185</v>
      </c>
      <c r="O98" s="4">
        <f t="shared" si="37"/>
        <v>1.0245</v>
      </c>
      <c r="P98" s="4">
        <f t="shared" si="38"/>
        <v>1.0884083616780784</v>
      </c>
      <c r="Q98" s="4">
        <f t="shared" si="39"/>
        <v>0.88376289473891478</v>
      </c>
      <c r="R98" s="4">
        <f t="shared" si="40"/>
        <v>0.50074971170695637</v>
      </c>
      <c r="S98" s="4">
        <f t="shared" si="41"/>
        <v>0.53334108190382346</v>
      </c>
      <c r="T98" s="1"/>
      <c r="U98" s="1"/>
      <c r="V98" s="1">
        <v>1</v>
      </c>
      <c r="W98" s="1">
        <v>1</v>
      </c>
      <c r="Y98" s="1">
        <f t="shared" si="57"/>
        <v>10.339537657481793</v>
      </c>
      <c r="Z98" s="1">
        <f t="shared" si="58"/>
        <v>10.339537657481793</v>
      </c>
      <c r="AB98" s="130">
        <v>1</v>
      </c>
      <c r="AC98" s="128">
        <f t="shared" si="42"/>
        <v>0.52858744151830273</v>
      </c>
      <c r="AD98" s="4">
        <f t="shared" si="43"/>
        <v>0.50074971170695637</v>
      </c>
      <c r="AE98" s="4">
        <f t="shared" si="44"/>
        <v>0.83458285284492728</v>
      </c>
      <c r="AF98" s="32">
        <f t="shared" si="45"/>
        <v>0.55285507991807858</v>
      </c>
      <c r="AG98" s="4">
        <f t="shared" si="46"/>
        <v>0.93342184849671406</v>
      </c>
      <c r="AH98" s="42">
        <f t="shared" si="47"/>
        <v>1.5738142510225692</v>
      </c>
      <c r="AJ98" s="23">
        <v>4</v>
      </c>
      <c r="AK98" s="24">
        <v>0.8</v>
      </c>
      <c r="AL98" s="5">
        <f t="shared" si="48"/>
        <v>2.0799999999999999E-2</v>
      </c>
      <c r="AM98" s="5">
        <f t="shared" si="59"/>
        <v>0.1194718394324346</v>
      </c>
      <c r="AN98" s="25">
        <f t="shared" si="60"/>
        <v>-8.0000000000000002E-3</v>
      </c>
      <c r="AO98" s="30">
        <f t="shared" si="49"/>
        <v>1.4E-2</v>
      </c>
      <c r="AP98" s="5">
        <f t="shared" si="50"/>
        <v>0.18</v>
      </c>
      <c r="AQ98" s="25">
        <v>0</v>
      </c>
    </row>
    <row r="99" spans="2:43">
      <c r="B99" s="38">
        <v>20000</v>
      </c>
      <c r="C99" s="3">
        <v>0</v>
      </c>
      <c r="D99" s="3">
        <f t="shared" si="61"/>
        <v>0.39999999999999997</v>
      </c>
      <c r="E99" s="13" cm="1">
        <f t="array" ref="E99">((B99-INDEX($AT$4:$AW$53,MATCH(B99,$AT$4:$AT$53,1),1))/(INDEX($AT$4:$AW$53,MATCH(B99,$AT$4:$AT$53,1)+1,1)-INDEX($AT$4:$AW$53,MATCH(B99,$AT$4:$AT$53,1),1)))*(INDEX($AT$4:$AW$53,MATCH(B99,$AT$4:$AT$53,1)+1,4)-INDEX($AT$4:$AW$53,MATCH(B99,$AT$4:$AT$53,1),4))+INDEX($AT$4:$AW$53,MATCH(B99,$AT$4:$AT$53,1),4)</f>
        <v>46.617121225052124</v>
      </c>
      <c r="F99" s="13" cm="1">
        <f t="array" ref="F99">C99+((B99-INDEX($AT$4:$AW$53,MATCH(B99,$AT$4:$AT$53,1),1))/(INDEX($AT$4:$AW$53,MATCH(B99,$AT$4:$AT$53,1)+1,1)-INDEX($AT$4:$AW$53,MATCH(B99,$AT$4:$AT$53,1),1)))*(INDEX($AT$4:$AW$53,MATCH(B99,$AT$4:$AT$53,1)+1,3)-INDEX($AT$4:$AW$53,MATCH(B99,$AT$4:$AT$53,1),3))+INDEX($AT$4:$AW$53,MATCH(B99,$AT$4:$AT$53,1),3)</f>
        <v>248.56640128747514</v>
      </c>
      <c r="G99" s="4">
        <f t="shared" si="34"/>
        <v>0.65346319122051488</v>
      </c>
      <c r="H99" s="6">
        <f t="shared" si="52"/>
        <v>20000</v>
      </c>
      <c r="I99" s="13">
        <f t="shared" si="35"/>
        <v>126.41137925823449</v>
      </c>
      <c r="J99" s="13">
        <f t="shared" si="53"/>
        <v>245.72349545732652</v>
      </c>
      <c r="K99" s="13">
        <f t="shared" si="36"/>
        <v>179.45237207360188</v>
      </c>
      <c r="L99" s="13">
        <f t="shared" si="54"/>
        <v>181.35369603301243</v>
      </c>
      <c r="M99" s="13">
        <f t="shared" si="55"/>
        <v>5.4333171191714023</v>
      </c>
      <c r="N99" s="13">
        <f t="shared" si="56"/>
        <v>5.2211175772058347</v>
      </c>
      <c r="O99" s="4">
        <f t="shared" si="37"/>
        <v>1.032</v>
      </c>
      <c r="P99" s="4">
        <f t="shared" si="38"/>
        <v>1.1165519658097534</v>
      </c>
      <c r="Q99" s="4">
        <f t="shared" si="39"/>
        <v>0.89023260846321151</v>
      </c>
      <c r="R99" s="4">
        <f t="shared" si="40"/>
        <v>0.51369788644681502</v>
      </c>
      <c r="S99" s="4">
        <f t="shared" si="41"/>
        <v>0.53334108190382346</v>
      </c>
      <c r="T99" s="1"/>
      <c r="U99" s="1"/>
      <c r="V99" s="1">
        <v>1</v>
      </c>
      <c r="W99" s="1">
        <v>1</v>
      </c>
      <c r="Y99" s="1">
        <f t="shared" si="57"/>
        <v>13.896435085427644</v>
      </c>
      <c r="Z99" s="1">
        <f t="shared" si="58"/>
        <v>13.896435085427644</v>
      </c>
      <c r="AB99" s="130">
        <v>1</v>
      </c>
      <c r="AC99" s="128">
        <f t="shared" si="42"/>
        <v>0.52572811275764275</v>
      </c>
      <c r="AD99" s="4">
        <f t="shared" si="43"/>
        <v>0.51369788644681502</v>
      </c>
      <c r="AE99" s="4">
        <f t="shared" si="44"/>
        <v>0.85616314407802507</v>
      </c>
      <c r="AF99" s="32">
        <f t="shared" si="45"/>
        <v>0.5779320848030649</v>
      </c>
      <c r="AG99" s="4">
        <f t="shared" si="46"/>
        <v>0.94735351787726196</v>
      </c>
      <c r="AH99" s="42">
        <f t="shared" si="47"/>
        <v>1.5863527534650623</v>
      </c>
      <c r="AJ99" s="23">
        <v>4</v>
      </c>
      <c r="AK99" s="24">
        <v>0.8</v>
      </c>
      <c r="AL99" s="5">
        <f t="shared" si="48"/>
        <v>2.0799999999999999E-2</v>
      </c>
      <c r="AM99" s="5">
        <f t="shared" si="59"/>
        <v>0.1194718394324346</v>
      </c>
      <c r="AN99" s="25">
        <f t="shared" si="60"/>
        <v>-8.0000000000000002E-3</v>
      </c>
      <c r="AO99" s="30">
        <f t="shared" si="49"/>
        <v>1.4E-2</v>
      </c>
      <c r="AP99" s="5">
        <f t="shared" si="50"/>
        <v>0.18</v>
      </c>
      <c r="AQ99" s="25">
        <v>0</v>
      </c>
    </row>
    <row r="100" spans="2:43">
      <c r="B100" s="38">
        <v>20000</v>
      </c>
      <c r="C100" s="3">
        <v>0</v>
      </c>
      <c r="D100" s="3">
        <f t="shared" si="61"/>
        <v>0.44999999999999996</v>
      </c>
      <c r="E100" s="13" cm="1">
        <f t="array" ref="E100">((B100-INDEX($AT$4:$AW$53,MATCH(B100,$AT$4:$AT$53,1),1))/(INDEX($AT$4:$AW$53,MATCH(B100,$AT$4:$AT$53,1)+1,1)-INDEX($AT$4:$AW$53,MATCH(B100,$AT$4:$AT$53,1),1)))*(INDEX($AT$4:$AW$53,MATCH(B100,$AT$4:$AT$53,1)+1,4)-INDEX($AT$4:$AW$53,MATCH(B100,$AT$4:$AT$53,1),4))+INDEX($AT$4:$AW$53,MATCH(B100,$AT$4:$AT$53,1),4)</f>
        <v>46.617121225052124</v>
      </c>
      <c r="F100" s="13" cm="1">
        <f t="array" ref="F100">C100+((B100-INDEX($AT$4:$AW$53,MATCH(B100,$AT$4:$AT$53,1),1))/(INDEX($AT$4:$AW$53,MATCH(B100,$AT$4:$AT$53,1)+1,1)-INDEX($AT$4:$AW$53,MATCH(B100,$AT$4:$AT$53,1),1)))*(INDEX($AT$4:$AW$53,MATCH(B100,$AT$4:$AT$53,1)+1,3)-INDEX($AT$4:$AW$53,MATCH(B100,$AT$4:$AT$53,1),3))+INDEX($AT$4:$AW$53,MATCH(B100,$AT$4:$AT$53,1),3)</f>
        <v>248.56640128747514</v>
      </c>
      <c r="G100" s="4">
        <f t="shared" si="34"/>
        <v>0.65346319122051488</v>
      </c>
      <c r="H100" s="6">
        <f t="shared" si="52"/>
        <v>20000</v>
      </c>
      <c r="I100" s="13">
        <f t="shared" si="35"/>
        <v>142.21280166551381</v>
      </c>
      <c r="J100" s="13">
        <f t="shared" si="53"/>
        <v>276.43893238949238</v>
      </c>
      <c r="K100" s="13">
        <f t="shared" si="36"/>
        <v>201.88391858280215</v>
      </c>
      <c r="L100" s="13">
        <f t="shared" si="54"/>
        <v>204.57730031404151</v>
      </c>
      <c r="M100" s="13">
        <f t="shared" si="55"/>
        <v>6.9493141316967835</v>
      </c>
      <c r="N100" s="13">
        <f t="shared" si="56"/>
        <v>6.6079769336511367</v>
      </c>
      <c r="O100" s="4">
        <f t="shared" si="37"/>
        <v>1.0405</v>
      </c>
      <c r="P100" s="4">
        <f t="shared" si="38"/>
        <v>1.1490721423604813</v>
      </c>
      <c r="Q100" s="4">
        <f t="shared" si="39"/>
        <v>0.89756495068408093</v>
      </c>
      <c r="R100" s="4">
        <f t="shared" si="40"/>
        <v>0.52865961368614756</v>
      </c>
      <c r="S100" s="4">
        <f t="shared" si="41"/>
        <v>0.53334108190382346</v>
      </c>
      <c r="T100" s="1"/>
      <c r="U100" s="1"/>
      <c r="V100" s="1">
        <v>1</v>
      </c>
      <c r="W100" s="1">
        <v>1</v>
      </c>
      <c r="Y100" s="1">
        <f t="shared" si="57"/>
        <v>17.019811233848369</v>
      </c>
      <c r="Z100" s="1">
        <f t="shared" si="58"/>
        <v>17.019811233848369</v>
      </c>
      <c r="AB100" s="130">
        <v>1</v>
      </c>
      <c r="AC100" s="128">
        <f t="shared" si="42"/>
        <v>0.52304257247250441</v>
      </c>
      <c r="AD100" s="4">
        <f t="shared" si="43"/>
        <v>0.52865961368614756</v>
      </c>
      <c r="AE100" s="4">
        <f t="shared" si="44"/>
        <v>0.88109935614357926</v>
      </c>
      <c r="AF100" s="32">
        <f t="shared" si="45"/>
        <v>0.60300908968805134</v>
      </c>
      <c r="AG100" s="4">
        <f t="shared" si="46"/>
        <v>0.96128518725780987</v>
      </c>
      <c r="AH100" s="42">
        <f t="shared" si="47"/>
        <v>1.5988912559075554</v>
      </c>
      <c r="AJ100" s="23">
        <v>4</v>
      </c>
      <c r="AK100" s="24">
        <v>0.8</v>
      </c>
      <c r="AL100" s="5">
        <f t="shared" si="48"/>
        <v>2.0799999999999999E-2</v>
      </c>
      <c r="AM100" s="5">
        <f t="shared" si="59"/>
        <v>0.1194718394324346</v>
      </c>
      <c r="AN100" s="25">
        <f t="shared" si="60"/>
        <v>-8.0000000000000002E-3</v>
      </c>
      <c r="AO100" s="30">
        <f t="shared" si="49"/>
        <v>1.4E-2</v>
      </c>
      <c r="AP100" s="5">
        <f t="shared" si="50"/>
        <v>0.18</v>
      </c>
      <c r="AQ100" s="25">
        <v>0</v>
      </c>
    </row>
    <row r="101" spans="2:43">
      <c r="B101" s="38">
        <v>20000</v>
      </c>
      <c r="C101" s="3">
        <v>0</v>
      </c>
      <c r="D101" s="3">
        <f t="shared" si="61"/>
        <v>0.49999999999999994</v>
      </c>
      <c r="E101" s="13" cm="1">
        <f t="array" ref="E101">((B101-INDEX($AT$4:$AW$53,MATCH(B101,$AT$4:$AT$53,1),1))/(INDEX($AT$4:$AW$53,MATCH(B101,$AT$4:$AT$53,1)+1,1)-INDEX($AT$4:$AW$53,MATCH(B101,$AT$4:$AT$53,1),1)))*(INDEX($AT$4:$AW$53,MATCH(B101,$AT$4:$AT$53,1)+1,4)-INDEX($AT$4:$AW$53,MATCH(B101,$AT$4:$AT$53,1),4))+INDEX($AT$4:$AW$53,MATCH(B101,$AT$4:$AT$53,1),4)</f>
        <v>46.617121225052124</v>
      </c>
      <c r="F101" s="13" cm="1">
        <f t="array" ref="F101">C101+((B101-INDEX($AT$4:$AW$53,MATCH(B101,$AT$4:$AT$53,1),1))/(INDEX($AT$4:$AW$53,MATCH(B101,$AT$4:$AT$53,1)+1,1)-INDEX($AT$4:$AW$53,MATCH(B101,$AT$4:$AT$53,1),1)))*(INDEX($AT$4:$AW$53,MATCH(B101,$AT$4:$AT$53,1)+1,3)-INDEX($AT$4:$AW$53,MATCH(B101,$AT$4:$AT$53,1),3))+INDEX($AT$4:$AW$53,MATCH(B101,$AT$4:$AT$53,1),3)</f>
        <v>248.56640128747514</v>
      </c>
      <c r="G101" s="4">
        <f t="shared" si="34"/>
        <v>0.65346319122051488</v>
      </c>
      <c r="H101" s="6">
        <f t="shared" si="52"/>
        <v>20000</v>
      </c>
      <c r="I101" s="13">
        <f t="shared" si="35"/>
        <v>158.0142240727931</v>
      </c>
      <c r="J101" s="13">
        <f t="shared" si="53"/>
        <v>307.15436932165812</v>
      </c>
      <c r="K101" s="13">
        <f t="shared" si="36"/>
        <v>224.31546509200234</v>
      </c>
      <c r="L101" s="13">
        <f t="shared" si="54"/>
        <v>227.9889956857283</v>
      </c>
      <c r="M101" s="13">
        <f t="shared" si="55"/>
        <v>8.6806971213524662</v>
      </c>
      <c r="N101" s="13">
        <f t="shared" si="56"/>
        <v>8.1579962143841165</v>
      </c>
      <c r="O101" s="4">
        <f t="shared" si="37"/>
        <v>1.05</v>
      </c>
      <c r="P101" s="4">
        <f t="shared" si="38"/>
        <v>1.1862126380443982</v>
      </c>
      <c r="Q101" s="4">
        <f t="shared" si="39"/>
        <v>0.90575992140152328</v>
      </c>
      <c r="R101" s="4">
        <f t="shared" si="40"/>
        <v>0.54574703524702284</v>
      </c>
      <c r="S101" s="4">
        <f t="shared" si="41"/>
        <v>0.53334108190382346</v>
      </c>
      <c r="T101" s="1"/>
      <c r="U101" s="1"/>
      <c r="V101" s="1">
        <v>1</v>
      </c>
      <c r="W101" s="1">
        <v>1</v>
      </c>
      <c r="Y101" s="1">
        <f t="shared" si="57"/>
        <v>19.778122735676511</v>
      </c>
      <c r="Z101" s="1">
        <f t="shared" si="58"/>
        <v>19.778122735676511</v>
      </c>
      <c r="AB101" s="130">
        <v>1</v>
      </c>
      <c r="AC101" s="128">
        <f t="shared" si="42"/>
        <v>0.52050252531694174</v>
      </c>
      <c r="AD101" s="4">
        <f t="shared" si="43"/>
        <v>0.54574703524702284</v>
      </c>
      <c r="AE101" s="4">
        <f t="shared" si="44"/>
        <v>0.90957839207837143</v>
      </c>
      <c r="AF101" s="32">
        <f t="shared" si="45"/>
        <v>0.62808609457303755</v>
      </c>
      <c r="AG101" s="4">
        <f t="shared" si="46"/>
        <v>0.975216856638358</v>
      </c>
      <c r="AH101" s="42">
        <f t="shared" si="47"/>
        <v>1.6114297583500485</v>
      </c>
      <c r="AJ101" s="23">
        <v>4</v>
      </c>
      <c r="AK101" s="24">
        <v>0.8</v>
      </c>
      <c r="AL101" s="5">
        <f t="shared" si="48"/>
        <v>2.0799999999999999E-2</v>
      </c>
      <c r="AM101" s="5">
        <f t="shared" si="59"/>
        <v>0.1194718394324346</v>
      </c>
      <c r="AN101" s="25">
        <f t="shared" si="60"/>
        <v>-8.0000000000000002E-3</v>
      </c>
      <c r="AO101" s="30">
        <f t="shared" si="49"/>
        <v>1.4E-2</v>
      </c>
      <c r="AP101" s="5">
        <f t="shared" si="50"/>
        <v>0.18</v>
      </c>
      <c r="AQ101" s="25">
        <v>0</v>
      </c>
    </row>
    <row r="102" spans="2:43">
      <c r="B102" s="38">
        <v>20000</v>
      </c>
      <c r="C102" s="3">
        <v>0</v>
      </c>
      <c r="D102" s="3">
        <f t="shared" si="61"/>
        <v>0.54999999999999993</v>
      </c>
      <c r="E102" s="13" cm="1">
        <f t="array" ref="E102">((B102-INDEX($AT$4:$AW$53,MATCH(B102,$AT$4:$AT$53,1),1))/(INDEX($AT$4:$AW$53,MATCH(B102,$AT$4:$AT$53,1)+1,1)-INDEX($AT$4:$AW$53,MATCH(B102,$AT$4:$AT$53,1),1)))*(INDEX($AT$4:$AW$53,MATCH(B102,$AT$4:$AT$53,1)+1,4)-INDEX($AT$4:$AW$53,MATCH(B102,$AT$4:$AT$53,1),4))+INDEX($AT$4:$AW$53,MATCH(B102,$AT$4:$AT$53,1),4)</f>
        <v>46.617121225052124</v>
      </c>
      <c r="F102" s="13" cm="1">
        <f t="array" ref="F102">C102+((B102-INDEX($AT$4:$AW$53,MATCH(B102,$AT$4:$AT$53,1),1))/(INDEX($AT$4:$AW$53,MATCH(B102,$AT$4:$AT$53,1)+1,1)-INDEX($AT$4:$AW$53,MATCH(B102,$AT$4:$AT$53,1),1)))*(INDEX($AT$4:$AW$53,MATCH(B102,$AT$4:$AT$53,1)+1,3)-INDEX($AT$4:$AW$53,MATCH(B102,$AT$4:$AT$53,1),3))+INDEX($AT$4:$AW$53,MATCH(B102,$AT$4:$AT$53,1),3)</f>
        <v>248.56640128747514</v>
      </c>
      <c r="G102" s="4">
        <f t="shared" si="34"/>
        <v>0.65346319122051488</v>
      </c>
      <c r="H102" s="6">
        <f t="shared" si="52"/>
        <v>20000</v>
      </c>
      <c r="I102" s="13">
        <f t="shared" si="35"/>
        <v>173.81564648007242</v>
      </c>
      <c r="J102" s="13">
        <f t="shared" si="53"/>
        <v>337.86980625382398</v>
      </c>
      <c r="K102" s="13">
        <f t="shared" si="36"/>
        <v>246.74701160120262</v>
      </c>
      <c r="L102" s="13">
        <f t="shared" si="54"/>
        <v>251.60550167141099</v>
      </c>
      <c r="M102" s="13">
        <f t="shared" si="55"/>
        <v>10.640434674034946</v>
      </c>
      <c r="N102" s="13">
        <f t="shared" si="56"/>
        <v>9.871175419404782</v>
      </c>
      <c r="O102" s="4">
        <f t="shared" si="37"/>
        <v>1.0605</v>
      </c>
      <c r="P102" s="4">
        <f t="shared" si="38"/>
        <v>1.2282516464855568</v>
      </c>
      <c r="Q102" s="4">
        <f t="shared" si="39"/>
        <v>0.91481752061553845</v>
      </c>
      <c r="R102" s="4">
        <f t="shared" si="40"/>
        <v>0.56508814112101724</v>
      </c>
      <c r="S102" s="4">
        <f t="shared" si="41"/>
        <v>0.53334108190382346</v>
      </c>
      <c r="T102" s="1"/>
      <c r="U102" s="1"/>
      <c r="V102" s="1">
        <v>1</v>
      </c>
      <c r="W102" s="1">
        <v>1</v>
      </c>
      <c r="Y102" s="1">
        <f t="shared" si="57"/>
        <v>22.2149745812617</v>
      </c>
      <c r="Z102" s="1">
        <f t="shared" si="58"/>
        <v>22.2149745812617</v>
      </c>
      <c r="AB102" s="130">
        <v>1</v>
      </c>
      <c r="AC102" s="128">
        <f t="shared" si="42"/>
        <v>0.51808661059033034</v>
      </c>
      <c r="AD102" s="4">
        <f t="shared" si="43"/>
        <v>0.56508814112101724</v>
      </c>
      <c r="AE102" s="4">
        <f t="shared" si="44"/>
        <v>0.94181356853502873</v>
      </c>
      <c r="AF102" s="32">
        <f t="shared" si="45"/>
        <v>0.65316309945802398</v>
      </c>
      <c r="AG102" s="4">
        <f t="shared" si="46"/>
        <v>0.98914852601890579</v>
      </c>
      <c r="AH102" s="42">
        <f t="shared" si="47"/>
        <v>1.6239682607925419</v>
      </c>
      <c r="AJ102" s="23">
        <v>4</v>
      </c>
      <c r="AK102" s="24">
        <v>0.8</v>
      </c>
      <c r="AL102" s="5">
        <f t="shared" si="48"/>
        <v>2.0799999999999999E-2</v>
      </c>
      <c r="AM102" s="5">
        <f t="shared" si="59"/>
        <v>0.1194718394324346</v>
      </c>
      <c r="AN102" s="25">
        <f t="shared" si="60"/>
        <v>-8.0000000000000002E-3</v>
      </c>
      <c r="AO102" s="30">
        <f t="shared" si="49"/>
        <v>1.4E-2</v>
      </c>
      <c r="AP102" s="5">
        <f t="shared" si="50"/>
        <v>0.18</v>
      </c>
      <c r="AQ102" s="25">
        <v>0</v>
      </c>
    </row>
    <row r="103" spans="2:43">
      <c r="B103" s="38">
        <v>20000</v>
      </c>
      <c r="C103" s="3">
        <v>0</v>
      </c>
      <c r="D103" s="3">
        <f t="shared" si="61"/>
        <v>0.6</v>
      </c>
      <c r="E103" s="13" cm="1">
        <f t="array" ref="E103">((B103-INDEX($AT$4:$AW$53,MATCH(B103,$AT$4:$AT$53,1),1))/(INDEX($AT$4:$AW$53,MATCH(B103,$AT$4:$AT$53,1)+1,1)-INDEX($AT$4:$AW$53,MATCH(B103,$AT$4:$AT$53,1),1)))*(INDEX($AT$4:$AW$53,MATCH(B103,$AT$4:$AT$53,1)+1,4)-INDEX($AT$4:$AW$53,MATCH(B103,$AT$4:$AT$53,1),4))+INDEX($AT$4:$AW$53,MATCH(B103,$AT$4:$AT$53,1),4)</f>
        <v>46.617121225052124</v>
      </c>
      <c r="F103" s="13" cm="1">
        <f t="array" ref="F103">C103+((B103-INDEX($AT$4:$AW$53,MATCH(B103,$AT$4:$AT$53,1),1))/(INDEX($AT$4:$AW$53,MATCH(B103,$AT$4:$AT$53,1)+1,1)-INDEX($AT$4:$AW$53,MATCH(B103,$AT$4:$AT$53,1),1)))*(INDEX($AT$4:$AW$53,MATCH(B103,$AT$4:$AT$53,1)+1,3)-INDEX($AT$4:$AW$53,MATCH(B103,$AT$4:$AT$53,1),3))+INDEX($AT$4:$AW$53,MATCH(B103,$AT$4:$AT$53,1),3)</f>
        <v>248.56640128747514</v>
      </c>
      <c r="G103" s="4">
        <f t="shared" si="34"/>
        <v>0.65346319122051488</v>
      </c>
      <c r="H103" s="6">
        <f t="shared" si="52"/>
        <v>20000</v>
      </c>
      <c r="I103" s="13">
        <f t="shared" si="35"/>
        <v>189.61706888735173</v>
      </c>
      <c r="J103" s="13">
        <f t="shared" si="53"/>
        <v>368.58524318598978</v>
      </c>
      <c r="K103" s="13">
        <f t="shared" si="36"/>
        <v>269.17855811040283</v>
      </c>
      <c r="L103" s="13">
        <f t="shared" si="54"/>
        <v>275.44224805334818</v>
      </c>
      <c r="M103" s="13">
        <f t="shared" si="55"/>
        <v>12.8431929396338</v>
      </c>
      <c r="N103" s="13">
        <f t="shared" si="56"/>
        <v>11.747514548713131</v>
      </c>
      <c r="O103" s="4">
        <f t="shared" si="37"/>
        <v>1.0720000000000001</v>
      </c>
      <c r="P103" s="4">
        <f t="shared" si="38"/>
        <v>1.2755037763406945</v>
      </c>
      <c r="Q103" s="4">
        <f t="shared" si="39"/>
        <v>0.92473774832612665</v>
      </c>
      <c r="R103" s="4">
        <f t="shared" si="40"/>
        <v>0.58682767495372246</v>
      </c>
      <c r="S103" s="4">
        <f t="shared" si="41"/>
        <v>0.53334108190382346</v>
      </c>
      <c r="T103" s="1"/>
      <c r="U103" s="1"/>
      <c r="V103" s="1">
        <v>1</v>
      </c>
      <c r="W103" s="1">
        <v>1</v>
      </c>
      <c r="Y103" s="1">
        <f t="shared" si="57"/>
        <v>24.361684938320451</v>
      </c>
      <c r="Z103" s="1">
        <f t="shared" si="58"/>
        <v>24.361684938320451</v>
      </c>
      <c r="AB103" s="130">
        <v>1</v>
      </c>
      <c r="AC103" s="128">
        <f t="shared" si="42"/>
        <v>0.51577823315309623</v>
      </c>
      <c r="AD103" s="4">
        <f t="shared" si="43"/>
        <v>0.58682767495372246</v>
      </c>
      <c r="AE103" s="4">
        <f t="shared" si="44"/>
        <v>0.9780461249228708</v>
      </c>
      <c r="AF103" s="32">
        <f t="shared" si="45"/>
        <v>0.6782401043430103</v>
      </c>
      <c r="AG103" s="4">
        <f t="shared" si="46"/>
        <v>1.0030801953994539</v>
      </c>
      <c r="AH103" s="42">
        <f t="shared" si="47"/>
        <v>1.636506763235035</v>
      </c>
      <c r="AJ103" s="23">
        <v>4</v>
      </c>
      <c r="AK103" s="24">
        <v>0.8</v>
      </c>
      <c r="AL103" s="5">
        <f t="shared" si="48"/>
        <v>2.0799999999999999E-2</v>
      </c>
      <c r="AM103" s="5">
        <f t="shared" si="59"/>
        <v>0.1194718394324346</v>
      </c>
      <c r="AN103" s="25">
        <f t="shared" si="60"/>
        <v>-8.0000000000000002E-3</v>
      </c>
      <c r="AO103" s="30">
        <f t="shared" si="49"/>
        <v>1.4E-2</v>
      </c>
      <c r="AP103" s="5">
        <f t="shared" si="50"/>
        <v>0.18</v>
      </c>
      <c r="AQ103" s="25">
        <v>0</v>
      </c>
    </row>
    <row r="104" spans="2:43">
      <c r="B104" s="38">
        <v>20000</v>
      </c>
      <c r="C104" s="3">
        <v>0</v>
      </c>
      <c r="D104" s="3">
        <f t="shared" si="61"/>
        <v>0.65</v>
      </c>
      <c r="E104" s="13" cm="1">
        <f t="array" ref="E104">((B104-INDEX($AT$4:$AW$53,MATCH(B104,$AT$4:$AT$53,1),1))/(INDEX($AT$4:$AW$53,MATCH(B104,$AT$4:$AT$53,1)+1,1)-INDEX($AT$4:$AW$53,MATCH(B104,$AT$4:$AT$53,1),1)))*(INDEX($AT$4:$AW$53,MATCH(B104,$AT$4:$AT$53,1)+1,4)-INDEX($AT$4:$AW$53,MATCH(B104,$AT$4:$AT$53,1),4))+INDEX($AT$4:$AW$53,MATCH(B104,$AT$4:$AT$53,1),4)</f>
        <v>46.617121225052124</v>
      </c>
      <c r="F104" s="13" cm="1">
        <f t="array" ref="F104">C104+((B104-INDEX($AT$4:$AW$53,MATCH(B104,$AT$4:$AT$53,1),1))/(INDEX($AT$4:$AW$53,MATCH(B104,$AT$4:$AT$53,1)+1,1)-INDEX($AT$4:$AW$53,MATCH(B104,$AT$4:$AT$53,1),1)))*(INDEX($AT$4:$AW$53,MATCH(B104,$AT$4:$AT$53,1)+1,3)-INDEX($AT$4:$AW$53,MATCH(B104,$AT$4:$AT$53,1),3))+INDEX($AT$4:$AW$53,MATCH(B104,$AT$4:$AT$53,1),3)</f>
        <v>248.56640128747514</v>
      </c>
      <c r="G104" s="4">
        <f t="shared" si="34"/>
        <v>0.65346319122051488</v>
      </c>
      <c r="H104" s="6">
        <f t="shared" si="52"/>
        <v>20000</v>
      </c>
      <c r="I104" s="13">
        <f t="shared" si="35"/>
        <v>205.41849129463108</v>
      </c>
      <c r="J104" s="13">
        <f t="shared" si="53"/>
        <v>399.3006801181557</v>
      </c>
      <c r="K104" s="13">
        <f t="shared" si="36"/>
        <v>291.61010461960313</v>
      </c>
      <c r="L104" s="13">
        <f t="shared" si="54"/>
        <v>299.51326760026916</v>
      </c>
      <c r="M104" s="13">
        <f t="shared" si="55"/>
        <v>15.305438113448288</v>
      </c>
      <c r="N104" s="13">
        <f t="shared" si="56"/>
        <v>13.787013602309166</v>
      </c>
      <c r="O104" s="4">
        <f t="shared" si="37"/>
        <v>1.0845</v>
      </c>
      <c r="P104" s="4">
        <f t="shared" si="38"/>
        <v>1.328322249663566</v>
      </c>
      <c r="Q104" s="4">
        <f t="shared" si="39"/>
        <v>0.93552060453328767</v>
      </c>
      <c r="R104" s="4">
        <f t="shared" si="40"/>
        <v>0.61112814545768968</v>
      </c>
      <c r="S104" s="4">
        <f t="shared" si="41"/>
        <v>0.53334108190382346</v>
      </c>
      <c r="T104" s="1"/>
      <c r="U104" s="1"/>
      <c r="V104" s="1">
        <v>1</v>
      </c>
      <c r="W104" s="1">
        <v>1</v>
      </c>
      <c r="Y104" s="1">
        <f t="shared" si="57"/>
        <v>26.24435672500692</v>
      </c>
      <c r="Z104" s="1">
        <f t="shared" si="58"/>
        <v>26.24435672500692</v>
      </c>
      <c r="AB104" s="130">
        <v>1</v>
      </c>
      <c r="AC104" s="128">
        <f t="shared" si="42"/>
        <v>0.51356419576191015</v>
      </c>
      <c r="AD104" s="4">
        <f t="shared" si="43"/>
        <v>0.61112814545768968</v>
      </c>
      <c r="AE104" s="4">
        <f t="shared" si="44"/>
        <v>1.0185469090961494</v>
      </c>
      <c r="AF104" s="32">
        <f t="shared" si="45"/>
        <v>0.70331710922799673</v>
      </c>
      <c r="AG104" s="4">
        <f t="shared" si="46"/>
        <v>1.0170118647800017</v>
      </c>
      <c r="AH104" s="42">
        <f t="shared" si="47"/>
        <v>1.6490452656775281</v>
      </c>
      <c r="AJ104" s="23">
        <v>4</v>
      </c>
      <c r="AK104" s="24">
        <v>0.8</v>
      </c>
      <c r="AL104" s="5">
        <f t="shared" si="48"/>
        <v>2.0799999999999999E-2</v>
      </c>
      <c r="AM104" s="5">
        <f t="shared" si="59"/>
        <v>0.1194718394324346</v>
      </c>
      <c r="AN104" s="25">
        <f t="shared" si="60"/>
        <v>-8.0000000000000002E-3</v>
      </c>
      <c r="AO104" s="30">
        <f t="shared" si="49"/>
        <v>1.4E-2</v>
      </c>
      <c r="AP104" s="5">
        <f t="shared" si="50"/>
        <v>0.18</v>
      </c>
      <c r="AQ104" s="25">
        <v>0</v>
      </c>
    </row>
    <row r="105" spans="2:43">
      <c r="B105" s="38">
        <v>20000</v>
      </c>
      <c r="C105" s="3">
        <v>0</v>
      </c>
      <c r="D105" s="3">
        <f t="shared" si="61"/>
        <v>0.70000000000000007</v>
      </c>
      <c r="E105" s="13" cm="1">
        <f t="array" ref="E105">((B105-INDEX($AT$4:$AW$53,MATCH(B105,$AT$4:$AT$53,1),1))/(INDEX($AT$4:$AW$53,MATCH(B105,$AT$4:$AT$53,1)+1,1)-INDEX($AT$4:$AW$53,MATCH(B105,$AT$4:$AT$53,1),1)))*(INDEX($AT$4:$AW$53,MATCH(B105,$AT$4:$AT$53,1)+1,4)-INDEX($AT$4:$AW$53,MATCH(B105,$AT$4:$AT$53,1),4))+INDEX($AT$4:$AW$53,MATCH(B105,$AT$4:$AT$53,1),4)</f>
        <v>46.617121225052124</v>
      </c>
      <c r="F105" s="13" cm="1">
        <f t="array" ref="F105">C105+((B105-INDEX($AT$4:$AW$53,MATCH(B105,$AT$4:$AT$53,1),1))/(INDEX($AT$4:$AW$53,MATCH(B105,$AT$4:$AT$53,1)+1,1)-INDEX($AT$4:$AW$53,MATCH(B105,$AT$4:$AT$53,1),1)))*(INDEX($AT$4:$AW$53,MATCH(B105,$AT$4:$AT$53,1)+1,3)-INDEX($AT$4:$AW$53,MATCH(B105,$AT$4:$AT$53,1),3))+INDEX($AT$4:$AW$53,MATCH(B105,$AT$4:$AT$53,1),3)</f>
        <v>248.56640128747514</v>
      </c>
      <c r="G105" s="4">
        <f t="shared" si="34"/>
        <v>0.65346319122051488</v>
      </c>
      <c r="H105" s="6">
        <f t="shared" si="52"/>
        <v>20000</v>
      </c>
      <c r="I105" s="13">
        <f t="shared" si="35"/>
        <v>221.2199137019104</v>
      </c>
      <c r="J105" s="13">
        <f t="shared" si="53"/>
        <v>430.0161170503215</v>
      </c>
      <c r="K105" s="13">
        <f t="shared" si="36"/>
        <v>314.04165112880338</v>
      </c>
      <c r="L105" s="13">
        <f t="shared" si="54"/>
        <v>323.83109876002152</v>
      </c>
      <c r="M105" s="13">
        <f t="shared" si="55"/>
        <v>18.045549962204031</v>
      </c>
      <c r="N105" s="13">
        <f t="shared" si="56"/>
        <v>15.989672580192879</v>
      </c>
      <c r="O105" s="4">
        <f t="shared" si="37"/>
        <v>1.0980000000000001</v>
      </c>
      <c r="P105" s="4">
        <f t="shared" si="38"/>
        <v>1.3871013371908156</v>
      </c>
      <c r="Q105" s="4">
        <f t="shared" si="39"/>
        <v>0.9471660892370215</v>
      </c>
      <c r="R105" s="4">
        <f t="shared" si="40"/>
        <v>0.6381709468271024</v>
      </c>
      <c r="S105" s="4">
        <f t="shared" si="41"/>
        <v>0.53334108190382346</v>
      </c>
      <c r="T105" s="1"/>
      <c r="U105" s="1"/>
      <c r="V105" s="1">
        <v>1</v>
      </c>
      <c r="W105" s="1">
        <v>1</v>
      </c>
      <c r="Y105" s="1">
        <f t="shared" si="57"/>
        <v>27.888229039653101</v>
      </c>
      <c r="Z105" s="1">
        <f t="shared" si="58"/>
        <v>27.888229039653101</v>
      </c>
      <c r="AB105" s="130">
        <v>1</v>
      </c>
      <c r="AC105" s="128">
        <f t="shared" si="42"/>
        <v>0.51143379814261469</v>
      </c>
      <c r="AD105" s="4">
        <f t="shared" si="43"/>
        <v>0.6381709468271024</v>
      </c>
      <c r="AE105" s="4">
        <f t="shared" si="44"/>
        <v>1.0636182447118374</v>
      </c>
      <c r="AF105" s="32">
        <f t="shared" si="45"/>
        <v>0.72839411411298305</v>
      </c>
      <c r="AG105" s="4">
        <f t="shared" si="46"/>
        <v>1.03094353416055</v>
      </c>
      <c r="AH105" s="42">
        <f t="shared" si="47"/>
        <v>1.6615837681200214</v>
      </c>
      <c r="AJ105" s="23">
        <v>4</v>
      </c>
      <c r="AK105" s="24">
        <v>0.8</v>
      </c>
      <c r="AL105" s="5">
        <f t="shared" si="48"/>
        <v>2.0799999999999999E-2</v>
      </c>
      <c r="AM105" s="5">
        <f t="shared" si="59"/>
        <v>0.1194718394324346</v>
      </c>
      <c r="AN105" s="25">
        <f t="shared" si="60"/>
        <v>-8.0000000000000002E-3</v>
      </c>
      <c r="AO105" s="30">
        <f t="shared" si="49"/>
        <v>1.4E-2</v>
      </c>
      <c r="AP105" s="5">
        <f t="shared" si="50"/>
        <v>0.18</v>
      </c>
      <c r="AQ105" s="25">
        <v>0</v>
      </c>
    </row>
    <row r="106" spans="2:43">
      <c r="B106" s="38">
        <v>20000</v>
      </c>
      <c r="C106" s="3">
        <v>0</v>
      </c>
      <c r="D106" s="3">
        <f t="shared" si="61"/>
        <v>0.75000000000000011</v>
      </c>
      <c r="E106" s="13" cm="1">
        <f t="array" ref="E106">((B106-INDEX($AT$4:$AW$53,MATCH(B106,$AT$4:$AT$53,1),1))/(INDEX($AT$4:$AW$53,MATCH(B106,$AT$4:$AT$53,1)+1,1)-INDEX($AT$4:$AW$53,MATCH(B106,$AT$4:$AT$53,1),1)))*(INDEX($AT$4:$AW$53,MATCH(B106,$AT$4:$AT$53,1)+1,4)-INDEX($AT$4:$AW$53,MATCH(B106,$AT$4:$AT$53,1),4))+INDEX($AT$4:$AW$53,MATCH(B106,$AT$4:$AT$53,1),4)</f>
        <v>46.617121225052124</v>
      </c>
      <c r="F106" s="13" cm="1">
        <f t="array" ref="F106">C106+((B106-INDEX($AT$4:$AW$53,MATCH(B106,$AT$4:$AT$53,1),1))/(INDEX($AT$4:$AW$53,MATCH(B106,$AT$4:$AT$53,1)+1,1)-INDEX($AT$4:$AW$53,MATCH(B106,$AT$4:$AT$53,1),1)))*(INDEX($AT$4:$AW$53,MATCH(B106,$AT$4:$AT$53,1)+1,3)-INDEX($AT$4:$AW$53,MATCH(B106,$AT$4:$AT$53,1),3))+INDEX($AT$4:$AW$53,MATCH(B106,$AT$4:$AT$53,1),3)</f>
        <v>248.56640128747514</v>
      </c>
      <c r="G106" s="4">
        <f t="shared" si="34"/>
        <v>0.65346319122051488</v>
      </c>
      <c r="H106" s="6">
        <f t="shared" si="52"/>
        <v>20000</v>
      </c>
      <c r="I106" s="13">
        <f t="shared" si="35"/>
        <v>237.02133610918972</v>
      </c>
      <c r="J106" s="13">
        <f t="shared" si="53"/>
        <v>460.73155398248736</v>
      </c>
      <c r="K106" s="13">
        <f t="shared" si="36"/>
        <v>336.47319763800363</v>
      </c>
      <c r="L106" s="13">
        <f t="shared" si="54"/>
        <v>348.4067004047954</v>
      </c>
      <c r="M106" s="13">
        <f t="shared" si="55"/>
        <v>21.083946730717415</v>
      </c>
      <c r="N106" s="13">
        <f t="shared" si="56"/>
        <v>18.355491482364272</v>
      </c>
      <c r="O106" s="4">
        <f t="shared" si="37"/>
        <v>1.1125</v>
      </c>
      <c r="P106" s="4">
        <f t="shared" si="38"/>
        <v>1.4522790377580601</v>
      </c>
      <c r="Q106" s="4">
        <f t="shared" si="39"/>
        <v>0.95967420243732815</v>
      </c>
      <c r="R106" s="4">
        <f t="shared" si="40"/>
        <v>0.66815759147070852</v>
      </c>
      <c r="S106" s="4">
        <f t="shared" si="41"/>
        <v>0.53334108190382346</v>
      </c>
      <c r="T106" s="1"/>
      <c r="U106" s="1"/>
      <c r="V106" s="1">
        <v>1</v>
      </c>
      <c r="W106" s="1">
        <v>1</v>
      </c>
      <c r="Y106" s="1">
        <f t="shared" si="57"/>
        <v>29.32060538523946</v>
      </c>
      <c r="Z106" s="1">
        <f t="shared" si="58"/>
        <v>29.32060538523946</v>
      </c>
      <c r="AB106" s="130">
        <v>1</v>
      </c>
      <c r="AC106" s="128">
        <f t="shared" si="42"/>
        <v>0.50937822173508929</v>
      </c>
      <c r="AD106" s="4">
        <f t="shared" si="43"/>
        <v>0.66815759147070852</v>
      </c>
      <c r="AE106" s="4">
        <f t="shared" si="44"/>
        <v>1.1135959857845144</v>
      </c>
      <c r="AF106" s="32">
        <f t="shared" si="45"/>
        <v>0.75347111899796937</v>
      </c>
      <c r="AG106" s="4">
        <f t="shared" si="46"/>
        <v>1.0448752035410978</v>
      </c>
      <c r="AH106" s="42">
        <f t="shared" si="47"/>
        <v>1.6741222705625147</v>
      </c>
      <c r="AJ106" s="23">
        <v>4</v>
      </c>
      <c r="AK106" s="24">
        <v>0.8</v>
      </c>
      <c r="AL106" s="5">
        <f t="shared" si="48"/>
        <v>2.0799999999999999E-2</v>
      </c>
      <c r="AM106" s="5">
        <f t="shared" si="59"/>
        <v>0.1194718394324346</v>
      </c>
      <c r="AN106" s="25">
        <f t="shared" si="60"/>
        <v>-8.0000000000000002E-3</v>
      </c>
      <c r="AO106" s="30">
        <f t="shared" si="49"/>
        <v>1.4E-2</v>
      </c>
      <c r="AP106" s="5">
        <f t="shared" si="50"/>
        <v>0.18</v>
      </c>
      <c r="AQ106" s="25">
        <v>0</v>
      </c>
    </row>
    <row r="107" spans="2:43">
      <c r="B107" s="38">
        <v>20000</v>
      </c>
      <c r="C107" s="3">
        <v>0</v>
      </c>
      <c r="D107" s="3">
        <f t="shared" si="61"/>
        <v>0.80000000000000016</v>
      </c>
      <c r="E107" s="13" cm="1">
        <f t="array" ref="E107">((B107-INDEX($AT$4:$AW$53,MATCH(B107,$AT$4:$AT$53,1),1))/(INDEX($AT$4:$AW$53,MATCH(B107,$AT$4:$AT$53,1)+1,1)-INDEX($AT$4:$AW$53,MATCH(B107,$AT$4:$AT$53,1),1)))*(INDEX($AT$4:$AW$53,MATCH(B107,$AT$4:$AT$53,1)+1,4)-INDEX($AT$4:$AW$53,MATCH(B107,$AT$4:$AT$53,1),4))+INDEX($AT$4:$AW$53,MATCH(B107,$AT$4:$AT$53,1),4)</f>
        <v>46.617121225052124</v>
      </c>
      <c r="F107" s="13" cm="1">
        <f t="array" ref="F107">C107+((B107-INDEX($AT$4:$AW$53,MATCH(B107,$AT$4:$AT$53,1),1))/(INDEX($AT$4:$AW$53,MATCH(B107,$AT$4:$AT$53,1)+1,1)-INDEX($AT$4:$AW$53,MATCH(B107,$AT$4:$AT$53,1),1)))*(INDEX($AT$4:$AW$53,MATCH(B107,$AT$4:$AT$53,1)+1,3)-INDEX($AT$4:$AW$53,MATCH(B107,$AT$4:$AT$53,1),3))+INDEX($AT$4:$AW$53,MATCH(B107,$AT$4:$AT$53,1),3)</f>
        <v>248.56640128747514</v>
      </c>
      <c r="G107" s="4">
        <f t="shared" si="34"/>
        <v>0.65346319122051488</v>
      </c>
      <c r="H107" s="6">
        <f t="shared" si="52"/>
        <v>20000</v>
      </c>
      <c r="I107" s="13">
        <f t="shared" si="35"/>
        <v>252.82275851646907</v>
      </c>
      <c r="J107" s="13">
        <f t="shared" si="53"/>
        <v>491.44699091465321</v>
      </c>
      <c r="K107" s="13">
        <f t="shared" si="36"/>
        <v>358.90474414720387</v>
      </c>
      <c r="L107" s="13">
        <f t="shared" si="54"/>
        <v>373.24938072702679</v>
      </c>
      <c r="M107" s="13">
        <f t="shared" si="55"/>
        <v>24.443221788740509</v>
      </c>
      <c r="N107" s="13">
        <f t="shared" si="56"/>
        <v>20.884470308823353</v>
      </c>
      <c r="O107" s="4">
        <f t="shared" si="37"/>
        <v>1.1280000000000001</v>
      </c>
      <c r="P107" s="4">
        <f t="shared" si="38"/>
        <v>1.5243400095586486</v>
      </c>
      <c r="Q107" s="4">
        <f t="shared" si="39"/>
        <v>0.97304494413420795</v>
      </c>
      <c r="R107" s="4">
        <f t="shared" si="40"/>
        <v>0.70131105861132625</v>
      </c>
      <c r="S107" s="4">
        <f t="shared" si="41"/>
        <v>0.53334108190382346</v>
      </c>
      <c r="T107" s="1"/>
      <c r="U107" s="1"/>
      <c r="V107" s="1">
        <v>1</v>
      </c>
      <c r="W107" s="1">
        <v>1</v>
      </c>
      <c r="Y107" s="1">
        <f t="shared" si="57"/>
        <v>30.573009917318174</v>
      </c>
      <c r="Z107" s="1">
        <f t="shared" si="58"/>
        <v>30.573009917318174</v>
      </c>
      <c r="AB107" s="130">
        <v>1</v>
      </c>
      <c r="AC107" s="128">
        <f t="shared" si="42"/>
        <v>0.50739009663000589</v>
      </c>
      <c r="AD107" s="4">
        <f t="shared" si="43"/>
        <v>0.70131105861132625</v>
      </c>
      <c r="AE107" s="4">
        <f t="shared" si="44"/>
        <v>1.1688517643522105</v>
      </c>
      <c r="AF107" s="32">
        <f t="shared" si="45"/>
        <v>0.7785481238829558</v>
      </c>
      <c r="AG107" s="4">
        <f t="shared" si="46"/>
        <v>1.0588068729216458</v>
      </c>
      <c r="AH107" s="42">
        <f t="shared" si="47"/>
        <v>1.6866607730050076</v>
      </c>
      <c r="AJ107" s="23">
        <v>4</v>
      </c>
      <c r="AK107" s="24">
        <v>0.8</v>
      </c>
      <c r="AL107" s="5">
        <f t="shared" si="48"/>
        <v>2.0799999999999999E-2</v>
      </c>
      <c r="AM107" s="5">
        <f t="shared" si="59"/>
        <v>0.1194718394324346</v>
      </c>
      <c r="AN107" s="25">
        <f t="shared" si="60"/>
        <v>-8.0000000000000002E-3</v>
      </c>
      <c r="AO107" s="30">
        <f t="shared" si="49"/>
        <v>1.4000000000000004E-2</v>
      </c>
      <c r="AP107" s="5">
        <f t="shared" si="50"/>
        <v>0.18</v>
      </c>
      <c r="AQ107" s="25">
        <v>0</v>
      </c>
    </row>
    <row r="108" spans="2:43">
      <c r="B108" s="38">
        <v>20000</v>
      </c>
      <c r="C108" s="3">
        <v>0</v>
      </c>
      <c r="D108" s="3">
        <f t="shared" si="61"/>
        <v>0.8500000000000002</v>
      </c>
      <c r="E108" s="13" cm="1">
        <f t="array" ref="E108">((B108-INDEX($AT$4:$AW$53,MATCH(B108,$AT$4:$AT$53,1),1))/(INDEX($AT$4:$AW$53,MATCH(B108,$AT$4:$AT$53,1)+1,1)-INDEX($AT$4:$AW$53,MATCH(B108,$AT$4:$AT$53,1),1)))*(INDEX($AT$4:$AW$53,MATCH(B108,$AT$4:$AT$53,1)+1,4)-INDEX($AT$4:$AW$53,MATCH(B108,$AT$4:$AT$53,1),4))+INDEX($AT$4:$AW$53,MATCH(B108,$AT$4:$AT$53,1),4)</f>
        <v>46.617121225052124</v>
      </c>
      <c r="F108" s="13" cm="1">
        <f t="array" ref="F108">C108+((B108-INDEX($AT$4:$AW$53,MATCH(B108,$AT$4:$AT$53,1),1))/(INDEX($AT$4:$AW$53,MATCH(B108,$AT$4:$AT$53,1)+1,1)-INDEX($AT$4:$AW$53,MATCH(B108,$AT$4:$AT$53,1),1)))*(INDEX($AT$4:$AW$53,MATCH(B108,$AT$4:$AT$53,1)+1,3)-INDEX($AT$4:$AW$53,MATCH(B108,$AT$4:$AT$53,1),3))+INDEX($AT$4:$AW$53,MATCH(B108,$AT$4:$AT$53,1),3)</f>
        <v>248.56640128747514</v>
      </c>
      <c r="G108" s="4">
        <f t="shared" si="34"/>
        <v>0.65346319122051488</v>
      </c>
      <c r="H108" s="6">
        <f t="shared" si="52"/>
        <v>20000</v>
      </c>
      <c r="I108" s="13">
        <f t="shared" si="35"/>
        <v>268.62418092374838</v>
      </c>
      <c r="J108" s="13">
        <f t="shared" si="53"/>
        <v>522.16242784681901</v>
      </c>
      <c r="K108" s="13">
        <f t="shared" si="36"/>
        <v>381.33629065640412</v>
      </c>
      <c r="L108" s="13">
        <f t="shared" si="54"/>
        <v>398.36674229548214</v>
      </c>
      <c r="M108" s="13">
        <f t="shared" si="55"/>
        <v>28.148292399811517</v>
      </c>
      <c r="N108" s="13">
        <f t="shared" si="56"/>
        <v>23.576609059570121</v>
      </c>
      <c r="O108" s="4">
        <f t="shared" si="37"/>
        <v>1.1445000000000001</v>
      </c>
      <c r="P108" s="4">
        <f t="shared" si="38"/>
        <v>1.6038187614357571</v>
      </c>
      <c r="Q108" s="4">
        <f t="shared" si="39"/>
        <v>0.98727831432766044</v>
      </c>
      <c r="R108" s="4">
        <f t="shared" si="40"/>
        <v>0.73787726252024322</v>
      </c>
      <c r="S108" s="4">
        <f t="shared" si="41"/>
        <v>0.53334108190382346</v>
      </c>
      <c r="T108" s="1"/>
      <c r="U108" s="1"/>
      <c r="V108" s="1">
        <v>1</v>
      </c>
      <c r="W108" s="1">
        <v>1</v>
      </c>
      <c r="Y108" s="1">
        <f t="shared" si="57"/>
        <v>0.16869805205796784</v>
      </c>
      <c r="Z108" s="1">
        <f t="shared" si="58"/>
        <v>31.682919194004381</v>
      </c>
      <c r="AB108" s="130">
        <v>1</v>
      </c>
      <c r="AC108" s="128">
        <f t="shared" si="42"/>
        <v>0.5054631887989498</v>
      </c>
      <c r="AD108" s="4">
        <f t="shared" si="43"/>
        <v>0.73787726252024322</v>
      </c>
      <c r="AE108" s="4">
        <f t="shared" si="44"/>
        <v>1.2297954375337388</v>
      </c>
      <c r="AF108" s="32">
        <f t="shared" si="45"/>
        <v>0.80362512876794212</v>
      </c>
      <c r="AG108" s="4">
        <f t="shared" si="46"/>
        <v>1.0727385423021938</v>
      </c>
      <c r="AH108" s="42">
        <f t="shared" si="47"/>
        <v>1.6991992754475009</v>
      </c>
      <c r="AJ108" s="23">
        <v>4</v>
      </c>
      <c r="AK108" s="24">
        <v>0.8</v>
      </c>
      <c r="AL108" s="5">
        <f t="shared" si="48"/>
        <v>3.5100000000000048E-2</v>
      </c>
      <c r="AM108" s="5">
        <f t="shared" si="59"/>
        <v>0.1194718394324346</v>
      </c>
      <c r="AN108" s="25">
        <f t="shared" si="60"/>
        <v>-8.0000000000000002E-3</v>
      </c>
      <c r="AO108" s="30">
        <f t="shared" si="49"/>
        <v>1.5750000000000007E-2</v>
      </c>
      <c r="AP108" s="5">
        <f t="shared" si="50"/>
        <v>0.18</v>
      </c>
      <c r="AQ108" s="25">
        <v>0</v>
      </c>
    </row>
    <row r="109" spans="2:43">
      <c r="B109" s="38">
        <v>20000</v>
      </c>
      <c r="C109" s="3">
        <v>0</v>
      </c>
      <c r="D109" s="3">
        <f t="shared" si="61"/>
        <v>0.90000000000000024</v>
      </c>
      <c r="E109" s="13" cm="1">
        <f t="array" ref="E109">((B109-INDEX($AT$4:$AW$53,MATCH(B109,$AT$4:$AT$53,1),1))/(INDEX($AT$4:$AW$53,MATCH(B109,$AT$4:$AT$53,1)+1,1)-INDEX($AT$4:$AW$53,MATCH(B109,$AT$4:$AT$53,1),1)))*(INDEX($AT$4:$AW$53,MATCH(B109,$AT$4:$AT$53,1)+1,4)-INDEX($AT$4:$AW$53,MATCH(B109,$AT$4:$AT$53,1),4))+INDEX($AT$4:$AW$53,MATCH(B109,$AT$4:$AT$53,1),4)</f>
        <v>46.617121225052124</v>
      </c>
      <c r="F109" s="13" cm="1">
        <f t="array" ref="F109">C109+((B109-INDEX($AT$4:$AW$53,MATCH(B109,$AT$4:$AT$53,1),1))/(INDEX($AT$4:$AW$53,MATCH(B109,$AT$4:$AT$53,1)+1,1)-INDEX($AT$4:$AW$53,MATCH(B109,$AT$4:$AT$53,1),1)))*(INDEX($AT$4:$AW$53,MATCH(B109,$AT$4:$AT$53,1)+1,3)-INDEX($AT$4:$AW$53,MATCH(B109,$AT$4:$AT$53,1),3))+INDEX($AT$4:$AW$53,MATCH(B109,$AT$4:$AT$53,1),3)</f>
        <v>248.56640128747514</v>
      </c>
      <c r="G109" s="4">
        <f t="shared" si="34"/>
        <v>0.65346319122051488</v>
      </c>
      <c r="H109" s="6">
        <f t="shared" si="52"/>
        <v>20000</v>
      </c>
      <c r="I109" s="13">
        <f t="shared" si="35"/>
        <v>284.42560333102773</v>
      </c>
      <c r="J109" s="13">
        <f t="shared" si="53"/>
        <v>552.87786477898499</v>
      </c>
      <c r="K109" s="13">
        <f t="shared" si="36"/>
        <v>403.76783716560448</v>
      </c>
      <c r="L109" s="13">
        <f t="shared" si="54"/>
        <v>423.76464508582785</v>
      </c>
      <c r="M109" s="13">
        <f t="shared" si="55"/>
        <v>32.226561015027741</v>
      </c>
      <c r="N109" s="13">
        <f t="shared" si="56"/>
        <v>26.431907734604568</v>
      </c>
      <c r="O109" s="4">
        <f t="shared" si="37"/>
        <v>1.1619999999999999</v>
      </c>
      <c r="P109" s="4">
        <f t="shared" si="38"/>
        <v>1.691303112850931</v>
      </c>
      <c r="Q109" s="4">
        <f t="shared" si="39"/>
        <v>1.0023743130176856</v>
      </c>
      <c r="R109" s="4">
        <f t="shared" si="40"/>
        <v>0.77812664436298906</v>
      </c>
      <c r="S109" s="4">
        <f t="shared" si="41"/>
        <v>0.53334108190382346</v>
      </c>
      <c r="T109" s="1"/>
      <c r="U109" s="1"/>
      <c r="V109" s="1">
        <v>1</v>
      </c>
      <c r="W109" s="1">
        <v>1</v>
      </c>
      <c r="Y109" s="1">
        <f t="shared" si="57"/>
        <v>-42.122946823885947</v>
      </c>
      <c r="Z109" s="1">
        <f t="shared" si="58"/>
        <v>32.69526514429289</v>
      </c>
      <c r="AB109" s="130">
        <v>1</v>
      </c>
      <c r="AC109" s="128">
        <f t="shared" si="42"/>
        <v>0.50359216913646399</v>
      </c>
      <c r="AD109" s="4">
        <f t="shared" si="43"/>
        <v>0.77812664436298906</v>
      </c>
      <c r="AE109" s="4">
        <f t="shared" si="44"/>
        <v>1.2968777406049818</v>
      </c>
      <c r="AF109" s="32">
        <f t="shared" si="45"/>
        <v>0.82870213365292855</v>
      </c>
      <c r="AG109" s="4">
        <f t="shared" si="46"/>
        <v>1.0866702116827418</v>
      </c>
      <c r="AH109" s="42">
        <f t="shared" si="47"/>
        <v>1.711737777889994</v>
      </c>
      <c r="AJ109" s="23">
        <v>4</v>
      </c>
      <c r="AK109" s="24">
        <v>0.8</v>
      </c>
      <c r="AL109" s="5">
        <f t="shared" si="48"/>
        <v>4.9400000000000062E-2</v>
      </c>
      <c r="AM109" s="5">
        <f t="shared" si="59"/>
        <v>0.1194718394324346</v>
      </c>
      <c r="AN109" s="25">
        <f t="shared" si="60"/>
        <v>-8.0000000000000002E-3</v>
      </c>
      <c r="AO109" s="30">
        <f t="shared" si="49"/>
        <v>1.7500000000000009E-2</v>
      </c>
      <c r="AP109" s="5">
        <f t="shared" si="50"/>
        <v>0.18</v>
      </c>
      <c r="AQ109" s="25">
        <v>0</v>
      </c>
    </row>
    <row r="110" spans="2:43">
      <c r="B110" s="38">
        <v>20000</v>
      </c>
      <c r="C110" s="3">
        <v>0</v>
      </c>
      <c r="D110" s="3">
        <f t="shared" si="61"/>
        <v>0.95000000000000029</v>
      </c>
      <c r="E110" s="13" cm="1">
        <f t="array" ref="E110">((B110-INDEX($AT$4:$AW$53,MATCH(B110,$AT$4:$AT$53,1),1))/(INDEX($AT$4:$AW$53,MATCH(B110,$AT$4:$AT$53,1)+1,1)-INDEX($AT$4:$AW$53,MATCH(B110,$AT$4:$AT$53,1),1)))*(INDEX($AT$4:$AW$53,MATCH(B110,$AT$4:$AT$53,1)+1,4)-INDEX($AT$4:$AW$53,MATCH(B110,$AT$4:$AT$53,1),4))+INDEX($AT$4:$AW$53,MATCH(B110,$AT$4:$AT$53,1),4)</f>
        <v>46.617121225052124</v>
      </c>
      <c r="F110" s="13" cm="1">
        <f t="array" ref="F110">C110+((B110-INDEX($AT$4:$AW$53,MATCH(B110,$AT$4:$AT$53,1),1))/(INDEX($AT$4:$AW$53,MATCH(B110,$AT$4:$AT$53,1)+1,1)-INDEX($AT$4:$AW$53,MATCH(B110,$AT$4:$AT$53,1),1)))*(INDEX($AT$4:$AW$53,MATCH(B110,$AT$4:$AT$53,1)+1,3)-INDEX($AT$4:$AW$53,MATCH(B110,$AT$4:$AT$53,1),3))+INDEX($AT$4:$AW$53,MATCH(B110,$AT$4:$AT$53,1),3)</f>
        <v>248.56640128747514</v>
      </c>
      <c r="G110" s="4">
        <f t="shared" si="34"/>
        <v>0.65346319122051488</v>
      </c>
      <c r="H110" s="6">
        <f t="shared" si="52"/>
        <v>20000</v>
      </c>
      <c r="I110" s="13">
        <f t="shared" si="35"/>
        <v>300.22702573830702</v>
      </c>
      <c r="J110" s="13">
        <f t="shared" si="53"/>
        <v>583.59330171115073</v>
      </c>
      <c r="K110" s="13">
        <f t="shared" si="36"/>
        <v>426.19938367480466</v>
      </c>
      <c r="L110" s="13">
        <f t="shared" si="54"/>
        <v>449.44718899686819</v>
      </c>
      <c r="M110" s="13">
        <f t="shared" si="55"/>
        <v>36.708089514541406</v>
      </c>
      <c r="N110" s="13">
        <f t="shared" si="56"/>
        <v>29.450366333926684</v>
      </c>
      <c r="O110" s="4">
        <f t="shared" si="37"/>
        <v>1.1805000000000001</v>
      </c>
      <c r="P110" s="4">
        <f t="shared" si="38"/>
        <v>1.7874379315987108</v>
      </c>
      <c r="Q110" s="4">
        <f t="shared" si="39"/>
        <v>1.018332940204284</v>
      </c>
      <c r="R110" s="4">
        <f t="shared" si="40"/>
        <v>0.82235589182919844</v>
      </c>
      <c r="S110" s="4">
        <f t="shared" si="41"/>
        <v>0.53334108190382346</v>
      </c>
      <c r="T110" s="1"/>
      <c r="U110" s="1"/>
      <c r="V110" s="1">
        <v>1</v>
      </c>
      <c r="W110" s="1">
        <v>1</v>
      </c>
      <c r="Y110" s="1">
        <f t="shared" si="57"/>
        <v>-98.326430936561337</v>
      </c>
      <c r="Z110" s="1">
        <f t="shared" si="58"/>
        <v>33.663825207918599</v>
      </c>
      <c r="AB110" s="130">
        <v>1</v>
      </c>
      <c r="AC110" s="128">
        <f t="shared" si="42"/>
        <v>0.50177243958633722</v>
      </c>
      <c r="AD110" s="4">
        <f t="shared" si="43"/>
        <v>0.82235589182919844</v>
      </c>
      <c r="AE110" s="4">
        <f t="shared" si="44"/>
        <v>1.3705931530486641</v>
      </c>
      <c r="AF110" s="32">
        <f t="shared" si="45"/>
        <v>0.85377913853791498</v>
      </c>
      <c r="AG110" s="4">
        <f t="shared" si="46"/>
        <v>1.1006018810632896</v>
      </c>
      <c r="AH110" s="42">
        <f t="shared" si="47"/>
        <v>1.7242762803324874</v>
      </c>
      <c r="AJ110" s="23">
        <v>4</v>
      </c>
      <c r="AK110" s="24">
        <v>0.8</v>
      </c>
      <c r="AL110" s="5">
        <f t="shared" si="48"/>
        <v>6.3700000000000062E-2</v>
      </c>
      <c r="AM110" s="5">
        <f t="shared" si="59"/>
        <v>0.1194718394324346</v>
      </c>
      <c r="AN110" s="25">
        <f t="shared" si="60"/>
        <v>-8.0000000000000002E-3</v>
      </c>
      <c r="AO110" s="30">
        <f t="shared" si="49"/>
        <v>1.925000000000001E-2</v>
      </c>
      <c r="AP110" s="5">
        <f t="shared" si="50"/>
        <v>0.18</v>
      </c>
      <c r="AQ110" s="25">
        <v>0</v>
      </c>
    </row>
    <row r="111" spans="2:43" ht="15" thickBot="1">
      <c r="B111" s="39">
        <v>20000</v>
      </c>
      <c r="C111" s="48">
        <v>0</v>
      </c>
      <c r="D111" s="48">
        <f t="shared" si="61"/>
        <v>1.0000000000000002</v>
      </c>
      <c r="E111" s="152" cm="1">
        <f t="array" ref="E111">((B111-INDEX($AT$4:$AW$53,MATCH(B111,$AT$4:$AT$53,1),1))/(INDEX($AT$4:$AW$53,MATCH(B111,$AT$4:$AT$53,1)+1,1)-INDEX($AT$4:$AW$53,MATCH(B111,$AT$4:$AT$53,1),1)))*(INDEX($AT$4:$AW$53,MATCH(B111,$AT$4:$AT$53,1)+1,4)-INDEX($AT$4:$AW$53,MATCH(B111,$AT$4:$AT$53,1),4))+INDEX($AT$4:$AW$53,MATCH(B111,$AT$4:$AT$53,1),4)</f>
        <v>46.617121225052124</v>
      </c>
      <c r="F111" s="152" cm="1">
        <f t="array" ref="F111">C111+((B111-INDEX($AT$4:$AW$53,MATCH(B111,$AT$4:$AT$53,1),1))/(INDEX($AT$4:$AW$53,MATCH(B111,$AT$4:$AT$53,1)+1,1)-INDEX($AT$4:$AW$53,MATCH(B111,$AT$4:$AT$53,1),1)))*(INDEX($AT$4:$AW$53,MATCH(B111,$AT$4:$AT$53,1)+1,3)-INDEX($AT$4:$AW$53,MATCH(B111,$AT$4:$AT$53,1),3))+INDEX($AT$4:$AW$53,MATCH(B111,$AT$4:$AT$53,1),3)</f>
        <v>248.56640128747514</v>
      </c>
      <c r="G111" s="43">
        <f t="shared" si="34"/>
        <v>0.65346319122051488</v>
      </c>
      <c r="H111" s="153">
        <f t="shared" si="52"/>
        <v>20000</v>
      </c>
      <c r="I111" s="152">
        <f t="shared" si="35"/>
        <v>316.02844814558631</v>
      </c>
      <c r="J111" s="152">
        <f t="shared" si="53"/>
        <v>614.30873864331647</v>
      </c>
      <c r="K111" s="152">
        <f t="shared" si="36"/>
        <v>448.63093018400485</v>
      </c>
      <c r="L111" s="152">
        <f t="shared" si="54"/>
        <v>475.4167169588826</v>
      </c>
      <c r="M111" s="152">
        <f t="shared" si="55"/>
        <v>41.62578683826635</v>
      </c>
      <c r="N111" s="152">
        <f t="shared" si="56"/>
        <v>32.631984857536494</v>
      </c>
      <c r="O111" s="43">
        <f t="shared" si="37"/>
        <v>1.2</v>
      </c>
      <c r="P111" s="43">
        <f t="shared" si="38"/>
        <v>1.8929291587378541</v>
      </c>
      <c r="Q111" s="43">
        <f t="shared" si="39"/>
        <v>1.0351541958874551</v>
      </c>
      <c r="R111" s="43">
        <f t="shared" si="40"/>
        <v>0.87088979090371066</v>
      </c>
      <c r="S111" s="43">
        <f t="shared" si="41"/>
        <v>0.53334108190382346</v>
      </c>
      <c r="T111" s="98"/>
      <c r="U111" s="98"/>
      <c r="V111" s="98">
        <v>1</v>
      </c>
      <c r="W111" s="98">
        <v>1</v>
      </c>
      <c r="X111" s="104"/>
      <c r="Y111" s="98">
        <f t="shared" si="57"/>
        <v>-170.61001243377632</v>
      </c>
      <c r="Z111" s="1">
        <f t="shared" si="58"/>
        <v>34.652571841062347</v>
      </c>
      <c r="AB111" s="130">
        <v>1</v>
      </c>
      <c r="AC111" s="128">
        <f t="shared" si="42"/>
        <v>0.5</v>
      </c>
      <c r="AD111" s="4">
        <f t="shared" si="43"/>
        <v>0.87088979090371066</v>
      </c>
      <c r="AE111" s="4">
        <f t="shared" si="44"/>
        <v>1.4514829848395179</v>
      </c>
      <c r="AF111" s="32">
        <f t="shared" si="45"/>
        <v>0.8788561434229013</v>
      </c>
      <c r="AG111" s="4">
        <f t="shared" si="46"/>
        <v>1.1145335504438378</v>
      </c>
      <c r="AH111" s="42">
        <f t="shared" si="47"/>
        <v>1.7368147827749805</v>
      </c>
      <c r="AJ111" s="23">
        <v>4</v>
      </c>
      <c r="AK111" s="24">
        <v>0.8</v>
      </c>
      <c r="AL111" s="5">
        <f t="shared" si="48"/>
        <v>7.8000000000000042E-2</v>
      </c>
      <c r="AM111" s="5">
        <f t="shared" si="59"/>
        <v>0.1194718394324346</v>
      </c>
      <c r="AN111" s="25">
        <f t="shared" si="60"/>
        <v>-8.0000000000000002E-3</v>
      </c>
      <c r="AO111" s="30">
        <f t="shared" si="49"/>
        <v>2.1000000000000008E-2</v>
      </c>
      <c r="AP111" s="5">
        <f t="shared" si="50"/>
        <v>0.18</v>
      </c>
      <c r="AQ111" s="25">
        <v>0</v>
      </c>
    </row>
    <row r="112" spans="2:43">
      <c r="B112" s="146">
        <v>25000</v>
      </c>
      <c r="C112" s="147">
        <v>0</v>
      </c>
      <c r="D112" s="147">
        <v>0.01</v>
      </c>
      <c r="E112" s="148" cm="1">
        <f t="array" ref="E112">((B112-INDEX($AT$4:$AW$53,MATCH(B112,$AT$4:$AT$53,1),1))/(INDEX($AT$4:$AW$53,MATCH(B112,$AT$4:$AT$53,1)+1,1)-INDEX($AT$4:$AW$53,MATCH(B112,$AT$4:$AT$53,1),1)))*(INDEX($AT$4:$AW$53,MATCH(B112,$AT$4:$AT$53,1)+1,4)-INDEX($AT$4:$AW$53,MATCH(B112,$AT$4:$AT$53,1),4))+INDEX($AT$4:$AW$53,MATCH(B112,$AT$4:$AT$53,1),4)</f>
        <v>37.664001292351955</v>
      </c>
      <c r="F112" s="148" cm="1">
        <f t="array" ref="F112">C112+((B112-INDEX($AT$4:$AW$53,MATCH(B112,$AT$4:$AT$53,1),1))/(INDEX($AT$4:$AW$53,MATCH(B112,$AT$4:$AT$53,1)+1,1)-INDEX($AT$4:$AW$53,MATCH(B112,$AT$4:$AT$53,1),1)))*(INDEX($AT$4:$AW$53,MATCH(B112,$AT$4:$AT$53,1)+1,3)-INDEX($AT$4:$AW$53,MATCH(B112,$AT$4:$AT$53,1),3))+INDEX($AT$4:$AW$53,MATCH(B112,$AT$4:$AT$53,1),3)</f>
        <v>238.70800160934394</v>
      </c>
      <c r="G112" s="149">
        <f t="shared" si="34"/>
        <v>0.54976562618579361</v>
      </c>
      <c r="H112" s="150">
        <f t="shared" si="52"/>
        <v>25000</v>
      </c>
      <c r="I112" s="148">
        <f t="shared" si="35"/>
        <v>3.0969803849335951</v>
      </c>
      <c r="J112" s="148">
        <f t="shared" si="53"/>
        <v>6.0200343514493193</v>
      </c>
      <c r="K112" s="148">
        <f t="shared" si="36"/>
        <v>4.032549570572292</v>
      </c>
      <c r="L112" s="148">
        <f t="shared" si="54"/>
        <v>4.0325812401944843</v>
      </c>
      <c r="M112" s="148">
        <f t="shared" si="55"/>
        <v>2.6365460031168558E-3</v>
      </c>
      <c r="N112" s="148">
        <f t="shared" si="56"/>
        <v>2.6364800904646367E-3</v>
      </c>
      <c r="O112" s="149">
        <f t="shared" si="37"/>
        <v>1.0000199999999999</v>
      </c>
      <c r="P112" s="149">
        <f t="shared" si="38"/>
        <v>1.0000700017500173</v>
      </c>
      <c r="Q112" s="149">
        <f t="shared" si="39"/>
        <v>0.8284323295831203</v>
      </c>
      <c r="R112" s="149">
        <f t="shared" si="40"/>
        <v>0.37174081261638364</v>
      </c>
      <c r="S112" s="149">
        <f t="shared" si="41"/>
        <v>0.44870560087066619</v>
      </c>
      <c r="T112" s="151"/>
      <c r="U112" s="151"/>
      <c r="V112" s="151">
        <v>1</v>
      </c>
      <c r="W112" s="151">
        <v>1</v>
      </c>
      <c r="X112" s="125"/>
      <c r="Y112" s="151">
        <f t="shared" si="57"/>
        <v>-402.82145303524737</v>
      </c>
      <c r="Z112" s="1">
        <f t="shared" si="58"/>
        <v>-402.82145303524737</v>
      </c>
      <c r="AB112" s="130">
        <v>1</v>
      </c>
      <c r="AC112" s="128">
        <f t="shared" si="42"/>
        <v>0.56299999999999994</v>
      </c>
      <c r="AD112" s="4">
        <f t="shared" si="43"/>
        <v>0.37174081261638364</v>
      </c>
      <c r="AE112" s="4">
        <f t="shared" si="44"/>
        <v>0.61956802102730613</v>
      </c>
      <c r="AF112" s="32">
        <f t="shared" si="45"/>
        <v>0.37467291249306867</v>
      </c>
      <c r="AG112" s="4">
        <f t="shared" si="46"/>
        <v>0.82188665123585813</v>
      </c>
      <c r="AH112" s="42">
        <f t="shared" si="47"/>
        <v>1.4587350342588148</v>
      </c>
      <c r="AJ112" s="23">
        <v>4</v>
      </c>
      <c r="AK112" s="24">
        <v>0.8</v>
      </c>
      <c r="AL112" s="5">
        <f t="shared" si="48"/>
        <v>2.0799999999999999E-2</v>
      </c>
      <c r="AM112" s="5">
        <f t="shared" si="59"/>
        <v>0.1194718394324346</v>
      </c>
      <c r="AN112" s="25">
        <f t="shared" si="60"/>
        <v>-8.0000000000000002E-3</v>
      </c>
      <c r="AO112" s="30">
        <f t="shared" si="49"/>
        <v>1.4E-2</v>
      </c>
      <c r="AP112" s="5">
        <f t="shared" si="50"/>
        <v>0.18</v>
      </c>
      <c r="AQ112" s="25">
        <v>0</v>
      </c>
    </row>
    <row r="113" spans="2:43">
      <c r="B113" s="38">
        <v>25000</v>
      </c>
      <c r="C113" s="3">
        <v>0</v>
      </c>
      <c r="D113" s="3">
        <v>0.05</v>
      </c>
      <c r="E113" s="13" cm="1">
        <f t="array" ref="E113">((B113-INDEX($AT$4:$AW$53,MATCH(B113,$AT$4:$AT$53,1),1))/(INDEX($AT$4:$AW$53,MATCH(B113,$AT$4:$AT$53,1)+1,1)-INDEX($AT$4:$AW$53,MATCH(B113,$AT$4:$AT$53,1),1)))*(INDEX($AT$4:$AW$53,MATCH(B113,$AT$4:$AT$53,1)+1,4)-INDEX($AT$4:$AW$53,MATCH(B113,$AT$4:$AT$53,1),4))+INDEX($AT$4:$AW$53,MATCH(B113,$AT$4:$AT$53,1),4)</f>
        <v>37.664001292351955</v>
      </c>
      <c r="F113" s="13" cm="1">
        <f t="array" ref="F113">C113+((B113-INDEX($AT$4:$AW$53,MATCH(B113,$AT$4:$AT$53,1),1))/(INDEX($AT$4:$AW$53,MATCH(B113,$AT$4:$AT$53,1)+1,1)-INDEX($AT$4:$AW$53,MATCH(B113,$AT$4:$AT$53,1),1)))*(INDEX($AT$4:$AW$53,MATCH(B113,$AT$4:$AT$53,1)+1,3)-INDEX($AT$4:$AW$53,MATCH(B113,$AT$4:$AT$53,1),3))+INDEX($AT$4:$AW$53,MATCH(B113,$AT$4:$AT$53,1),3)</f>
        <v>238.70800160934394</v>
      </c>
      <c r="G113" s="4">
        <f t="shared" si="34"/>
        <v>0.54976562618579361</v>
      </c>
      <c r="H113" s="6">
        <f t="shared" si="52"/>
        <v>25000</v>
      </c>
      <c r="I113" s="13">
        <f t="shared" si="35"/>
        <v>15.484901924667975</v>
      </c>
      <c r="J113" s="13">
        <f t="shared" si="53"/>
        <v>30.100171757246596</v>
      </c>
      <c r="K113" s="13">
        <f t="shared" si="36"/>
        <v>20.162747852861457</v>
      </c>
      <c r="L113" s="13">
        <f t="shared" si="54"/>
        <v>20.166705718591544</v>
      </c>
      <c r="M113" s="13">
        <f t="shared" si="55"/>
        <v>6.5953207562416821E-2</v>
      </c>
      <c r="N113" s="13">
        <f t="shared" si="56"/>
        <v>6.5912002261615907E-2</v>
      </c>
      <c r="O113" s="4">
        <f t="shared" si="37"/>
        <v>1.0004999999999999</v>
      </c>
      <c r="P113" s="4">
        <f t="shared" si="38"/>
        <v>1.0017510940234544</v>
      </c>
      <c r="Q113" s="4">
        <f t="shared" si="39"/>
        <v>0.82882996914852891</v>
      </c>
      <c r="R113" s="4">
        <f t="shared" si="40"/>
        <v>0.37236569948102016</v>
      </c>
      <c r="S113" s="4">
        <f t="shared" si="41"/>
        <v>0.44870560087066619</v>
      </c>
      <c r="T113" s="1"/>
      <c r="U113" s="1"/>
      <c r="V113" s="1">
        <v>1</v>
      </c>
      <c r="W113" s="1">
        <v>1</v>
      </c>
      <c r="Y113" s="1">
        <f t="shared" si="57"/>
        <v>-78.238425335614451</v>
      </c>
      <c r="Z113" s="1">
        <f t="shared" si="58"/>
        <v>-78.238425335614451</v>
      </c>
      <c r="AB113" s="130">
        <v>1</v>
      </c>
      <c r="AC113" s="128">
        <f t="shared" si="42"/>
        <v>0.55434752415750155</v>
      </c>
      <c r="AD113" s="4">
        <f t="shared" si="43"/>
        <v>0.37236569948102016</v>
      </c>
      <c r="AE113" s="4">
        <f t="shared" si="44"/>
        <v>0.6206094991350336</v>
      </c>
      <c r="AF113" s="32">
        <f t="shared" si="45"/>
        <v>0.39433265963226527</v>
      </c>
      <c r="AG113" s="4">
        <f t="shared" si="46"/>
        <v>0.83280873297985625</v>
      </c>
      <c r="AH113" s="42">
        <f t="shared" si="47"/>
        <v>1.4685649078284133</v>
      </c>
      <c r="AJ113" s="23">
        <v>4</v>
      </c>
      <c r="AK113" s="24">
        <v>0.8</v>
      </c>
      <c r="AL113" s="5">
        <f t="shared" si="48"/>
        <v>2.0799999999999999E-2</v>
      </c>
      <c r="AM113" s="5">
        <f t="shared" si="59"/>
        <v>0.1194718394324346</v>
      </c>
      <c r="AN113" s="25">
        <f t="shared" si="60"/>
        <v>-8.0000000000000002E-3</v>
      </c>
      <c r="AO113" s="30">
        <f t="shared" si="49"/>
        <v>1.4E-2</v>
      </c>
      <c r="AP113" s="5">
        <f t="shared" si="50"/>
        <v>0.18</v>
      </c>
      <c r="AQ113" s="25">
        <v>0</v>
      </c>
    </row>
    <row r="114" spans="2:43">
      <c r="B114" s="38">
        <v>25000</v>
      </c>
      <c r="C114" s="3">
        <v>0</v>
      </c>
      <c r="D114" s="3">
        <f t="shared" ref="D114:D132" si="62">D113+0.05</f>
        <v>0.1</v>
      </c>
      <c r="E114" s="13" cm="1">
        <f t="array" ref="E114">((B114-INDEX($AT$4:$AW$53,MATCH(B114,$AT$4:$AT$53,1),1))/(INDEX($AT$4:$AW$53,MATCH(B114,$AT$4:$AT$53,1)+1,1)-INDEX($AT$4:$AW$53,MATCH(B114,$AT$4:$AT$53,1),1)))*(INDEX($AT$4:$AW$53,MATCH(B114,$AT$4:$AT$53,1)+1,4)-INDEX($AT$4:$AW$53,MATCH(B114,$AT$4:$AT$53,1),4))+INDEX($AT$4:$AW$53,MATCH(B114,$AT$4:$AT$53,1),4)</f>
        <v>37.664001292351955</v>
      </c>
      <c r="F114" s="13" cm="1">
        <f t="array" ref="F114">C114+((B114-INDEX($AT$4:$AW$53,MATCH(B114,$AT$4:$AT$53,1),1))/(INDEX($AT$4:$AW$53,MATCH(B114,$AT$4:$AT$53,1)+1,1)-INDEX($AT$4:$AW$53,MATCH(B114,$AT$4:$AT$53,1),1)))*(INDEX($AT$4:$AW$53,MATCH(B114,$AT$4:$AT$53,1)+1,3)-INDEX($AT$4:$AW$53,MATCH(B114,$AT$4:$AT$53,1),3))+INDEX($AT$4:$AW$53,MATCH(B114,$AT$4:$AT$53,1),3)</f>
        <v>238.70800160934394</v>
      </c>
      <c r="G114" s="4">
        <f t="shared" si="34"/>
        <v>0.54976562618579361</v>
      </c>
      <c r="H114" s="6">
        <f t="shared" si="52"/>
        <v>25000</v>
      </c>
      <c r="I114" s="13">
        <f t="shared" si="35"/>
        <v>30.96980384933595</v>
      </c>
      <c r="J114" s="13">
        <f t="shared" si="53"/>
        <v>60.200343514493191</v>
      </c>
      <c r="K114" s="13">
        <f t="shared" si="36"/>
        <v>40.325495705722915</v>
      </c>
      <c r="L114" s="13">
        <f t="shared" si="54"/>
        <v>40.357137724963813</v>
      </c>
      <c r="M114" s="13">
        <f t="shared" si="55"/>
        <v>0.26430778835384749</v>
      </c>
      <c r="N114" s="13">
        <f t="shared" si="56"/>
        <v>0.26364800904646363</v>
      </c>
      <c r="O114" s="4">
        <f t="shared" si="37"/>
        <v>1.002</v>
      </c>
      <c r="P114" s="4">
        <f t="shared" si="38"/>
        <v>1.0070175175043741</v>
      </c>
      <c r="Q114" s="4">
        <f t="shared" si="39"/>
        <v>0.83007259279043077</v>
      </c>
      <c r="R114" s="4">
        <f t="shared" si="40"/>
        <v>0.37432330698944782</v>
      </c>
      <c r="S114" s="4">
        <f t="shared" si="41"/>
        <v>0.44870560087066619</v>
      </c>
      <c r="T114" s="1"/>
      <c r="U114" s="1"/>
      <c r="V114" s="1">
        <v>1</v>
      </c>
      <c r="W114" s="1">
        <v>1</v>
      </c>
      <c r="Y114" s="1">
        <f t="shared" si="57"/>
        <v>-35.504919422904926</v>
      </c>
      <c r="Z114" s="1">
        <f t="shared" si="58"/>
        <v>-35.504919422904926</v>
      </c>
      <c r="AB114" s="130">
        <v>1</v>
      </c>
      <c r="AC114" s="128">
        <f t="shared" si="42"/>
        <v>0.5478640563788213</v>
      </c>
      <c r="AD114" s="4">
        <f t="shared" si="43"/>
        <v>0.37432330698944782</v>
      </c>
      <c r="AE114" s="4">
        <f t="shared" si="44"/>
        <v>0.62387217831574637</v>
      </c>
      <c r="AF114" s="32">
        <f t="shared" si="45"/>
        <v>0.41890734355626102</v>
      </c>
      <c r="AG114" s="4">
        <f t="shared" si="46"/>
        <v>0.84646133515985389</v>
      </c>
      <c r="AH114" s="42">
        <f t="shared" si="47"/>
        <v>1.4808522497904111</v>
      </c>
      <c r="AJ114" s="23">
        <v>4</v>
      </c>
      <c r="AK114" s="24">
        <v>0.8</v>
      </c>
      <c r="AL114" s="5">
        <f t="shared" si="48"/>
        <v>2.0799999999999999E-2</v>
      </c>
      <c r="AM114" s="5">
        <f t="shared" si="59"/>
        <v>0.1194718394324346</v>
      </c>
      <c r="AN114" s="25">
        <f t="shared" si="60"/>
        <v>-8.0000000000000002E-3</v>
      </c>
      <c r="AO114" s="30">
        <f t="shared" si="49"/>
        <v>1.4E-2</v>
      </c>
      <c r="AP114" s="5">
        <f t="shared" si="50"/>
        <v>0.18</v>
      </c>
      <c r="AQ114" s="25">
        <v>0</v>
      </c>
    </row>
    <row r="115" spans="2:43">
      <c r="B115" s="38">
        <v>25000</v>
      </c>
      <c r="C115" s="3">
        <v>0</v>
      </c>
      <c r="D115" s="3">
        <f t="shared" si="62"/>
        <v>0.15000000000000002</v>
      </c>
      <c r="E115" s="13" cm="1">
        <f t="array" ref="E115">((B115-INDEX($AT$4:$AW$53,MATCH(B115,$AT$4:$AT$53,1),1))/(INDEX($AT$4:$AW$53,MATCH(B115,$AT$4:$AT$53,1)+1,1)-INDEX($AT$4:$AW$53,MATCH(B115,$AT$4:$AT$53,1),1)))*(INDEX($AT$4:$AW$53,MATCH(B115,$AT$4:$AT$53,1)+1,4)-INDEX($AT$4:$AW$53,MATCH(B115,$AT$4:$AT$53,1),4))+INDEX($AT$4:$AW$53,MATCH(B115,$AT$4:$AT$53,1),4)</f>
        <v>37.664001292351955</v>
      </c>
      <c r="F115" s="13" cm="1">
        <f t="array" ref="F115">C115+((B115-INDEX($AT$4:$AW$53,MATCH(B115,$AT$4:$AT$53,1),1))/(INDEX($AT$4:$AW$53,MATCH(B115,$AT$4:$AT$53,1)+1,1)-INDEX($AT$4:$AW$53,MATCH(B115,$AT$4:$AT$53,1),1)))*(INDEX($AT$4:$AW$53,MATCH(B115,$AT$4:$AT$53,1)+1,3)-INDEX($AT$4:$AW$53,MATCH(B115,$AT$4:$AT$53,1),3))+INDEX($AT$4:$AW$53,MATCH(B115,$AT$4:$AT$53,1),3)</f>
        <v>238.70800160934394</v>
      </c>
      <c r="G115" s="4">
        <f t="shared" si="34"/>
        <v>0.54976562618579361</v>
      </c>
      <c r="H115" s="6">
        <f t="shared" si="52"/>
        <v>25000</v>
      </c>
      <c r="I115" s="13">
        <f t="shared" si="35"/>
        <v>46.454705774003934</v>
      </c>
      <c r="J115" s="13">
        <f t="shared" si="53"/>
        <v>90.300515271739812</v>
      </c>
      <c r="K115" s="13">
        <f t="shared" si="36"/>
        <v>60.488243558584394</v>
      </c>
      <c r="L115" s="13">
        <f t="shared" si="54"/>
        <v>60.594917636541666</v>
      </c>
      <c r="M115" s="13">
        <f t="shared" si="55"/>
        <v>0.5965523274792679</v>
      </c>
      <c r="N115" s="13">
        <f t="shared" si="56"/>
        <v>0.59320802035454345</v>
      </c>
      <c r="O115" s="4">
        <f t="shared" si="37"/>
        <v>1.0044999999999999</v>
      </c>
      <c r="P115" s="4">
        <f t="shared" si="38"/>
        <v>1.0158387931980133</v>
      </c>
      <c r="Q115" s="4">
        <f t="shared" si="39"/>
        <v>0.83214363219360055</v>
      </c>
      <c r="R115" s="4">
        <f t="shared" si="40"/>
        <v>0.37760230564846997</v>
      </c>
      <c r="S115" s="4">
        <f t="shared" si="41"/>
        <v>0.44870560087066619</v>
      </c>
      <c r="T115" s="1"/>
      <c r="U115" s="1"/>
      <c r="V115" s="1">
        <v>1</v>
      </c>
      <c r="W115" s="1">
        <v>1</v>
      </c>
      <c r="Y115" s="1">
        <f t="shared" si="57"/>
        <v>-19.69836735534539</v>
      </c>
      <c r="Z115" s="1">
        <f t="shared" si="58"/>
        <v>-19.69836735534539</v>
      </c>
      <c r="AB115" s="130">
        <v>1</v>
      </c>
      <c r="AC115" s="128">
        <f t="shared" si="42"/>
        <v>0.54288911657654815</v>
      </c>
      <c r="AD115" s="4">
        <f t="shared" si="43"/>
        <v>0.37760230564846997</v>
      </c>
      <c r="AE115" s="4">
        <f t="shared" si="44"/>
        <v>0.62933717608078332</v>
      </c>
      <c r="AF115" s="32">
        <f t="shared" si="45"/>
        <v>0.44348202748025678</v>
      </c>
      <c r="AG115" s="4">
        <f t="shared" si="46"/>
        <v>0.86011393733985153</v>
      </c>
      <c r="AH115" s="42">
        <f t="shared" si="47"/>
        <v>1.4931395917524091</v>
      </c>
      <c r="AJ115" s="23">
        <v>4</v>
      </c>
      <c r="AK115" s="24">
        <v>0.8</v>
      </c>
      <c r="AL115" s="5">
        <f t="shared" si="48"/>
        <v>2.0799999999999999E-2</v>
      </c>
      <c r="AM115" s="5">
        <f t="shared" si="59"/>
        <v>0.1194718394324346</v>
      </c>
      <c r="AN115" s="25">
        <f t="shared" si="60"/>
        <v>-8.0000000000000002E-3</v>
      </c>
      <c r="AO115" s="30">
        <f t="shared" si="49"/>
        <v>1.4E-2</v>
      </c>
      <c r="AP115" s="5">
        <f t="shared" si="50"/>
        <v>0.18</v>
      </c>
      <c r="AQ115" s="25">
        <v>0</v>
      </c>
    </row>
    <row r="116" spans="2:43">
      <c r="B116" s="38">
        <v>25000</v>
      </c>
      <c r="C116" s="3">
        <v>0</v>
      </c>
      <c r="D116" s="3">
        <f t="shared" si="62"/>
        <v>0.2</v>
      </c>
      <c r="E116" s="13" cm="1">
        <f t="array" ref="E116">((B116-INDEX($AT$4:$AW$53,MATCH(B116,$AT$4:$AT$53,1),1))/(INDEX($AT$4:$AW$53,MATCH(B116,$AT$4:$AT$53,1)+1,1)-INDEX($AT$4:$AW$53,MATCH(B116,$AT$4:$AT$53,1),1)))*(INDEX($AT$4:$AW$53,MATCH(B116,$AT$4:$AT$53,1)+1,4)-INDEX($AT$4:$AW$53,MATCH(B116,$AT$4:$AT$53,1),4))+INDEX($AT$4:$AW$53,MATCH(B116,$AT$4:$AT$53,1),4)</f>
        <v>37.664001292351955</v>
      </c>
      <c r="F116" s="13" cm="1">
        <f t="array" ref="F116">C116+((B116-INDEX($AT$4:$AW$53,MATCH(B116,$AT$4:$AT$53,1),1))/(INDEX($AT$4:$AW$53,MATCH(B116,$AT$4:$AT$53,1)+1,1)-INDEX($AT$4:$AW$53,MATCH(B116,$AT$4:$AT$53,1),1)))*(INDEX($AT$4:$AW$53,MATCH(B116,$AT$4:$AT$53,1)+1,3)-INDEX($AT$4:$AW$53,MATCH(B116,$AT$4:$AT$53,1),3))+INDEX($AT$4:$AW$53,MATCH(B116,$AT$4:$AT$53,1),3)</f>
        <v>238.70800160934394</v>
      </c>
      <c r="G116" s="4">
        <f t="shared" si="34"/>
        <v>0.54976562618579361</v>
      </c>
      <c r="H116" s="6">
        <f t="shared" si="52"/>
        <v>25000</v>
      </c>
      <c r="I116" s="13">
        <f t="shared" si="35"/>
        <v>61.9396076986719</v>
      </c>
      <c r="J116" s="13">
        <f t="shared" si="53"/>
        <v>120.40068702898638</v>
      </c>
      <c r="K116" s="13">
        <f t="shared" si="36"/>
        <v>80.65099141144583</v>
      </c>
      <c r="L116" s="13">
        <f t="shared" si="54"/>
        <v>80.903457100916043</v>
      </c>
      <c r="M116" s="13">
        <f t="shared" si="55"/>
        <v>1.0651801823791651</v>
      </c>
      <c r="N116" s="13">
        <f t="shared" si="56"/>
        <v>1.0545920361858545</v>
      </c>
      <c r="O116" s="4">
        <f t="shared" si="37"/>
        <v>1.008</v>
      </c>
      <c r="P116" s="4">
        <f t="shared" si="38"/>
        <v>1.0282811211191059</v>
      </c>
      <c r="Q116" s="4">
        <f t="shared" si="39"/>
        <v>0.83504308735803823</v>
      </c>
      <c r="R116" s="4">
        <f t="shared" si="40"/>
        <v>0.38222730298278923</v>
      </c>
      <c r="S116" s="4">
        <f t="shared" si="41"/>
        <v>0.44870560087066619</v>
      </c>
      <c r="T116" s="1"/>
      <c r="U116" s="1"/>
      <c r="V116" s="1">
        <v>1</v>
      </c>
      <c r="W116" s="1">
        <v>1</v>
      </c>
      <c r="Y116" s="1">
        <f t="shared" si="57"/>
        <v>-10.672594811474713</v>
      </c>
      <c r="Z116" s="1">
        <f t="shared" si="58"/>
        <v>-10.672594811474713</v>
      </c>
      <c r="AB116" s="130">
        <v>1</v>
      </c>
      <c r="AC116" s="128">
        <f t="shared" si="42"/>
        <v>0.53869504831500292</v>
      </c>
      <c r="AD116" s="4">
        <f t="shared" si="43"/>
        <v>0.38222730298278923</v>
      </c>
      <c r="AE116" s="4">
        <f t="shared" si="44"/>
        <v>0.6370455049713154</v>
      </c>
      <c r="AF116" s="32">
        <f t="shared" si="45"/>
        <v>0.46805671140425253</v>
      </c>
      <c r="AG116" s="4">
        <f t="shared" si="46"/>
        <v>0.87376653951984917</v>
      </c>
      <c r="AH116" s="42">
        <f t="shared" si="47"/>
        <v>1.5054269337144068</v>
      </c>
      <c r="AJ116" s="23">
        <v>4</v>
      </c>
      <c r="AK116" s="24">
        <v>0.8</v>
      </c>
      <c r="AL116" s="5">
        <f t="shared" si="48"/>
        <v>2.0799999999999999E-2</v>
      </c>
      <c r="AM116" s="5">
        <f t="shared" si="59"/>
        <v>0.1194718394324346</v>
      </c>
      <c r="AN116" s="25">
        <f t="shared" si="60"/>
        <v>-8.0000000000000002E-3</v>
      </c>
      <c r="AO116" s="30">
        <f t="shared" si="49"/>
        <v>1.4E-2</v>
      </c>
      <c r="AP116" s="5">
        <f t="shared" si="50"/>
        <v>0.18</v>
      </c>
      <c r="AQ116" s="25">
        <v>0</v>
      </c>
    </row>
    <row r="117" spans="2:43">
      <c r="B117" s="38">
        <v>25000</v>
      </c>
      <c r="C117" s="3">
        <v>0</v>
      </c>
      <c r="D117" s="3">
        <f t="shared" si="62"/>
        <v>0.25</v>
      </c>
      <c r="E117" s="13" cm="1">
        <f t="array" ref="E117">((B117-INDEX($AT$4:$AW$53,MATCH(B117,$AT$4:$AT$53,1),1))/(INDEX($AT$4:$AW$53,MATCH(B117,$AT$4:$AT$53,1)+1,1)-INDEX($AT$4:$AW$53,MATCH(B117,$AT$4:$AT$53,1),1)))*(INDEX($AT$4:$AW$53,MATCH(B117,$AT$4:$AT$53,1)+1,4)-INDEX($AT$4:$AW$53,MATCH(B117,$AT$4:$AT$53,1),4))+INDEX($AT$4:$AW$53,MATCH(B117,$AT$4:$AT$53,1),4)</f>
        <v>37.664001292351955</v>
      </c>
      <c r="F117" s="13" cm="1">
        <f t="array" ref="F117">C117+((B117-INDEX($AT$4:$AW$53,MATCH(B117,$AT$4:$AT$53,1),1))/(INDEX($AT$4:$AW$53,MATCH(B117,$AT$4:$AT$53,1)+1,1)-INDEX($AT$4:$AW$53,MATCH(B117,$AT$4:$AT$53,1),1)))*(INDEX($AT$4:$AW$53,MATCH(B117,$AT$4:$AT$53,1)+1,3)-INDEX($AT$4:$AW$53,MATCH(B117,$AT$4:$AT$53,1),3))+INDEX($AT$4:$AW$53,MATCH(B117,$AT$4:$AT$53,1),3)</f>
        <v>238.70800160934394</v>
      </c>
      <c r="G117" s="4">
        <f t="shared" si="34"/>
        <v>0.54976562618579361</v>
      </c>
      <c r="H117" s="6">
        <f t="shared" si="52"/>
        <v>25000</v>
      </c>
      <c r="I117" s="13">
        <f t="shared" si="35"/>
        <v>77.424509623339873</v>
      </c>
      <c r="J117" s="13">
        <f t="shared" si="53"/>
        <v>150.50085878623298</v>
      </c>
      <c r="K117" s="13">
        <f t="shared" si="36"/>
        <v>100.81373926430729</v>
      </c>
      <c r="L117" s="13">
        <f t="shared" si="54"/>
        <v>101.30585129266981</v>
      </c>
      <c r="M117" s="13">
        <f t="shared" si="55"/>
        <v>1.6737081015191237</v>
      </c>
      <c r="N117" s="13">
        <f t="shared" si="56"/>
        <v>1.6478000565403976</v>
      </c>
      <c r="O117" s="4">
        <f t="shared" si="37"/>
        <v>1.0125</v>
      </c>
      <c r="P117" s="4">
        <f t="shared" si="38"/>
        <v>1.0444378728783388</v>
      </c>
      <c r="Q117" s="4">
        <f t="shared" si="39"/>
        <v>0.83877095828374371</v>
      </c>
      <c r="R117" s="4">
        <f t="shared" si="40"/>
        <v>0.38823300660124432</v>
      </c>
      <c r="S117" s="4">
        <f t="shared" si="41"/>
        <v>0.44870560087066619</v>
      </c>
      <c r="T117" s="1"/>
      <c r="U117" s="1"/>
      <c r="V117" s="1">
        <v>1</v>
      </c>
      <c r="W117" s="1">
        <v>1</v>
      </c>
      <c r="Y117" s="1">
        <f t="shared" si="57"/>
        <v>-4.4127721753419298</v>
      </c>
      <c r="Z117" s="1">
        <f t="shared" si="58"/>
        <v>-4.4127721753419298</v>
      </c>
      <c r="AB117" s="130">
        <v>1</v>
      </c>
      <c r="AC117" s="128">
        <f t="shared" si="42"/>
        <v>0.53500000000000003</v>
      </c>
      <c r="AD117" s="4">
        <f t="shared" si="43"/>
        <v>0.38823300660124432</v>
      </c>
      <c r="AE117" s="4">
        <f t="shared" si="44"/>
        <v>0.64705501100207385</v>
      </c>
      <c r="AF117" s="32">
        <f t="shared" si="45"/>
        <v>0.49263139532824818</v>
      </c>
      <c r="AG117" s="4">
        <f t="shared" si="46"/>
        <v>0.88741914169984681</v>
      </c>
      <c r="AH117" s="42">
        <f t="shared" si="47"/>
        <v>1.5177142756764046</v>
      </c>
      <c r="AJ117" s="23">
        <v>4</v>
      </c>
      <c r="AK117" s="24">
        <v>0.8</v>
      </c>
      <c r="AL117" s="5">
        <f t="shared" si="48"/>
        <v>2.0799999999999999E-2</v>
      </c>
      <c r="AM117" s="5">
        <f t="shared" si="59"/>
        <v>0.1194718394324346</v>
      </c>
      <c r="AN117" s="25">
        <f t="shared" si="60"/>
        <v>-8.0000000000000002E-3</v>
      </c>
      <c r="AO117" s="30">
        <f t="shared" si="49"/>
        <v>1.4E-2</v>
      </c>
      <c r="AP117" s="5">
        <f t="shared" si="50"/>
        <v>0.18</v>
      </c>
      <c r="AQ117" s="25">
        <v>0</v>
      </c>
    </row>
    <row r="118" spans="2:43">
      <c r="B118" s="38">
        <v>25000</v>
      </c>
      <c r="C118" s="3">
        <v>0</v>
      </c>
      <c r="D118" s="3">
        <f t="shared" si="62"/>
        <v>0.3</v>
      </c>
      <c r="E118" s="13" cm="1">
        <f t="array" ref="E118">((B118-INDEX($AT$4:$AW$53,MATCH(B118,$AT$4:$AT$53,1),1))/(INDEX($AT$4:$AW$53,MATCH(B118,$AT$4:$AT$53,1)+1,1)-INDEX($AT$4:$AW$53,MATCH(B118,$AT$4:$AT$53,1),1)))*(INDEX($AT$4:$AW$53,MATCH(B118,$AT$4:$AT$53,1)+1,4)-INDEX($AT$4:$AW$53,MATCH(B118,$AT$4:$AT$53,1),4))+INDEX($AT$4:$AW$53,MATCH(B118,$AT$4:$AT$53,1),4)</f>
        <v>37.664001292351955</v>
      </c>
      <c r="F118" s="13" cm="1">
        <f t="array" ref="F118">C118+((B118-INDEX($AT$4:$AW$53,MATCH(B118,$AT$4:$AT$53,1),1))/(INDEX($AT$4:$AW$53,MATCH(B118,$AT$4:$AT$53,1)+1,1)-INDEX($AT$4:$AW$53,MATCH(B118,$AT$4:$AT$53,1),1)))*(INDEX($AT$4:$AW$53,MATCH(B118,$AT$4:$AT$53,1)+1,3)-INDEX($AT$4:$AW$53,MATCH(B118,$AT$4:$AT$53,1),3))+INDEX($AT$4:$AW$53,MATCH(B118,$AT$4:$AT$53,1),3)</f>
        <v>238.70800160934394</v>
      </c>
      <c r="G118" s="4">
        <f t="shared" si="34"/>
        <v>0.54976562618579361</v>
      </c>
      <c r="H118" s="6">
        <f t="shared" si="52"/>
        <v>25000</v>
      </c>
      <c r="I118" s="13">
        <f t="shared" si="35"/>
        <v>92.909411548007839</v>
      </c>
      <c r="J118" s="13">
        <f t="shared" si="53"/>
        <v>180.60103054347957</v>
      </c>
      <c r="K118" s="13">
        <f t="shared" si="36"/>
        <v>120.97648711716874</v>
      </c>
      <c r="L118" s="13">
        <f t="shared" si="54"/>
        <v>121.82477074003323</v>
      </c>
      <c r="M118" s="13">
        <f t="shared" si="55"/>
        <v>2.4267023809308714</v>
      </c>
      <c r="N118" s="13">
        <f t="shared" si="56"/>
        <v>2.3728320814181725</v>
      </c>
      <c r="O118" s="4">
        <f t="shared" si="37"/>
        <v>1.018</v>
      </c>
      <c r="P118" s="4">
        <f t="shared" si="38"/>
        <v>1.0644302861529382</v>
      </c>
      <c r="Q118" s="4">
        <f t="shared" si="39"/>
        <v>0.8433272449707172</v>
      </c>
      <c r="R118" s="4">
        <f t="shared" si="40"/>
        <v>0.39566448234179941</v>
      </c>
      <c r="S118" s="4">
        <f t="shared" si="41"/>
        <v>0.44870560087066619</v>
      </c>
      <c r="T118" s="1"/>
      <c r="U118" s="1"/>
      <c r="V118" s="1">
        <v>1</v>
      </c>
      <c r="W118" s="1">
        <v>1</v>
      </c>
      <c r="Y118" s="1">
        <f t="shared" si="57"/>
        <v>0.40846383417898302</v>
      </c>
      <c r="Z118" s="1">
        <f t="shared" si="58"/>
        <v>0.40846383417898302</v>
      </c>
      <c r="AB118" s="130">
        <v>1</v>
      </c>
      <c r="AC118" s="128">
        <f t="shared" si="42"/>
        <v>0.53165942097463836</v>
      </c>
      <c r="AD118" s="4">
        <f t="shared" si="43"/>
        <v>0.39566448234179941</v>
      </c>
      <c r="AE118" s="4">
        <f t="shared" si="44"/>
        <v>0.65944080390299908</v>
      </c>
      <c r="AF118" s="32">
        <f t="shared" si="45"/>
        <v>0.51720607925224393</v>
      </c>
      <c r="AG118" s="4">
        <f t="shared" si="46"/>
        <v>0.90107174387984446</v>
      </c>
      <c r="AH118" s="42">
        <f t="shared" si="47"/>
        <v>1.5300016176384026</v>
      </c>
      <c r="AJ118" s="23">
        <v>4</v>
      </c>
      <c r="AK118" s="24">
        <v>0.8</v>
      </c>
      <c r="AL118" s="5">
        <f t="shared" si="48"/>
        <v>2.0799999999999999E-2</v>
      </c>
      <c r="AM118" s="5">
        <f t="shared" si="59"/>
        <v>0.1194718394324346</v>
      </c>
      <c r="AN118" s="25">
        <f t="shared" si="60"/>
        <v>-8.0000000000000002E-3</v>
      </c>
      <c r="AO118" s="30">
        <f t="shared" si="49"/>
        <v>1.4E-2</v>
      </c>
      <c r="AP118" s="5">
        <f t="shared" si="50"/>
        <v>0.18</v>
      </c>
      <c r="AQ118" s="25">
        <v>0</v>
      </c>
    </row>
    <row r="119" spans="2:43">
      <c r="B119" s="38">
        <v>25000</v>
      </c>
      <c r="C119" s="3">
        <v>0</v>
      </c>
      <c r="D119" s="3">
        <f t="shared" si="62"/>
        <v>0.35</v>
      </c>
      <c r="E119" s="13" cm="1">
        <f t="array" ref="E119">((B119-INDEX($AT$4:$AW$53,MATCH(B119,$AT$4:$AT$53,1),1))/(INDEX($AT$4:$AW$53,MATCH(B119,$AT$4:$AT$53,1)+1,1)-INDEX($AT$4:$AW$53,MATCH(B119,$AT$4:$AT$53,1),1)))*(INDEX($AT$4:$AW$53,MATCH(B119,$AT$4:$AT$53,1)+1,4)-INDEX($AT$4:$AW$53,MATCH(B119,$AT$4:$AT$53,1),4))+INDEX($AT$4:$AW$53,MATCH(B119,$AT$4:$AT$53,1),4)</f>
        <v>37.664001292351955</v>
      </c>
      <c r="F119" s="13" cm="1">
        <f t="array" ref="F119">C119+((B119-INDEX($AT$4:$AW$53,MATCH(B119,$AT$4:$AT$53,1),1))/(INDEX($AT$4:$AW$53,MATCH(B119,$AT$4:$AT$53,1)+1,1)-INDEX($AT$4:$AW$53,MATCH(B119,$AT$4:$AT$53,1),1)))*(INDEX($AT$4:$AW$53,MATCH(B119,$AT$4:$AT$53,1)+1,3)-INDEX($AT$4:$AW$53,MATCH(B119,$AT$4:$AT$53,1),3))+INDEX($AT$4:$AW$53,MATCH(B119,$AT$4:$AT$53,1),3)</f>
        <v>238.70800160934394</v>
      </c>
      <c r="G119" s="4">
        <f t="shared" si="34"/>
        <v>0.54976562618579361</v>
      </c>
      <c r="H119" s="6">
        <f t="shared" si="52"/>
        <v>25000</v>
      </c>
      <c r="I119" s="13">
        <f t="shared" si="35"/>
        <v>108.39431347267582</v>
      </c>
      <c r="J119" s="13">
        <f t="shared" si="53"/>
        <v>210.70120230072615</v>
      </c>
      <c r="K119" s="13">
        <f t="shared" si="36"/>
        <v>141.1392349700302</v>
      </c>
      <c r="L119" s="13">
        <f t="shared" si="54"/>
        <v>142.48235117408865</v>
      </c>
      <c r="M119" s="13">
        <f t="shared" si="55"/>
        <v>3.3298126484978647</v>
      </c>
      <c r="N119" s="13">
        <f t="shared" si="56"/>
        <v>3.2296881108191791</v>
      </c>
      <c r="O119" s="4">
        <f t="shared" si="37"/>
        <v>1.0245</v>
      </c>
      <c r="P119" s="4">
        <f t="shared" si="38"/>
        <v>1.0884083616780784</v>
      </c>
      <c r="Q119" s="4">
        <f t="shared" si="39"/>
        <v>0.84871194741895839</v>
      </c>
      <c r="R119" s="4">
        <f t="shared" si="40"/>
        <v>0.4045774876965193</v>
      </c>
      <c r="S119" s="4">
        <f t="shared" si="41"/>
        <v>0.44870560087066619</v>
      </c>
      <c r="T119" s="1"/>
      <c r="U119" s="1"/>
      <c r="V119" s="1">
        <v>1</v>
      </c>
      <c r="W119" s="1">
        <v>1</v>
      </c>
      <c r="Y119" s="1">
        <f t="shared" si="57"/>
        <v>4.3518534093220991</v>
      </c>
      <c r="Z119" s="1">
        <f t="shared" si="58"/>
        <v>4.3518534093220991</v>
      </c>
      <c r="AB119" s="130">
        <v>1</v>
      </c>
      <c r="AC119" s="128">
        <f t="shared" si="42"/>
        <v>0.52858744151830273</v>
      </c>
      <c r="AD119" s="4">
        <f t="shared" si="43"/>
        <v>0.4045774876965193</v>
      </c>
      <c r="AE119" s="4">
        <f t="shared" si="44"/>
        <v>0.67429581282753215</v>
      </c>
      <c r="AF119" s="32">
        <f t="shared" si="45"/>
        <v>0.5417807631762398</v>
      </c>
      <c r="AG119" s="4">
        <f t="shared" si="46"/>
        <v>0.91472434605984221</v>
      </c>
      <c r="AH119" s="42">
        <f t="shared" si="47"/>
        <v>1.5422889596004006</v>
      </c>
      <c r="AJ119" s="23">
        <v>4</v>
      </c>
      <c r="AK119" s="24">
        <v>0.8</v>
      </c>
      <c r="AL119" s="5">
        <f t="shared" si="48"/>
        <v>2.0799999999999999E-2</v>
      </c>
      <c r="AM119" s="5">
        <f t="shared" si="59"/>
        <v>0.1194718394324346</v>
      </c>
      <c r="AN119" s="25">
        <f t="shared" si="60"/>
        <v>-8.0000000000000002E-3</v>
      </c>
      <c r="AO119" s="30">
        <f t="shared" si="49"/>
        <v>1.4E-2</v>
      </c>
      <c r="AP119" s="5">
        <f t="shared" si="50"/>
        <v>0.18</v>
      </c>
      <c r="AQ119" s="25">
        <v>0</v>
      </c>
    </row>
    <row r="120" spans="2:43">
      <c r="B120" s="38">
        <v>25000</v>
      </c>
      <c r="C120" s="3">
        <v>0</v>
      </c>
      <c r="D120" s="3">
        <f t="shared" si="62"/>
        <v>0.39999999999999997</v>
      </c>
      <c r="E120" s="13" cm="1">
        <f t="array" ref="E120">((B120-INDEX($AT$4:$AW$53,MATCH(B120,$AT$4:$AT$53,1),1))/(INDEX($AT$4:$AW$53,MATCH(B120,$AT$4:$AT$53,1)+1,1)-INDEX($AT$4:$AW$53,MATCH(B120,$AT$4:$AT$53,1),1)))*(INDEX($AT$4:$AW$53,MATCH(B120,$AT$4:$AT$53,1)+1,4)-INDEX($AT$4:$AW$53,MATCH(B120,$AT$4:$AT$53,1),4))+INDEX($AT$4:$AW$53,MATCH(B120,$AT$4:$AT$53,1),4)</f>
        <v>37.664001292351955</v>
      </c>
      <c r="F120" s="13" cm="1">
        <f t="array" ref="F120">C120+((B120-INDEX($AT$4:$AW$53,MATCH(B120,$AT$4:$AT$53,1),1))/(INDEX($AT$4:$AW$53,MATCH(B120,$AT$4:$AT$53,1)+1,1)-INDEX($AT$4:$AW$53,MATCH(B120,$AT$4:$AT$53,1),1)))*(INDEX($AT$4:$AW$53,MATCH(B120,$AT$4:$AT$53,1)+1,3)-INDEX($AT$4:$AW$53,MATCH(B120,$AT$4:$AT$53,1),3))+INDEX($AT$4:$AW$53,MATCH(B120,$AT$4:$AT$53,1),3)</f>
        <v>238.70800160934394</v>
      </c>
      <c r="G120" s="4">
        <f t="shared" si="34"/>
        <v>0.54976562618579361</v>
      </c>
      <c r="H120" s="6">
        <f t="shared" si="52"/>
        <v>25000</v>
      </c>
      <c r="I120" s="13">
        <f t="shared" si="35"/>
        <v>123.87921539734378</v>
      </c>
      <c r="J120" s="13">
        <f t="shared" si="53"/>
        <v>240.80137405797274</v>
      </c>
      <c r="K120" s="13">
        <f t="shared" si="36"/>
        <v>161.30198282289166</v>
      </c>
      <c r="L120" s="13">
        <f t="shared" si="54"/>
        <v>163.30008130016978</v>
      </c>
      <c r="M120" s="13">
        <f t="shared" si="55"/>
        <v>4.3898133908847115</v>
      </c>
      <c r="N120" s="13">
        <f t="shared" si="56"/>
        <v>4.2183681447434171</v>
      </c>
      <c r="O120" s="4">
        <f t="shared" si="37"/>
        <v>1.032</v>
      </c>
      <c r="P120" s="4">
        <f t="shared" si="38"/>
        <v>1.1165519658097534</v>
      </c>
      <c r="Q120" s="4">
        <f t="shared" si="39"/>
        <v>0.85492506562846771</v>
      </c>
      <c r="R120" s="4">
        <f t="shared" si="40"/>
        <v>0.41503888165049757</v>
      </c>
      <c r="S120" s="4">
        <f t="shared" si="41"/>
        <v>0.44870560087066619</v>
      </c>
      <c r="T120" s="1"/>
      <c r="U120" s="1"/>
      <c r="V120" s="1">
        <v>1</v>
      </c>
      <c r="W120" s="1">
        <v>1</v>
      </c>
      <c r="Y120" s="1">
        <f t="shared" si="57"/>
        <v>7.6919920793348204</v>
      </c>
      <c r="Z120" s="1">
        <f t="shared" si="58"/>
        <v>7.6919920793348204</v>
      </c>
      <c r="AB120" s="130">
        <v>1</v>
      </c>
      <c r="AC120" s="128">
        <f t="shared" si="42"/>
        <v>0.52572811275764275</v>
      </c>
      <c r="AD120" s="4">
        <f t="shared" si="43"/>
        <v>0.41503888165049757</v>
      </c>
      <c r="AE120" s="4">
        <f t="shared" si="44"/>
        <v>0.69173146941749597</v>
      </c>
      <c r="AF120" s="32">
        <f t="shared" si="45"/>
        <v>0.56635544710023555</v>
      </c>
      <c r="AG120" s="4">
        <f t="shared" si="46"/>
        <v>0.92837694823983974</v>
      </c>
      <c r="AH120" s="42">
        <f t="shared" si="47"/>
        <v>1.5545763015623986</v>
      </c>
      <c r="AJ120" s="23">
        <v>4</v>
      </c>
      <c r="AK120" s="24">
        <v>0.8</v>
      </c>
      <c r="AL120" s="5">
        <f t="shared" si="48"/>
        <v>2.0799999999999999E-2</v>
      </c>
      <c r="AM120" s="5">
        <f t="shared" si="59"/>
        <v>0.1194718394324346</v>
      </c>
      <c r="AN120" s="25">
        <f t="shared" si="60"/>
        <v>-8.0000000000000002E-3</v>
      </c>
      <c r="AO120" s="30">
        <f t="shared" si="49"/>
        <v>1.4E-2</v>
      </c>
      <c r="AP120" s="5">
        <f t="shared" si="50"/>
        <v>0.18</v>
      </c>
      <c r="AQ120" s="25">
        <v>0</v>
      </c>
    </row>
    <row r="121" spans="2:43">
      <c r="B121" s="38">
        <v>25000</v>
      </c>
      <c r="C121" s="3">
        <v>0</v>
      </c>
      <c r="D121" s="3">
        <f t="shared" si="62"/>
        <v>0.44999999999999996</v>
      </c>
      <c r="E121" s="13" cm="1">
        <f t="array" ref="E121">((B121-INDEX($AT$4:$AW$53,MATCH(B121,$AT$4:$AT$53,1),1))/(INDEX($AT$4:$AW$53,MATCH(B121,$AT$4:$AT$53,1)+1,1)-INDEX($AT$4:$AW$53,MATCH(B121,$AT$4:$AT$53,1),1)))*(INDEX($AT$4:$AW$53,MATCH(B121,$AT$4:$AT$53,1)+1,4)-INDEX($AT$4:$AW$53,MATCH(B121,$AT$4:$AT$53,1),4))+INDEX($AT$4:$AW$53,MATCH(B121,$AT$4:$AT$53,1),4)</f>
        <v>37.664001292351955</v>
      </c>
      <c r="F121" s="13" cm="1">
        <f t="array" ref="F121">C121+((B121-INDEX($AT$4:$AW$53,MATCH(B121,$AT$4:$AT$53,1),1))/(INDEX($AT$4:$AW$53,MATCH(B121,$AT$4:$AT$53,1)+1,1)-INDEX($AT$4:$AW$53,MATCH(B121,$AT$4:$AT$53,1),1)))*(INDEX($AT$4:$AW$53,MATCH(B121,$AT$4:$AT$53,1)+1,3)-INDEX($AT$4:$AW$53,MATCH(B121,$AT$4:$AT$53,1),3))+INDEX($AT$4:$AW$53,MATCH(B121,$AT$4:$AT$53,1),3)</f>
        <v>238.70800160934394</v>
      </c>
      <c r="G121" s="4">
        <f t="shared" si="34"/>
        <v>0.54976562618579361</v>
      </c>
      <c r="H121" s="6">
        <f t="shared" si="52"/>
        <v>25000</v>
      </c>
      <c r="I121" s="13">
        <f t="shared" si="35"/>
        <v>139.36411732201177</v>
      </c>
      <c r="J121" s="13">
        <f t="shared" si="53"/>
        <v>270.90154581521938</v>
      </c>
      <c r="K121" s="13">
        <f t="shared" si="36"/>
        <v>181.46473067575315</v>
      </c>
      <c r="L121" s="13">
        <f t="shared" si="54"/>
        <v>184.29868864035132</v>
      </c>
      <c r="M121" s="13">
        <f t="shared" si="55"/>
        <v>5.6146533625188413</v>
      </c>
      <c r="N121" s="13">
        <f t="shared" si="56"/>
        <v>5.3388721831908876</v>
      </c>
      <c r="O121" s="4">
        <f t="shared" si="37"/>
        <v>1.0405</v>
      </c>
      <c r="P121" s="4">
        <f t="shared" si="38"/>
        <v>1.1490721423604813</v>
      </c>
      <c r="Q121" s="4">
        <f t="shared" si="39"/>
        <v>0.86196659959924482</v>
      </c>
      <c r="R121" s="4">
        <f t="shared" si="40"/>
        <v>0.42712711231059264</v>
      </c>
      <c r="S121" s="4">
        <f t="shared" si="41"/>
        <v>0.44870560087066619</v>
      </c>
      <c r="T121" s="1"/>
      <c r="U121" s="1"/>
      <c r="V121" s="1">
        <v>1</v>
      </c>
      <c r="W121" s="1">
        <v>1</v>
      </c>
      <c r="Y121" s="1">
        <f t="shared" si="57"/>
        <v>10.577744037807118</v>
      </c>
      <c r="Z121" s="1">
        <f t="shared" si="58"/>
        <v>10.577744037807118</v>
      </c>
      <c r="AB121" s="130">
        <v>1</v>
      </c>
      <c r="AC121" s="128">
        <f t="shared" si="42"/>
        <v>0.52304257247250441</v>
      </c>
      <c r="AD121" s="4">
        <f t="shared" si="43"/>
        <v>0.42712711231059264</v>
      </c>
      <c r="AE121" s="4">
        <f t="shared" si="44"/>
        <v>0.71187852051765443</v>
      </c>
      <c r="AF121" s="32">
        <f t="shared" si="45"/>
        <v>0.59093013102423131</v>
      </c>
      <c r="AG121" s="4">
        <f t="shared" si="46"/>
        <v>0.94202955041983727</v>
      </c>
      <c r="AH121" s="42">
        <f t="shared" si="47"/>
        <v>1.5668636435243961</v>
      </c>
      <c r="AJ121" s="23">
        <v>4</v>
      </c>
      <c r="AK121" s="24">
        <v>0.8</v>
      </c>
      <c r="AL121" s="5">
        <f t="shared" si="48"/>
        <v>2.0799999999999999E-2</v>
      </c>
      <c r="AM121" s="5">
        <f t="shared" si="59"/>
        <v>0.1194718394324346</v>
      </c>
      <c r="AN121" s="25">
        <f t="shared" si="60"/>
        <v>-8.0000000000000002E-3</v>
      </c>
      <c r="AO121" s="30">
        <f t="shared" si="49"/>
        <v>1.4E-2</v>
      </c>
      <c r="AP121" s="5">
        <f t="shared" si="50"/>
        <v>0.18</v>
      </c>
      <c r="AQ121" s="25">
        <v>0</v>
      </c>
    </row>
    <row r="122" spans="2:43">
      <c r="B122" s="38">
        <v>25000</v>
      </c>
      <c r="C122" s="3">
        <v>0</v>
      </c>
      <c r="D122" s="3">
        <f t="shared" si="62"/>
        <v>0.49999999999999994</v>
      </c>
      <c r="E122" s="13" cm="1">
        <f t="array" ref="E122">((B122-INDEX($AT$4:$AW$53,MATCH(B122,$AT$4:$AT$53,1),1))/(INDEX($AT$4:$AW$53,MATCH(B122,$AT$4:$AT$53,1)+1,1)-INDEX($AT$4:$AW$53,MATCH(B122,$AT$4:$AT$53,1),1)))*(INDEX($AT$4:$AW$53,MATCH(B122,$AT$4:$AT$53,1)+1,4)-INDEX($AT$4:$AW$53,MATCH(B122,$AT$4:$AT$53,1),4))+INDEX($AT$4:$AW$53,MATCH(B122,$AT$4:$AT$53,1),4)</f>
        <v>37.664001292351955</v>
      </c>
      <c r="F122" s="13" cm="1">
        <f t="array" ref="F122">C122+((B122-INDEX($AT$4:$AW$53,MATCH(B122,$AT$4:$AT$53,1),1))/(INDEX($AT$4:$AW$53,MATCH(B122,$AT$4:$AT$53,1)+1,1)-INDEX($AT$4:$AW$53,MATCH(B122,$AT$4:$AT$53,1),1)))*(INDEX($AT$4:$AW$53,MATCH(B122,$AT$4:$AT$53,1)+1,3)-INDEX($AT$4:$AW$53,MATCH(B122,$AT$4:$AT$53,1),3))+INDEX($AT$4:$AW$53,MATCH(B122,$AT$4:$AT$53,1),3)</f>
        <v>238.70800160934394</v>
      </c>
      <c r="G122" s="4">
        <f t="shared" si="34"/>
        <v>0.54976562618579361</v>
      </c>
      <c r="H122" s="6">
        <f t="shared" si="52"/>
        <v>25000</v>
      </c>
      <c r="I122" s="13">
        <f t="shared" si="35"/>
        <v>154.84901924667972</v>
      </c>
      <c r="J122" s="13">
        <f t="shared" si="53"/>
        <v>301.00171757246591</v>
      </c>
      <c r="K122" s="13">
        <f t="shared" si="36"/>
        <v>201.62747852861455</v>
      </c>
      <c r="L122" s="13">
        <f t="shared" si="54"/>
        <v>205.49802388053726</v>
      </c>
      <c r="M122" s="13">
        <f t="shared" si="55"/>
        <v>7.0135130399564822</v>
      </c>
      <c r="N122" s="13">
        <f t="shared" si="56"/>
        <v>6.5912002261615887</v>
      </c>
      <c r="O122" s="4">
        <f t="shared" si="37"/>
        <v>1.05</v>
      </c>
      <c r="P122" s="4">
        <f t="shared" si="38"/>
        <v>1.1862126380443982</v>
      </c>
      <c r="Q122" s="4">
        <f t="shared" si="39"/>
        <v>0.86983654933128984</v>
      </c>
      <c r="R122" s="4">
        <f t="shared" si="40"/>
        <v>0.44093278393593327</v>
      </c>
      <c r="S122" s="4">
        <f t="shared" si="41"/>
        <v>0.44870560087066619</v>
      </c>
      <c r="T122" s="1"/>
      <c r="U122" s="1"/>
      <c r="V122" s="1">
        <v>1</v>
      </c>
      <c r="W122" s="1">
        <v>1</v>
      </c>
      <c r="Y122" s="1">
        <f t="shared" si="57"/>
        <v>13.096653110381789</v>
      </c>
      <c r="Z122" s="1">
        <f t="shared" si="58"/>
        <v>13.096653110381789</v>
      </c>
      <c r="AB122" s="130">
        <v>1</v>
      </c>
      <c r="AC122" s="128">
        <f t="shared" si="42"/>
        <v>0.52050252531694174</v>
      </c>
      <c r="AD122" s="4">
        <f t="shared" si="43"/>
        <v>0.44093278393593327</v>
      </c>
      <c r="AE122" s="4">
        <f t="shared" si="44"/>
        <v>0.73488797322655552</v>
      </c>
      <c r="AF122" s="32">
        <f t="shared" si="45"/>
        <v>0.61550481494822695</v>
      </c>
      <c r="AG122" s="4">
        <f t="shared" si="46"/>
        <v>0.95568215259983502</v>
      </c>
      <c r="AH122" s="42">
        <f t="shared" si="47"/>
        <v>1.5791509854863941</v>
      </c>
      <c r="AJ122" s="23">
        <v>4</v>
      </c>
      <c r="AK122" s="24">
        <v>0.8</v>
      </c>
      <c r="AL122" s="5">
        <f t="shared" si="48"/>
        <v>2.0799999999999999E-2</v>
      </c>
      <c r="AM122" s="5">
        <f t="shared" si="59"/>
        <v>0.1194718394324346</v>
      </c>
      <c r="AN122" s="25">
        <f t="shared" si="60"/>
        <v>-8.0000000000000002E-3</v>
      </c>
      <c r="AO122" s="30">
        <f t="shared" si="49"/>
        <v>1.4E-2</v>
      </c>
      <c r="AP122" s="5">
        <f t="shared" si="50"/>
        <v>0.18</v>
      </c>
      <c r="AQ122" s="25">
        <v>0</v>
      </c>
    </row>
    <row r="123" spans="2:43">
      <c r="B123" s="38">
        <v>25000</v>
      </c>
      <c r="C123" s="3">
        <v>0</v>
      </c>
      <c r="D123" s="3">
        <f t="shared" si="62"/>
        <v>0.54999999999999993</v>
      </c>
      <c r="E123" s="13" cm="1">
        <f t="array" ref="E123">((B123-INDEX($AT$4:$AW$53,MATCH(B123,$AT$4:$AT$53,1),1))/(INDEX($AT$4:$AW$53,MATCH(B123,$AT$4:$AT$53,1)+1,1)-INDEX($AT$4:$AW$53,MATCH(B123,$AT$4:$AT$53,1),1)))*(INDEX($AT$4:$AW$53,MATCH(B123,$AT$4:$AT$53,1)+1,4)-INDEX($AT$4:$AW$53,MATCH(B123,$AT$4:$AT$53,1),4))+INDEX($AT$4:$AW$53,MATCH(B123,$AT$4:$AT$53,1),4)</f>
        <v>37.664001292351955</v>
      </c>
      <c r="F123" s="13" cm="1">
        <f t="array" ref="F123">C123+((B123-INDEX($AT$4:$AW$53,MATCH(B123,$AT$4:$AT$53,1),1))/(INDEX($AT$4:$AW$53,MATCH(B123,$AT$4:$AT$53,1)+1,1)-INDEX($AT$4:$AW$53,MATCH(B123,$AT$4:$AT$53,1),1)))*(INDEX($AT$4:$AW$53,MATCH(B123,$AT$4:$AT$53,1)+1,3)-INDEX($AT$4:$AW$53,MATCH(B123,$AT$4:$AT$53,1),3))+INDEX($AT$4:$AW$53,MATCH(B123,$AT$4:$AT$53,1),3)</f>
        <v>238.70800160934394</v>
      </c>
      <c r="G123" s="4">
        <f t="shared" si="34"/>
        <v>0.54976562618579361</v>
      </c>
      <c r="H123" s="6">
        <f t="shared" si="52"/>
        <v>25000</v>
      </c>
      <c r="I123" s="13">
        <f t="shared" si="35"/>
        <v>170.3339211713477</v>
      </c>
      <c r="J123" s="13">
        <f t="shared" si="53"/>
        <v>331.10188932971249</v>
      </c>
      <c r="K123" s="13">
        <f t="shared" si="36"/>
        <v>221.790226381476</v>
      </c>
      <c r="L123" s="13">
        <f t="shared" si="54"/>
        <v>226.9169444662071</v>
      </c>
      <c r="M123" s="13">
        <f t="shared" si="55"/>
        <v>8.5968703082134752</v>
      </c>
      <c r="N123" s="13">
        <f t="shared" si="56"/>
        <v>7.9753522736555231</v>
      </c>
      <c r="O123" s="4">
        <f t="shared" si="37"/>
        <v>1.0605</v>
      </c>
      <c r="P123" s="4">
        <f t="shared" si="38"/>
        <v>1.2282516464855568</v>
      </c>
      <c r="Q123" s="4">
        <f t="shared" si="39"/>
        <v>0.87853491482460266</v>
      </c>
      <c r="R123" s="4">
        <f t="shared" si="40"/>
        <v>0.4565593052116006</v>
      </c>
      <c r="S123" s="4">
        <f t="shared" si="41"/>
        <v>0.44870560087066619</v>
      </c>
      <c r="T123" s="1"/>
      <c r="U123" s="1"/>
      <c r="V123" s="1">
        <v>1</v>
      </c>
      <c r="W123" s="1">
        <v>1</v>
      </c>
      <c r="Y123" s="1">
        <f t="shared" si="57"/>
        <v>15.304462003621177</v>
      </c>
      <c r="Z123" s="1">
        <f t="shared" si="58"/>
        <v>15.304462003621177</v>
      </c>
      <c r="AB123" s="130">
        <v>1</v>
      </c>
      <c r="AC123" s="128">
        <f t="shared" si="42"/>
        <v>0.51808661059033034</v>
      </c>
      <c r="AD123" s="4">
        <f t="shared" si="43"/>
        <v>0.4565593052116006</v>
      </c>
      <c r="AE123" s="4">
        <f t="shared" si="44"/>
        <v>0.76093217535266766</v>
      </c>
      <c r="AF123" s="32">
        <f t="shared" si="45"/>
        <v>0.64007949887222282</v>
      </c>
      <c r="AG123" s="4">
        <f t="shared" si="46"/>
        <v>0.96933475477983266</v>
      </c>
      <c r="AH123" s="42">
        <f t="shared" si="47"/>
        <v>1.5914383274483921</v>
      </c>
      <c r="AJ123" s="23">
        <v>4</v>
      </c>
      <c r="AK123" s="24">
        <v>0.8</v>
      </c>
      <c r="AL123" s="5">
        <f t="shared" si="48"/>
        <v>2.0799999999999999E-2</v>
      </c>
      <c r="AM123" s="5">
        <f t="shared" si="59"/>
        <v>0.1194718394324346</v>
      </c>
      <c r="AN123" s="25">
        <f t="shared" si="60"/>
        <v>-8.0000000000000002E-3</v>
      </c>
      <c r="AO123" s="30">
        <f t="shared" si="49"/>
        <v>1.4E-2</v>
      </c>
      <c r="AP123" s="5">
        <f t="shared" si="50"/>
        <v>0.18</v>
      </c>
      <c r="AQ123" s="25">
        <v>0</v>
      </c>
    </row>
    <row r="124" spans="2:43">
      <c r="B124" s="38">
        <v>25000</v>
      </c>
      <c r="C124" s="3">
        <v>0</v>
      </c>
      <c r="D124" s="3">
        <f t="shared" si="62"/>
        <v>0.6</v>
      </c>
      <c r="E124" s="13" cm="1">
        <f t="array" ref="E124">((B124-INDEX($AT$4:$AW$53,MATCH(B124,$AT$4:$AT$53,1),1))/(INDEX($AT$4:$AW$53,MATCH(B124,$AT$4:$AT$53,1)+1,1)-INDEX($AT$4:$AW$53,MATCH(B124,$AT$4:$AT$53,1),1)))*(INDEX($AT$4:$AW$53,MATCH(B124,$AT$4:$AT$53,1)+1,4)-INDEX($AT$4:$AW$53,MATCH(B124,$AT$4:$AT$53,1),4))+INDEX($AT$4:$AW$53,MATCH(B124,$AT$4:$AT$53,1),4)</f>
        <v>37.664001292351955</v>
      </c>
      <c r="F124" s="13" cm="1">
        <f t="array" ref="F124">C124+((B124-INDEX($AT$4:$AW$53,MATCH(B124,$AT$4:$AT$53,1),1))/(INDEX($AT$4:$AW$53,MATCH(B124,$AT$4:$AT$53,1)+1,1)-INDEX($AT$4:$AW$53,MATCH(B124,$AT$4:$AT$53,1),1)))*(INDEX($AT$4:$AW$53,MATCH(B124,$AT$4:$AT$53,1)+1,3)-INDEX($AT$4:$AW$53,MATCH(B124,$AT$4:$AT$53,1),3))+INDEX($AT$4:$AW$53,MATCH(B124,$AT$4:$AT$53,1),3)</f>
        <v>238.70800160934394</v>
      </c>
      <c r="G124" s="4">
        <f t="shared" si="34"/>
        <v>0.54976562618579361</v>
      </c>
      <c r="H124" s="6">
        <f t="shared" si="52"/>
        <v>25000</v>
      </c>
      <c r="I124" s="13">
        <f t="shared" si="35"/>
        <v>185.81882309601568</v>
      </c>
      <c r="J124" s="13">
        <f t="shared" si="53"/>
        <v>361.20206108695913</v>
      </c>
      <c r="K124" s="13">
        <f t="shared" si="36"/>
        <v>241.95297423433749</v>
      </c>
      <c r="L124" s="13">
        <f t="shared" si="54"/>
        <v>248.57319851611803</v>
      </c>
      <c r="M124" s="13">
        <f t="shared" si="55"/>
        <v>10.376574588143759</v>
      </c>
      <c r="N124" s="13">
        <f t="shared" si="56"/>
        <v>9.4913283256726899</v>
      </c>
      <c r="O124" s="4">
        <f t="shared" si="37"/>
        <v>1.0720000000000001</v>
      </c>
      <c r="P124" s="4">
        <f t="shared" si="38"/>
        <v>1.2755037763406945</v>
      </c>
      <c r="Q124" s="4">
        <f t="shared" si="39"/>
        <v>0.8880616960791835</v>
      </c>
      <c r="R124" s="4">
        <f t="shared" si="40"/>
        <v>0.47412362082897325</v>
      </c>
      <c r="S124" s="4">
        <f t="shared" si="41"/>
        <v>0.44870560087066619</v>
      </c>
      <c r="T124" s="1"/>
      <c r="U124" s="1"/>
      <c r="V124" s="1">
        <v>1</v>
      </c>
      <c r="W124" s="1">
        <v>1</v>
      </c>
      <c r="Y124" s="1">
        <f t="shared" si="57"/>
        <v>17.240112535134852</v>
      </c>
      <c r="Z124" s="1">
        <f t="shared" si="58"/>
        <v>17.240112535134852</v>
      </c>
      <c r="AB124" s="130">
        <v>1</v>
      </c>
      <c r="AC124" s="128">
        <f t="shared" si="42"/>
        <v>0.51577823315309623</v>
      </c>
      <c r="AD124" s="4">
        <f t="shared" si="43"/>
        <v>0.47412362082897325</v>
      </c>
      <c r="AE124" s="4">
        <f t="shared" si="44"/>
        <v>0.79020603471495543</v>
      </c>
      <c r="AF124" s="32">
        <f t="shared" si="45"/>
        <v>0.66465418279621857</v>
      </c>
      <c r="AG124" s="4">
        <f t="shared" si="46"/>
        <v>0.98298735695983042</v>
      </c>
      <c r="AH124" s="42">
        <f t="shared" si="47"/>
        <v>1.6037256694103899</v>
      </c>
      <c r="AJ124" s="23">
        <v>4</v>
      </c>
      <c r="AK124" s="24">
        <v>0.8</v>
      </c>
      <c r="AL124" s="5">
        <f t="shared" si="48"/>
        <v>2.0799999999999999E-2</v>
      </c>
      <c r="AM124" s="5">
        <f t="shared" si="59"/>
        <v>0.1194718394324346</v>
      </c>
      <c r="AN124" s="25">
        <f t="shared" si="60"/>
        <v>-8.0000000000000002E-3</v>
      </c>
      <c r="AO124" s="30">
        <f t="shared" si="49"/>
        <v>1.4E-2</v>
      </c>
      <c r="AP124" s="5">
        <f t="shared" si="50"/>
        <v>0.18</v>
      </c>
      <c r="AQ124" s="25">
        <v>0</v>
      </c>
    </row>
    <row r="125" spans="2:43">
      <c r="B125" s="38">
        <v>25000</v>
      </c>
      <c r="C125" s="3">
        <v>0</v>
      </c>
      <c r="D125" s="3">
        <f t="shared" si="62"/>
        <v>0.65</v>
      </c>
      <c r="E125" s="13" cm="1">
        <f t="array" ref="E125">((B125-INDEX($AT$4:$AW$53,MATCH(B125,$AT$4:$AT$53,1),1))/(INDEX($AT$4:$AW$53,MATCH(B125,$AT$4:$AT$53,1)+1,1)-INDEX($AT$4:$AW$53,MATCH(B125,$AT$4:$AT$53,1),1)))*(INDEX($AT$4:$AW$53,MATCH(B125,$AT$4:$AT$53,1)+1,4)-INDEX($AT$4:$AW$53,MATCH(B125,$AT$4:$AT$53,1),4))+INDEX($AT$4:$AW$53,MATCH(B125,$AT$4:$AT$53,1),4)</f>
        <v>37.664001292351955</v>
      </c>
      <c r="F125" s="13" cm="1">
        <f t="array" ref="F125">C125+((B125-INDEX($AT$4:$AW$53,MATCH(B125,$AT$4:$AT$53,1),1))/(INDEX($AT$4:$AW$53,MATCH(B125,$AT$4:$AT$53,1)+1,1)-INDEX($AT$4:$AW$53,MATCH(B125,$AT$4:$AT$53,1),1)))*(INDEX($AT$4:$AW$53,MATCH(B125,$AT$4:$AT$53,1)+1,3)-INDEX($AT$4:$AW$53,MATCH(B125,$AT$4:$AT$53,1),3))+INDEX($AT$4:$AW$53,MATCH(B125,$AT$4:$AT$53,1),3)</f>
        <v>238.70800160934394</v>
      </c>
      <c r="G125" s="4">
        <f t="shared" si="34"/>
        <v>0.54976562618579361</v>
      </c>
      <c r="H125" s="6">
        <f t="shared" si="52"/>
        <v>25000</v>
      </c>
      <c r="I125" s="13">
        <f t="shared" si="35"/>
        <v>201.30372502068369</v>
      </c>
      <c r="J125" s="13">
        <f t="shared" si="53"/>
        <v>391.30223284420578</v>
      </c>
      <c r="K125" s="13">
        <f t="shared" si="36"/>
        <v>262.115722087199</v>
      </c>
      <c r="L125" s="13">
        <f t="shared" si="54"/>
        <v>270.48331044900931</v>
      </c>
      <c r="M125" s="13">
        <f t="shared" si="55"/>
        <v>12.365929635636453</v>
      </c>
      <c r="N125" s="13">
        <f t="shared" si="56"/>
        <v>11.139128382213091</v>
      </c>
      <c r="O125" s="4">
        <f t="shared" si="37"/>
        <v>1.0845</v>
      </c>
      <c r="P125" s="4">
        <f t="shared" si="38"/>
        <v>1.328322249663566</v>
      </c>
      <c r="Q125" s="4">
        <f t="shared" si="39"/>
        <v>0.89841689309503225</v>
      </c>
      <c r="R125" s="4">
        <f t="shared" si="40"/>
        <v>0.49375702865026805</v>
      </c>
      <c r="S125" s="4">
        <f t="shared" si="41"/>
        <v>0.44870560087066619</v>
      </c>
      <c r="T125" s="1"/>
      <c r="U125" s="1"/>
      <c r="V125" s="1">
        <v>1</v>
      </c>
      <c r="W125" s="1">
        <v>1</v>
      </c>
      <c r="Y125" s="1">
        <f t="shared" si="57"/>
        <v>18.934064880427215</v>
      </c>
      <c r="Z125" s="1">
        <f t="shared" si="58"/>
        <v>18.934064880427215</v>
      </c>
      <c r="AB125" s="130">
        <v>1</v>
      </c>
      <c r="AC125" s="128">
        <f t="shared" si="42"/>
        <v>0.51356419576191015</v>
      </c>
      <c r="AD125" s="4">
        <f t="shared" si="43"/>
        <v>0.49375702865026805</v>
      </c>
      <c r="AE125" s="4">
        <f t="shared" si="44"/>
        <v>0.82292838108378008</v>
      </c>
      <c r="AF125" s="32">
        <f t="shared" si="45"/>
        <v>0.68922886672021433</v>
      </c>
      <c r="AG125" s="4">
        <f t="shared" si="46"/>
        <v>0.99663995913982795</v>
      </c>
      <c r="AH125" s="42">
        <f t="shared" si="47"/>
        <v>1.6160130113723878</v>
      </c>
      <c r="AJ125" s="23">
        <v>4</v>
      </c>
      <c r="AK125" s="24">
        <v>0.8</v>
      </c>
      <c r="AL125" s="5">
        <f t="shared" si="48"/>
        <v>2.0799999999999999E-2</v>
      </c>
      <c r="AM125" s="5">
        <f t="shared" si="59"/>
        <v>0.1194718394324346</v>
      </c>
      <c r="AN125" s="25">
        <f t="shared" si="60"/>
        <v>-8.0000000000000002E-3</v>
      </c>
      <c r="AO125" s="30">
        <f t="shared" si="49"/>
        <v>1.4E-2</v>
      </c>
      <c r="AP125" s="5">
        <f t="shared" si="50"/>
        <v>0.18</v>
      </c>
      <c r="AQ125" s="25">
        <v>0</v>
      </c>
    </row>
    <row r="126" spans="2:43">
      <c r="B126" s="38">
        <v>25000</v>
      </c>
      <c r="C126" s="3">
        <v>0</v>
      </c>
      <c r="D126" s="3">
        <f t="shared" si="62"/>
        <v>0.70000000000000007</v>
      </c>
      <c r="E126" s="13" cm="1">
        <f t="array" ref="E126">((B126-INDEX($AT$4:$AW$53,MATCH(B126,$AT$4:$AT$53,1),1))/(INDEX($AT$4:$AW$53,MATCH(B126,$AT$4:$AT$53,1)+1,1)-INDEX($AT$4:$AW$53,MATCH(B126,$AT$4:$AT$53,1),1)))*(INDEX($AT$4:$AW$53,MATCH(B126,$AT$4:$AT$53,1)+1,4)-INDEX($AT$4:$AW$53,MATCH(B126,$AT$4:$AT$53,1),4))+INDEX($AT$4:$AW$53,MATCH(B126,$AT$4:$AT$53,1),4)</f>
        <v>37.664001292351955</v>
      </c>
      <c r="F126" s="13" cm="1">
        <f t="array" ref="F126">C126+((B126-INDEX($AT$4:$AW$53,MATCH(B126,$AT$4:$AT$53,1),1))/(INDEX($AT$4:$AW$53,MATCH(B126,$AT$4:$AT$53,1)+1,1)-INDEX($AT$4:$AW$53,MATCH(B126,$AT$4:$AT$53,1),1)))*(INDEX($AT$4:$AW$53,MATCH(B126,$AT$4:$AT$53,1)+1,3)-INDEX($AT$4:$AW$53,MATCH(B126,$AT$4:$AT$53,1),3))+INDEX($AT$4:$AW$53,MATCH(B126,$AT$4:$AT$53,1),3)</f>
        <v>238.70800160934394</v>
      </c>
      <c r="G126" s="4">
        <f t="shared" si="34"/>
        <v>0.54976562618579361</v>
      </c>
      <c r="H126" s="6">
        <f t="shared" si="52"/>
        <v>25000</v>
      </c>
      <c r="I126" s="13">
        <f t="shared" si="35"/>
        <v>216.78862694535167</v>
      </c>
      <c r="J126" s="13">
        <f t="shared" si="53"/>
        <v>421.40240460145236</v>
      </c>
      <c r="K126" s="13">
        <f t="shared" si="36"/>
        <v>282.2784699400604</v>
      </c>
      <c r="L126" s="13">
        <f t="shared" si="54"/>
        <v>292.6624700287876</v>
      </c>
      <c r="M126" s="13">
        <f t="shared" si="55"/>
        <v>14.57978526422605</v>
      </c>
      <c r="N126" s="13">
        <f t="shared" si="56"/>
        <v>12.91875244327672</v>
      </c>
      <c r="O126" s="4">
        <f t="shared" si="37"/>
        <v>1.0980000000000001</v>
      </c>
      <c r="P126" s="4">
        <f t="shared" si="38"/>
        <v>1.3871013371908156</v>
      </c>
      <c r="Q126" s="4">
        <f t="shared" si="39"/>
        <v>0.90960050587214869</v>
      </c>
      <c r="R126" s="4">
        <f t="shared" si="40"/>
        <v>0.51560608494032079</v>
      </c>
      <c r="S126" s="4">
        <f t="shared" si="41"/>
        <v>0.44870560087066619</v>
      </c>
      <c r="T126" s="1"/>
      <c r="U126" s="1"/>
      <c r="V126" s="1">
        <v>1</v>
      </c>
      <c r="W126" s="1">
        <v>1</v>
      </c>
      <c r="Y126" s="1">
        <f t="shared" si="57"/>
        <v>20.413297293982719</v>
      </c>
      <c r="Z126" s="1">
        <f t="shared" si="58"/>
        <v>20.413297293982719</v>
      </c>
      <c r="AB126" s="130">
        <v>1</v>
      </c>
      <c r="AC126" s="128">
        <f t="shared" si="42"/>
        <v>0.51143379814261469</v>
      </c>
      <c r="AD126" s="4">
        <f t="shared" si="43"/>
        <v>0.51560608494032079</v>
      </c>
      <c r="AE126" s="4">
        <f t="shared" si="44"/>
        <v>0.85934347490053464</v>
      </c>
      <c r="AF126" s="32">
        <f t="shared" si="45"/>
        <v>0.71380355064421008</v>
      </c>
      <c r="AG126" s="4">
        <f t="shared" si="46"/>
        <v>1.0102925613198257</v>
      </c>
      <c r="AH126" s="42">
        <f t="shared" si="47"/>
        <v>1.6283003533343856</v>
      </c>
      <c r="AJ126" s="23">
        <v>4</v>
      </c>
      <c r="AK126" s="24">
        <v>0.8</v>
      </c>
      <c r="AL126" s="5">
        <f t="shared" si="48"/>
        <v>2.0799999999999999E-2</v>
      </c>
      <c r="AM126" s="5">
        <f t="shared" si="59"/>
        <v>0.1194718394324346</v>
      </c>
      <c r="AN126" s="25">
        <f t="shared" si="60"/>
        <v>-8.0000000000000002E-3</v>
      </c>
      <c r="AO126" s="30">
        <f t="shared" si="49"/>
        <v>1.4E-2</v>
      </c>
      <c r="AP126" s="5">
        <f t="shared" si="50"/>
        <v>0.18</v>
      </c>
      <c r="AQ126" s="25">
        <v>0</v>
      </c>
    </row>
    <row r="127" spans="2:43">
      <c r="B127" s="38">
        <v>25000</v>
      </c>
      <c r="C127" s="3">
        <v>0</v>
      </c>
      <c r="D127" s="3">
        <f t="shared" si="62"/>
        <v>0.75000000000000011</v>
      </c>
      <c r="E127" s="13" cm="1">
        <f t="array" ref="E127">((B127-INDEX($AT$4:$AW$53,MATCH(B127,$AT$4:$AT$53,1),1))/(INDEX($AT$4:$AW$53,MATCH(B127,$AT$4:$AT$53,1)+1,1)-INDEX($AT$4:$AW$53,MATCH(B127,$AT$4:$AT$53,1),1)))*(INDEX($AT$4:$AW$53,MATCH(B127,$AT$4:$AT$53,1)+1,4)-INDEX($AT$4:$AW$53,MATCH(B127,$AT$4:$AT$53,1),4))+INDEX($AT$4:$AW$53,MATCH(B127,$AT$4:$AT$53,1),4)</f>
        <v>37.664001292351955</v>
      </c>
      <c r="F127" s="13" cm="1">
        <f t="array" ref="F127">C127+((B127-INDEX($AT$4:$AW$53,MATCH(B127,$AT$4:$AT$53,1),1))/(INDEX($AT$4:$AW$53,MATCH(B127,$AT$4:$AT$53,1)+1,1)-INDEX($AT$4:$AW$53,MATCH(B127,$AT$4:$AT$53,1),1)))*(INDEX($AT$4:$AW$53,MATCH(B127,$AT$4:$AT$53,1)+1,3)-INDEX($AT$4:$AW$53,MATCH(B127,$AT$4:$AT$53,1),3))+INDEX($AT$4:$AW$53,MATCH(B127,$AT$4:$AT$53,1),3)</f>
        <v>238.70800160934394</v>
      </c>
      <c r="G127" s="4">
        <f t="shared" si="34"/>
        <v>0.54976562618579361</v>
      </c>
      <c r="H127" s="6">
        <f t="shared" si="52"/>
        <v>25000</v>
      </c>
      <c r="I127" s="13">
        <f t="shared" si="35"/>
        <v>232.27352887001965</v>
      </c>
      <c r="J127" s="13">
        <f t="shared" si="53"/>
        <v>451.502576358699</v>
      </c>
      <c r="K127" s="13">
        <f t="shared" si="36"/>
        <v>302.44121779292192</v>
      </c>
      <c r="L127" s="13">
        <f t="shared" si="54"/>
        <v>315.1244268107535</v>
      </c>
      <c r="M127" s="13">
        <f t="shared" si="55"/>
        <v>17.034638262623275</v>
      </c>
      <c r="N127" s="13">
        <f t="shared" si="56"/>
        <v>14.830200508863584</v>
      </c>
      <c r="O127" s="4">
        <f t="shared" si="37"/>
        <v>1.1125</v>
      </c>
      <c r="P127" s="4">
        <f t="shared" si="38"/>
        <v>1.4522790377580601</v>
      </c>
      <c r="Q127" s="4">
        <f t="shared" si="39"/>
        <v>0.92161253441053326</v>
      </c>
      <c r="R127" s="4">
        <f t="shared" si="40"/>
        <v>0.53983360034517869</v>
      </c>
      <c r="S127" s="4">
        <f t="shared" si="41"/>
        <v>0.44870560087066619</v>
      </c>
      <c r="T127" s="1"/>
      <c r="U127" s="1"/>
      <c r="V127" s="1">
        <v>1</v>
      </c>
      <c r="W127" s="1">
        <v>1</v>
      </c>
      <c r="Y127" s="1">
        <f t="shared" si="57"/>
        <v>21.70455721995771</v>
      </c>
      <c r="Z127" s="1">
        <f t="shared" si="58"/>
        <v>21.70455721995771</v>
      </c>
      <c r="AB127" s="130">
        <v>1</v>
      </c>
      <c r="AC127" s="128">
        <f t="shared" si="42"/>
        <v>0.50937822173508929</v>
      </c>
      <c r="AD127" s="4">
        <f t="shared" si="43"/>
        <v>0.53983360034517869</v>
      </c>
      <c r="AE127" s="4">
        <f t="shared" si="44"/>
        <v>0.89972266724196448</v>
      </c>
      <c r="AF127" s="32">
        <f t="shared" si="45"/>
        <v>0.73837823456820595</v>
      </c>
      <c r="AG127" s="4">
        <f t="shared" si="46"/>
        <v>1.0239451634998233</v>
      </c>
      <c r="AH127" s="42">
        <f t="shared" si="47"/>
        <v>1.6405876952963836</v>
      </c>
      <c r="AJ127" s="23">
        <v>4</v>
      </c>
      <c r="AK127" s="24">
        <v>0.8</v>
      </c>
      <c r="AL127" s="5">
        <f t="shared" si="48"/>
        <v>2.0799999999999999E-2</v>
      </c>
      <c r="AM127" s="5">
        <f t="shared" si="59"/>
        <v>0.1194718394324346</v>
      </c>
      <c r="AN127" s="25">
        <f t="shared" si="60"/>
        <v>-8.0000000000000002E-3</v>
      </c>
      <c r="AO127" s="30">
        <f t="shared" si="49"/>
        <v>1.4E-2</v>
      </c>
      <c r="AP127" s="5">
        <f t="shared" si="50"/>
        <v>0.18</v>
      </c>
      <c r="AQ127" s="25">
        <v>0</v>
      </c>
    </row>
    <row r="128" spans="2:43">
      <c r="B128" s="38">
        <v>25000</v>
      </c>
      <c r="C128" s="3">
        <v>0</v>
      </c>
      <c r="D128" s="3">
        <f t="shared" si="62"/>
        <v>0.80000000000000016</v>
      </c>
      <c r="E128" s="13" cm="1">
        <f t="array" ref="E128">((B128-INDEX($AT$4:$AW$53,MATCH(B128,$AT$4:$AT$53,1),1))/(INDEX($AT$4:$AW$53,MATCH(B128,$AT$4:$AT$53,1)+1,1)-INDEX($AT$4:$AW$53,MATCH(B128,$AT$4:$AT$53,1),1)))*(INDEX($AT$4:$AW$53,MATCH(B128,$AT$4:$AT$53,1)+1,4)-INDEX($AT$4:$AW$53,MATCH(B128,$AT$4:$AT$53,1),4))+INDEX($AT$4:$AW$53,MATCH(B128,$AT$4:$AT$53,1),4)</f>
        <v>37.664001292351955</v>
      </c>
      <c r="F128" s="13" cm="1">
        <f t="array" ref="F128">C128+((B128-INDEX($AT$4:$AW$53,MATCH(B128,$AT$4:$AT$53,1),1))/(INDEX($AT$4:$AW$53,MATCH(B128,$AT$4:$AT$53,1)+1,1)-INDEX($AT$4:$AW$53,MATCH(B128,$AT$4:$AT$53,1),1)))*(INDEX($AT$4:$AW$53,MATCH(B128,$AT$4:$AT$53,1)+1,3)-INDEX($AT$4:$AW$53,MATCH(B128,$AT$4:$AT$53,1),3))+INDEX($AT$4:$AW$53,MATCH(B128,$AT$4:$AT$53,1),3)</f>
        <v>238.70800160934394</v>
      </c>
      <c r="G128" s="4">
        <f t="shared" si="34"/>
        <v>0.54976562618579361</v>
      </c>
      <c r="H128" s="6">
        <f t="shared" si="52"/>
        <v>25000</v>
      </c>
      <c r="I128" s="13">
        <f t="shared" si="35"/>
        <v>247.75843079468763</v>
      </c>
      <c r="J128" s="13">
        <f t="shared" si="53"/>
        <v>481.60274811594559</v>
      </c>
      <c r="K128" s="13">
        <f t="shared" si="36"/>
        <v>322.60396564578338</v>
      </c>
      <c r="L128" s="13">
        <f t="shared" si="54"/>
        <v>337.88139219639851</v>
      </c>
      <c r="M128" s="13">
        <f t="shared" si="55"/>
        <v>19.748742797648777</v>
      </c>
      <c r="N128" s="13">
        <f t="shared" si="56"/>
        <v>16.873472578973676</v>
      </c>
      <c r="O128" s="4">
        <f t="shared" si="37"/>
        <v>1.1280000000000001</v>
      </c>
      <c r="P128" s="4">
        <f t="shared" si="38"/>
        <v>1.5243400095586486</v>
      </c>
      <c r="Q128" s="4">
        <f t="shared" si="39"/>
        <v>0.93445297871018584</v>
      </c>
      <c r="R128" s="4">
        <f t="shared" si="40"/>
        <v>0.56661972948433981</v>
      </c>
      <c r="S128" s="4">
        <f t="shared" si="41"/>
        <v>0.44870560087066619</v>
      </c>
      <c r="T128" s="1"/>
      <c r="U128" s="1"/>
      <c r="V128" s="1">
        <v>1</v>
      </c>
      <c r="W128" s="1">
        <v>1</v>
      </c>
      <c r="Y128" s="1">
        <f t="shared" si="57"/>
        <v>22.836651435175312</v>
      </c>
      <c r="Z128" s="1">
        <f t="shared" si="58"/>
        <v>22.836651435175312</v>
      </c>
      <c r="AB128" s="130">
        <v>1</v>
      </c>
      <c r="AC128" s="128">
        <f t="shared" si="42"/>
        <v>0.50739009663000589</v>
      </c>
      <c r="AD128" s="4">
        <f t="shared" si="43"/>
        <v>0.56661972948433981</v>
      </c>
      <c r="AE128" s="4">
        <f t="shared" si="44"/>
        <v>0.94436621580723301</v>
      </c>
      <c r="AF128" s="32">
        <f t="shared" si="45"/>
        <v>0.7629529184922017</v>
      </c>
      <c r="AG128" s="4">
        <f t="shared" si="46"/>
        <v>1.037597765679821</v>
      </c>
      <c r="AH128" s="42">
        <f t="shared" si="47"/>
        <v>1.6528750372583814</v>
      </c>
      <c r="AJ128" s="23">
        <v>4</v>
      </c>
      <c r="AK128" s="24">
        <v>0.8</v>
      </c>
      <c r="AL128" s="5">
        <f t="shared" si="48"/>
        <v>2.0799999999999999E-2</v>
      </c>
      <c r="AM128" s="5">
        <f t="shared" si="59"/>
        <v>0.1194718394324346</v>
      </c>
      <c r="AN128" s="25">
        <f t="shared" si="60"/>
        <v>-8.0000000000000002E-3</v>
      </c>
      <c r="AO128" s="30">
        <f t="shared" si="49"/>
        <v>1.4000000000000004E-2</v>
      </c>
      <c r="AP128" s="5">
        <f t="shared" si="50"/>
        <v>0.18</v>
      </c>
      <c r="AQ128" s="25">
        <v>0</v>
      </c>
    </row>
    <row r="129" spans="2:43">
      <c r="B129" s="38">
        <v>25000</v>
      </c>
      <c r="C129" s="3">
        <v>0</v>
      </c>
      <c r="D129" s="3">
        <f t="shared" si="62"/>
        <v>0.8500000000000002</v>
      </c>
      <c r="E129" s="13" cm="1">
        <f t="array" ref="E129">((B129-INDEX($AT$4:$AW$53,MATCH(B129,$AT$4:$AT$53,1),1))/(INDEX($AT$4:$AW$53,MATCH(B129,$AT$4:$AT$53,1)+1,1)-INDEX($AT$4:$AW$53,MATCH(B129,$AT$4:$AT$53,1),1)))*(INDEX($AT$4:$AW$53,MATCH(B129,$AT$4:$AT$53,1)+1,4)-INDEX($AT$4:$AW$53,MATCH(B129,$AT$4:$AT$53,1),4))+INDEX($AT$4:$AW$53,MATCH(B129,$AT$4:$AT$53,1),4)</f>
        <v>37.664001292351955</v>
      </c>
      <c r="F129" s="13" cm="1">
        <f t="array" ref="F129">C129+((B129-INDEX($AT$4:$AW$53,MATCH(B129,$AT$4:$AT$53,1),1))/(INDEX($AT$4:$AW$53,MATCH(B129,$AT$4:$AT$53,1)+1,1)-INDEX($AT$4:$AW$53,MATCH(B129,$AT$4:$AT$53,1),1)))*(INDEX($AT$4:$AW$53,MATCH(B129,$AT$4:$AT$53,1)+1,3)-INDEX($AT$4:$AW$53,MATCH(B129,$AT$4:$AT$53,1),3))+INDEX($AT$4:$AW$53,MATCH(B129,$AT$4:$AT$53,1),3)</f>
        <v>238.70800160934394</v>
      </c>
      <c r="G129" s="4">
        <f t="shared" si="34"/>
        <v>0.54976562618579361</v>
      </c>
      <c r="H129" s="6">
        <f t="shared" si="52"/>
        <v>25000</v>
      </c>
      <c r="I129" s="13">
        <f t="shared" si="35"/>
        <v>263.24333271935564</v>
      </c>
      <c r="J129" s="13">
        <f t="shared" si="53"/>
        <v>511.70291987319229</v>
      </c>
      <c r="K129" s="13">
        <f t="shared" si="36"/>
        <v>342.76671349864489</v>
      </c>
      <c r="L129" s="13">
        <f t="shared" si="54"/>
        <v>360.94395145822023</v>
      </c>
      <c r="M129" s="13">
        <f t="shared" si="55"/>
        <v>22.742230611062713</v>
      </c>
      <c r="N129" s="13">
        <f t="shared" si="56"/>
        <v>19.048568653607006</v>
      </c>
      <c r="O129" s="4">
        <f t="shared" si="37"/>
        <v>1.1445000000000001</v>
      </c>
      <c r="P129" s="4">
        <f t="shared" si="38"/>
        <v>1.6038187614357571</v>
      </c>
      <c r="Q129" s="4">
        <f t="shared" si="39"/>
        <v>0.94812183877110601</v>
      </c>
      <c r="R129" s="4">
        <f t="shared" si="40"/>
        <v>0.59616315720123036</v>
      </c>
      <c r="S129" s="4">
        <f t="shared" si="41"/>
        <v>0.44870560087066619</v>
      </c>
      <c r="T129" s="1"/>
      <c r="U129" s="1"/>
      <c r="V129" s="1">
        <v>1</v>
      </c>
      <c r="W129" s="1">
        <v>1</v>
      </c>
      <c r="Y129" s="1">
        <f t="shared" si="57"/>
        <v>-1.1094895278699424</v>
      </c>
      <c r="Z129" s="1">
        <f t="shared" si="58"/>
        <v>23.842194357772129</v>
      </c>
      <c r="AB129" s="130">
        <v>1</v>
      </c>
      <c r="AC129" s="128">
        <f t="shared" si="42"/>
        <v>0.5054631887989498</v>
      </c>
      <c r="AD129" s="4">
        <f t="shared" si="43"/>
        <v>0.59616315720123036</v>
      </c>
      <c r="AE129" s="4">
        <f t="shared" si="44"/>
        <v>0.99360526200205068</v>
      </c>
      <c r="AF129" s="32">
        <f t="shared" si="45"/>
        <v>0.78752760241619746</v>
      </c>
      <c r="AG129" s="4">
        <f t="shared" si="46"/>
        <v>1.0512503678598186</v>
      </c>
      <c r="AH129" s="42">
        <f t="shared" si="47"/>
        <v>1.6651623792203794</v>
      </c>
      <c r="AJ129" s="23">
        <v>4</v>
      </c>
      <c r="AK129" s="24">
        <v>0.8</v>
      </c>
      <c r="AL129" s="5">
        <f t="shared" si="48"/>
        <v>3.5100000000000048E-2</v>
      </c>
      <c r="AM129" s="5">
        <f t="shared" si="59"/>
        <v>0.1194718394324346</v>
      </c>
      <c r="AN129" s="25">
        <f t="shared" si="60"/>
        <v>-8.0000000000000002E-3</v>
      </c>
      <c r="AO129" s="30">
        <f t="shared" si="49"/>
        <v>1.5750000000000007E-2</v>
      </c>
      <c r="AP129" s="5">
        <f t="shared" si="50"/>
        <v>0.18</v>
      </c>
      <c r="AQ129" s="25">
        <v>0</v>
      </c>
    </row>
    <row r="130" spans="2:43">
      <c r="B130" s="38">
        <v>25000</v>
      </c>
      <c r="C130" s="3">
        <v>0</v>
      </c>
      <c r="D130" s="3">
        <f t="shared" si="62"/>
        <v>0.90000000000000024</v>
      </c>
      <c r="E130" s="13" cm="1">
        <f t="array" ref="E130">((B130-INDEX($AT$4:$AW$53,MATCH(B130,$AT$4:$AT$53,1),1))/(INDEX($AT$4:$AW$53,MATCH(B130,$AT$4:$AT$53,1)+1,1)-INDEX($AT$4:$AW$53,MATCH(B130,$AT$4:$AT$53,1),1)))*(INDEX($AT$4:$AW$53,MATCH(B130,$AT$4:$AT$53,1)+1,4)-INDEX($AT$4:$AW$53,MATCH(B130,$AT$4:$AT$53,1),4))+INDEX($AT$4:$AW$53,MATCH(B130,$AT$4:$AT$53,1),4)</f>
        <v>37.664001292351955</v>
      </c>
      <c r="F130" s="13" cm="1">
        <f t="array" ref="F130">C130+((B130-INDEX($AT$4:$AW$53,MATCH(B130,$AT$4:$AT$53,1),1))/(INDEX($AT$4:$AW$53,MATCH(B130,$AT$4:$AT$53,1)+1,1)-INDEX($AT$4:$AW$53,MATCH(B130,$AT$4:$AT$53,1),1)))*(INDEX($AT$4:$AW$53,MATCH(B130,$AT$4:$AT$53,1)+1,3)-INDEX($AT$4:$AW$53,MATCH(B130,$AT$4:$AT$53,1),3))+INDEX($AT$4:$AW$53,MATCH(B130,$AT$4:$AT$53,1),3)</f>
        <v>238.70800160934394</v>
      </c>
      <c r="G130" s="4">
        <f t="shared" si="34"/>
        <v>0.54976562618579361</v>
      </c>
      <c r="H130" s="6">
        <f t="shared" si="52"/>
        <v>25000</v>
      </c>
      <c r="I130" s="13">
        <f t="shared" si="35"/>
        <v>278.72823464402364</v>
      </c>
      <c r="J130" s="13">
        <f t="shared" si="53"/>
        <v>541.80309163043887</v>
      </c>
      <c r="K130" s="13">
        <f t="shared" si="36"/>
        <v>362.92946135150635</v>
      </c>
      <c r="L130" s="13">
        <f t="shared" si="54"/>
        <v>384.32098816114296</v>
      </c>
      <c r="M130" s="13">
        <f t="shared" si="55"/>
        <v>26.037241335824397</v>
      </c>
      <c r="N130" s="13">
        <f t="shared" si="56"/>
        <v>21.355488732763568</v>
      </c>
      <c r="O130" s="4">
        <f t="shared" si="37"/>
        <v>1.1619999999999999</v>
      </c>
      <c r="P130" s="4">
        <f t="shared" si="38"/>
        <v>1.691303112850931</v>
      </c>
      <c r="Q130" s="4">
        <f t="shared" si="39"/>
        <v>0.96261911459329397</v>
      </c>
      <c r="R130" s="4">
        <f t="shared" si="40"/>
        <v>0.6286823846846914</v>
      </c>
      <c r="S130" s="4">
        <f t="shared" si="41"/>
        <v>0.44870560087066619</v>
      </c>
      <c r="T130" s="1"/>
      <c r="U130" s="1"/>
      <c r="V130" s="1">
        <v>1</v>
      </c>
      <c r="W130" s="1">
        <v>1</v>
      </c>
      <c r="Y130" s="1">
        <f t="shared" si="57"/>
        <v>-34.47898039908538</v>
      </c>
      <c r="Z130" s="1">
        <f t="shared" si="58"/>
        <v>24.759049489400049</v>
      </c>
      <c r="AB130" s="130">
        <v>1</v>
      </c>
      <c r="AC130" s="128">
        <f t="shared" si="42"/>
        <v>0.50359216913646399</v>
      </c>
      <c r="AD130" s="4">
        <f t="shared" si="43"/>
        <v>0.6286823846846914</v>
      </c>
      <c r="AE130" s="4">
        <f t="shared" si="44"/>
        <v>1.0478039744744858</v>
      </c>
      <c r="AF130" s="32">
        <f t="shared" si="45"/>
        <v>0.81210228634019321</v>
      </c>
      <c r="AG130" s="4">
        <f t="shared" si="46"/>
        <v>1.0649029700398163</v>
      </c>
      <c r="AH130" s="42">
        <f t="shared" si="47"/>
        <v>1.6774497211823773</v>
      </c>
      <c r="AJ130" s="23">
        <v>4</v>
      </c>
      <c r="AK130" s="24">
        <v>0.8</v>
      </c>
      <c r="AL130" s="5">
        <f t="shared" si="48"/>
        <v>4.9400000000000062E-2</v>
      </c>
      <c r="AM130" s="5">
        <f t="shared" si="59"/>
        <v>0.1194718394324346</v>
      </c>
      <c r="AN130" s="25">
        <f t="shared" si="60"/>
        <v>-8.0000000000000002E-3</v>
      </c>
      <c r="AO130" s="30">
        <f t="shared" si="49"/>
        <v>1.7500000000000009E-2</v>
      </c>
      <c r="AP130" s="5">
        <f t="shared" si="50"/>
        <v>0.18</v>
      </c>
      <c r="AQ130" s="25">
        <v>0</v>
      </c>
    </row>
    <row r="131" spans="2:43">
      <c r="B131" s="38">
        <v>25000</v>
      </c>
      <c r="C131" s="3">
        <v>0</v>
      </c>
      <c r="D131" s="3">
        <f t="shared" si="62"/>
        <v>0.95000000000000029</v>
      </c>
      <c r="E131" s="13" cm="1">
        <f t="array" ref="E131">((B131-INDEX($AT$4:$AW$53,MATCH(B131,$AT$4:$AT$53,1),1))/(INDEX($AT$4:$AW$53,MATCH(B131,$AT$4:$AT$53,1)+1,1)-INDEX($AT$4:$AW$53,MATCH(B131,$AT$4:$AT$53,1),1)))*(INDEX($AT$4:$AW$53,MATCH(B131,$AT$4:$AT$53,1)+1,4)-INDEX($AT$4:$AW$53,MATCH(B131,$AT$4:$AT$53,1),4))+INDEX($AT$4:$AW$53,MATCH(B131,$AT$4:$AT$53,1),4)</f>
        <v>37.664001292351955</v>
      </c>
      <c r="F131" s="13" cm="1">
        <f t="array" ref="F131">C131+((B131-INDEX($AT$4:$AW$53,MATCH(B131,$AT$4:$AT$53,1),1))/(INDEX($AT$4:$AW$53,MATCH(B131,$AT$4:$AT$53,1)+1,1)-INDEX($AT$4:$AW$53,MATCH(B131,$AT$4:$AT$53,1),1)))*(INDEX($AT$4:$AW$53,MATCH(B131,$AT$4:$AT$53,1)+1,3)-INDEX($AT$4:$AW$53,MATCH(B131,$AT$4:$AT$53,1),3))+INDEX($AT$4:$AW$53,MATCH(B131,$AT$4:$AT$53,1),3)</f>
        <v>238.70800160934394</v>
      </c>
      <c r="G131" s="4">
        <f t="shared" si="34"/>
        <v>0.54976562618579361</v>
      </c>
      <c r="H131" s="6">
        <f t="shared" si="52"/>
        <v>25000</v>
      </c>
      <c r="I131" s="13">
        <f t="shared" si="35"/>
        <v>294.2131365686916</v>
      </c>
      <c r="J131" s="13">
        <f t="shared" si="53"/>
        <v>571.90326338768546</v>
      </c>
      <c r="K131" s="13">
        <f t="shared" si="36"/>
        <v>383.0922092043678</v>
      </c>
      <c r="L131" s="13">
        <f t="shared" si="54"/>
        <v>408.0196233688207</v>
      </c>
      <c r="M131" s="13">
        <f t="shared" si="55"/>
        <v>29.658063273380794</v>
      </c>
      <c r="N131" s="13">
        <f t="shared" si="56"/>
        <v>23.794232816443358</v>
      </c>
      <c r="O131" s="4">
        <f t="shared" si="37"/>
        <v>1.1805000000000001</v>
      </c>
      <c r="P131" s="4">
        <f t="shared" si="38"/>
        <v>1.7874379315987108</v>
      </c>
      <c r="Q131" s="4">
        <f t="shared" si="39"/>
        <v>0.97794480617675017</v>
      </c>
      <c r="R131" s="4">
        <f t="shared" si="40"/>
        <v>0.66441711883279297</v>
      </c>
      <c r="S131" s="4">
        <f t="shared" si="41"/>
        <v>0.44870560087066619</v>
      </c>
      <c r="T131" s="1"/>
      <c r="U131" s="1"/>
      <c r="V131" s="1">
        <v>1</v>
      </c>
      <c r="W131" s="1">
        <v>1</v>
      </c>
      <c r="Y131" s="1">
        <f t="shared" si="57"/>
        <v>-78.872936720475309</v>
      </c>
      <c r="Z131" s="1">
        <f t="shared" si="58"/>
        <v>25.63160211829042</v>
      </c>
      <c r="AB131" s="130">
        <v>1</v>
      </c>
      <c r="AC131" s="128">
        <f t="shared" si="42"/>
        <v>0.50177243958633722</v>
      </c>
      <c r="AD131" s="4">
        <f t="shared" si="43"/>
        <v>0.66441711883279297</v>
      </c>
      <c r="AE131" s="4">
        <f t="shared" si="44"/>
        <v>1.1073618647213217</v>
      </c>
      <c r="AF131" s="32">
        <f t="shared" si="45"/>
        <v>0.83667697026418908</v>
      </c>
      <c r="AG131" s="4">
        <f t="shared" si="46"/>
        <v>1.0785555722198139</v>
      </c>
      <c r="AH131" s="42">
        <f t="shared" si="47"/>
        <v>1.6897370631443751</v>
      </c>
      <c r="AJ131" s="23">
        <v>4</v>
      </c>
      <c r="AK131" s="24">
        <v>0.8</v>
      </c>
      <c r="AL131" s="5">
        <f t="shared" si="48"/>
        <v>6.3700000000000062E-2</v>
      </c>
      <c r="AM131" s="5">
        <f t="shared" si="59"/>
        <v>0.1194718394324346</v>
      </c>
      <c r="AN131" s="25">
        <f t="shared" si="60"/>
        <v>-8.0000000000000002E-3</v>
      </c>
      <c r="AO131" s="30">
        <f t="shared" si="49"/>
        <v>1.925000000000001E-2</v>
      </c>
      <c r="AP131" s="5">
        <f t="shared" si="50"/>
        <v>0.18</v>
      </c>
      <c r="AQ131" s="25">
        <v>0</v>
      </c>
    </row>
    <row r="132" spans="2:43" ht="15" thickBot="1">
      <c r="B132" s="39">
        <v>25000</v>
      </c>
      <c r="C132" s="48">
        <v>0</v>
      </c>
      <c r="D132" s="48">
        <f t="shared" si="62"/>
        <v>1.0000000000000002</v>
      </c>
      <c r="E132" s="152" cm="1">
        <f t="array" ref="E132">((B132-INDEX($AT$4:$AW$53,MATCH(B132,$AT$4:$AT$53,1),1))/(INDEX($AT$4:$AW$53,MATCH(B132,$AT$4:$AT$53,1)+1,1)-INDEX($AT$4:$AW$53,MATCH(B132,$AT$4:$AT$53,1),1)))*(INDEX($AT$4:$AW$53,MATCH(B132,$AT$4:$AT$53,1)+1,4)-INDEX($AT$4:$AW$53,MATCH(B132,$AT$4:$AT$53,1),4))+INDEX($AT$4:$AW$53,MATCH(B132,$AT$4:$AT$53,1),4)</f>
        <v>37.664001292351955</v>
      </c>
      <c r="F132" s="152" cm="1">
        <f t="array" ref="F132">C132+((B132-INDEX($AT$4:$AW$53,MATCH(B132,$AT$4:$AT$53,1),1))/(INDEX($AT$4:$AW$53,MATCH(B132,$AT$4:$AT$53,1)+1,1)-INDEX($AT$4:$AW$53,MATCH(B132,$AT$4:$AT$53,1),1)))*(INDEX($AT$4:$AW$53,MATCH(B132,$AT$4:$AT$53,1)+1,3)-INDEX($AT$4:$AW$53,MATCH(B132,$AT$4:$AT$53,1),3))+INDEX($AT$4:$AW$53,MATCH(B132,$AT$4:$AT$53,1),3)</f>
        <v>238.70800160934394</v>
      </c>
      <c r="G132" s="43">
        <f t="shared" si="34"/>
        <v>0.54976562618579361</v>
      </c>
      <c r="H132" s="153">
        <f t="shared" si="52"/>
        <v>25000</v>
      </c>
      <c r="I132" s="152">
        <f t="shared" si="35"/>
        <v>309.69803849335955</v>
      </c>
      <c r="J132" s="152">
        <f t="shared" si="53"/>
        <v>602.00343514493204</v>
      </c>
      <c r="K132" s="152">
        <f t="shared" si="36"/>
        <v>403.25495705722926</v>
      </c>
      <c r="L132" s="152">
        <f t="shared" si="54"/>
        <v>432.0451718707597</v>
      </c>
      <c r="M132" s="152">
        <f t="shared" si="55"/>
        <v>33.63128498868128</v>
      </c>
      <c r="N132" s="152">
        <f t="shared" si="56"/>
        <v>26.364800904646369</v>
      </c>
      <c r="O132" s="43">
        <f t="shared" si="37"/>
        <v>1.2</v>
      </c>
      <c r="P132" s="43">
        <f t="shared" si="38"/>
        <v>1.8929291587378541</v>
      </c>
      <c r="Q132" s="43">
        <f t="shared" si="39"/>
        <v>0.99409891352147406</v>
      </c>
      <c r="R132" s="43">
        <f t="shared" si="40"/>
        <v>0.70362976837930646</v>
      </c>
      <c r="S132" s="43">
        <f t="shared" si="41"/>
        <v>0.44870560087066619</v>
      </c>
      <c r="T132" s="98"/>
      <c r="U132" s="98"/>
      <c r="V132" s="98">
        <v>1</v>
      </c>
      <c r="W132" s="98">
        <v>1</v>
      </c>
      <c r="X132" s="104"/>
      <c r="Y132" s="98">
        <f t="shared" si="57"/>
        <v>-136.00665228125405</v>
      </c>
      <c r="Z132" s="1">
        <f t="shared" si="58"/>
        <v>26.511948235852387</v>
      </c>
      <c r="AB132" s="130">
        <v>1</v>
      </c>
      <c r="AC132" s="128">
        <f t="shared" si="42"/>
        <v>0.5</v>
      </c>
      <c r="AD132" s="4">
        <f t="shared" si="43"/>
        <v>0.70362976837930646</v>
      </c>
      <c r="AE132" s="4">
        <f t="shared" si="44"/>
        <v>1.1727162806321776</v>
      </c>
      <c r="AF132" s="32">
        <f t="shared" si="45"/>
        <v>0.86125165418818483</v>
      </c>
      <c r="AG132" s="4">
        <f t="shared" si="46"/>
        <v>1.0922081743998115</v>
      </c>
      <c r="AH132" s="42">
        <f t="shared" si="47"/>
        <v>1.7020244051063729</v>
      </c>
      <c r="AJ132" s="23">
        <v>4</v>
      </c>
      <c r="AK132" s="24">
        <v>0.8</v>
      </c>
      <c r="AL132" s="5">
        <f t="shared" si="48"/>
        <v>7.8000000000000042E-2</v>
      </c>
      <c r="AM132" s="5">
        <f t="shared" si="59"/>
        <v>0.1194718394324346</v>
      </c>
      <c r="AN132" s="25">
        <f t="shared" si="60"/>
        <v>-8.0000000000000002E-3</v>
      </c>
      <c r="AO132" s="30">
        <f t="shared" si="49"/>
        <v>2.1000000000000008E-2</v>
      </c>
      <c r="AP132" s="5">
        <f t="shared" si="50"/>
        <v>0.18</v>
      </c>
      <c r="AQ132" s="25">
        <v>0</v>
      </c>
    </row>
    <row r="133" spans="2:43">
      <c r="B133" s="146">
        <v>30000</v>
      </c>
      <c r="C133" s="147">
        <v>0</v>
      </c>
      <c r="D133" s="147">
        <v>0.01</v>
      </c>
      <c r="E133" s="148" cm="1">
        <f t="array" ref="E133">((B133-INDEX($AT$4:$AW$53,MATCH(B133,$AT$4:$AT$53,1),1))/(INDEX($AT$4:$AW$53,MATCH(B133,$AT$4:$AT$53,1)+1,1)-INDEX($AT$4:$AW$53,MATCH(B133,$AT$4:$AT$53,1),1)))*(INDEX($AT$4:$AW$53,MATCH(B133,$AT$4:$AT$53,1)+1,4)-INDEX($AT$4:$AW$53,MATCH(B133,$AT$4:$AT$53,1),4))+INDEX($AT$4:$AW$53,MATCH(B133,$AT$4:$AT$53,1),4)</f>
        <v>30.160641299179481</v>
      </c>
      <c r="F133" s="148" cm="1">
        <f t="array" ref="F133">C133+((B133-INDEX($AT$4:$AW$53,MATCH(B133,$AT$4:$AT$53,1),1))/(INDEX($AT$4:$AW$53,MATCH(B133,$AT$4:$AT$53,1)+1,1)-INDEX($AT$4:$AW$53,MATCH(B133,$AT$4:$AT$53,1),1)))*(INDEX($AT$4:$AW$53,MATCH(B133,$AT$4:$AT$53,1)+1,3)-INDEX($AT$4:$AW$53,MATCH(B133,$AT$4:$AT$53,1),3))+INDEX($AT$4:$AW$53,MATCH(B133,$AT$4:$AT$53,1),3)</f>
        <v>228.77840187269112</v>
      </c>
      <c r="G133" s="149">
        <f t="shared" si="34"/>
        <v>0.45934992833952565</v>
      </c>
      <c r="H133" s="150">
        <f t="shared" si="52"/>
        <v>30000</v>
      </c>
      <c r="I133" s="148">
        <f t="shared" si="35"/>
        <v>3.0318832740138149</v>
      </c>
      <c r="J133" s="148">
        <f t="shared" si="53"/>
        <v>5.8934959833590135</v>
      </c>
      <c r="K133" s="148">
        <f t="shared" si="36"/>
        <v>3.6085836119168362</v>
      </c>
      <c r="L133" s="148">
        <f t="shared" si="54"/>
        <v>3.6086152922540187</v>
      </c>
      <c r="M133" s="148">
        <f t="shared" si="55"/>
        <v>2.1112976725853111E-3</v>
      </c>
      <c r="N133" s="148">
        <f t="shared" si="56"/>
        <v>2.1112448909425645E-3</v>
      </c>
      <c r="O133" s="149">
        <f t="shared" si="37"/>
        <v>1.0000199999999999</v>
      </c>
      <c r="P133" s="149">
        <f t="shared" si="38"/>
        <v>1.0000700017500173</v>
      </c>
      <c r="Q133" s="149">
        <f t="shared" si="39"/>
        <v>0.79397181135078454</v>
      </c>
      <c r="R133" s="149">
        <f t="shared" si="40"/>
        <v>0.29768322326032137</v>
      </c>
      <c r="S133" s="149">
        <f t="shared" si="41"/>
        <v>0.37491046327408678</v>
      </c>
      <c r="T133" s="151"/>
      <c r="U133" s="151"/>
      <c r="V133" s="151">
        <v>1</v>
      </c>
      <c r="W133" s="151">
        <v>1</v>
      </c>
      <c r="X133" s="125"/>
      <c r="Y133" s="151">
        <f t="shared" si="57"/>
        <v>-492.66972305043686</v>
      </c>
      <c r="Z133" s="1">
        <f t="shared" si="58"/>
        <v>-492.66972305043686</v>
      </c>
      <c r="AB133" s="130">
        <v>1</v>
      </c>
      <c r="AC133" s="128">
        <f t="shared" si="42"/>
        <v>0.56299999999999994</v>
      </c>
      <c r="AD133" s="4">
        <f t="shared" si="43"/>
        <v>0.29768322326032137</v>
      </c>
      <c r="AE133" s="4">
        <f t="shared" si="44"/>
        <v>0.49613870543386895</v>
      </c>
      <c r="AF133" s="32">
        <f t="shared" si="45"/>
        <v>0.36679745927358648</v>
      </c>
      <c r="AG133" s="4">
        <f t="shared" si="46"/>
        <v>0.8046109698142806</v>
      </c>
      <c r="AH133" s="42">
        <f t="shared" si="47"/>
        <v>1.4280730911642829</v>
      </c>
      <c r="AJ133" s="23">
        <v>4</v>
      </c>
      <c r="AK133" s="24">
        <v>0.8</v>
      </c>
      <c r="AL133" s="5">
        <f t="shared" si="48"/>
        <v>2.0799999999999999E-2</v>
      </c>
      <c r="AM133" s="5">
        <f t="shared" si="59"/>
        <v>0.1194718394324346</v>
      </c>
      <c r="AN133" s="25">
        <f t="shared" si="60"/>
        <v>-8.0000000000000002E-3</v>
      </c>
      <c r="AO133" s="30">
        <f t="shared" si="49"/>
        <v>1.4E-2</v>
      </c>
      <c r="AP133" s="5">
        <f t="shared" si="50"/>
        <v>0.18</v>
      </c>
      <c r="AQ133" s="25">
        <v>0</v>
      </c>
    </row>
    <row r="134" spans="2:43">
      <c r="B134" s="38">
        <v>30000</v>
      </c>
      <c r="C134" s="3">
        <v>0</v>
      </c>
      <c r="D134" s="3">
        <v>0.05</v>
      </c>
      <c r="E134" s="13" cm="1">
        <f t="array" ref="E134">((B134-INDEX($AT$4:$AW$53,MATCH(B134,$AT$4:$AT$53,1),1))/(INDEX($AT$4:$AW$53,MATCH(B134,$AT$4:$AT$53,1)+1,1)-INDEX($AT$4:$AW$53,MATCH(B134,$AT$4:$AT$53,1),1)))*(INDEX($AT$4:$AW$53,MATCH(B134,$AT$4:$AT$53,1)+1,4)-INDEX($AT$4:$AW$53,MATCH(B134,$AT$4:$AT$53,1),4))+INDEX($AT$4:$AW$53,MATCH(B134,$AT$4:$AT$53,1),4)</f>
        <v>30.160641299179481</v>
      </c>
      <c r="F134" s="13" cm="1">
        <f t="array" ref="F134">C134+((B134-INDEX($AT$4:$AW$53,MATCH(B134,$AT$4:$AT$53,1),1))/(INDEX($AT$4:$AW$53,MATCH(B134,$AT$4:$AT$53,1)+1,1)-INDEX($AT$4:$AW$53,MATCH(B134,$AT$4:$AT$53,1),1)))*(INDEX($AT$4:$AW$53,MATCH(B134,$AT$4:$AT$53,1)+1,3)-INDEX($AT$4:$AW$53,MATCH(B134,$AT$4:$AT$53,1),3))+INDEX($AT$4:$AW$53,MATCH(B134,$AT$4:$AT$53,1),3)</f>
        <v>228.77840187269112</v>
      </c>
      <c r="G134" s="4">
        <f t="shared" si="34"/>
        <v>0.45934992833952565</v>
      </c>
      <c r="H134" s="6">
        <f t="shared" si="52"/>
        <v>30000</v>
      </c>
      <c r="I134" s="13">
        <f t="shared" si="35"/>
        <v>15.159416370069074</v>
      </c>
      <c r="J134" s="13">
        <f t="shared" si="53"/>
        <v>29.467479916795071</v>
      </c>
      <c r="K134" s="13">
        <f t="shared" si="36"/>
        <v>18.042918059584181</v>
      </c>
      <c r="L134" s="13">
        <f t="shared" si="54"/>
        <v>18.046877504820404</v>
      </c>
      <c r="M134" s="13">
        <f t="shared" si="55"/>
        <v>5.2814118722545551E-2</v>
      </c>
      <c r="N134" s="13">
        <f t="shared" si="56"/>
        <v>5.2781122273564102E-2</v>
      </c>
      <c r="O134" s="4">
        <f t="shared" si="37"/>
        <v>1.0004999999999999</v>
      </c>
      <c r="P134" s="4">
        <f t="shared" si="38"/>
        <v>1.0017510940234544</v>
      </c>
      <c r="Q134" s="4">
        <f t="shared" si="39"/>
        <v>0.79435291019825605</v>
      </c>
      <c r="R134" s="4">
        <f t="shared" si="40"/>
        <v>0.29818362119814484</v>
      </c>
      <c r="S134" s="4">
        <f t="shared" si="41"/>
        <v>0.37491046327408678</v>
      </c>
      <c r="T134" s="1"/>
      <c r="U134" s="1"/>
      <c r="V134" s="1">
        <v>1</v>
      </c>
      <c r="W134" s="1">
        <v>1</v>
      </c>
      <c r="Y134" s="1">
        <f t="shared" si="57"/>
        <v>-96.687389621464945</v>
      </c>
      <c r="Z134" s="1">
        <f t="shared" si="58"/>
        <v>-96.687389621464945</v>
      </c>
      <c r="AB134" s="130">
        <v>1</v>
      </c>
      <c r="AC134" s="128">
        <f t="shared" si="42"/>
        <v>0.55434752415750155</v>
      </c>
      <c r="AD134" s="4">
        <f t="shared" si="43"/>
        <v>0.29818362119814484</v>
      </c>
      <c r="AE134" s="4">
        <f t="shared" si="44"/>
        <v>0.49697270199690807</v>
      </c>
      <c r="AF134" s="32">
        <f t="shared" si="45"/>
        <v>0.38604396752163572</v>
      </c>
      <c r="AG134" s="4">
        <f t="shared" si="46"/>
        <v>0.81530347439653017</v>
      </c>
      <c r="AH134" s="42">
        <f t="shared" si="47"/>
        <v>1.4376963452883076</v>
      </c>
      <c r="AJ134" s="23">
        <v>4</v>
      </c>
      <c r="AK134" s="24">
        <v>0.8</v>
      </c>
      <c r="AL134" s="5">
        <f t="shared" si="48"/>
        <v>2.0799999999999999E-2</v>
      </c>
      <c r="AM134" s="5">
        <f t="shared" si="59"/>
        <v>0.1194718394324346</v>
      </c>
      <c r="AN134" s="25">
        <f t="shared" si="60"/>
        <v>-8.0000000000000002E-3</v>
      </c>
      <c r="AO134" s="30">
        <f t="shared" si="49"/>
        <v>1.4E-2</v>
      </c>
      <c r="AP134" s="5">
        <f t="shared" si="50"/>
        <v>0.18</v>
      </c>
      <c r="AQ134" s="25">
        <v>0</v>
      </c>
    </row>
    <row r="135" spans="2:43">
      <c r="B135" s="38">
        <v>30000</v>
      </c>
      <c r="C135" s="3">
        <v>0</v>
      </c>
      <c r="D135" s="3">
        <f t="shared" ref="D135:D153" si="63">D134+0.05</f>
        <v>0.1</v>
      </c>
      <c r="E135" s="13" cm="1">
        <f t="array" ref="E135">((B135-INDEX($AT$4:$AW$53,MATCH(B135,$AT$4:$AT$53,1),1))/(INDEX($AT$4:$AW$53,MATCH(B135,$AT$4:$AT$53,1)+1,1)-INDEX($AT$4:$AW$53,MATCH(B135,$AT$4:$AT$53,1),1)))*(INDEX($AT$4:$AW$53,MATCH(B135,$AT$4:$AT$53,1)+1,4)-INDEX($AT$4:$AW$53,MATCH(B135,$AT$4:$AT$53,1),4))+INDEX($AT$4:$AW$53,MATCH(B135,$AT$4:$AT$53,1),4)</f>
        <v>30.160641299179481</v>
      </c>
      <c r="F135" s="13" cm="1">
        <f t="array" ref="F135">C135+((B135-INDEX($AT$4:$AW$53,MATCH(B135,$AT$4:$AT$53,1),1))/(INDEX($AT$4:$AW$53,MATCH(B135,$AT$4:$AT$53,1)+1,1)-INDEX($AT$4:$AW$53,MATCH(B135,$AT$4:$AT$53,1),1)))*(INDEX($AT$4:$AW$53,MATCH(B135,$AT$4:$AT$53,1)+1,3)-INDEX($AT$4:$AW$53,MATCH(B135,$AT$4:$AT$53,1),3))+INDEX($AT$4:$AW$53,MATCH(B135,$AT$4:$AT$53,1),3)</f>
        <v>228.77840187269112</v>
      </c>
      <c r="G135" s="4">
        <f t="shared" ref="G135:G198" si="64">E135*1000/($D$3*F135)</f>
        <v>0.45934992833952565</v>
      </c>
      <c r="H135" s="6">
        <f t="shared" si="52"/>
        <v>30000</v>
      </c>
      <c r="I135" s="13">
        <f t="shared" ref="I135:I198" si="65">D135*SQRT($E$3*$D$3*F135)</f>
        <v>30.318832740138149</v>
      </c>
      <c r="J135" s="13">
        <f t="shared" si="53"/>
        <v>58.934959833590142</v>
      </c>
      <c r="K135" s="13">
        <f t="shared" ref="K135:K198" si="66">J135*SQRT(S135)</f>
        <v>36.085836119168363</v>
      </c>
      <c r="L135" s="13">
        <f t="shared" si="54"/>
        <v>36.11749669788</v>
      </c>
      <c r="M135" s="13">
        <f t="shared" si="55"/>
        <v>0.21165282826013954</v>
      </c>
      <c r="N135" s="13">
        <f t="shared" si="56"/>
        <v>0.21112448909425641</v>
      </c>
      <c r="O135" s="4">
        <f t="shared" ref="O135:O198" si="67">(1+($E$3-1)/2*D135^2)</f>
        <v>1.002</v>
      </c>
      <c r="P135" s="4">
        <f t="shared" ref="P135:P198" si="68">O135^($E$3/($E$3-1))</f>
        <v>1.0070175175043741</v>
      </c>
      <c r="Q135" s="4">
        <f t="shared" ref="Q135:Q198" si="69">F135*O135/$C$3</f>
        <v>0.79554384409660428</v>
      </c>
      <c r="R135" s="4">
        <f t="shared" ref="R135:R198" si="70">E135*P135/$B$3</f>
        <v>0.29975123737912279</v>
      </c>
      <c r="S135" s="4">
        <f t="shared" ref="S135:S198" si="71">G135/($B$3*1000/($D$3*$C$3))</f>
        <v>0.37491046327408678</v>
      </c>
      <c r="T135" s="1"/>
      <c r="U135" s="1"/>
      <c r="V135" s="1">
        <v>1</v>
      </c>
      <c r="W135" s="1">
        <v>1</v>
      </c>
      <c r="Y135" s="1">
        <f t="shared" si="57"/>
        <v>-45.474030692829274</v>
      </c>
      <c r="Z135" s="1">
        <f t="shared" si="58"/>
        <v>-45.474030692829274</v>
      </c>
      <c r="AB135" s="130">
        <v>1</v>
      </c>
      <c r="AC135" s="128">
        <f t="shared" ref="AC135:AC198" si="72">1-(0.43+0.014*MIN(MAX(AB135,5),15)*SQRT(D135))</f>
        <v>0.5478640563788213</v>
      </c>
      <c r="AD135" s="4">
        <f t="shared" ref="AD135:AD198" si="73">R135</f>
        <v>0.29975123737912279</v>
      </c>
      <c r="AE135" s="4">
        <f t="shared" ref="AE135:AE198" si="74">R135/0.6</f>
        <v>0.49958539563187132</v>
      </c>
      <c r="AF135" s="32">
        <f t="shared" ref="AF135:AF198" si="75">(0.45+0.54*D135-MIN(MAX(AB135,5),15)/100+(MIN(MAX(AB135,5),15)^2)/4000)*SQRT(F135/$C$3)</f>
        <v>0.41010210283169723</v>
      </c>
      <c r="AG135" s="4">
        <f t="shared" ref="AG135:AG198" si="76">(0.9+0.3*D135)*SQRT(F135/$C$3)</f>
        <v>0.82866910512434211</v>
      </c>
      <c r="AH135" s="42">
        <f t="shared" ref="AH135:AH198" si="77">(1.6+0.27*D135)*SQRT(F135/$C$3)</f>
        <v>1.4497254129433383</v>
      </c>
      <c r="AJ135" s="23">
        <v>4</v>
      </c>
      <c r="AK135" s="24">
        <v>0.8</v>
      </c>
      <c r="AL135" s="5">
        <f t="shared" ref="AL135:AL198" si="78">IF(D135&gt;0.8, 0.02+(D135-0.8)*0.286,0.02)+0.02*0.2^2</f>
        <v>2.0799999999999999E-2</v>
      </c>
      <c r="AM135" s="5">
        <f t="shared" si="59"/>
        <v>0.1194718394324346</v>
      </c>
      <c r="AN135" s="25">
        <f t="shared" si="60"/>
        <v>-8.0000000000000002E-3</v>
      </c>
      <c r="AO135" s="30">
        <f t="shared" ref="AO135:AO198" si="79">IF(D135&lt;0.8,0.014, IF(D135&gt;1.2, 0.028,0.014+(D135-0.8)*0.035))</f>
        <v>1.4E-2</v>
      </c>
      <c r="AP135" s="5">
        <f t="shared" ref="AP135:AP198" si="80">IF(D135&gt;1,0.18+(D135-1)*0.18,0.18)</f>
        <v>0.18</v>
      </c>
      <c r="AQ135" s="25">
        <v>0</v>
      </c>
    </row>
    <row r="136" spans="2:43">
      <c r="B136" s="38">
        <v>30000</v>
      </c>
      <c r="C136" s="3">
        <v>0</v>
      </c>
      <c r="D136" s="3">
        <f t="shared" si="63"/>
        <v>0.15000000000000002</v>
      </c>
      <c r="E136" s="13" cm="1">
        <f t="array" ref="E136">((B136-INDEX($AT$4:$AW$53,MATCH(B136,$AT$4:$AT$53,1),1))/(INDEX($AT$4:$AW$53,MATCH(B136,$AT$4:$AT$53,1)+1,1)-INDEX($AT$4:$AW$53,MATCH(B136,$AT$4:$AT$53,1),1)))*(INDEX($AT$4:$AW$53,MATCH(B136,$AT$4:$AT$53,1)+1,4)-INDEX($AT$4:$AW$53,MATCH(B136,$AT$4:$AT$53,1),4))+INDEX($AT$4:$AW$53,MATCH(B136,$AT$4:$AT$53,1),4)</f>
        <v>30.160641299179481</v>
      </c>
      <c r="F136" s="13" cm="1">
        <f t="array" ref="F136">C136+((B136-INDEX($AT$4:$AW$53,MATCH(B136,$AT$4:$AT$53,1),1))/(INDEX($AT$4:$AW$53,MATCH(B136,$AT$4:$AT$53,1)+1,1)-INDEX($AT$4:$AW$53,MATCH(B136,$AT$4:$AT$53,1),1)))*(INDEX($AT$4:$AW$53,MATCH(B136,$AT$4:$AT$53,1)+1,3)-INDEX($AT$4:$AW$53,MATCH(B136,$AT$4:$AT$53,1),3))+INDEX($AT$4:$AW$53,MATCH(B136,$AT$4:$AT$53,1),3)</f>
        <v>228.77840187269112</v>
      </c>
      <c r="G136" s="4">
        <f t="shared" si="64"/>
        <v>0.45934992833952565</v>
      </c>
      <c r="H136" s="6">
        <f t="shared" ref="H136:H199" si="81">B136+(120*C136)</f>
        <v>30000</v>
      </c>
      <c r="I136" s="13">
        <f t="shared" si="65"/>
        <v>45.478249110207223</v>
      </c>
      <c r="J136" s="13">
        <f t="shared" ref="J136:J199" si="82">I136*1.94384</f>
        <v>88.402439750385213</v>
      </c>
      <c r="K136" s="13">
        <f t="shared" si="66"/>
        <v>54.128754178752544</v>
      </c>
      <c r="L136" s="13">
        <f t="shared" ref="L136:L199" si="83">SQRT($E$3*$D$3*$C$3)*SQRT(5*(((((P136-1)*E136)/$B$3)+1)^(2/7)-1))*1.94384</f>
        <v>54.235524142719363</v>
      </c>
      <c r="M136" s="13">
        <f t="shared" ref="M136:M199" si="84">(P136-1)*E136</f>
        <v>0.47770816025716267</v>
      </c>
      <c r="N136" s="13">
        <f t="shared" ref="N136:N199" si="85">(0.5*G136*I136^2)/1000</f>
        <v>0.47503010046207694</v>
      </c>
      <c r="O136" s="4">
        <f t="shared" si="67"/>
        <v>1.0044999999999999</v>
      </c>
      <c r="P136" s="4">
        <f t="shared" si="68"/>
        <v>1.0158387931980133</v>
      </c>
      <c r="Q136" s="4">
        <f t="shared" si="69"/>
        <v>0.7975287339271846</v>
      </c>
      <c r="R136" s="4">
        <f t="shared" si="70"/>
        <v>0.30237699935293999</v>
      </c>
      <c r="S136" s="4">
        <f t="shared" si="71"/>
        <v>0.37491046327408678</v>
      </c>
      <c r="T136" s="1"/>
      <c r="U136" s="1"/>
      <c r="V136" s="1">
        <v>1</v>
      </c>
      <c r="W136" s="1">
        <v>1</v>
      </c>
      <c r="Y136" s="1">
        <f t="shared" ref="Y136:Y199" si="86">I136*((AD136/W136)*$H$3-AM136*V136^2*W136/(N136*1000)*$J$3*1000-AN136*V136-(AL136/((W136/(N136*1000))*$J$3*1000)))</f>
        <v>-27.162235668094713</v>
      </c>
      <c r="Z136" s="1">
        <f t="shared" ref="Z136:Z199" si="87">I136*((AD136/W136)*$H$3-AM136*V136^2*W136/(N136*1000)*$J$3*1000-AN136*V136-($AL$7/((W136/(N136*1000))*$J$3*1000)))</f>
        <v>-27.162235668094713</v>
      </c>
      <c r="AB136" s="130">
        <v>1</v>
      </c>
      <c r="AC136" s="128">
        <f t="shared" si="72"/>
        <v>0.54288911657654815</v>
      </c>
      <c r="AD136" s="4">
        <f t="shared" si="73"/>
        <v>0.30237699935293999</v>
      </c>
      <c r="AE136" s="4">
        <f t="shared" si="74"/>
        <v>0.5039616655882333</v>
      </c>
      <c r="AF136" s="32">
        <f t="shared" si="75"/>
        <v>0.4341602381417588</v>
      </c>
      <c r="AG136" s="4">
        <f t="shared" si="76"/>
        <v>0.84203473585215416</v>
      </c>
      <c r="AH136" s="42">
        <f t="shared" si="77"/>
        <v>1.4617544805983691</v>
      </c>
      <c r="AJ136" s="23">
        <v>4</v>
      </c>
      <c r="AK136" s="24">
        <v>0.8</v>
      </c>
      <c r="AL136" s="5">
        <f t="shared" si="78"/>
        <v>2.0799999999999999E-2</v>
      </c>
      <c r="AM136" s="5">
        <f t="shared" ref="AM136:AM199" si="88">1/(PI()*AJ136*AK136)+0.02</f>
        <v>0.1194718394324346</v>
      </c>
      <c r="AN136" s="25">
        <f t="shared" si="60"/>
        <v>-8.0000000000000002E-3</v>
      </c>
      <c r="AO136" s="30">
        <f t="shared" si="79"/>
        <v>1.4E-2</v>
      </c>
      <c r="AP136" s="5">
        <f t="shared" si="80"/>
        <v>0.18</v>
      </c>
      <c r="AQ136" s="25">
        <v>0</v>
      </c>
    </row>
    <row r="137" spans="2:43">
      <c r="B137" s="38">
        <v>30000</v>
      </c>
      <c r="C137" s="3">
        <v>0</v>
      </c>
      <c r="D137" s="3">
        <f t="shared" si="63"/>
        <v>0.2</v>
      </c>
      <c r="E137" s="13" cm="1">
        <f t="array" ref="E137">((B137-INDEX($AT$4:$AW$53,MATCH(B137,$AT$4:$AT$53,1),1))/(INDEX($AT$4:$AW$53,MATCH(B137,$AT$4:$AT$53,1)+1,1)-INDEX($AT$4:$AW$53,MATCH(B137,$AT$4:$AT$53,1),1)))*(INDEX($AT$4:$AW$53,MATCH(B137,$AT$4:$AT$53,1)+1,4)-INDEX($AT$4:$AW$53,MATCH(B137,$AT$4:$AT$53,1),4))+INDEX($AT$4:$AW$53,MATCH(B137,$AT$4:$AT$53,1),4)</f>
        <v>30.160641299179481</v>
      </c>
      <c r="F137" s="13" cm="1">
        <f t="array" ref="F137">C137+((B137-INDEX($AT$4:$AW$53,MATCH(B137,$AT$4:$AT$53,1),1))/(INDEX($AT$4:$AW$53,MATCH(B137,$AT$4:$AT$53,1)+1,1)-INDEX($AT$4:$AW$53,MATCH(B137,$AT$4:$AT$53,1),1)))*(INDEX($AT$4:$AW$53,MATCH(B137,$AT$4:$AT$53,1)+1,3)-INDEX($AT$4:$AW$53,MATCH(B137,$AT$4:$AT$53,1),3))+INDEX($AT$4:$AW$53,MATCH(B137,$AT$4:$AT$53,1),3)</f>
        <v>228.77840187269112</v>
      </c>
      <c r="G137" s="4">
        <f t="shared" si="64"/>
        <v>0.45934992833952565</v>
      </c>
      <c r="H137" s="6">
        <f t="shared" si="81"/>
        <v>30000</v>
      </c>
      <c r="I137" s="13">
        <f t="shared" si="65"/>
        <v>60.637665480276297</v>
      </c>
      <c r="J137" s="13">
        <f t="shared" si="82"/>
        <v>117.86991966718028</v>
      </c>
      <c r="K137" s="13">
        <f t="shared" si="66"/>
        <v>72.171672238336726</v>
      </c>
      <c r="L137" s="13">
        <f t="shared" si="83"/>
        <v>72.424475187517629</v>
      </c>
      <c r="M137" s="13">
        <f t="shared" si="84"/>
        <v>0.8529767496120011</v>
      </c>
      <c r="N137" s="13">
        <f t="shared" si="85"/>
        <v>0.84449795637702563</v>
      </c>
      <c r="O137" s="4">
        <f t="shared" si="67"/>
        <v>1.008</v>
      </c>
      <c r="P137" s="4">
        <f t="shared" si="68"/>
        <v>1.0282811211191059</v>
      </c>
      <c r="Q137" s="4">
        <f t="shared" si="69"/>
        <v>0.80030757968999711</v>
      </c>
      <c r="R137" s="4">
        <f t="shared" si="70"/>
        <v>0.30608061237395984</v>
      </c>
      <c r="S137" s="4">
        <f t="shared" si="71"/>
        <v>0.37491046327408678</v>
      </c>
      <c r="T137" s="1"/>
      <c r="U137" s="1"/>
      <c r="V137" s="1">
        <v>1</v>
      </c>
      <c r="W137" s="1">
        <v>1</v>
      </c>
      <c r="Y137" s="1">
        <f t="shared" si="86"/>
        <v>-17.114277340157663</v>
      </c>
      <c r="Z137" s="1">
        <f t="shared" si="87"/>
        <v>-17.114277340157663</v>
      </c>
      <c r="AB137" s="130">
        <v>1</v>
      </c>
      <c r="AC137" s="128">
        <f t="shared" si="72"/>
        <v>0.53869504831500292</v>
      </c>
      <c r="AD137" s="4">
        <f t="shared" si="73"/>
        <v>0.30608061237395984</v>
      </c>
      <c r="AE137" s="4">
        <f t="shared" si="74"/>
        <v>0.51013435395659978</v>
      </c>
      <c r="AF137" s="32">
        <f t="shared" si="75"/>
        <v>0.45821837345182032</v>
      </c>
      <c r="AG137" s="4">
        <f t="shared" si="76"/>
        <v>0.85540036657996599</v>
      </c>
      <c r="AH137" s="42">
        <f t="shared" si="77"/>
        <v>1.4737835482533999</v>
      </c>
      <c r="AJ137" s="23">
        <v>4</v>
      </c>
      <c r="AK137" s="24">
        <v>0.8</v>
      </c>
      <c r="AL137" s="5">
        <f t="shared" si="78"/>
        <v>2.0799999999999999E-2</v>
      </c>
      <c r="AM137" s="5">
        <f t="shared" si="88"/>
        <v>0.1194718394324346</v>
      </c>
      <c r="AN137" s="25">
        <f t="shared" ref="AN137:AN200" si="89">AN136</f>
        <v>-8.0000000000000002E-3</v>
      </c>
      <c r="AO137" s="30">
        <f t="shared" si="79"/>
        <v>1.4E-2</v>
      </c>
      <c r="AP137" s="5">
        <f t="shared" si="80"/>
        <v>0.18</v>
      </c>
      <c r="AQ137" s="25">
        <v>0</v>
      </c>
    </row>
    <row r="138" spans="2:43">
      <c r="B138" s="38">
        <v>30000</v>
      </c>
      <c r="C138" s="3">
        <v>0</v>
      </c>
      <c r="D138" s="3">
        <f t="shared" si="63"/>
        <v>0.25</v>
      </c>
      <c r="E138" s="13" cm="1">
        <f t="array" ref="E138">((B138-INDEX($AT$4:$AW$53,MATCH(B138,$AT$4:$AT$53,1),1))/(INDEX($AT$4:$AW$53,MATCH(B138,$AT$4:$AT$53,1)+1,1)-INDEX($AT$4:$AW$53,MATCH(B138,$AT$4:$AT$53,1),1)))*(INDEX($AT$4:$AW$53,MATCH(B138,$AT$4:$AT$53,1)+1,4)-INDEX($AT$4:$AW$53,MATCH(B138,$AT$4:$AT$53,1),4))+INDEX($AT$4:$AW$53,MATCH(B138,$AT$4:$AT$53,1),4)</f>
        <v>30.160641299179481</v>
      </c>
      <c r="F138" s="13" cm="1">
        <f t="array" ref="F138">C138+((B138-INDEX($AT$4:$AW$53,MATCH(B138,$AT$4:$AT$53,1),1))/(INDEX($AT$4:$AW$53,MATCH(B138,$AT$4:$AT$53,1)+1,1)-INDEX($AT$4:$AW$53,MATCH(B138,$AT$4:$AT$53,1),1)))*(INDEX($AT$4:$AW$53,MATCH(B138,$AT$4:$AT$53,1)+1,3)-INDEX($AT$4:$AW$53,MATCH(B138,$AT$4:$AT$53,1),3))+INDEX($AT$4:$AW$53,MATCH(B138,$AT$4:$AT$53,1),3)</f>
        <v>228.77840187269112</v>
      </c>
      <c r="G138" s="4">
        <f t="shared" si="64"/>
        <v>0.45934992833952565</v>
      </c>
      <c r="H138" s="6">
        <f t="shared" si="81"/>
        <v>30000</v>
      </c>
      <c r="I138" s="13">
        <f t="shared" si="65"/>
        <v>75.797081850345364</v>
      </c>
      <c r="J138" s="13">
        <f t="shared" si="82"/>
        <v>147.33739958397533</v>
      </c>
      <c r="K138" s="13">
        <f t="shared" si="66"/>
        <v>90.214590297920893</v>
      </c>
      <c r="L138" s="13">
        <f t="shared" si="83"/>
        <v>90.707635983858665</v>
      </c>
      <c r="M138" s="13">
        <f t="shared" si="84"/>
        <v>1.3402747439821123</v>
      </c>
      <c r="N138" s="13">
        <f t="shared" si="85"/>
        <v>1.3195280568391023</v>
      </c>
      <c r="O138" s="4">
        <f t="shared" si="67"/>
        <v>1.0125</v>
      </c>
      <c r="P138" s="4">
        <f t="shared" si="68"/>
        <v>1.0444378728783388</v>
      </c>
      <c r="Q138" s="4">
        <f t="shared" si="69"/>
        <v>0.8038803813850417</v>
      </c>
      <c r="R138" s="4">
        <f t="shared" si="70"/>
        <v>0.31088986965863896</v>
      </c>
      <c r="S138" s="4">
        <f t="shared" si="71"/>
        <v>0.37491046327408678</v>
      </c>
      <c r="T138" s="1"/>
      <c r="U138" s="1"/>
      <c r="V138" s="1">
        <v>1</v>
      </c>
      <c r="W138" s="1">
        <v>1</v>
      </c>
      <c r="Y138" s="1">
        <f t="shared" si="86"/>
        <v>-10.413903256145886</v>
      </c>
      <c r="Z138" s="1">
        <f t="shared" si="87"/>
        <v>-10.413903256145886</v>
      </c>
      <c r="AB138" s="130">
        <v>1</v>
      </c>
      <c r="AC138" s="128">
        <f t="shared" si="72"/>
        <v>0.53500000000000003</v>
      </c>
      <c r="AD138" s="4">
        <f t="shared" si="73"/>
        <v>0.31088986965863896</v>
      </c>
      <c r="AE138" s="4">
        <f t="shared" si="74"/>
        <v>0.51814978276439827</v>
      </c>
      <c r="AF138" s="32">
        <f t="shared" si="75"/>
        <v>0.48227650876188177</v>
      </c>
      <c r="AG138" s="4">
        <f t="shared" si="76"/>
        <v>0.86876599730777793</v>
      </c>
      <c r="AH138" s="42">
        <f t="shared" si="77"/>
        <v>1.4858126159084306</v>
      </c>
      <c r="AJ138" s="23">
        <v>4</v>
      </c>
      <c r="AK138" s="24">
        <v>0.8</v>
      </c>
      <c r="AL138" s="5">
        <f t="shared" si="78"/>
        <v>2.0799999999999999E-2</v>
      </c>
      <c r="AM138" s="5">
        <f t="shared" si="88"/>
        <v>0.1194718394324346</v>
      </c>
      <c r="AN138" s="25">
        <f t="shared" si="89"/>
        <v>-8.0000000000000002E-3</v>
      </c>
      <c r="AO138" s="30">
        <f t="shared" si="79"/>
        <v>1.4E-2</v>
      </c>
      <c r="AP138" s="5">
        <f t="shared" si="80"/>
        <v>0.18</v>
      </c>
      <c r="AQ138" s="25">
        <v>0</v>
      </c>
    </row>
    <row r="139" spans="2:43">
      <c r="B139" s="38">
        <v>30000</v>
      </c>
      <c r="C139" s="3">
        <v>0</v>
      </c>
      <c r="D139" s="3">
        <f t="shared" si="63"/>
        <v>0.3</v>
      </c>
      <c r="E139" s="13" cm="1">
        <f t="array" ref="E139">((B139-INDEX($AT$4:$AW$53,MATCH(B139,$AT$4:$AT$53,1),1))/(INDEX($AT$4:$AW$53,MATCH(B139,$AT$4:$AT$53,1)+1,1)-INDEX($AT$4:$AW$53,MATCH(B139,$AT$4:$AT$53,1),1)))*(INDEX($AT$4:$AW$53,MATCH(B139,$AT$4:$AT$53,1)+1,4)-INDEX($AT$4:$AW$53,MATCH(B139,$AT$4:$AT$53,1),4))+INDEX($AT$4:$AW$53,MATCH(B139,$AT$4:$AT$53,1),4)</f>
        <v>30.160641299179481</v>
      </c>
      <c r="F139" s="13" cm="1">
        <f t="array" ref="F139">C139+((B139-INDEX($AT$4:$AW$53,MATCH(B139,$AT$4:$AT$53,1),1))/(INDEX($AT$4:$AW$53,MATCH(B139,$AT$4:$AT$53,1)+1,1)-INDEX($AT$4:$AW$53,MATCH(B139,$AT$4:$AT$53,1),1)))*(INDEX($AT$4:$AW$53,MATCH(B139,$AT$4:$AT$53,1)+1,3)-INDEX($AT$4:$AW$53,MATCH(B139,$AT$4:$AT$53,1),3))+INDEX($AT$4:$AW$53,MATCH(B139,$AT$4:$AT$53,1),3)</f>
        <v>228.77840187269112</v>
      </c>
      <c r="G139" s="4">
        <f t="shared" si="64"/>
        <v>0.45934992833952565</v>
      </c>
      <c r="H139" s="6">
        <f t="shared" si="81"/>
        <v>30000</v>
      </c>
      <c r="I139" s="13">
        <f t="shared" si="65"/>
        <v>90.956498220414431</v>
      </c>
      <c r="J139" s="13">
        <f t="shared" si="82"/>
        <v>176.8048795007704</v>
      </c>
      <c r="K139" s="13">
        <f t="shared" si="66"/>
        <v>108.25750835750507</v>
      </c>
      <c r="L139" s="13">
        <f t="shared" si="83"/>
        <v>109.10798277244753</v>
      </c>
      <c r="M139" s="13">
        <f t="shared" si="84"/>
        <v>1.9432587494622604</v>
      </c>
      <c r="N139" s="13">
        <f t="shared" si="85"/>
        <v>1.9001204018483067</v>
      </c>
      <c r="O139" s="4">
        <f t="shared" si="67"/>
        <v>1.018</v>
      </c>
      <c r="P139" s="4">
        <f t="shared" si="68"/>
        <v>1.0644302861529382</v>
      </c>
      <c r="Q139" s="4">
        <f t="shared" si="69"/>
        <v>0.80824713901231848</v>
      </c>
      <c r="R139" s="4">
        <f t="shared" si="70"/>
        <v>0.31684085910329868</v>
      </c>
      <c r="S139" s="4">
        <f t="shared" si="71"/>
        <v>0.37491046327408678</v>
      </c>
      <c r="T139" s="1"/>
      <c r="U139" s="1"/>
      <c r="V139" s="1">
        <v>1</v>
      </c>
      <c r="W139" s="1">
        <v>1</v>
      </c>
      <c r="Y139" s="1">
        <f t="shared" si="86"/>
        <v>-5.4309180422102932</v>
      </c>
      <c r="Z139" s="1">
        <f t="shared" si="87"/>
        <v>-5.4309180422102932</v>
      </c>
      <c r="AB139" s="130">
        <v>1</v>
      </c>
      <c r="AC139" s="128">
        <f t="shared" si="72"/>
        <v>0.53165942097463836</v>
      </c>
      <c r="AD139" s="4">
        <f t="shared" si="73"/>
        <v>0.31684085910329868</v>
      </c>
      <c r="AE139" s="4">
        <f t="shared" si="74"/>
        <v>0.52806809850549785</v>
      </c>
      <c r="AF139" s="32">
        <f t="shared" si="75"/>
        <v>0.5063346440719434</v>
      </c>
      <c r="AG139" s="4">
        <f t="shared" si="76"/>
        <v>0.88213162803558998</v>
      </c>
      <c r="AH139" s="42">
        <f t="shared" si="77"/>
        <v>1.4978416835634614</v>
      </c>
      <c r="AJ139" s="23">
        <v>4</v>
      </c>
      <c r="AK139" s="24">
        <v>0.8</v>
      </c>
      <c r="AL139" s="5">
        <f t="shared" si="78"/>
        <v>2.0799999999999999E-2</v>
      </c>
      <c r="AM139" s="5">
        <f t="shared" si="88"/>
        <v>0.1194718394324346</v>
      </c>
      <c r="AN139" s="25">
        <f t="shared" si="89"/>
        <v>-8.0000000000000002E-3</v>
      </c>
      <c r="AO139" s="30">
        <f t="shared" si="79"/>
        <v>1.4E-2</v>
      </c>
      <c r="AP139" s="5">
        <f t="shared" si="80"/>
        <v>0.18</v>
      </c>
      <c r="AQ139" s="25">
        <v>0</v>
      </c>
    </row>
    <row r="140" spans="2:43">
      <c r="B140" s="38">
        <v>30000</v>
      </c>
      <c r="C140" s="3">
        <v>0</v>
      </c>
      <c r="D140" s="3">
        <f t="shared" si="63"/>
        <v>0.35</v>
      </c>
      <c r="E140" s="13" cm="1">
        <f t="array" ref="E140">((B140-INDEX($AT$4:$AW$53,MATCH(B140,$AT$4:$AT$53,1),1))/(INDEX($AT$4:$AW$53,MATCH(B140,$AT$4:$AT$53,1)+1,1)-INDEX($AT$4:$AW$53,MATCH(B140,$AT$4:$AT$53,1),1)))*(INDEX($AT$4:$AW$53,MATCH(B140,$AT$4:$AT$53,1)+1,4)-INDEX($AT$4:$AW$53,MATCH(B140,$AT$4:$AT$53,1),4))+INDEX($AT$4:$AW$53,MATCH(B140,$AT$4:$AT$53,1),4)</f>
        <v>30.160641299179481</v>
      </c>
      <c r="F140" s="13" cm="1">
        <f t="array" ref="F140">C140+((B140-INDEX($AT$4:$AW$53,MATCH(B140,$AT$4:$AT$53,1),1))/(INDEX($AT$4:$AW$53,MATCH(B140,$AT$4:$AT$53,1)+1,1)-INDEX($AT$4:$AW$53,MATCH(B140,$AT$4:$AT$53,1),1)))*(INDEX($AT$4:$AW$53,MATCH(B140,$AT$4:$AT$53,1)+1,3)-INDEX($AT$4:$AW$53,MATCH(B140,$AT$4:$AT$53,1),3))+INDEX($AT$4:$AW$53,MATCH(B140,$AT$4:$AT$53,1),3)</f>
        <v>228.77840187269112</v>
      </c>
      <c r="G140" s="4">
        <f t="shared" si="64"/>
        <v>0.45934992833952565</v>
      </c>
      <c r="H140" s="6">
        <f t="shared" si="81"/>
        <v>30000</v>
      </c>
      <c r="I140" s="13">
        <f t="shared" si="65"/>
        <v>106.1159145904835</v>
      </c>
      <c r="J140" s="13">
        <f t="shared" si="82"/>
        <v>206.27235941756544</v>
      </c>
      <c r="K140" s="13">
        <f t="shared" si="66"/>
        <v>126.30042641708924</v>
      </c>
      <c r="L140" s="13">
        <f t="shared" si="83"/>
        <v>127.64809771658469</v>
      </c>
      <c r="M140" s="13">
        <f t="shared" si="84"/>
        <v>2.6664528844206483</v>
      </c>
      <c r="N140" s="13">
        <f t="shared" si="85"/>
        <v>2.5862749914046397</v>
      </c>
      <c r="O140" s="4">
        <f t="shared" si="67"/>
        <v>1.0245</v>
      </c>
      <c r="P140" s="4">
        <f t="shared" si="68"/>
        <v>1.0884083616780784</v>
      </c>
      <c r="Q140" s="4">
        <f t="shared" si="69"/>
        <v>0.81340785257182746</v>
      </c>
      <c r="R140" s="4">
        <f t="shared" si="70"/>
        <v>0.32397823028472866</v>
      </c>
      <c r="S140" s="4">
        <f t="shared" si="71"/>
        <v>0.37491046327408678</v>
      </c>
      <c r="T140" s="1"/>
      <c r="U140" s="1"/>
      <c r="V140" s="1">
        <v>1</v>
      </c>
      <c r="W140" s="1">
        <v>1</v>
      </c>
      <c r="Y140" s="1">
        <f t="shared" si="86"/>
        <v>-1.4730398800640341</v>
      </c>
      <c r="Z140" s="1">
        <f t="shared" si="87"/>
        <v>-1.4730398800640341</v>
      </c>
      <c r="AB140" s="130">
        <v>1</v>
      </c>
      <c r="AC140" s="128">
        <f t="shared" si="72"/>
        <v>0.52858744151830273</v>
      </c>
      <c r="AD140" s="4">
        <f t="shared" si="73"/>
        <v>0.32397823028472866</v>
      </c>
      <c r="AE140" s="4">
        <f t="shared" si="74"/>
        <v>0.53996371714121449</v>
      </c>
      <c r="AF140" s="32">
        <f t="shared" si="75"/>
        <v>0.53039277938200491</v>
      </c>
      <c r="AG140" s="4">
        <f t="shared" si="76"/>
        <v>0.89549725876340203</v>
      </c>
      <c r="AH140" s="42">
        <f t="shared" si="77"/>
        <v>1.5098707512184921</v>
      </c>
      <c r="AJ140" s="23">
        <v>4</v>
      </c>
      <c r="AK140" s="24">
        <v>0.8</v>
      </c>
      <c r="AL140" s="5">
        <f t="shared" si="78"/>
        <v>2.0799999999999999E-2</v>
      </c>
      <c r="AM140" s="5">
        <f t="shared" si="88"/>
        <v>0.1194718394324346</v>
      </c>
      <c r="AN140" s="25">
        <f t="shared" si="89"/>
        <v>-8.0000000000000002E-3</v>
      </c>
      <c r="AO140" s="30">
        <f t="shared" si="79"/>
        <v>1.4E-2</v>
      </c>
      <c r="AP140" s="5">
        <f t="shared" si="80"/>
        <v>0.18</v>
      </c>
      <c r="AQ140" s="25">
        <v>0</v>
      </c>
    </row>
    <row r="141" spans="2:43">
      <c r="B141" s="38">
        <v>30000</v>
      </c>
      <c r="C141" s="3">
        <v>0</v>
      </c>
      <c r="D141" s="3">
        <f t="shared" si="63"/>
        <v>0.39999999999999997</v>
      </c>
      <c r="E141" s="13" cm="1">
        <f t="array" ref="E141">((B141-INDEX($AT$4:$AW$53,MATCH(B141,$AT$4:$AT$53,1),1))/(INDEX($AT$4:$AW$53,MATCH(B141,$AT$4:$AT$53,1)+1,1)-INDEX($AT$4:$AW$53,MATCH(B141,$AT$4:$AT$53,1),1)))*(INDEX($AT$4:$AW$53,MATCH(B141,$AT$4:$AT$53,1)+1,4)-INDEX($AT$4:$AW$53,MATCH(B141,$AT$4:$AT$53,1),4))+INDEX($AT$4:$AW$53,MATCH(B141,$AT$4:$AT$53,1),4)</f>
        <v>30.160641299179481</v>
      </c>
      <c r="F141" s="13" cm="1">
        <f t="array" ref="F141">C141+((B141-INDEX($AT$4:$AW$53,MATCH(B141,$AT$4:$AT$53,1),1))/(INDEX($AT$4:$AW$53,MATCH(B141,$AT$4:$AT$53,1)+1,1)-INDEX($AT$4:$AW$53,MATCH(B141,$AT$4:$AT$53,1),1)))*(INDEX($AT$4:$AW$53,MATCH(B141,$AT$4:$AT$53,1)+1,3)-INDEX($AT$4:$AW$53,MATCH(B141,$AT$4:$AT$53,1),3))+INDEX($AT$4:$AW$53,MATCH(B141,$AT$4:$AT$53,1),3)</f>
        <v>228.77840187269112</v>
      </c>
      <c r="G141" s="4">
        <f t="shared" si="64"/>
        <v>0.45934992833952565</v>
      </c>
      <c r="H141" s="6">
        <f t="shared" si="81"/>
        <v>30000</v>
      </c>
      <c r="I141" s="13">
        <f t="shared" si="65"/>
        <v>121.27533096055257</v>
      </c>
      <c r="J141" s="13">
        <f t="shared" si="82"/>
        <v>235.73983933436051</v>
      </c>
      <c r="K141" s="13">
        <f t="shared" si="66"/>
        <v>144.34334447667342</v>
      </c>
      <c r="L141" s="13">
        <f t="shared" si="83"/>
        <v>146.35008072775096</v>
      </c>
      <c r="M141" s="13">
        <f t="shared" si="84"/>
        <v>3.5152820335022019</v>
      </c>
      <c r="N141" s="13">
        <f t="shared" si="85"/>
        <v>3.3779918255081007</v>
      </c>
      <c r="O141" s="4">
        <f t="shared" si="67"/>
        <v>1.032</v>
      </c>
      <c r="P141" s="4">
        <f t="shared" si="68"/>
        <v>1.1165519658097534</v>
      </c>
      <c r="Q141" s="4">
        <f t="shared" si="69"/>
        <v>0.81936252206356852</v>
      </c>
      <c r="R141" s="4">
        <f t="shared" si="70"/>
        <v>0.33235552265168206</v>
      </c>
      <c r="S141" s="4">
        <f t="shared" si="71"/>
        <v>0.37491046327408678</v>
      </c>
      <c r="T141" s="1"/>
      <c r="U141" s="1"/>
      <c r="V141" s="1">
        <v>1</v>
      </c>
      <c r="W141" s="1">
        <v>1</v>
      </c>
      <c r="Y141" s="1">
        <f t="shared" si="86"/>
        <v>1.8013451700993917</v>
      </c>
      <c r="Z141" s="1">
        <f t="shared" si="87"/>
        <v>1.8013451700993917</v>
      </c>
      <c r="AB141" s="130">
        <v>1</v>
      </c>
      <c r="AC141" s="128">
        <f t="shared" si="72"/>
        <v>0.52572811275764275</v>
      </c>
      <c r="AD141" s="4">
        <f t="shared" si="73"/>
        <v>0.33235552265168206</v>
      </c>
      <c r="AE141" s="4">
        <f t="shared" si="74"/>
        <v>0.55392587108613678</v>
      </c>
      <c r="AF141" s="32">
        <f t="shared" si="75"/>
        <v>0.55445091469206653</v>
      </c>
      <c r="AG141" s="4">
        <f t="shared" si="76"/>
        <v>0.90886288949121397</v>
      </c>
      <c r="AH141" s="42">
        <f t="shared" si="77"/>
        <v>1.5218998188735231</v>
      </c>
      <c r="AJ141" s="23">
        <v>4</v>
      </c>
      <c r="AK141" s="24">
        <v>0.8</v>
      </c>
      <c r="AL141" s="5">
        <f t="shared" si="78"/>
        <v>2.0799999999999999E-2</v>
      </c>
      <c r="AM141" s="5">
        <f t="shared" si="88"/>
        <v>0.1194718394324346</v>
      </c>
      <c r="AN141" s="25">
        <f t="shared" si="89"/>
        <v>-8.0000000000000002E-3</v>
      </c>
      <c r="AO141" s="30">
        <f t="shared" si="79"/>
        <v>1.4E-2</v>
      </c>
      <c r="AP141" s="5">
        <f t="shared" si="80"/>
        <v>0.18</v>
      </c>
      <c r="AQ141" s="25">
        <v>0</v>
      </c>
    </row>
    <row r="142" spans="2:43">
      <c r="B142" s="38">
        <v>30000</v>
      </c>
      <c r="C142" s="3">
        <v>0</v>
      </c>
      <c r="D142" s="3">
        <f t="shared" si="63"/>
        <v>0.44999999999999996</v>
      </c>
      <c r="E142" s="13" cm="1">
        <f t="array" ref="E142">((B142-INDEX($AT$4:$AW$53,MATCH(B142,$AT$4:$AT$53,1),1))/(INDEX($AT$4:$AW$53,MATCH(B142,$AT$4:$AT$53,1)+1,1)-INDEX($AT$4:$AW$53,MATCH(B142,$AT$4:$AT$53,1),1)))*(INDEX($AT$4:$AW$53,MATCH(B142,$AT$4:$AT$53,1)+1,4)-INDEX($AT$4:$AW$53,MATCH(B142,$AT$4:$AT$53,1),4))+INDEX($AT$4:$AW$53,MATCH(B142,$AT$4:$AT$53,1),4)</f>
        <v>30.160641299179481</v>
      </c>
      <c r="F142" s="13" cm="1">
        <f t="array" ref="F142">C142+((B142-INDEX($AT$4:$AW$53,MATCH(B142,$AT$4:$AT$53,1),1))/(INDEX($AT$4:$AW$53,MATCH(B142,$AT$4:$AT$53,1)+1,1)-INDEX($AT$4:$AW$53,MATCH(B142,$AT$4:$AT$53,1),1)))*(INDEX($AT$4:$AW$53,MATCH(B142,$AT$4:$AT$53,1)+1,3)-INDEX($AT$4:$AW$53,MATCH(B142,$AT$4:$AT$53,1),3))+INDEX($AT$4:$AW$53,MATCH(B142,$AT$4:$AT$53,1),3)</f>
        <v>228.77840187269112</v>
      </c>
      <c r="G142" s="4">
        <f t="shared" si="64"/>
        <v>0.45934992833952565</v>
      </c>
      <c r="H142" s="6">
        <f t="shared" si="81"/>
        <v>30000</v>
      </c>
      <c r="I142" s="13">
        <f t="shared" si="65"/>
        <v>136.43474733062163</v>
      </c>
      <c r="J142" s="13">
        <f t="shared" si="82"/>
        <v>265.20731925115558</v>
      </c>
      <c r="K142" s="13">
        <f t="shared" si="66"/>
        <v>162.38626253625762</v>
      </c>
      <c r="L142" s="13">
        <f t="shared" si="83"/>
        <v>165.23545693046876</v>
      </c>
      <c r="M142" s="13">
        <f t="shared" si="84"/>
        <v>4.4961114134346944</v>
      </c>
      <c r="N142" s="13">
        <f t="shared" si="85"/>
        <v>4.2752709041586892</v>
      </c>
      <c r="O142" s="4">
        <f t="shared" si="67"/>
        <v>1.0405</v>
      </c>
      <c r="P142" s="4">
        <f t="shared" si="68"/>
        <v>1.1490721423604813</v>
      </c>
      <c r="Q142" s="4">
        <f t="shared" si="69"/>
        <v>0.82611114748754166</v>
      </c>
      <c r="R142" s="4">
        <f t="shared" si="70"/>
        <v>0.34203555600902225</v>
      </c>
      <c r="S142" s="4">
        <f t="shared" si="71"/>
        <v>0.37491046327408678</v>
      </c>
      <c r="T142" s="1"/>
      <c r="U142" s="1"/>
      <c r="V142" s="1">
        <v>1</v>
      </c>
      <c r="W142" s="1">
        <v>1</v>
      </c>
      <c r="Y142" s="1">
        <f t="shared" si="86"/>
        <v>4.5791307358267268</v>
      </c>
      <c r="Z142" s="1">
        <f t="shared" si="87"/>
        <v>4.5791307358267268</v>
      </c>
      <c r="AB142" s="130">
        <v>1</v>
      </c>
      <c r="AC142" s="128">
        <f t="shared" si="72"/>
        <v>0.52304257247250441</v>
      </c>
      <c r="AD142" s="4">
        <f t="shared" si="73"/>
        <v>0.34203555600902225</v>
      </c>
      <c r="AE142" s="4">
        <f t="shared" si="74"/>
        <v>0.57005926001503715</v>
      </c>
      <c r="AF142" s="32">
        <f t="shared" si="75"/>
        <v>0.57850905000212804</v>
      </c>
      <c r="AG142" s="4">
        <f t="shared" si="76"/>
        <v>0.92222852021902579</v>
      </c>
      <c r="AH142" s="42">
        <f t="shared" si="77"/>
        <v>1.5339288865285536</v>
      </c>
      <c r="AJ142" s="23">
        <v>4</v>
      </c>
      <c r="AK142" s="24">
        <v>0.8</v>
      </c>
      <c r="AL142" s="5">
        <f t="shared" si="78"/>
        <v>2.0799999999999999E-2</v>
      </c>
      <c r="AM142" s="5">
        <f t="shared" si="88"/>
        <v>0.1194718394324346</v>
      </c>
      <c r="AN142" s="25">
        <f t="shared" si="89"/>
        <v>-8.0000000000000002E-3</v>
      </c>
      <c r="AO142" s="30">
        <f t="shared" si="79"/>
        <v>1.4E-2</v>
      </c>
      <c r="AP142" s="5">
        <f t="shared" si="80"/>
        <v>0.18</v>
      </c>
      <c r="AQ142" s="25">
        <v>0</v>
      </c>
    </row>
    <row r="143" spans="2:43">
      <c r="B143" s="38">
        <v>30000</v>
      </c>
      <c r="C143" s="3">
        <v>0</v>
      </c>
      <c r="D143" s="3">
        <f t="shared" si="63"/>
        <v>0.49999999999999994</v>
      </c>
      <c r="E143" s="13" cm="1">
        <f t="array" ref="E143">((B143-INDEX($AT$4:$AW$53,MATCH(B143,$AT$4:$AT$53,1),1))/(INDEX($AT$4:$AW$53,MATCH(B143,$AT$4:$AT$53,1)+1,1)-INDEX($AT$4:$AW$53,MATCH(B143,$AT$4:$AT$53,1),1)))*(INDEX($AT$4:$AW$53,MATCH(B143,$AT$4:$AT$53,1)+1,4)-INDEX($AT$4:$AW$53,MATCH(B143,$AT$4:$AT$53,1),4))+INDEX($AT$4:$AW$53,MATCH(B143,$AT$4:$AT$53,1),4)</f>
        <v>30.160641299179481</v>
      </c>
      <c r="F143" s="13" cm="1">
        <f t="array" ref="F143">C143+((B143-INDEX($AT$4:$AW$53,MATCH(B143,$AT$4:$AT$53,1),1))/(INDEX($AT$4:$AW$53,MATCH(B143,$AT$4:$AT$53,1)+1,1)-INDEX($AT$4:$AW$53,MATCH(B143,$AT$4:$AT$53,1),1)))*(INDEX($AT$4:$AW$53,MATCH(B143,$AT$4:$AT$53,1)+1,3)-INDEX($AT$4:$AW$53,MATCH(B143,$AT$4:$AT$53,1),3))+INDEX($AT$4:$AW$53,MATCH(B143,$AT$4:$AT$53,1),3)</f>
        <v>228.77840187269112</v>
      </c>
      <c r="G143" s="4">
        <f t="shared" si="64"/>
        <v>0.45934992833952565</v>
      </c>
      <c r="H143" s="6">
        <f t="shared" si="81"/>
        <v>30000</v>
      </c>
      <c r="I143" s="13">
        <f t="shared" si="65"/>
        <v>151.5941637006907</v>
      </c>
      <c r="J143" s="13">
        <f t="shared" si="82"/>
        <v>294.6747991679506</v>
      </c>
      <c r="K143" s="13">
        <f t="shared" si="66"/>
        <v>180.42918059584176</v>
      </c>
      <c r="L143" s="13">
        <f t="shared" si="83"/>
        <v>184.32507965352005</v>
      </c>
      <c r="M143" s="13">
        <f t="shared" si="84"/>
        <v>5.616292581431038</v>
      </c>
      <c r="N143" s="13">
        <f t="shared" si="85"/>
        <v>5.2781122273564067</v>
      </c>
      <c r="O143" s="4">
        <f t="shared" si="67"/>
        <v>1.05</v>
      </c>
      <c r="P143" s="4">
        <f t="shared" si="68"/>
        <v>1.1862126380443982</v>
      </c>
      <c r="Q143" s="4">
        <f t="shared" si="69"/>
        <v>0.83365372884374711</v>
      </c>
      <c r="R143" s="4">
        <f t="shared" si="70"/>
        <v>0.35309088458534932</v>
      </c>
      <c r="S143" s="4">
        <f t="shared" si="71"/>
        <v>0.37491046327408678</v>
      </c>
      <c r="T143" s="1"/>
      <c r="U143" s="1"/>
      <c r="V143" s="1">
        <v>1</v>
      </c>
      <c r="W143" s="1">
        <v>1</v>
      </c>
      <c r="Y143" s="1">
        <f t="shared" si="86"/>
        <v>6.9710617257452148</v>
      </c>
      <c r="Z143" s="1">
        <f t="shared" si="87"/>
        <v>6.9710617257452148</v>
      </c>
      <c r="AB143" s="130">
        <v>1</v>
      </c>
      <c r="AC143" s="128">
        <f t="shared" si="72"/>
        <v>0.52050252531694174</v>
      </c>
      <c r="AD143" s="4">
        <f t="shared" si="73"/>
        <v>0.35309088458534932</v>
      </c>
      <c r="AE143" s="4">
        <f t="shared" si="74"/>
        <v>0.58848480764224886</v>
      </c>
      <c r="AF143" s="32">
        <f t="shared" si="75"/>
        <v>0.60256718531218956</v>
      </c>
      <c r="AG143" s="4">
        <f t="shared" si="76"/>
        <v>0.93559415094683784</v>
      </c>
      <c r="AH143" s="42">
        <f t="shared" si="77"/>
        <v>1.5459579541835846</v>
      </c>
      <c r="AJ143" s="23">
        <v>4</v>
      </c>
      <c r="AK143" s="24">
        <v>0.8</v>
      </c>
      <c r="AL143" s="5">
        <f t="shared" si="78"/>
        <v>2.0799999999999999E-2</v>
      </c>
      <c r="AM143" s="5">
        <f t="shared" si="88"/>
        <v>0.1194718394324346</v>
      </c>
      <c r="AN143" s="25">
        <f t="shared" si="89"/>
        <v>-8.0000000000000002E-3</v>
      </c>
      <c r="AO143" s="30">
        <f t="shared" si="79"/>
        <v>1.4E-2</v>
      </c>
      <c r="AP143" s="5">
        <f t="shared" si="80"/>
        <v>0.18</v>
      </c>
      <c r="AQ143" s="25">
        <v>0</v>
      </c>
    </row>
    <row r="144" spans="2:43">
      <c r="B144" s="38">
        <v>30000</v>
      </c>
      <c r="C144" s="3">
        <v>0</v>
      </c>
      <c r="D144" s="3">
        <f t="shared" si="63"/>
        <v>0.54999999999999993</v>
      </c>
      <c r="E144" s="13" cm="1">
        <f t="array" ref="E144">((B144-INDEX($AT$4:$AW$53,MATCH(B144,$AT$4:$AT$53,1),1))/(INDEX($AT$4:$AW$53,MATCH(B144,$AT$4:$AT$53,1)+1,1)-INDEX($AT$4:$AW$53,MATCH(B144,$AT$4:$AT$53,1),1)))*(INDEX($AT$4:$AW$53,MATCH(B144,$AT$4:$AT$53,1)+1,4)-INDEX($AT$4:$AW$53,MATCH(B144,$AT$4:$AT$53,1),4))+INDEX($AT$4:$AW$53,MATCH(B144,$AT$4:$AT$53,1),4)</f>
        <v>30.160641299179481</v>
      </c>
      <c r="F144" s="13" cm="1">
        <f t="array" ref="F144">C144+((B144-INDEX($AT$4:$AW$53,MATCH(B144,$AT$4:$AT$53,1),1))/(INDEX($AT$4:$AW$53,MATCH(B144,$AT$4:$AT$53,1)+1,1)-INDEX($AT$4:$AW$53,MATCH(B144,$AT$4:$AT$53,1),1)))*(INDEX($AT$4:$AW$53,MATCH(B144,$AT$4:$AT$53,1)+1,3)-INDEX($AT$4:$AW$53,MATCH(B144,$AT$4:$AT$53,1),3))+INDEX($AT$4:$AW$53,MATCH(B144,$AT$4:$AT$53,1),3)</f>
        <v>228.77840187269112</v>
      </c>
      <c r="G144" s="4">
        <f t="shared" si="64"/>
        <v>0.45934992833952565</v>
      </c>
      <c r="H144" s="6">
        <f t="shared" si="81"/>
        <v>30000</v>
      </c>
      <c r="I144" s="13">
        <f t="shared" si="65"/>
        <v>166.75358007075977</v>
      </c>
      <c r="J144" s="13">
        <f t="shared" si="82"/>
        <v>324.14227908474567</v>
      </c>
      <c r="K144" s="13">
        <f t="shared" si="66"/>
        <v>198.47209865542595</v>
      </c>
      <c r="L144" s="13">
        <f t="shared" si="83"/>
        <v>203.63902910848967</v>
      </c>
      <c r="M144" s="13">
        <f t="shared" si="84"/>
        <v>6.8842160355980013</v>
      </c>
      <c r="N144" s="13">
        <f t="shared" si="85"/>
        <v>6.3865157951012526</v>
      </c>
      <c r="O144" s="4">
        <f t="shared" si="67"/>
        <v>1.0605</v>
      </c>
      <c r="P144" s="4">
        <f t="shared" si="68"/>
        <v>1.2282516464855568</v>
      </c>
      <c r="Q144" s="4">
        <f t="shared" si="69"/>
        <v>0.84199026613218453</v>
      </c>
      <c r="R144" s="4">
        <f t="shared" si="70"/>
        <v>0.36560431615867239</v>
      </c>
      <c r="S144" s="4">
        <f t="shared" si="71"/>
        <v>0.37491046327408678</v>
      </c>
      <c r="T144" s="1"/>
      <c r="U144" s="1"/>
      <c r="V144" s="1">
        <v>1</v>
      </c>
      <c r="W144" s="1">
        <v>1</v>
      </c>
      <c r="Y144" s="1">
        <f t="shared" si="86"/>
        <v>9.0476380424329346</v>
      </c>
      <c r="Z144" s="1">
        <f t="shared" si="87"/>
        <v>9.0476380424329346</v>
      </c>
      <c r="AB144" s="130">
        <v>1</v>
      </c>
      <c r="AC144" s="128">
        <f t="shared" si="72"/>
        <v>0.51808661059033034</v>
      </c>
      <c r="AD144" s="4">
        <f t="shared" si="73"/>
        <v>0.36560431615867239</v>
      </c>
      <c r="AE144" s="4">
        <f t="shared" si="74"/>
        <v>0.60934052693112073</v>
      </c>
      <c r="AF144" s="32">
        <f t="shared" si="75"/>
        <v>0.62662532062225107</v>
      </c>
      <c r="AG144" s="4">
        <f t="shared" si="76"/>
        <v>0.94895978167464978</v>
      </c>
      <c r="AH144" s="42">
        <f t="shared" si="77"/>
        <v>1.5579870218386154</v>
      </c>
      <c r="AJ144" s="23">
        <v>4</v>
      </c>
      <c r="AK144" s="24">
        <v>0.8</v>
      </c>
      <c r="AL144" s="5">
        <f t="shared" si="78"/>
        <v>2.0799999999999999E-2</v>
      </c>
      <c r="AM144" s="5">
        <f t="shared" si="88"/>
        <v>0.1194718394324346</v>
      </c>
      <c r="AN144" s="25">
        <f t="shared" si="89"/>
        <v>-8.0000000000000002E-3</v>
      </c>
      <c r="AO144" s="30">
        <f t="shared" si="79"/>
        <v>1.4E-2</v>
      </c>
      <c r="AP144" s="5">
        <f t="shared" si="80"/>
        <v>0.18</v>
      </c>
      <c r="AQ144" s="25">
        <v>0</v>
      </c>
    </row>
    <row r="145" spans="2:43">
      <c r="B145" s="38">
        <v>30000</v>
      </c>
      <c r="C145" s="3">
        <v>0</v>
      </c>
      <c r="D145" s="3">
        <f t="shared" si="63"/>
        <v>0.6</v>
      </c>
      <c r="E145" s="13" cm="1">
        <f t="array" ref="E145">((B145-INDEX($AT$4:$AW$53,MATCH(B145,$AT$4:$AT$53,1),1))/(INDEX($AT$4:$AW$53,MATCH(B145,$AT$4:$AT$53,1)+1,1)-INDEX($AT$4:$AW$53,MATCH(B145,$AT$4:$AT$53,1),1)))*(INDEX($AT$4:$AW$53,MATCH(B145,$AT$4:$AT$53,1)+1,4)-INDEX($AT$4:$AW$53,MATCH(B145,$AT$4:$AT$53,1),4))+INDEX($AT$4:$AW$53,MATCH(B145,$AT$4:$AT$53,1),4)</f>
        <v>30.160641299179481</v>
      </c>
      <c r="F145" s="13" cm="1">
        <f t="array" ref="F145">C145+((B145-INDEX($AT$4:$AW$53,MATCH(B145,$AT$4:$AT$53,1),1))/(INDEX($AT$4:$AW$53,MATCH(B145,$AT$4:$AT$53,1)+1,1)-INDEX($AT$4:$AW$53,MATCH(B145,$AT$4:$AT$53,1),1)))*(INDEX($AT$4:$AW$53,MATCH(B145,$AT$4:$AT$53,1)+1,3)-INDEX($AT$4:$AW$53,MATCH(B145,$AT$4:$AT$53,1),3))+INDEX($AT$4:$AW$53,MATCH(B145,$AT$4:$AT$53,1),3)</f>
        <v>228.77840187269112</v>
      </c>
      <c r="G145" s="4">
        <f t="shared" si="64"/>
        <v>0.45934992833952565</v>
      </c>
      <c r="H145" s="6">
        <f t="shared" si="81"/>
        <v>30000</v>
      </c>
      <c r="I145" s="13">
        <f t="shared" si="65"/>
        <v>181.91299644082886</v>
      </c>
      <c r="J145" s="13">
        <f t="shared" si="82"/>
        <v>353.60975900154079</v>
      </c>
      <c r="K145" s="13">
        <f t="shared" si="66"/>
        <v>216.51501671501015</v>
      </c>
      <c r="L145" s="13">
        <f t="shared" si="83"/>
        <v>223.19650721933951</v>
      </c>
      <c r="M145" s="13">
        <f t="shared" si="84"/>
        <v>8.309370574781056</v>
      </c>
      <c r="N145" s="13">
        <f t="shared" si="85"/>
        <v>7.6004816073932266</v>
      </c>
      <c r="O145" s="4">
        <f t="shared" si="67"/>
        <v>1.0720000000000001</v>
      </c>
      <c r="P145" s="4">
        <f t="shared" si="68"/>
        <v>1.2755037763406945</v>
      </c>
      <c r="Q145" s="4">
        <f t="shared" si="69"/>
        <v>0.85112075935285414</v>
      </c>
      <c r="R145" s="4">
        <f t="shared" si="70"/>
        <v>0.37966949789252935</v>
      </c>
      <c r="S145" s="4">
        <f t="shared" si="71"/>
        <v>0.37491046327408678</v>
      </c>
      <c r="T145" s="1"/>
      <c r="U145" s="1"/>
      <c r="V145" s="1">
        <v>1</v>
      </c>
      <c r="W145" s="1">
        <v>1</v>
      </c>
      <c r="Y145" s="1">
        <f t="shared" si="86"/>
        <v>10.857255061589614</v>
      </c>
      <c r="Z145" s="1">
        <f t="shared" si="87"/>
        <v>10.857255061589614</v>
      </c>
      <c r="AB145" s="130">
        <v>1</v>
      </c>
      <c r="AC145" s="128">
        <f t="shared" si="72"/>
        <v>0.51577823315309623</v>
      </c>
      <c r="AD145" s="4">
        <f t="shared" si="73"/>
        <v>0.37966949789252935</v>
      </c>
      <c r="AE145" s="4">
        <f t="shared" si="74"/>
        <v>0.63278249648754892</v>
      </c>
      <c r="AF145" s="32">
        <f t="shared" si="75"/>
        <v>0.65068345593231269</v>
      </c>
      <c r="AG145" s="4">
        <f t="shared" si="76"/>
        <v>0.96232541240246183</v>
      </c>
      <c r="AH145" s="42">
        <f t="shared" si="77"/>
        <v>1.5700160894936459</v>
      </c>
      <c r="AJ145" s="23">
        <v>4</v>
      </c>
      <c r="AK145" s="24">
        <v>0.8</v>
      </c>
      <c r="AL145" s="5">
        <f t="shared" si="78"/>
        <v>2.0799999999999999E-2</v>
      </c>
      <c r="AM145" s="5">
        <f t="shared" si="88"/>
        <v>0.1194718394324346</v>
      </c>
      <c r="AN145" s="25">
        <f t="shared" si="89"/>
        <v>-8.0000000000000002E-3</v>
      </c>
      <c r="AO145" s="30">
        <f t="shared" si="79"/>
        <v>1.4E-2</v>
      </c>
      <c r="AP145" s="5">
        <f t="shared" si="80"/>
        <v>0.18</v>
      </c>
      <c r="AQ145" s="25">
        <v>0</v>
      </c>
    </row>
    <row r="146" spans="2:43">
      <c r="B146" s="38">
        <v>30000</v>
      </c>
      <c r="C146" s="3">
        <v>0</v>
      </c>
      <c r="D146" s="3">
        <f t="shared" si="63"/>
        <v>0.65</v>
      </c>
      <c r="E146" s="13" cm="1">
        <f t="array" ref="E146">((B146-INDEX($AT$4:$AW$53,MATCH(B146,$AT$4:$AT$53,1),1))/(INDEX($AT$4:$AW$53,MATCH(B146,$AT$4:$AT$53,1)+1,1)-INDEX($AT$4:$AW$53,MATCH(B146,$AT$4:$AT$53,1),1)))*(INDEX($AT$4:$AW$53,MATCH(B146,$AT$4:$AT$53,1)+1,4)-INDEX($AT$4:$AW$53,MATCH(B146,$AT$4:$AT$53,1),4))+INDEX($AT$4:$AW$53,MATCH(B146,$AT$4:$AT$53,1),4)</f>
        <v>30.160641299179481</v>
      </c>
      <c r="F146" s="13" cm="1">
        <f t="array" ref="F146">C146+((B146-INDEX($AT$4:$AW$53,MATCH(B146,$AT$4:$AT$53,1),1))/(INDEX($AT$4:$AW$53,MATCH(B146,$AT$4:$AT$53,1)+1,1)-INDEX($AT$4:$AW$53,MATCH(B146,$AT$4:$AT$53,1),1)))*(INDEX($AT$4:$AW$53,MATCH(B146,$AT$4:$AT$53,1)+1,3)-INDEX($AT$4:$AW$53,MATCH(B146,$AT$4:$AT$53,1),3))+INDEX($AT$4:$AW$53,MATCH(B146,$AT$4:$AT$53,1),3)</f>
        <v>228.77840187269112</v>
      </c>
      <c r="G146" s="4">
        <f t="shared" si="64"/>
        <v>0.45934992833952565</v>
      </c>
      <c r="H146" s="6">
        <f t="shared" si="81"/>
        <v>30000</v>
      </c>
      <c r="I146" s="13">
        <f t="shared" si="65"/>
        <v>197.07241281089796</v>
      </c>
      <c r="J146" s="13">
        <f t="shared" si="82"/>
        <v>383.07723891833587</v>
      </c>
      <c r="K146" s="13">
        <f t="shared" si="66"/>
        <v>234.55793477459434</v>
      </c>
      <c r="L146" s="13">
        <f t="shared" si="83"/>
        <v>243.01572939148977</v>
      </c>
      <c r="M146" s="13">
        <f t="shared" si="84"/>
        <v>9.9024096026424662</v>
      </c>
      <c r="N146" s="13">
        <f t="shared" si="85"/>
        <v>8.9200096642323334</v>
      </c>
      <c r="O146" s="4">
        <f t="shared" si="67"/>
        <v>1.0845</v>
      </c>
      <c r="P146" s="4">
        <f t="shared" si="68"/>
        <v>1.328322249663566</v>
      </c>
      <c r="Q146" s="4">
        <f t="shared" si="69"/>
        <v>0.86104520850575583</v>
      </c>
      <c r="R146" s="4">
        <f t="shared" si="70"/>
        <v>0.39539157070636016</v>
      </c>
      <c r="S146" s="4">
        <f t="shared" si="71"/>
        <v>0.37491046327408678</v>
      </c>
      <c r="T146" s="1"/>
      <c r="U146" s="1"/>
      <c r="V146" s="1">
        <v>1</v>
      </c>
      <c r="W146" s="1">
        <v>1</v>
      </c>
      <c r="Y146" s="1">
        <f t="shared" si="86"/>
        <v>12.436161454837302</v>
      </c>
      <c r="Z146" s="1">
        <f t="shared" si="87"/>
        <v>12.436161454837302</v>
      </c>
      <c r="AB146" s="130">
        <v>1</v>
      </c>
      <c r="AC146" s="128">
        <f t="shared" si="72"/>
        <v>0.51356419576191015</v>
      </c>
      <c r="AD146" s="4">
        <f t="shared" si="73"/>
        <v>0.39539157070636016</v>
      </c>
      <c r="AE146" s="4">
        <f t="shared" si="74"/>
        <v>0.65898595117726699</v>
      </c>
      <c r="AF146" s="32">
        <f t="shared" si="75"/>
        <v>0.67474159124237421</v>
      </c>
      <c r="AG146" s="4">
        <f t="shared" si="76"/>
        <v>0.97569104313027366</v>
      </c>
      <c r="AH146" s="42">
        <f t="shared" si="77"/>
        <v>1.5820451571486769</v>
      </c>
      <c r="AJ146" s="23">
        <v>4</v>
      </c>
      <c r="AK146" s="24">
        <v>0.8</v>
      </c>
      <c r="AL146" s="5">
        <f t="shared" si="78"/>
        <v>2.0799999999999999E-2</v>
      </c>
      <c r="AM146" s="5">
        <f t="shared" si="88"/>
        <v>0.1194718394324346</v>
      </c>
      <c r="AN146" s="25">
        <f t="shared" si="89"/>
        <v>-8.0000000000000002E-3</v>
      </c>
      <c r="AO146" s="30">
        <f t="shared" si="79"/>
        <v>1.4E-2</v>
      </c>
      <c r="AP146" s="5">
        <f t="shared" si="80"/>
        <v>0.18</v>
      </c>
      <c r="AQ146" s="25">
        <v>0</v>
      </c>
    </row>
    <row r="147" spans="2:43">
      <c r="B147" s="38">
        <v>30000</v>
      </c>
      <c r="C147" s="3">
        <v>0</v>
      </c>
      <c r="D147" s="3">
        <f t="shared" si="63"/>
        <v>0.70000000000000007</v>
      </c>
      <c r="E147" s="13" cm="1">
        <f t="array" ref="E147">((B147-INDEX($AT$4:$AW$53,MATCH(B147,$AT$4:$AT$53,1),1))/(INDEX($AT$4:$AW$53,MATCH(B147,$AT$4:$AT$53,1)+1,1)-INDEX($AT$4:$AW$53,MATCH(B147,$AT$4:$AT$53,1),1)))*(INDEX($AT$4:$AW$53,MATCH(B147,$AT$4:$AT$53,1)+1,4)-INDEX($AT$4:$AW$53,MATCH(B147,$AT$4:$AT$53,1),4))+INDEX($AT$4:$AW$53,MATCH(B147,$AT$4:$AT$53,1),4)</f>
        <v>30.160641299179481</v>
      </c>
      <c r="F147" s="13" cm="1">
        <f t="array" ref="F147">C147+((B147-INDEX($AT$4:$AW$53,MATCH(B147,$AT$4:$AT$53,1),1))/(INDEX($AT$4:$AW$53,MATCH(B147,$AT$4:$AT$53,1)+1,1)-INDEX($AT$4:$AW$53,MATCH(B147,$AT$4:$AT$53,1),1)))*(INDEX($AT$4:$AW$53,MATCH(B147,$AT$4:$AT$53,1)+1,3)-INDEX($AT$4:$AW$53,MATCH(B147,$AT$4:$AT$53,1),3))+INDEX($AT$4:$AW$53,MATCH(B147,$AT$4:$AT$53,1),3)</f>
        <v>228.77840187269112</v>
      </c>
      <c r="G147" s="4">
        <f t="shared" si="64"/>
        <v>0.45934992833952565</v>
      </c>
      <c r="H147" s="6">
        <f t="shared" si="81"/>
        <v>30000</v>
      </c>
      <c r="I147" s="13">
        <f t="shared" si="65"/>
        <v>212.23182918096705</v>
      </c>
      <c r="J147" s="13">
        <f t="shared" si="82"/>
        <v>412.54471883513099</v>
      </c>
      <c r="K147" s="13">
        <f t="shared" si="66"/>
        <v>252.60085283417857</v>
      </c>
      <c r="L147" s="13">
        <f t="shared" si="83"/>
        <v>263.11381434634978</v>
      </c>
      <c r="M147" s="13">
        <f t="shared" si="84"/>
        <v>11.675224577444917</v>
      </c>
      <c r="N147" s="13">
        <f t="shared" si="85"/>
        <v>10.345099965618566</v>
      </c>
      <c r="O147" s="4">
        <f t="shared" si="67"/>
        <v>1.0980000000000001</v>
      </c>
      <c r="P147" s="4">
        <f t="shared" si="68"/>
        <v>1.3871013371908156</v>
      </c>
      <c r="Q147" s="4">
        <f t="shared" si="69"/>
        <v>0.87176361359088983</v>
      </c>
      <c r="R147" s="4">
        <f t="shared" si="70"/>
        <v>0.41288789416851118</v>
      </c>
      <c r="S147" s="4">
        <f t="shared" si="71"/>
        <v>0.37491046327408678</v>
      </c>
      <c r="T147" s="1"/>
      <c r="U147" s="1"/>
      <c r="V147" s="1">
        <v>1</v>
      </c>
      <c r="W147" s="1">
        <v>1</v>
      </c>
      <c r="Y147" s="1">
        <f t="shared" si="86"/>
        <v>13.81434212052727</v>
      </c>
      <c r="Z147" s="1">
        <f t="shared" si="87"/>
        <v>13.81434212052727</v>
      </c>
      <c r="AB147" s="130">
        <v>1</v>
      </c>
      <c r="AC147" s="128">
        <f t="shared" si="72"/>
        <v>0.51143379814261469</v>
      </c>
      <c r="AD147" s="4">
        <f t="shared" si="73"/>
        <v>0.41288789416851118</v>
      </c>
      <c r="AE147" s="4">
        <f t="shared" si="74"/>
        <v>0.68814649028085195</v>
      </c>
      <c r="AF147" s="32">
        <f t="shared" si="75"/>
        <v>0.69879972655243583</v>
      </c>
      <c r="AG147" s="4">
        <f t="shared" si="76"/>
        <v>0.98905667385808582</v>
      </c>
      <c r="AH147" s="42">
        <f t="shared" si="77"/>
        <v>1.5940742248037076</v>
      </c>
      <c r="AJ147" s="23">
        <v>4</v>
      </c>
      <c r="AK147" s="24">
        <v>0.8</v>
      </c>
      <c r="AL147" s="5">
        <f t="shared" si="78"/>
        <v>2.0799999999999999E-2</v>
      </c>
      <c r="AM147" s="5">
        <f t="shared" si="88"/>
        <v>0.1194718394324346</v>
      </c>
      <c r="AN147" s="25">
        <f t="shared" si="89"/>
        <v>-8.0000000000000002E-3</v>
      </c>
      <c r="AO147" s="30">
        <f t="shared" si="79"/>
        <v>1.4E-2</v>
      </c>
      <c r="AP147" s="5">
        <f t="shared" si="80"/>
        <v>0.18</v>
      </c>
      <c r="AQ147" s="25">
        <v>0</v>
      </c>
    </row>
    <row r="148" spans="2:43">
      <c r="B148" s="38">
        <v>30000</v>
      </c>
      <c r="C148" s="3">
        <v>0</v>
      </c>
      <c r="D148" s="3">
        <f t="shared" si="63"/>
        <v>0.75000000000000011</v>
      </c>
      <c r="E148" s="13" cm="1">
        <f t="array" ref="E148">((B148-INDEX($AT$4:$AW$53,MATCH(B148,$AT$4:$AT$53,1),1))/(INDEX($AT$4:$AW$53,MATCH(B148,$AT$4:$AT$53,1)+1,1)-INDEX($AT$4:$AW$53,MATCH(B148,$AT$4:$AT$53,1),1)))*(INDEX($AT$4:$AW$53,MATCH(B148,$AT$4:$AT$53,1)+1,4)-INDEX($AT$4:$AW$53,MATCH(B148,$AT$4:$AT$53,1),4))+INDEX($AT$4:$AW$53,MATCH(B148,$AT$4:$AT$53,1),4)</f>
        <v>30.160641299179481</v>
      </c>
      <c r="F148" s="13" cm="1">
        <f t="array" ref="F148">C148+((B148-INDEX($AT$4:$AW$53,MATCH(B148,$AT$4:$AT$53,1),1))/(INDEX($AT$4:$AW$53,MATCH(B148,$AT$4:$AT$53,1)+1,1)-INDEX($AT$4:$AW$53,MATCH(B148,$AT$4:$AT$53,1),1)))*(INDEX($AT$4:$AW$53,MATCH(B148,$AT$4:$AT$53,1)+1,3)-INDEX($AT$4:$AW$53,MATCH(B148,$AT$4:$AT$53,1),3))+INDEX($AT$4:$AW$53,MATCH(B148,$AT$4:$AT$53,1),3)</f>
        <v>228.77840187269112</v>
      </c>
      <c r="G148" s="4">
        <f t="shared" si="64"/>
        <v>0.45934992833952565</v>
      </c>
      <c r="H148" s="6">
        <f t="shared" si="81"/>
        <v>30000</v>
      </c>
      <c r="I148" s="13">
        <f t="shared" si="65"/>
        <v>227.39124555103612</v>
      </c>
      <c r="J148" s="13">
        <f t="shared" si="82"/>
        <v>442.01219875192606</v>
      </c>
      <c r="K148" s="13">
        <f t="shared" si="66"/>
        <v>270.64377089376273</v>
      </c>
      <c r="L148" s="13">
        <f t="shared" si="83"/>
        <v>283.50667348579617</v>
      </c>
      <c r="M148" s="13">
        <f t="shared" si="84"/>
        <v>13.641025824958904</v>
      </c>
      <c r="N148" s="13">
        <f t="shared" si="85"/>
        <v>11.875752511551925</v>
      </c>
      <c r="O148" s="4">
        <f t="shared" si="67"/>
        <v>1.1125</v>
      </c>
      <c r="P148" s="4">
        <f t="shared" si="68"/>
        <v>1.4522790377580601</v>
      </c>
      <c r="Q148" s="4">
        <f t="shared" si="69"/>
        <v>0.8832759746082558</v>
      </c>
      <c r="R148" s="4">
        <f t="shared" si="70"/>
        <v>0.43228884405762036</v>
      </c>
      <c r="S148" s="4">
        <f t="shared" si="71"/>
        <v>0.37491046327408678</v>
      </c>
      <c r="T148" s="1"/>
      <c r="U148" s="1"/>
      <c r="V148" s="1">
        <v>1</v>
      </c>
      <c r="W148" s="1">
        <v>1</v>
      </c>
      <c r="Y148" s="1">
        <f t="shared" si="86"/>
        <v>15.01924493154131</v>
      </c>
      <c r="Z148" s="1">
        <f t="shared" si="87"/>
        <v>15.01924493154131</v>
      </c>
      <c r="AB148" s="130">
        <v>1</v>
      </c>
      <c r="AC148" s="128">
        <f t="shared" si="72"/>
        <v>0.50937822173508929</v>
      </c>
      <c r="AD148" s="4">
        <f t="shared" si="73"/>
        <v>0.43228884405762036</v>
      </c>
      <c r="AE148" s="4">
        <f t="shared" si="74"/>
        <v>0.72048140676270067</v>
      </c>
      <c r="AF148" s="32">
        <f t="shared" si="75"/>
        <v>0.72285786186249734</v>
      </c>
      <c r="AG148" s="4">
        <f t="shared" si="76"/>
        <v>1.0024223045858978</v>
      </c>
      <c r="AH148" s="42">
        <f t="shared" si="77"/>
        <v>1.6061032924587384</v>
      </c>
      <c r="AJ148" s="23">
        <v>4</v>
      </c>
      <c r="AK148" s="24">
        <v>0.8</v>
      </c>
      <c r="AL148" s="5">
        <f t="shared" si="78"/>
        <v>2.0799999999999999E-2</v>
      </c>
      <c r="AM148" s="5">
        <f t="shared" si="88"/>
        <v>0.1194718394324346</v>
      </c>
      <c r="AN148" s="25">
        <f t="shared" si="89"/>
        <v>-8.0000000000000002E-3</v>
      </c>
      <c r="AO148" s="30">
        <f t="shared" si="79"/>
        <v>1.4E-2</v>
      </c>
      <c r="AP148" s="5">
        <f t="shared" si="80"/>
        <v>0.18</v>
      </c>
      <c r="AQ148" s="25">
        <v>0</v>
      </c>
    </row>
    <row r="149" spans="2:43">
      <c r="B149" s="38">
        <v>30000</v>
      </c>
      <c r="C149" s="3">
        <v>0</v>
      </c>
      <c r="D149" s="3">
        <f t="shared" si="63"/>
        <v>0.80000000000000016</v>
      </c>
      <c r="E149" s="13" cm="1">
        <f t="array" ref="E149">((B149-INDEX($AT$4:$AW$53,MATCH(B149,$AT$4:$AT$53,1),1))/(INDEX($AT$4:$AW$53,MATCH(B149,$AT$4:$AT$53,1)+1,1)-INDEX($AT$4:$AW$53,MATCH(B149,$AT$4:$AT$53,1),1)))*(INDEX($AT$4:$AW$53,MATCH(B149,$AT$4:$AT$53,1)+1,4)-INDEX($AT$4:$AW$53,MATCH(B149,$AT$4:$AT$53,1),4))+INDEX($AT$4:$AW$53,MATCH(B149,$AT$4:$AT$53,1),4)</f>
        <v>30.160641299179481</v>
      </c>
      <c r="F149" s="13" cm="1">
        <f t="array" ref="F149">C149+((B149-INDEX($AT$4:$AW$53,MATCH(B149,$AT$4:$AT$53,1),1))/(INDEX($AT$4:$AW$53,MATCH(B149,$AT$4:$AT$53,1)+1,1)-INDEX($AT$4:$AW$53,MATCH(B149,$AT$4:$AT$53,1),1)))*(INDEX($AT$4:$AW$53,MATCH(B149,$AT$4:$AT$53,1)+1,3)-INDEX($AT$4:$AW$53,MATCH(B149,$AT$4:$AT$53,1),3))+INDEX($AT$4:$AW$53,MATCH(B149,$AT$4:$AT$53,1),3)</f>
        <v>228.77840187269112</v>
      </c>
      <c r="G149" s="4">
        <f t="shared" si="64"/>
        <v>0.45934992833952565</v>
      </c>
      <c r="H149" s="6">
        <f t="shared" si="81"/>
        <v>30000</v>
      </c>
      <c r="I149" s="13">
        <f t="shared" si="65"/>
        <v>242.55066192110522</v>
      </c>
      <c r="J149" s="13">
        <f t="shared" si="82"/>
        <v>471.47967866872119</v>
      </c>
      <c r="K149" s="13">
        <f t="shared" si="66"/>
        <v>288.68668895334696</v>
      </c>
      <c r="L149" s="13">
        <f t="shared" si="83"/>
        <v>304.20890157655845</v>
      </c>
      <c r="M149" s="13">
        <f t="shared" si="84"/>
        <v>15.814430947106739</v>
      </c>
      <c r="N149" s="13">
        <f t="shared" si="85"/>
        <v>13.511967302032414</v>
      </c>
      <c r="O149" s="4">
        <f t="shared" si="67"/>
        <v>1.1280000000000001</v>
      </c>
      <c r="P149" s="4">
        <f t="shared" si="68"/>
        <v>1.5243400095586486</v>
      </c>
      <c r="Q149" s="4">
        <f t="shared" si="69"/>
        <v>0.89558229155785396</v>
      </c>
      <c r="R149" s="4">
        <f t="shared" si="70"/>
        <v>0.45373868488809499</v>
      </c>
      <c r="S149" s="4">
        <f t="shared" si="71"/>
        <v>0.37491046327408678</v>
      </c>
      <c r="T149" s="1"/>
      <c r="U149" s="1"/>
      <c r="V149" s="1">
        <v>1</v>
      </c>
      <c r="W149" s="1">
        <v>1</v>
      </c>
      <c r="Y149" s="1">
        <f t="shared" si="86"/>
        <v>16.078312367521193</v>
      </c>
      <c r="Z149" s="1">
        <f t="shared" si="87"/>
        <v>16.078312367521193</v>
      </c>
      <c r="AB149" s="130">
        <v>1</v>
      </c>
      <c r="AC149" s="128">
        <f t="shared" si="72"/>
        <v>0.50739009663000589</v>
      </c>
      <c r="AD149" s="4">
        <f t="shared" si="73"/>
        <v>0.45373868488809499</v>
      </c>
      <c r="AE149" s="4">
        <f t="shared" si="74"/>
        <v>0.75623114148015835</v>
      </c>
      <c r="AF149" s="32">
        <f t="shared" si="75"/>
        <v>0.74691599717255897</v>
      </c>
      <c r="AG149" s="4">
        <f t="shared" si="76"/>
        <v>1.0157879353137098</v>
      </c>
      <c r="AH149" s="42">
        <f t="shared" si="77"/>
        <v>1.6181323601137692</v>
      </c>
      <c r="AJ149" s="23">
        <v>4</v>
      </c>
      <c r="AK149" s="24">
        <v>0.8</v>
      </c>
      <c r="AL149" s="5">
        <f t="shared" si="78"/>
        <v>2.0799999999999999E-2</v>
      </c>
      <c r="AM149" s="5">
        <f t="shared" si="88"/>
        <v>0.1194718394324346</v>
      </c>
      <c r="AN149" s="25">
        <f t="shared" si="89"/>
        <v>-8.0000000000000002E-3</v>
      </c>
      <c r="AO149" s="30">
        <f t="shared" si="79"/>
        <v>1.4000000000000004E-2</v>
      </c>
      <c r="AP149" s="5">
        <f t="shared" si="80"/>
        <v>0.18</v>
      </c>
      <c r="AQ149" s="25">
        <v>0</v>
      </c>
    </row>
    <row r="150" spans="2:43">
      <c r="B150" s="38">
        <v>30000</v>
      </c>
      <c r="C150" s="3">
        <v>0</v>
      </c>
      <c r="D150" s="3">
        <f t="shared" si="63"/>
        <v>0.8500000000000002</v>
      </c>
      <c r="E150" s="13" cm="1">
        <f t="array" ref="E150">((B150-INDEX($AT$4:$AW$53,MATCH(B150,$AT$4:$AT$53,1),1))/(INDEX($AT$4:$AW$53,MATCH(B150,$AT$4:$AT$53,1)+1,1)-INDEX($AT$4:$AW$53,MATCH(B150,$AT$4:$AT$53,1),1)))*(INDEX($AT$4:$AW$53,MATCH(B150,$AT$4:$AT$53,1)+1,4)-INDEX($AT$4:$AW$53,MATCH(B150,$AT$4:$AT$53,1),4))+INDEX($AT$4:$AW$53,MATCH(B150,$AT$4:$AT$53,1),4)</f>
        <v>30.160641299179481</v>
      </c>
      <c r="F150" s="13" cm="1">
        <f t="array" ref="F150">C150+((B150-INDEX($AT$4:$AW$53,MATCH(B150,$AT$4:$AT$53,1),1))/(INDEX($AT$4:$AW$53,MATCH(B150,$AT$4:$AT$53,1)+1,1)-INDEX($AT$4:$AW$53,MATCH(B150,$AT$4:$AT$53,1),1)))*(INDEX($AT$4:$AW$53,MATCH(B150,$AT$4:$AT$53,1)+1,3)-INDEX($AT$4:$AW$53,MATCH(B150,$AT$4:$AT$53,1),3))+INDEX($AT$4:$AW$53,MATCH(B150,$AT$4:$AT$53,1),3)</f>
        <v>228.77840187269112</v>
      </c>
      <c r="G150" s="4">
        <f t="shared" si="64"/>
        <v>0.45934992833952565</v>
      </c>
      <c r="H150" s="6">
        <f t="shared" si="81"/>
        <v>30000</v>
      </c>
      <c r="I150" s="13">
        <f t="shared" si="65"/>
        <v>257.71007829117428</v>
      </c>
      <c r="J150" s="13">
        <f t="shared" si="82"/>
        <v>500.94715858551621</v>
      </c>
      <c r="K150" s="13">
        <f t="shared" si="66"/>
        <v>306.72960701293113</v>
      </c>
      <c r="L150" s="13">
        <f t="shared" si="83"/>
        <v>325.23367084065791</v>
      </c>
      <c r="M150" s="13">
        <f t="shared" si="84"/>
        <v>18.211561073378697</v>
      </c>
      <c r="N150" s="13">
        <f t="shared" si="85"/>
        <v>15.253744337060029</v>
      </c>
      <c r="O150" s="4">
        <f t="shared" si="67"/>
        <v>1.1445000000000001</v>
      </c>
      <c r="P150" s="4">
        <f t="shared" si="68"/>
        <v>1.6038187614357571</v>
      </c>
      <c r="Q150" s="4">
        <f t="shared" si="69"/>
        <v>0.90868256443968431</v>
      </c>
      <c r="R150" s="4">
        <f t="shared" si="70"/>
        <v>0.47739651983773179</v>
      </c>
      <c r="S150" s="4">
        <f t="shared" si="71"/>
        <v>0.37491046327408678</v>
      </c>
      <c r="T150" s="1"/>
      <c r="U150" s="1"/>
      <c r="V150" s="1">
        <v>1</v>
      </c>
      <c r="W150" s="1">
        <v>1</v>
      </c>
      <c r="Y150" s="1">
        <f t="shared" si="86"/>
        <v>-2.5400338679296239</v>
      </c>
      <c r="Z150" s="1">
        <f t="shared" si="87"/>
        <v>17.020828514318151</v>
      </c>
      <c r="AB150" s="130">
        <v>1</v>
      </c>
      <c r="AC150" s="128">
        <f t="shared" si="72"/>
        <v>0.5054631887989498</v>
      </c>
      <c r="AD150" s="4">
        <f t="shared" si="73"/>
        <v>0.47739651983773179</v>
      </c>
      <c r="AE150" s="4">
        <f t="shared" si="74"/>
        <v>0.79566086639621969</v>
      </c>
      <c r="AF150" s="32">
        <f t="shared" si="75"/>
        <v>0.77097413248262048</v>
      </c>
      <c r="AG150" s="4">
        <f t="shared" si="76"/>
        <v>1.0291535660415216</v>
      </c>
      <c r="AH150" s="42">
        <f t="shared" si="77"/>
        <v>1.6301614277687999</v>
      </c>
      <c r="AJ150" s="23">
        <v>4</v>
      </c>
      <c r="AK150" s="24">
        <v>0.8</v>
      </c>
      <c r="AL150" s="5">
        <f t="shared" si="78"/>
        <v>3.5100000000000048E-2</v>
      </c>
      <c r="AM150" s="5">
        <f t="shared" si="88"/>
        <v>0.1194718394324346</v>
      </c>
      <c r="AN150" s="25">
        <f t="shared" si="89"/>
        <v>-8.0000000000000002E-3</v>
      </c>
      <c r="AO150" s="30">
        <f t="shared" si="79"/>
        <v>1.5750000000000007E-2</v>
      </c>
      <c r="AP150" s="5">
        <f t="shared" si="80"/>
        <v>0.18</v>
      </c>
      <c r="AQ150" s="25">
        <v>0</v>
      </c>
    </row>
    <row r="151" spans="2:43">
      <c r="B151" s="38">
        <v>30000</v>
      </c>
      <c r="C151" s="3">
        <v>0</v>
      </c>
      <c r="D151" s="3">
        <f t="shared" si="63"/>
        <v>0.90000000000000024</v>
      </c>
      <c r="E151" s="13" cm="1">
        <f t="array" ref="E151">((B151-INDEX($AT$4:$AW$53,MATCH(B151,$AT$4:$AT$53,1),1))/(INDEX($AT$4:$AW$53,MATCH(B151,$AT$4:$AT$53,1)+1,1)-INDEX($AT$4:$AW$53,MATCH(B151,$AT$4:$AT$53,1),1)))*(INDEX($AT$4:$AW$53,MATCH(B151,$AT$4:$AT$53,1)+1,4)-INDEX($AT$4:$AW$53,MATCH(B151,$AT$4:$AT$53,1),4))+INDEX($AT$4:$AW$53,MATCH(B151,$AT$4:$AT$53,1),4)</f>
        <v>30.160641299179481</v>
      </c>
      <c r="F151" s="13" cm="1">
        <f t="array" ref="F151">C151+((B151-INDEX($AT$4:$AW$53,MATCH(B151,$AT$4:$AT$53,1),1))/(INDEX($AT$4:$AW$53,MATCH(B151,$AT$4:$AT$53,1)+1,1)-INDEX($AT$4:$AW$53,MATCH(B151,$AT$4:$AT$53,1),1)))*(INDEX($AT$4:$AW$53,MATCH(B151,$AT$4:$AT$53,1)+1,3)-INDEX($AT$4:$AW$53,MATCH(B151,$AT$4:$AT$53,1),3))+INDEX($AT$4:$AW$53,MATCH(B151,$AT$4:$AT$53,1),3)</f>
        <v>228.77840187269112</v>
      </c>
      <c r="G151" s="4">
        <f t="shared" si="64"/>
        <v>0.45934992833952565</v>
      </c>
      <c r="H151" s="6">
        <f t="shared" si="81"/>
        <v>30000</v>
      </c>
      <c r="I151" s="13">
        <f t="shared" si="65"/>
        <v>272.86949466124338</v>
      </c>
      <c r="J151" s="13">
        <f t="shared" si="82"/>
        <v>530.41463850231139</v>
      </c>
      <c r="K151" s="13">
        <f t="shared" si="66"/>
        <v>324.77252507251535</v>
      </c>
      <c r="L151" s="13">
        <f t="shared" si="83"/>
        <v>346.59263078705197</v>
      </c>
      <c r="M151" s="13">
        <f t="shared" si="84"/>
        <v>20.850145215703126</v>
      </c>
      <c r="N151" s="13">
        <f t="shared" si="85"/>
        <v>17.101083616634778</v>
      </c>
      <c r="O151" s="4">
        <f t="shared" si="67"/>
        <v>1.1619999999999999</v>
      </c>
      <c r="P151" s="4">
        <f t="shared" si="68"/>
        <v>1.691303112850931</v>
      </c>
      <c r="Q151" s="4">
        <f t="shared" si="69"/>
        <v>0.92257679325374653</v>
      </c>
      <c r="R151" s="4">
        <f t="shared" si="70"/>
        <v>0.50343732065021074</v>
      </c>
      <c r="S151" s="4">
        <f t="shared" si="71"/>
        <v>0.37491046327408678</v>
      </c>
      <c r="T151" s="1"/>
      <c r="U151" s="1"/>
      <c r="V151" s="1">
        <v>1</v>
      </c>
      <c r="W151" s="1">
        <v>1</v>
      </c>
      <c r="Y151" s="1">
        <f t="shared" si="86"/>
        <v>-28.560262624310386</v>
      </c>
      <c r="Z151" s="1">
        <f t="shared" si="87"/>
        <v>17.879366691085057</v>
      </c>
      <c r="AB151" s="130">
        <v>1</v>
      </c>
      <c r="AC151" s="128">
        <f t="shared" si="72"/>
        <v>0.50359216913646399</v>
      </c>
      <c r="AD151" s="4">
        <f t="shared" si="73"/>
        <v>0.50343732065021074</v>
      </c>
      <c r="AE151" s="4">
        <f t="shared" si="74"/>
        <v>0.83906220108368457</v>
      </c>
      <c r="AF151" s="32">
        <f t="shared" si="75"/>
        <v>0.7950322677926821</v>
      </c>
      <c r="AG151" s="4">
        <f t="shared" si="76"/>
        <v>1.0425191967693337</v>
      </c>
      <c r="AH151" s="42">
        <f t="shared" si="77"/>
        <v>1.6421904954238307</v>
      </c>
      <c r="AJ151" s="23">
        <v>4</v>
      </c>
      <c r="AK151" s="24">
        <v>0.8</v>
      </c>
      <c r="AL151" s="5">
        <f t="shared" si="78"/>
        <v>4.9400000000000062E-2</v>
      </c>
      <c r="AM151" s="5">
        <f t="shared" si="88"/>
        <v>0.1194718394324346</v>
      </c>
      <c r="AN151" s="25">
        <f t="shared" si="89"/>
        <v>-8.0000000000000002E-3</v>
      </c>
      <c r="AO151" s="30">
        <f t="shared" si="79"/>
        <v>1.7500000000000009E-2</v>
      </c>
      <c r="AP151" s="5">
        <f t="shared" si="80"/>
        <v>0.18</v>
      </c>
      <c r="AQ151" s="25">
        <v>0</v>
      </c>
    </row>
    <row r="152" spans="2:43">
      <c r="B152" s="38">
        <v>30000</v>
      </c>
      <c r="C152" s="3">
        <v>0</v>
      </c>
      <c r="D152" s="3">
        <f t="shared" si="63"/>
        <v>0.95000000000000029</v>
      </c>
      <c r="E152" s="13" cm="1">
        <f t="array" ref="E152">((B152-INDEX($AT$4:$AW$53,MATCH(B152,$AT$4:$AT$53,1),1))/(INDEX($AT$4:$AW$53,MATCH(B152,$AT$4:$AT$53,1)+1,1)-INDEX($AT$4:$AW$53,MATCH(B152,$AT$4:$AT$53,1),1)))*(INDEX($AT$4:$AW$53,MATCH(B152,$AT$4:$AT$53,1)+1,4)-INDEX($AT$4:$AW$53,MATCH(B152,$AT$4:$AT$53,1),4))+INDEX($AT$4:$AW$53,MATCH(B152,$AT$4:$AT$53,1),4)</f>
        <v>30.160641299179481</v>
      </c>
      <c r="F152" s="13" cm="1">
        <f t="array" ref="F152">C152+((B152-INDEX($AT$4:$AW$53,MATCH(B152,$AT$4:$AT$53,1),1))/(INDEX($AT$4:$AW$53,MATCH(B152,$AT$4:$AT$53,1)+1,1)-INDEX($AT$4:$AW$53,MATCH(B152,$AT$4:$AT$53,1),1)))*(INDEX($AT$4:$AW$53,MATCH(B152,$AT$4:$AT$53,1)+1,3)-INDEX($AT$4:$AW$53,MATCH(B152,$AT$4:$AT$53,1),3))+INDEX($AT$4:$AW$53,MATCH(B152,$AT$4:$AT$53,1),3)</f>
        <v>228.77840187269112</v>
      </c>
      <c r="G152" s="4">
        <f t="shared" si="64"/>
        <v>0.45934992833952565</v>
      </c>
      <c r="H152" s="6">
        <f t="shared" si="81"/>
        <v>30000</v>
      </c>
      <c r="I152" s="13">
        <f t="shared" si="65"/>
        <v>288.02891103131248</v>
      </c>
      <c r="J152" s="13">
        <f t="shared" si="82"/>
        <v>559.8821184191064</v>
      </c>
      <c r="K152" s="13">
        <f t="shared" si="66"/>
        <v>342.81544313209952</v>
      </c>
      <c r="L152" s="13">
        <f t="shared" si="83"/>
        <v>368.29581630288237</v>
      </c>
      <c r="M152" s="13">
        <f t="shared" si="84"/>
        <v>23.749633000316543</v>
      </c>
      <c r="N152" s="13">
        <f t="shared" si="85"/>
        <v>19.053985140756648</v>
      </c>
      <c r="O152" s="4">
        <f t="shared" si="67"/>
        <v>1.1805000000000001</v>
      </c>
      <c r="P152" s="4">
        <f t="shared" si="68"/>
        <v>1.7874379315987108</v>
      </c>
      <c r="Q152" s="4">
        <f t="shared" si="69"/>
        <v>0.93726497800004138</v>
      </c>
      <c r="R152" s="4">
        <f t="shared" si="70"/>
        <v>0.53205304021214928</v>
      </c>
      <c r="S152" s="4">
        <f t="shared" si="71"/>
        <v>0.37491046327408678</v>
      </c>
      <c r="T152" s="1"/>
      <c r="U152" s="1"/>
      <c r="V152" s="1">
        <v>1</v>
      </c>
      <c r="W152" s="1">
        <v>1</v>
      </c>
      <c r="Y152" s="1">
        <f t="shared" si="86"/>
        <v>-63.235286005858391</v>
      </c>
      <c r="Z152" s="1">
        <f t="shared" si="87"/>
        <v>18.69100449679005</v>
      </c>
      <c r="AB152" s="130">
        <v>1</v>
      </c>
      <c r="AC152" s="128">
        <f t="shared" si="72"/>
        <v>0.50177243958633722</v>
      </c>
      <c r="AD152" s="4">
        <f t="shared" si="73"/>
        <v>0.53205304021214928</v>
      </c>
      <c r="AE152" s="4">
        <f t="shared" si="74"/>
        <v>0.88675506702024887</v>
      </c>
      <c r="AF152" s="32">
        <f t="shared" si="75"/>
        <v>0.81909040310274372</v>
      </c>
      <c r="AG152" s="4">
        <f t="shared" si="76"/>
        <v>1.0558848274971455</v>
      </c>
      <c r="AH152" s="42">
        <f t="shared" si="77"/>
        <v>1.6542195630788616</v>
      </c>
      <c r="AJ152" s="23">
        <v>4</v>
      </c>
      <c r="AK152" s="24">
        <v>0.8</v>
      </c>
      <c r="AL152" s="5">
        <f t="shared" si="78"/>
        <v>6.3700000000000062E-2</v>
      </c>
      <c r="AM152" s="5">
        <f t="shared" si="88"/>
        <v>0.1194718394324346</v>
      </c>
      <c r="AN152" s="25">
        <f t="shared" si="89"/>
        <v>-8.0000000000000002E-3</v>
      </c>
      <c r="AO152" s="30">
        <f t="shared" si="79"/>
        <v>1.925000000000001E-2</v>
      </c>
      <c r="AP152" s="5">
        <f t="shared" si="80"/>
        <v>0.18</v>
      </c>
      <c r="AQ152" s="25">
        <v>0</v>
      </c>
    </row>
    <row r="153" spans="2:43" ht="15" thickBot="1">
      <c r="B153" s="39">
        <v>30000</v>
      </c>
      <c r="C153" s="48">
        <v>0</v>
      </c>
      <c r="D153" s="48">
        <f t="shared" si="63"/>
        <v>1.0000000000000002</v>
      </c>
      <c r="E153" s="152" cm="1">
        <f t="array" ref="E153">((B153-INDEX($AT$4:$AW$53,MATCH(B153,$AT$4:$AT$53,1),1))/(INDEX($AT$4:$AW$53,MATCH(B153,$AT$4:$AT$53,1)+1,1)-INDEX($AT$4:$AW$53,MATCH(B153,$AT$4:$AT$53,1),1)))*(INDEX($AT$4:$AW$53,MATCH(B153,$AT$4:$AT$53,1)+1,4)-INDEX($AT$4:$AW$53,MATCH(B153,$AT$4:$AT$53,1),4))+INDEX($AT$4:$AW$53,MATCH(B153,$AT$4:$AT$53,1),4)</f>
        <v>30.160641299179481</v>
      </c>
      <c r="F153" s="152" cm="1">
        <f t="array" ref="F153">C153+((B153-INDEX($AT$4:$AW$53,MATCH(B153,$AT$4:$AT$53,1),1))/(INDEX($AT$4:$AW$53,MATCH(B153,$AT$4:$AT$53,1)+1,1)-INDEX($AT$4:$AW$53,MATCH(B153,$AT$4:$AT$53,1),1)))*(INDEX($AT$4:$AW$53,MATCH(B153,$AT$4:$AT$53,1)+1,3)-INDEX($AT$4:$AW$53,MATCH(B153,$AT$4:$AT$53,1),3))+INDEX($AT$4:$AW$53,MATCH(B153,$AT$4:$AT$53,1),3)</f>
        <v>228.77840187269112</v>
      </c>
      <c r="G153" s="43">
        <f t="shared" si="64"/>
        <v>0.45934992833952565</v>
      </c>
      <c r="H153" s="153">
        <f t="shared" si="81"/>
        <v>30000</v>
      </c>
      <c r="I153" s="152">
        <f t="shared" si="65"/>
        <v>303.18832740138151</v>
      </c>
      <c r="J153" s="152">
        <f t="shared" si="82"/>
        <v>589.34959833590142</v>
      </c>
      <c r="K153" s="152">
        <f t="shared" si="66"/>
        <v>360.85836119168363</v>
      </c>
      <c r="L153" s="152">
        <f t="shared" si="83"/>
        <v>390.35156662224881</v>
      </c>
      <c r="M153" s="152">
        <f t="shared" si="84"/>
        <v>26.931316062270511</v>
      </c>
      <c r="N153" s="152">
        <f t="shared" si="85"/>
        <v>21.112448909425641</v>
      </c>
      <c r="O153" s="43">
        <f t="shared" si="67"/>
        <v>1.2</v>
      </c>
      <c r="P153" s="43">
        <f t="shared" si="68"/>
        <v>1.8929291587378541</v>
      </c>
      <c r="Q153" s="43">
        <f t="shared" si="69"/>
        <v>0.95274711867856787</v>
      </c>
      <c r="R153" s="43">
        <f t="shared" si="70"/>
        <v>0.56345381062373545</v>
      </c>
      <c r="S153" s="43">
        <f t="shared" si="71"/>
        <v>0.37491046327408678</v>
      </c>
      <c r="T153" s="98"/>
      <c r="U153" s="98"/>
      <c r="V153" s="98">
        <v>1</v>
      </c>
      <c r="W153" s="98">
        <v>1</v>
      </c>
      <c r="X153" s="104"/>
      <c r="Y153" s="98">
        <f t="shared" si="86"/>
        <v>-107.90798246111729</v>
      </c>
      <c r="Z153" s="1">
        <f t="shared" si="87"/>
        <v>19.498407978924892</v>
      </c>
      <c r="AB153" s="130">
        <v>1</v>
      </c>
      <c r="AC153" s="128">
        <f t="shared" si="72"/>
        <v>0.5</v>
      </c>
      <c r="AD153" s="4">
        <f t="shared" si="73"/>
        <v>0.56345381062373545</v>
      </c>
      <c r="AE153" s="4">
        <f t="shared" si="74"/>
        <v>0.93908968437289242</v>
      </c>
      <c r="AF153" s="32">
        <f t="shared" si="75"/>
        <v>0.84314853841280513</v>
      </c>
      <c r="AG153" s="4">
        <f t="shared" si="76"/>
        <v>1.0692504582249578</v>
      </c>
      <c r="AH153" s="42">
        <f t="shared" si="77"/>
        <v>1.6662486307338922</v>
      </c>
      <c r="AJ153" s="23">
        <v>4</v>
      </c>
      <c r="AK153" s="24">
        <v>0.8</v>
      </c>
      <c r="AL153" s="5">
        <f t="shared" si="78"/>
        <v>7.8000000000000042E-2</v>
      </c>
      <c r="AM153" s="5">
        <f t="shared" si="88"/>
        <v>0.1194718394324346</v>
      </c>
      <c r="AN153" s="25">
        <f t="shared" si="89"/>
        <v>-8.0000000000000002E-3</v>
      </c>
      <c r="AO153" s="30">
        <f t="shared" si="79"/>
        <v>2.1000000000000008E-2</v>
      </c>
      <c r="AP153" s="5">
        <f t="shared" si="80"/>
        <v>0.18</v>
      </c>
      <c r="AQ153" s="25">
        <v>0</v>
      </c>
    </row>
    <row r="154" spans="2:43">
      <c r="B154" s="146">
        <v>35000</v>
      </c>
      <c r="C154" s="147">
        <v>0</v>
      </c>
      <c r="D154" s="147">
        <v>0.01</v>
      </c>
      <c r="E154" s="148" cm="1">
        <f t="array" ref="E154">((B154-INDEX($AT$4:$AW$53,MATCH(B154,$AT$4:$AT$53,1),1))/(INDEX($AT$4:$AW$53,MATCH(B154,$AT$4:$AT$53,1)+1,1)-INDEX($AT$4:$AW$53,MATCH(B154,$AT$4:$AT$53,1),1)))*(INDEX($AT$4:$AW$53,MATCH(B154,$AT$4:$AT$53,1)+1,4)-INDEX($AT$4:$AW$53,MATCH(B154,$AT$4:$AT$53,1),4))+INDEX($AT$4:$AW$53,MATCH(B154,$AT$4:$AT$53,1),4)</f>
        <v>23.92176125626364</v>
      </c>
      <c r="F154" s="148" cm="1">
        <f t="array" ref="F154">C154+((B154-INDEX($AT$4:$AW$53,MATCH(B154,$AT$4:$AT$53,1),1))/(INDEX($AT$4:$AW$53,MATCH(B154,$AT$4:$AT$53,1)+1,1)-INDEX($AT$4:$AW$53,MATCH(B154,$AT$4:$AT$53,1),1)))*(INDEX($AT$4:$AW$53,MATCH(B154,$AT$4:$AT$53,1)+1,3)-INDEX($AT$4:$AW$53,MATCH(B154,$AT$4:$AT$53,1),3))+INDEX($AT$4:$AW$53,MATCH(B154,$AT$4:$AT$53,1),3)</f>
        <v>218.92480218480634</v>
      </c>
      <c r="G154" s="149">
        <f t="shared" si="64"/>
        <v>0.38072929007941669</v>
      </c>
      <c r="H154" s="150">
        <f t="shared" si="81"/>
        <v>35000</v>
      </c>
      <c r="I154" s="148">
        <f t="shared" si="65"/>
        <v>2.9658723087458636</v>
      </c>
      <c r="J154" s="148">
        <f t="shared" si="82"/>
        <v>5.7651812286325592</v>
      </c>
      <c r="K154" s="148">
        <f t="shared" si="66"/>
        <v>3.2137571993095921</v>
      </c>
      <c r="L154" s="148">
        <f t="shared" si="83"/>
        <v>3.2137878869289898</v>
      </c>
      <c r="M154" s="148">
        <f t="shared" si="84"/>
        <v>1.6745651514334645E-3</v>
      </c>
      <c r="N154" s="148">
        <f t="shared" si="85"/>
        <v>1.6745232879384548E-3</v>
      </c>
      <c r="O154" s="149">
        <f t="shared" si="67"/>
        <v>1.0000199999999999</v>
      </c>
      <c r="P154" s="149">
        <f t="shared" si="68"/>
        <v>1.0000700017500173</v>
      </c>
      <c r="Q154" s="149">
        <f t="shared" si="69"/>
        <v>0.7597750500810343</v>
      </c>
      <c r="R154" s="149">
        <f t="shared" si="70"/>
        <v>0.23610595431941842</v>
      </c>
      <c r="S154" s="149">
        <f t="shared" si="71"/>
        <v>0.31074217218595784</v>
      </c>
      <c r="T154" s="151"/>
      <c r="U154" s="151"/>
      <c r="V154" s="151">
        <v>1</v>
      </c>
      <c r="W154" s="151">
        <v>1</v>
      </c>
      <c r="X154" s="125"/>
      <c r="Y154" s="151">
        <f t="shared" si="86"/>
        <v>-607.80700065408962</v>
      </c>
      <c r="Z154" s="1">
        <f t="shared" si="87"/>
        <v>-607.80700065408962</v>
      </c>
      <c r="AB154" s="130">
        <v>1</v>
      </c>
      <c r="AC154" s="128">
        <f t="shared" si="72"/>
        <v>0.56299999999999994</v>
      </c>
      <c r="AD154" s="4">
        <f t="shared" si="73"/>
        <v>0.23610595431941842</v>
      </c>
      <c r="AE154" s="4">
        <f t="shared" si="74"/>
        <v>0.39350992386569739</v>
      </c>
      <c r="AF154" s="32">
        <f t="shared" si="75"/>
        <v>0.35881144788851521</v>
      </c>
      <c r="AG154" s="4">
        <f t="shared" si="76"/>
        <v>0.78709276677597284</v>
      </c>
      <c r="AH154" s="42">
        <f t="shared" si="77"/>
        <v>1.3969807057717072</v>
      </c>
      <c r="AJ154" s="23">
        <v>4</v>
      </c>
      <c r="AK154" s="24">
        <v>0.8</v>
      </c>
      <c r="AL154" s="5">
        <f t="shared" si="78"/>
        <v>2.0799999999999999E-2</v>
      </c>
      <c r="AM154" s="5">
        <f t="shared" si="88"/>
        <v>0.1194718394324346</v>
      </c>
      <c r="AN154" s="25">
        <f t="shared" si="89"/>
        <v>-8.0000000000000002E-3</v>
      </c>
      <c r="AO154" s="30">
        <f t="shared" si="79"/>
        <v>1.4E-2</v>
      </c>
      <c r="AP154" s="5">
        <f t="shared" si="80"/>
        <v>0.18</v>
      </c>
      <c r="AQ154" s="25">
        <v>0</v>
      </c>
    </row>
    <row r="155" spans="2:43">
      <c r="B155" s="38">
        <v>35000</v>
      </c>
      <c r="C155" s="3">
        <v>0</v>
      </c>
      <c r="D155" s="3">
        <v>0.05</v>
      </c>
      <c r="E155" s="13" cm="1">
        <f t="array" ref="E155">((B155-INDEX($AT$4:$AW$53,MATCH(B155,$AT$4:$AT$53,1),1))/(INDEX($AT$4:$AW$53,MATCH(B155,$AT$4:$AT$53,1)+1,1)-INDEX($AT$4:$AW$53,MATCH(B155,$AT$4:$AT$53,1),1)))*(INDEX($AT$4:$AW$53,MATCH(B155,$AT$4:$AT$53,1)+1,4)-INDEX($AT$4:$AW$53,MATCH(B155,$AT$4:$AT$53,1),4))+INDEX($AT$4:$AW$53,MATCH(B155,$AT$4:$AT$53,1),4)</f>
        <v>23.92176125626364</v>
      </c>
      <c r="F155" s="13" cm="1">
        <f t="array" ref="F155">C155+((B155-INDEX($AT$4:$AW$53,MATCH(B155,$AT$4:$AT$53,1),1))/(INDEX($AT$4:$AW$53,MATCH(B155,$AT$4:$AT$53,1)+1,1)-INDEX($AT$4:$AW$53,MATCH(B155,$AT$4:$AT$53,1),1)))*(INDEX($AT$4:$AW$53,MATCH(B155,$AT$4:$AT$53,1)+1,3)-INDEX($AT$4:$AW$53,MATCH(B155,$AT$4:$AT$53,1),3))+INDEX($AT$4:$AW$53,MATCH(B155,$AT$4:$AT$53,1),3)</f>
        <v>218.92480218480634</v>
      </c>
      <c r="G155" s="4">
        <f t="shared" si="64"/>
        <v>0.38072929007941669</v>
      </c>
      <c r="H155" s="6">
        <f t="shared" si="81"/>
        <v>35000</v>
      </c>
      <c r="I155" s="13">
        <f t="shared" si="65"/>
        <v>14.829361543729318</v>
      </c>
      <c r="J155" s="13">
        <f t="shared" si="82"/>
        <v>28.825906143162797</v>
      </c>
      <c r="K155" s="13">
        <f t="shared" si="66"/>
        <v>16.068785996547962</v>
      </c>
      <c r="L155" s="13">
        <f t="shared" si="83"/>
        <v>16.072621565422068</v>
      </c>
      <c r="M155" s="13">
        <f t="shared" si="84"/>
        <v>4.1889253166346604E-2</v>
      </c>
      <c r="N155" s="13">
        <f t="shared" si="85"/>
        <v>4.1863082198461368E-2</v>
      </c>
      <c r="O155" s="4">
        <f t="shared" si="67"/>
        <v>1.0004999999999999</v>
      </c>
      <c r="P155" s="4">
        <f t="shared" si="68"/>
        <v>1.0017510940234544</v>
      </c>
      <c r="Q155" s="4">
        <f t="shared" si="69"/>
        <v>0.76013973481137864</v>
      </c>
      <c r="R155" s="4">
        <f t="shared" si="70"/>
        <v>0.23650284243207487</v>
      </c>
      <c r="S155" s="4">
        <f t="shared" si="71"/>
        <v>0.31074217218595784</v>
      </c>
      <c r="T155" s="1"/>
      <c r="U155" s="1"/>
      <c r="V155" s="1">
        <v>1</v>
      </c>
      <c r="W155" s="1">
        <v>1</v>
      </c>
      <c r="Y155" s="1">
        <f t="shared" si="86"/>
        <v>-120.10514304645864</v>
      </c>
      <c r="Z155" s="1">
        <f t="shared" si="87"/>
        <v>-120.10514304645864</v>
      </c>
      <c r="AB155" s="130">
        <v>1</v>
      </c>
      <c r="AC155" s="128">
        <f t="shared" si="72"/>
        <v>0.55434752415750155</v>
      </c>
      <c r="AD155" s="4">
        <f t="shared" si="73"/>
        <v>0.23650284243207487</v>
      </c>
      <c r="AE155" s="4">
        <f t="shared" si="74"/>
        <v>0.39417140405345813</v>
      </c>
      <c r="AF155" s="32">
        <f t="shared" si="75"/>
        <v>0.37763891606388733</v>
      </c>
      <c r="AG155" s="4">
        <f t="shared" si="76"/>
        <v>0.79755247131784623</v>
      </c>
      <c r="AH155" s="42">
        <f t="shared" si="77"/>
        <v>1.4063944398593935</v>
      </c>
      <c r="AJ155" s="23">
        <v>4</v>
      </c>
      <c r="AK155" s="24">
        <v>0.8</v>
      </c>
      <c r="AL155" s="5">
        <f t="shared" si="78"/>
        <v>2.0799999999999999E-2</v>
      </c>
      <c r="AM155" s="5">
        <f t="shared" si="88"/>
        <v>0.1194718394324346</v>
      </c>
      <c r="AN155" s="25">
        <f t="shared" si="89"/>
        <v>-8.0000000000000002E-3</v>
      </c>
      <c r="AO155" s="30">
        <f t="shared" si="79"/>
        <v>1.4E-2</v>
      </c>
      <c r="AP155" s="5">
        <f t="shared" si="80"/>
        <v>0.18</v>
      </c>
      <c r="AQ155" s="25">
        <v>0</v>
      </c>
    </row>
    <row r="156" spans="2:43">
      <c r="B156" s="38">
        <v>35000</v>
      </c>
      <c r="C156" s="3">
        <v>0</v>
      </c>
      <c r="D156" s="3">
        <f t="shared" ref="D156:D174" si="90">D155+0.05</f>
        <v>0.1</v>
      </c>
      <c r="E156" s="13" cm="1">
        <f t="array" ref="E156">((B156-INDEX($AT$4:$AW$53,MATCH(B156,$AT$4:$AT$53,1),1))/(INDEX($AT$4:$AW$53,MATCH(B156,$AT$4:$AT$53,1)+1,1)-INDEX($AT$4:$AW$53,MATCH(B156,$AT$4:$AT$53,1),1)))*(INDEX($AT$4:$AW$53,MATCH(B156,$AT$4:$AT$53,1)+1,4)-INDEX($AT$4:$AW$53,MATCH(B156,$AT$4:$AT$53,1),4))+INDEX($AT$4:$AW$53,MATCH(B156,$AT$4:$AT$53,1),4)</f>
        <v>23.92176125626364</v>
      </c>
      <c r="F156" s="13" cm="1">
        <f t="array" ref="F156">C156+((B156-INDEX($AT$4:$AW$53,MATCH(B156,$AT$4:$AT$53,1),1))/(INDEX($AT$4:$AW$53,MATCH(B156,$AT$4:$AT$53,1)+1,1)-INDEX($AT$4:$AW$53,MATCH(B156,$AT$4:$AT$53,1),1)))*(INDEX($AT$4:$AW$53,MATCH(B156,$AT$4:$AT$53,1)+1,3)-INDEX($AT$4:$AW$53,MATCH(B156,$AT$4:$AT$53,1),3))+INDEX($AT$4:$AW$53,MATCH(B156,$AT$4:$AT$53,1),3)</f>
        <v>218.92480218480634</v>
      </c>
      <c r="G156" s="4">
        <f t="shared" si="64"/>
        <v>0.38072929007941669</v>
      </c>
      <c r="H156" s="6">
        <f t="shared" si="81"/>
        <v>35000</v>
      </c>
      <c r="I156" s="13">
        <f t="shared" si="65"/>
        <v>29.658723087458636</v>
      </c>
      <c r="J156" s="13">
        <f t="shared" si="82"/>
        <v>57.651812286325594</v>
      </c>
      <c r="K156" s="13">
        <f t="shared" si="66"/>
        <v>32.137571993095925</v>
      </c>
      <c r="L156" s="13">
        <f t="shared" si="83"/>
        <v>32.168246810570707</v>
      </c>
      <c r="M156" s="13">
        <f t="shared" si="84"/>
        <v>0.16787137835128757</v>
      </c>
      <c r="N156" s="13">
        <f t="shared" si="85"/>
        <v>0.16745232879384547</v>
      </c>
      <c r="O156" s="4">
        <f t="shared" si="67"/>
        <v>1.002</v>
      </c>
      <c r="P156" s="4">
        <f t="shared" si="68"/>
        <v>1.0070175175043741</v>
      </c>
      <c r="Q156" s="4">
        <f t="shared" si="69"/>
        <v>0.76127937459370454</v>
      </c>
      <c r="R156" s="4">
        <f t="shared" si="70"/>
        <v>0.23774618933742833</v>
      </c>
      <c r="S156" s="4">
        <f t="shared" si="71"/>
        <v>0.31074217218595784</v>
      </c>
      <c r="T156" s="1"/>
      <c r="U156" s="1"/>
      <c r="V156" s="1">
        <v>1</v>
      </c>
      <c r="W156" s="1">
        <v>1</v>
      </c>
      <c r="Y156" s="1">
        <f t="shared" si="86"/>
        <v>-57.789256471963732</v>
      </c>
      <c r="Z156" s="1">
        <f t="shared" si="87"/>
        <v>-57.789256471963732</v>
      </c>
      <c r="AB156" s="130">
        <v>1</v>
      </c>
      <c r="AC156" s="128">
        <f t="shared" si="72"/>
        <v>0.5478640563788213</v>
      </c>
      <c r="AD156" s="4">
        <f t="shared" si="73"/>
        <v>0.23774618933742833</v>
      </c>
      <c r="AE156" s="4">
        <f t="shared" si="74"/>
        <v>0.3962436488957139</v>
      </c>
      <c r="AF156" s="32">
        <f t="shared" si="75"/>
        <v>0.40117325128310244</v>
      </c>
      <c r="AG156" s="4">
        <f t="shared" si="76"/>
        <v>0.81062710199518806</v>
      </c>
      <c r="AH156" s="42">
        <f t="shared" si="77"/>
        <v>1.4181616074690009</v>
      </c>
      <c r="AJ156" s="23">
        <v>4</v>
      </c>
      <c r="AK156" s="24">
        <v>0.8</v>
      </c>
      <c r="AL156" s="5">
        <f t="shared" si="78"/>
        <v>2.0799999999999999E-2</v>
      </c>
      <c r="AM156" s="5">
        <f t="shared" si="88"/>
        <v>0.1194718394324346</v>
      </c>
      <c r="AN156" s="25">
        <f t="shared" si="89"/>
        <v>-8.0000000000000002E-3</v>
      </c>
      <c r="AO156" s="30">
        <f t="shared" si="79"/>
        <v>1.4E-2</v>
      </c>
      <c r="AP156" s="5">
        <f t="shared" si="80"/>
        <v>0.18</v>
      </c>
      <c r="AQ156" s="25">
        <v>0</v>
      </c>
    </row>
    <row r="157" spans="2:43">
      <c r="B157" s="38">
        <v>35000</v>
      </c>
      <c r="C157" s="3">
        <v>0</v>
      </c>
      <c r="D157" s="3">
        <f t="shared" si="90"/>
        <v>0.15000000000000002</v>
      </c>
      <c r="E157" s="13" cm="1">
        <f t="array" ref="E157">((B157-INDEX($AT$4:$AW$53,MATCH(B157,$AT$4:$AT$53,1),1))/(INDEX($AT$4:$AW$53,MATCH(B157,$AT$4:$AT$53,1)+1,1)-INDEX($AT$4:$AW$53,MATCH(B157,$AT$4:$AT$53,1),1)))*(INDEX($AT$4:$AW$53,MATCH(B157,$AT$4:$AT$53,1)+1,4)-INDEX($AT$4:$AW$53,MATCH(B157,$AT$4:$AT$53,1),4))+INDEX($AT$4:$AW$53,MATCH(B157,$AT$4:$AT$53,1),4)</f>
        <v>23.92176125626364</v>
      </c>
      <c r="F157" s="13" cm="1">
        <f t="array" ref="F157">C157+((B157-INDEX($AT$4:$AW$53,MATCH(B157,$AT$4:$AT$53,1),1))/(INDEX($AT$4:$AW$53,MATCH(B157,$AT$4:$AT$53,1)+1,1)-INDEX($AT$4:$AW$53,MATCH(B157,$AT$4:$AT$53,1),1)))*(INDEX($AT$4:$AW$53,MATCH(B157,$AT$4:$AT$53,1)+1,3)-INDEX($AT$4:$AW$53,MATCH(B157,$AT$4:$AT$53,1),3))+INDEX($AT$4:$AW$53,MATCH(B157,$AT$4:$AT$53,1),3)</f>
        <v>218.92480218480634</v>
      </c>
      <c r="G157" s="4">
        <f t="shared" si="64"/>
        <v>0.38072929007941669</v>
      </c>
      <c r="H157" s="6">
        <f t="shared" si="81"/>
        <v>35000</v>
      </c>
      <c r="I157" s="13">
        <f t="shared" si="65"/>
        <v>44.488084631187959</v>
      </c>
      <c r="J157" s="13">
        <f t="shared" si="82"/>
        <v>86.477718429488405</v>
      </c>
      <c r="K157" s="13">
        <f t="shared" si="66"/>
        <v>48.206357989643891</v>
      </c>
      <c r="L157" s="13">
        <f t="shared" si="83"/>
        <v>48.309830519315156</v>
      </c>
      <c r="M157" s="13">
        <f t="shared" si="84"/>
        <v>0.37889182947020639</v>
      </c>
      <c r="N157" s="13">
        <f t="shared" si="85"/>
        <v>0.37676773978615247</v>
      </c>
      <c r="O157" s="4">
        <f t="shared" si="67"/>
        <v>1.0044999999999999</v>
      </c>
      <c r="P157" s="4">
        <f t="shared" si="68"/>
        <v>1.0158387931980133</v>
      </c>
      <c r="Q157" s="4">
        <f t="shared" si="69"/>
        <v>0.76317877423091429</v>
      </c>
      <c r="R157" s="4">
        <f t="shared" si="70"/>
        <v>0.23982879926705003</v>
      </c>
      <c r="S157" s="4">
        <f t="shared" si="71"/>
        <v>0.31074217218595784</v>
      </c>
      <c r="T157" s="1"/>
      <c r="U157" s="1"/>
      <c r="V157" s="1">
        <v>1</v>
      </c>
      <c r="W157" s="1">
        <v>1</v>
      </c>
      <c r="Y157" s="1">
        <f t="shared" si="86"/>
        <v>-36.038323360579334</v>
      </c>
      <c r="Z157" s="1">
        <f t="shared" si="87"/>
        <v>-36.038323360579334</v>
      </c>
      <c r="AB157" s="130">
        <v>1</v>
      </c>
      <c r="AC157" s="128">
        <f t="shared" si="72"/>
        <v>0.54288911657654815</v>
      </c>
      <c r="AD157" s="4">
        <f t="shared" si="73"/>
        <v>0.23982879926705003</v>
      </c>
      <c r="AE157" s="4">
        <f t="shared" si="74"/>
        <v>0.39971466544508338</v>
      </c>
      <c r="AF157" s="32">
        <f t="shared" si="75"/>
        <v>0.4247075865023176</v>
      </c>
      <c r="AG157" s="4">
        <f t="shared" si="76"/>
        <v>0.82370173267252977</v>
      </c>
      <c r="AH157" s="42">
        <f t="shared" si="77"/>
        <v>1.4299287750786085</v>
      </c>
      <c r="AJ157" s="23">
        <v>4</v>
      </c>
      <c r="AK157" s="24">
        <v>0.8</v>
      </c>
      <c r="AL157" s="5">
        <f t="shared" si="78"/>
        <v>2.0799999999999999E-2</v>
      </c>
      <c r="AM157" s="5">
        <f t="shared" si="88"/>
        <v>0.1194718394324346</v>
      </c>
      <c r="AN157" s="25">
        <f t="shared" si="89"/>
        <v>-8.0000000000000002E-3</v>
      </c>
      <c r="AO157" s="30">
        <f t="shared" si="79"/>
        <v>1.4E-2</v>
      </c>
      <c r="AP157" s="5">
        <f t="shared" si="80"/>
        <v>0.18</v>
      </c>
      <c r="AQ157" s="25">
        <v>0</v>
      </c>
    </row>
    <row r="158" spans="2:43">
      <c r="B158" s="38">
        <v>35000</v>
      </c>
      <c r="C158" s="3">
        <v>0</v>
      </c>
      <c r="D158" s="3">
        <f t="shared" si="90"/>
        <v>0.2</v>
      </c>
      <c r="E158" s="13" cm="1">
        <f t="array" ref="E158">((B158-INDEX($AT$4:$AW$53,MATCH(B158,$AT$4:$AT$53,1),1))/(INDEX($AT$4:$AW$53,MATCH(B158,$AT$4:$AT$53,1)+1,1)-INDEX($AT$4:$AW$53,MATCH(B158,$AT$4:$AT$53,1),1)))*(INDEX($AT$4:$AW$53,MATCH(B158,$AT$4:$AT$53,1)+1,4)-INDEX($AT$4:$AW$53,MATCH(B158,$AT$4:$AT$53,1),4))+INDEX($AT$4:$AW$53,MATCH(B158,$AT$4:$AT$53,1),4)</f>
        <v>23.92176125626364</v>
      </c>
      <c r="F158" s="13" cm="1">
        <f t="array" ref="F158">C158+((B158-INDEX($AT$4:$AW$53,MATCH(B158,$AT$4:$AT$53,1),1))/(INDEX($AT$4:$AW$53,MATCH(B158,$AT$4:$AT$53,1)+1,1)-INDEX($AT$4:$AW$53,MATCH(B158,$AT$4:$AT$53,1),1)))*(INDEX($AT$4:$AW$53,MATCH(B158,$AT$4:$AT$53,1)+1,3)-INDEX($AT$4:$AW$53,MATCH(B158,$AT$4:$AT$53,1),3))+INDEX($AT$4:$AW$53,MATCH(B158,$AT$4:$AT$53,1),3)</f>
        <v>218.92480218480634</v>
      </c>
      <c r="G158" s="4">
        <f t="shared" si="64"/>
        <v>0.38072929007941669</v>
      </c>
      <c r="H158" s="6">
        <f t="shared" si="81"/>
        <v>35000</v>
      </c>
      <c r="I158" s="13">
        <f t="shared" si="65"/>
        <v>59.317446174917272</v>
      </c>
      <c r="J158" s="13">
        <f t="shared" si="82"/>
        <v>115.30362457265119</v>
      </c>
      <c r="K158" s="13">
        <f t="shared" si="66"/>
        <v>64.27514398619185</v>
      </c>
      <c r="L158" s="13">
        <f t="shared" si="83"/>
        <v>64.520228625481039</v>
      </c>
      <c r="M158" s="13">
        <f t="shared" si="84"/>
        <v>0.67653422747072589</v>
      </c>
      <c r="N158" s="13">
        <f t="shared" si="85"/>
        <v>0.66980931517538189</v>
      </c>
      <c r="O158" s="4">
        <f t="shared" si="67"/>
        <v>1.008</v>
      </c>
      <c r="P158" s="4">
        <f t="shared" si="68"/>
        <v>1.0282811211191059</v>
      </c>
      <c r="Q158" s="4">
        <f t="shared" si="69"/>
        <v>0.76583793372300812</v>
      </c>
      <c r="R158" s="4">
        <f t="shared" si="70"/>
        <v>0.24276630134452865</v>
      </c>
      <c r="S158" s="4">
        <f t="shared" si="71"/>
        <v>0.31074217218595784</v>
      </c>
      <c r="T158" s="1"/>
      <c r="U158" s="1"/>
      <c r="V158" s="1">
        <v>1</v>
      </c>
      <c r="W158" s="1">
        <v>1</v>
      </c>
      <c r="Y158" s="1">
        <f t="shared" si="86"/>
        <v>-24.458457743133621</v>
      </c>
      <c r="Z158" s="1">
        <f t="shared" si="87"/>
        <v>-24.458457743133621</v>
      </c>
      <c r="AB158" s="130">
        <v>1</v>
      </c>
      <c r="AC158" s="128">
        <f t="shared" si="72"/>
        <v>0.53869504831500292</v>
      </c>
      <c r="AD158" s="4">
        <f t="shared" si="73"/>
        <v>0.24276630134452865</v>
      </c>
      <c r="AE158" s="4">
        <f t="shared" si="74"/>
        <v>0.40461050224088108</v>
      </c>
      <c r="AF158" s="32">
        <f t="shared" si="75"/>
        <v>0.44824192172153271</v>
      </c>
      <c r="AG158" s="4">
        <f t="shared" si="76"/>
        <v>0.83677636334987138</v>
      </c>
      <c r="AH158" s="42">
        <f t="shared" si="77"/>
        <v>1.4416959426882161</v>
      </c>
      <c r="AJ158" s="23">
        <v>4</v>
      </c>
      <c r="AK158" s="24">
        <v>0.8</v>
      </c>
      <c r="AL158" s="5">
        <f t="shared" si="78"/>
        <v>2.0799999999999999E-2</v>
      </c>
      <c r="AM158" s="5">
        <f t="shared" si="88"/>
        <v>0.1194718394324346</v>
      </c>
      <c r="AN158" s="25">
        <f t="shared" si="89"/>
        <v>-8.0000000000000002E-3</v>
      </c>
      <c r="AO158" s="30">
        <f t="shared" si="79"/>
        <v>1.4E-2</v>
      </c>
      <c r="AP158" s="5">
        <f t="shared" si="80"/>
        <v>0.18</v>
      </c>
      <c r="AQ158" s="25">
        <v>0</v>
      </c>
    </row>
    <row r="159" spans="2:43">
      <c r="B159" s="38">
        <v>35000</v>
      </c>
      <c r="C159" s="3">
        <v>0</v>
      </c>
      <c r="D159" s="3">
        <f t="shared" si="90"/>
        <v>0.25</v>
      </c>
      <c r="E159" s="13" cm="1">
        <f t="array" ref="E159">((B159-INDEX($AT$4:$AW$53,MATCH(B159,$AT$4:$AT$53,1),1))/(INDEX($AT$4:$AW$53,MATCH(B159,$AT$4:$AT$53,1)+1,1)-INDEX($AT$4:$AW$53,MATCH(B159,$AT$4:$AT$53,1),1)))*(INDEX($AT$4:$AW$53,MATCH(B159,$AT$4:$AT$53,1)+1,4)-INDEX($AT$4:$AW$53,MATCH(B159,$AT$4:$AT$53,1),4))+INDEX($AT$4:$AW$53,MATCH(B159,$AT$4:$AT$53,1),4)</f>
        <v>23.92176125626364</v>
      </c>
      <c r="F159" s="13" cm="1">
        <f t="array" ref="F159">C159+((B159-INDEX($AT$4:$AW$53,MATCH(B159,$AT$4:$AT$53,1),1))/(INDEX($AT$4:$AW$53,MATCH(B159,$AT$4:$AT$53,1)+1,1)-INDEX($AT$4:$AW$53,MATCH(B159,$AT$4:$AT$53,1),1)))*(INDEX($AT$4:$AW$53,MATCH(B159,$AT$4:$AT$53,1)+1,3)-INDEX($AT$4:$AW$53,MATCH(B159,$AT$4:$AT$53,1),3))+INDEX($AT$4:$AW$53,MATCH(B159,$AT$4:$AT$53,1),3)</f>
        <v>218.92480218480634</v>
      </c>
      <c r="G159" s="4">
        <f t="shared" si="64"/>
        <v>0.38072929007941669</v>
      </c>
      <c r="H159" s="6">
        <f t="shared" si="81"/>
        <v>35000</v>
      </c>
      <c r="I159" s="13">
        <f t="shared" si="65"/>
        <v>74.146807718646585</v>
      </c>
      <c r="J159" s="13">
        <f t="shared" si="82"/>
        <v>144.12953071581398</v>
      </c>
      <c r="K159" s="13">
        <f t="shared" si="66"/>
        <v>80.343929982739809</v>
      </c>
      <c r="L159" s="13">
        <f t="shared" si="83"/>
        <v>80.822146168954561</v>
      </c>
      <c r="M159" s="13">
        <f t="shared" si="84"/>
        <v>1.0630321857318135</v>
      </c>
      <c r="N159" s="13">
        <f t="shared" si="85"/>
        <v>1.0465770549615343</v>
      </c>
      <c r="O159" s="4">
        <f t="shared" si="67"/>
        <v>1.0125</v>
      </c>
      <c r="P159" s="4">
        <f t="shared" si="68"/>
        <v>1.0444378728783388</v>
      </c>
      <c r="Q159" s="4">
        <f t="shared" si="69"/>
        <v>0.76925685306998592</v>
      </c>
      <c r="R159" s="4">
        <f t="shared" si="70"/>
        <v>0.24658073961998966</v>
      </c>
      <c r="S159" s="4">
        <f t="shared" si="71"/>
        <v>0.31074217218595784</v>
      </c>
      <c r="T159" s="1"/>
      <c r="U159" s="1"/>
      <c r="V159" s="1">
        <v>1</v>
      </c>
      <c r="W159" s="1">
        <v>1</v>
      </c>
      <c r="Y159" s="1">
        <f t="shared" si="86"/>
        <v>-16.97964438929635</v>
      </c>
      <c r="Z159" s="1">
        <f t="shared" si="87"/>
        <v>-16.97964438929635</v>
      </c>
      <c r="AB159" s="130">
        <v>1</v>
      </c>
      <c r="AC159" s="128">
        <f t="shared" si="72"/>
        <v>0.53500000000000003</v>
      </c>
      <c r="AD159" s="4">
        <f t="shared" si="73"/>
        <v>0.24658073961998966</v>
      </c>
      <c r="AE159" s="4">
        <f t="shared" si="74"/>
        <v>0.41096789936664946</v>
      </c>
      <c r="AF159" s="32">
        <f t="shared" si="75"/>
        <v>0.47177625694074776</v>
      </c>
      <c r="AG159" s="4">
        <f t="shared" si="76"/>
        <v>0.8498509940272132</v>
      </c>
      <c r="AH159" s="42">
        <f t="shared" si="77"/>
        <v>1.4534631102978235</v>
      </c>
      <c r="AJ159" s="23">
        <v>4</v>
      </c>
      <c r="AK159" s="24">
        <v>0.8</v>
      </c>
      <c r="AL159" s="5">
        <f t="shared" si="78"/>
        <v>2.0799999999999999E-2</v>
      </c>
      <c r="AM159" s="5">
        <f t="shared" si="88"/>
        <v>0.1194718394324346</v>
      </c>
      <c r="AN159" s="25">
        <f t="shared" si="89"/>
        <v>-8.0000000000000002E-3</v>
      </c>
      <c r="AO159" s="30">
        <f t="shared" si="79"/>
        <v>1.4E-2</v>
      </c>
      <c r="AP159" s="5">
        <f t="shared" si="80"/>
        <v>0.18</v>
      </c>
      <c r="AQ159" s="25">
        <v>0</v>
      </c>
    </row>
    <row r="160" spans="2:43">
      <c r="B160" s="38">
        <v>35000</v>
      </c>
      <c r="C160" s="3">
        <v>0</v>
      </c>
      <c r="D160" s="3">
        <f t="shared" si="90"/>
        <v>0.3</v>
      </c>
      <c r="E160" s="13" cm="1">
        <f t="array" ref="E160">((B160-INDEX($AT$4:$AW$53,MATCH(B160,$AT$4:$AT$53,1),1))/(INDEX($AT$4:$AW$53,MATCH(B160,$AT$4:$AT$53,1)+1,1)-INDEX($AT$4:$AW$53,MATCH(B160,$AT$4:$AT$53,1),1)))*(INDEX($AT$4:$AW$53,MATCH(B160,$AT$4:$AT$53,1)+1,4)-INDEX($AT$4:$AW$53,MATCH(B160,$AT$4:$AT$53,1),4))+INDEX($AT$4:$AW$53,MATCH(B160,$AT$4:$AT$53,1),4)</f>
        <v>23.92176125626364</v>
      </c>
      <c r="F160" s="13" cm="1">
        <f t="array" ref="F160">C160+((B160-INDEX($AT$4:$AW$53,MATCH(B160,$AT$4:$AT$53,1),1))/(INDEX($AT$4:$AW$53,MATCH(B160,$AT$4:$AT$53,1)+1,1)-INDEX($AT$4:$AW$53,MATCH(B160,$AT$4:$AT$53,1),1)))*(INDEX($AT$4:$AW$53,MATCH(B160,$AT$4:$AT$53,1)+1,3)-INDEX($AT$4:$AW$53,MATCH(B160,$AT$4:$AT$53,1),3))+INDEX($AT$4:$AW$53,MATCH(B160,$AT$4:$AT$53,1),3)</f>
        <v>218.92480218480634</v>
      </c>
      <c r="G160" s="4">
        <f t="shared" si="64"/>
        <v>0.38072929007941669</v>
      </c>
      <c r="H160" s="6">
        <f t="shared" si="81"/>
        <v>35000</v>
      </c>
      <c r="I160" s="13">
        <f t="shared" si="65"/>
        <v>88.976169262375905</v>
      </c>
      <c r="J160" s="13">
        <f t="shared" si="82"/>
        <v>172.95543685897678</v>
      </c>
      <c r="K160" s="13">
        <f t="shared" si="66"/>
        <v>96.412715979287768</v>
      </c>
      <c r="L160" s="13">
        <f t="shared" si="83"/>
        <v>97.238082185376868</v>
      </c>
      <c r="M160" s="13">
        <f t="shared" si="84"/>
        <v>1.5412859230233371</v>
      </c>
      <c r="N160" s="13">
        <f t="shared" si="85"/>
        <v>1.5070709591446094</v>
      </c>
      <c r="O160" s="4">
        <f t="shared" si="67"/>
        <v>1.018</v>
      </c>
      <c r="P160" s="4">
        <f t="shared" si="68"/>
        <v>1.0644302861529382</v>
      </c>
      <c r="Q160" s="4">
        <f t="shared" si="69"/>
        <v>0.77343553227184758</v>
      </c>
      <c r="R160" s="4">
        <f t="shared" si="70"/>
        <v>0.25130073702725858</v>
      </c>
      <c r="S160" s="4">
        <f t="shared" si="71"/>
        <v>0.31074217218595784</v>
      </c>
      <c r="T160" s="1"/>
      <c r="U160" s="1"/>
      <c r="V160" s="1">
        <v>1</v>
      </c>
      <c r="W160" s="1">
        <v>1</v>
      </c>
      <c r="Y160" s="1">
        <f t="shared" si="86"/>
        <v>-11.585182856028428</v>
      </c>
      <c r="Z160" s="1">
        <f t="shared" si="87"/>
        <v>-11.585182856028428</v>
      </c>
      <c r="AB160" s="130">
        <v>1</v>
      </c>
      <c r="AC160" s="128">
        <f t="shared" si="72"/>
        <v>0.53165942097463836</v>
      </c>
      <c r="AD160" s="4">
        <f t="shared" si="73"/>
        <v>0.25130073702725858</v>
      </c>
      <c r="AE160" s="4">
        <f t="shared" si="74"/>
        <v>0.41883456171209765</v>
      </c>
      <c r="AF160" s="32">
        <f t="shared" si="75"/>
        <v>0.49531059215996293</v>
      </c>
      <c r="AG160" s="4">
        <f t="shared" si="76"/>
        <v>0.86292562470455492</v>
      </c>
      <c r="AH160" s="42">
        <f t="shared" si="77"/>
        <v>1.4652302779074311</v>
      </c>
      <c r="AJ160" s="23">
        <v>4</v>
      </c>
      <c r="AK160" s="24">
        <v>0.8</v>
      </c>
      <c r="AL160" s="5">
        <f t="shared" si="78"/>
        <v>2.0799999999999999E-2</v>
      </c>
      <c r="AM160" s="5">
        <f t="shared" si="88"/>
        <v>0.1194718394324346</v>
      </c>
      <c r="AN160" s="25">
        <f t="shared" si="89"/>
        <v>-8.0000000000000002E-3</v>
      </c>
      <c r="AO160" s="30">
        <f t="shared" si="79"/>
        <v>1.4E-2</v>
      </c>
      <c r="AP160" s="5">
        <f t="shared" si="80"/>
        <v>0.18</v>
      </c>
      <c r="AQ160" s="25">
        <v>0</v>
      </c>
    </row>
    <row r="161" spans="2:43">
      <c r="B161" s="38">
        <v>35000</v>
      </c>
      <c r="C161" s="3">
        <v>0</v>
      </c>
      <c r="D161" s="3">
        <f t="shared" si="90"/>
        <v>0.35</v>
      </c>
      <c r="E161" s="13" cm="1">
        <f t="array" ref="E161">((B161-INDEX($AT$4:$AW$53,MATCH(B161,$AT$4:$AT$53,1),1))/(INDEX($AT$4:$AW$53,MATCH(B161,$AT$4:$AT$53,1)+1,1)-INDEX($AT$4:$AW$53,MATCH(B161,$AT$4:$AT$53,1),1)))*(INDEX($AT$4:$AW$53,MATCH(B161,$AT$4:$AT$53,1)+1,4)-INDEX($AT$4:$AW$53,MATCH(B161,$AT$4:$AT$53,1),4))+INDEX($AT$4:$AW$53,MATCH(B161,$AT$4:$AT$53,1),4)</f>
        <v>23.92176125626364</v>
      </c>
      <c r="F161" s="13" cm="1">
        <f t="array" ref="F161">C161+((B161-INDEX($AT$4:$AW$53,MATCH(B161,$AT$4:$AT$53,1),1))/(INDEX($AT$4:$AW$53,MATCH(B161,$AT$4:$AT$53,1)+1,1)-INDEX($AT$4:$AW$53,MATCH(B161,$AT$4:$AT$53,1),1)))*(INDEX($AT$4:$AW$53,MATCH(B161,$AT$4:$AT$53,1)+1,3)-INDEX($AT$4:$AW$53,MATCH(B161,$AT$4:$AT$53,1),3))+INDEX($AT$4:$AW$53,MATCH(B161,$AT$4:$AT$53,1),3)</f>
        <v>218.92480218480634</v>
      </c>
      <c r="G161" s="4">
        <f t="shared" si="64"/>
        <v>0.38072929007941669</v>
      </c>
      <c r="H161" s="6">
        <f t="shared" si="81"/>
        <v>35000</v>
      </c>
      <c r="I161" s="13">
        <f t="shared" si="65"/>
        <v>103.80553080610521</v>
      </c>
      <c r="J161" s="13">
        <f t="shared" si="82"/>
        <v>201.78134300213955</v>
      </c>
      <c r="K161" s="13">
        <f t="shared" si="66"/>
        <v>112.48150197583571</v>
      </c>
      <c r="L161" s="13">
        <f t="shared" si="83"/>
        <v>113.79027063520985</v>
      </c>
      <c r="M161" s="13">
        <f t="shared" si="84"/>
        <v>2.1148837211203992</v>
      </c>
      <c r="N161" s="13">
        <f t="shared" si="85"/>
        <v>2.0512910277246066</v>
      </c>
      <c r="O161" s="4">
        <f t="shared" si="67"/>
        <v>1.0245</v>
      </c>
      <c r="P161" s="4">
        <f t="shared" si="68"/>
        <v>1.0884083616780784</v>
      </c>
      <c r="Q161" s="4">
        <f t="shared" si="69"/>
        <v>0.7783739713285931</v>
      </c>
      <c r="R161" s="4">
        <f t="shared" si="70"/>
        <v>0.25696170715404926</v>
      </c>
      <c r="S161" s="4">
        <f t="shared" si="71"/>
        <v>0.31074217218595784</v>
      </c>
      <c r="T161" s="1"/>
      <c r="U161" s="1"/>
      <c r="V161" s="1">
        <v>1</v>
      </c>
      <c r="W161" s="1">
        <v>1</v>
      </c>
      <c r="Y161" s="1">
        <f t="shared" si="86"/>
        <v>-7.4157178791669178</v>
      </c>
      <c r="Z161" s="1">
        <f t="shared" si="87"/>
        <v>-7.4157178791669178</v>
      </c>
      <c r="AB161" s="130">
        <v>1</v>
      </c>
      <c r="AC161" s="128">
        <f t="shared" si="72"/>
        <v>0.52858744151830273</v>
      </c>
      <c r="AD161" s="4">
        <f t="shared" si="73"/>
        <v>0.25696170715404926</v>
      </c>
      <c r="AE161" s="4">
        <f t="shared" si="74"/>
        <v>0.42826951192341545</v>
      </c>
      <c r="AF161" s="32">
        <f t="shared" si="75"/>
        <v>0.51884492737917809</v>
      </c>
      <c r="AG161" s="4">
        <f t="shared" si="76"/>
        <v>0.87600025538189674</v>
      </c>
      <c r="AH161" s="42">
        <f t="shared" si="77"/>
        <v>1.4769974455170389</v>
      </c>
      <c r="AJ161" s="23">
        <v>4</v>
      </c>
      <c r="AK161" s="24">
        <v>0.8</v>
      </c>
      <c r="AL161" s="5">
        <f t="shared" si="78"/>
        <v>2.0799999999999999E-2</v>
      </c>
      <c r="AM161" s="5">
        <f t="shared" si="88"/>
        <v>0.1194718394324346</v>
      </c>
      <c r="AN161" s="25">
        <f t="shared" si="89"/>
        <v>-8.0000000000000002E-3</v>
      </c>
      <c r="AO161" s="30">
        <f t="shared" si="79"/>
        <v>1.4E-2</v>
      </c>
      <c r="AP161" s="5">
        <f t="shared" si="80"/>
        <v>0.18</v>
      </c>
      <c r="AQ161" s="25">
        <v>0</v>
      </c>
    </row>
    <row r="162" spans="2:43">
      <c r="B162" s="38">
        <v>35000</v>
      </c>
      <c r="C162" s="3">
        <v>0</v>
      </c>
      <c r="D162" s="3">
        <f t="shared" si="90"/>
        <v>0.39999999999999997</v>
      </c>
      <c r="E162" s="13" cm="1">
        <f t="array" ref="E162">((B162-INDEX($AT$4:$AW$53,MATCH(B162,$AT$4:$AT$53,1),1))/(INDEX($AT$4:$AW$53,MATCH(B162,$AT$4:$AT$53,1)+1,1)-INDEX($AT$4:$AW$53,MATCH(B162,$AT$4:$AT$53,1),1)))*(INDEX($AT$4:$AW$53,MATCH(B162,$AT$4:$AT$53,1)+1,4)-INDEX($AT$4:$AW$53,MATCH(B162,$AT$4:$AT$53,1),4))+INDEX($AT$4:$AW$53,MATCH(B162,$AT$4:$AT$53,1),4)</f>
        <v>23.92176125626364</v>
      </c>
      <c r="F162" s="13" cm="1">
        <f t="array" ref="F162">C162+((B162-INDEX($AT$4:$AW$53,MATCH(B162,$AT$4:$AT$53,1),1))/(INDEX($AT$4:$AW$53,MATCH(B162,$AT$4:$AT$53,1)+1,1)-INDEX($AT$4:$AW$53,MATCH(B162,$AT$4:$AT$53,1),1)))*(INDEX($AT$4:$AW$53,MATCH(B162,$AT$4:$AT$53,1)+1,3)-INDEX($AT$4:$AW$53,MATCH(B162,$AT$4:$AT$53,1),3))+INDEX($AT$4:$AW$53,MATCH(B162,$AT$4:$AT$53,1),3)</f>
        <v>218.92480218480634</v>
      </c>
      <c r="G162" s="4">
        <f t="shared" si="64"/>
        <v>0.38072929007941669</v>
      </c>
      <c r="H162" s="6">
        <f t="shared" si="81"/>
        <v>35000</v>
      </c>
      <c r="I162" s="13">
        <f t="shared" si="65"/>
        <v>118.63489234983453</v>
      </c>
      <c r="J162" s="13">
        <f t="shared" si="82"/>
        <v>230.60724914530235</v>
      </c>
      <c r="K162" s="13">
        <f t="shared" si="66"/>
        <v>128.55028797238367</v>
      </c>
      <c r="L162" s="13">
        <f t="shared" si="83"/>
        <v>130.50061658983353</v>
      </c>
      <c r="M162" s="13">
        <f t="shared" si="84"/>
        <v>2.7881283000491224</v>
      </c>
      <c r="N162" s="13">
        <f t="shared" si="85"/>
        <v>2.6792372607015271</v>
      </c>
      <c r="O162" s="4">
        <f t="shared" si="67"/>
        <v>1.032</v>
      </c>
      <c r="P162" s="4">
        <f t="shared" si="68"/>
        <v>1.1165519658097534</v>
      </c>
      <c r="Q162" s="4">
        <f t="shared" si="69"/>
        <v>0.78407217024022269</v>
      </c>
      <c r="R162" s="4">
        <f t="shared" si="70"/>
        <v>0.26360611454540106</v>
      </c>
      <c r="S162" s="4">
        <f t="shared" si="71"/>
        <v>0.31074217218595784</v>
      </c>
      <c r="T162" s="1"/>
      <c r="U162" s="1"/>
      <c r="V162" s="1">
        <v>1</v>
      </c>
      <c r="W162" s="1">
        <v>1</v>
      </c>
      <c r="Y162" s="1">
        <f t="shared" si="86"/>
        <v>-4.0450841953840948</v>
      </c>
      <c r="Z162" s="1">
        <f t="shared" si="87"/>
        <v>-4.0450841953840948</v>
      </c>
      <c r="AB162" s="130">
        <v>1</v>
      </c>
      <c r="AC162" s="128">
        <f t="shared" si="72"/>
        <v>0.52572811275764275</v>
      </c>
      <c r="AD162" s="4">
        <f t="shared" si="73"/>
        <v>0.26360611454540106</v>
      </c>
      <c r="AE162" s="4">
        <f t="shared" si="74"/>
        <v>0.43934352424233514</v>
      </c>
      <c r="AF162" s="32">
        <f t="shared" si="75"/>
        <v>0.5423792625983932</v>
      </c>
      <c r="AG162" s="4">
        <f t="shared" si="76"/>
        <v>0.88907488605923846</v>
      </c>
      <c r="AH162" s="42">
        <f t="shared" si="77"/>
        <v>1.4887646131266465</v>
      </c>
      <c r="AJ162" s="23">
        <v>4</v>
      </c>
      <c r="AK162" s="24">
        <v>0.8</v>
      </c>
      <c r="AL162" s="5">
        <f t="shared" si="78"/>
        <v>2.0799999999999999E-2</v>
      </c>
      <c r="AM162" s="5">
        <f t="shared" si="88"/>
        <v>0.1194718394324346</v>
      </c>
      <c r="AN162" s="25">
        <f t="shared" si="89"/>
        <v>-8.0000000000000002E-3</v>
      </c>
      <c r="AO162" s="30">
        <f t="shared" si="79"/>
        <v>1.4E-2</v>
      </c>
      <c r="AP162" s="5">
        <f t="shared" si="80"/>
        <v>0.18</v>
      </c>
      <c r="AQ162" s="25">
        <v>0</v>
      </c>
    </row>
    <row r="163" spans="2:43">
      <c r="B163" s="38">
        <v>35000</v>
      </c>
      <c r="C163" s="3">
        <v>0</v>
      </c>
      <c r="D163" s="3">
        <f t="shared" si="90"/>
        <v>0.44999999999999996</v>
      </c>
      <c r="E163" s="13" cm="1">
        <f t="array" ref="E163">((B163-INDEX($AT$4:$AW$53,MATCH(B163,$AT$4:$AT$53,1),1))/(INDEX($AT$4:$AW$53,MATCH(B163,$AT$4:$AT$53,1)+1,1)-INDEX($AT$4:$AW$53,MATCH(B163,$AT$4:$AT$53,1),1)))*(INDEX($AT$4:$AW$53,MATCH(B163,$AT$4:$AT$53,1)+1,4)-INDEX($AT$4:$AW$53,MATCH(B163,$AT$4:$AT$53,1),4))+INDEX($AT$4:$AW$53,MATCH(B163,$AT$4:$AT$53,1),4)</f>
        <v>23.92176125626364</v>
      </c>
      <c r="F163" s="13" cm="1">
        <f t="array" ref="F163">C163+((B163-INDEX($AT$4:$AW$53,MATCH(B163,$AT$4:$AT$53,1),1))/(INDEX($AT$4:$AW$53,MATCH(B163,$AT$4:$AT$53,1)+1,1)-INDEX($AT$4:$AW$53,MATCH(B163,$AT$4:$AT$53,1),1)))*(INDEX($AT$4:$AW$53,MATCH(B163,$AT$4:$AT$53,1)+1,3)-INDEX($AT$4:$AW$53,MATCH(B163,$AT$4:$AT$53,1),3))+INDEX($AT$4:$AW$53,MATCH(B163,$AT$4:$AT$53,1),3)</f>
        <v>218.92480218480634</v>
      </c>
      <c r="G163" s="4">
        <f t="shared" si="64"/>
        <v>0.38072929007941669</v>
      </c>
      <c r="H163" s="6">
        <f t="shared" si="81"/>
        <v>35000</v>
      </c>
      <c r="I163" s="13">
        <f t="shared" si="65"/>
        <v>133.46425389356384</v>
      </c>
      <c r="J163" s="13">
        <f t="shared" si="82"/>
        <v>259.43315528846512</v>
      </c>
      <c r="K163" s="13">
        <f t="shared" si="66"/>
        <v>144.61907396893162</v>
      </c>
      <c r="L163" s="13">
        <f t="shared" si="83"/>
        <v>147.39062703384073</v>
      </c>
      <c r="M163" s="13">
        <f t="shared" si="84"/>
        <v>3.5660681995071788</v>
      </c>
      <c r="N163" s="13">
        <f t="shared" si="85"/>
        <v>3.3909096580753704</v>
      </c>
      <c r="O163" s="4">
        <f t="shared" si="67"/>
        <v>1.0405</v>
      </c>
      <c r="P163" s="4">
        <f t="shared" si="68"/>
        <v>1.1490721423604813</v>
      </c>
      <c r="Q163" s="4">
        <f t="shared" si="69"/>
        <v>0.79053012900673614</v>
      </c>
      <c r="R163" s="4">
        <f t="shared" si="70"/>
        <v>0.27128378441421974</v>
      </c>
      <c r="S163" s="4">
        <f t="shared" si="71"/>
        <v>0.31074217218595784</v>
      </c>
      <c r="T163" s="1"/>
      <c r="U163" s="1"/>
      <c r="V163" s="1">
        <v>1</v>
      </c>
      <c r="W163" s="1">
        <v>1</v>
      </c>
      <c r="Y163" s="1">
        <f t="shared" si="86"/>
        <v>-1.2387670778522619</v>
      </c>
      <c r="Z163" s="1">
        <f t="shared" si="87"/>
        <v>-1.2387670778522619</v>
      </c>
      <c r="AB163" s="130">
        <v>1</v>
      </c>
      <c r="AC163" s="128">
        <f t="shared" si="72"/>
        <v>0.52304257247250441</v>
      </c>
      <c r="AD163" s="4">
        <f t="shared" si="73"/>
        <v>0.27128378441421974</v>
      </c>
      <c r="AE163" s="4">
        <f t="shared" si="74"/>
        <v>0.45213964069036627</v>
      </c>
      <c r="AF163" s="32">
        <f t="shared" si="75"/>
        <v>0.56591359781760842</v>
      </c>
      <c r="AG163" s="4">
        <f t="shared" si="76"/>
        <v>0.90214951673658006</v>
      </c>
      <c r="AH163" s="42">
        <f t="shared" si="77"/>
        <v>1.5005317807362539</v>
      </c>
      <c r="AJ163" s="23">
        <v>4</v>
      </c>
      <c r="AK163" s="24">
        <v>0.8</v>
      </c>
      <c r="AL163" s="5">
        <f t="shared" si="78"/>
        <v>2.0799999999999999E-2</v>
      </c>
      <c r="AM163" s="5">
        <f t="shared" si="88"/>
        <v>0.1194718394324346</v>
      </c>
      <c r="AN163" s="25">
        <f t="shared" si="89"/>
        <v>-8.0000000000000002E-3</v>
      </c>
      <c r="AO163" s="30">
        <f t="shared" si="79"/>
        <v>1.4E-2</v>
      </c>
      <c r="AP163" s="5">
        <f t="shared" si="80"/>
        <v>0.18</v>
      </c>
      <c r="AQ163" s="25">
        <v>0</v>
      </c>
    </row>
    <row r="164" spans="2:43">
      <c r="B164" s="38">
        <v>35000</v>
      </c>
      <c r="C164" s="3">
        <v>0</v>
      </c>
      <c r="D164" s="3">
        <f t="shared" si="90"/>
        <v>0.49999999999999994</v>
      </c>
      <c r="E164" s="13" cm="1">
        <f t="array" ref="E164">((B164-INDEX($AT$4:$AW$53,MATCH(B164,$AT$4:$AT$53,1),1))/(INDEX($AT$4:$AW$53,MATCH(B164,$AT$4:$AT$53,1)+1,1)-INDEX($AT$4:$AW$53,MATCH(B164,$AT$4:$AT$53,1),1)))*(INDEX($AT$4:$AW$53,MATCH(B164,$AT$4:$AT$53,1)+1,4)-INDEX($AT$4:$AW$53,MATCH(B164,$AT$4:$AT$53,1),4))+INDEX($AT$4:$AW$53,MATCH(B164,$AT$4:$AT$53,1),4)</f>
        <v>23.92176125626364</v>
      </c>
      <c r="F164" s="13" cm="1">
        <f t="array" ref="F164">C164+((B164-INDEX($AT$4:$AW$53,MATCH(B164,$AT$4:$AT$53,1),1))/(INDEX($AT$4:$AW$53,MATCH(B164,$AT$4:$AT$53,1)+1,1)-INDEX($AT$4:$AW$53,MATCH(B164,$AT$4:$AT$53,1),1)))*(INDEX($AT$4:$AW$53,MATCH(B164,$AT$4:$AT$53,1)+1,3)-INDEX($AT$4:$AW$53,MATCH(B164,$AT$4:$AT$53,1),3))+INDEX($AT$4:$AW$53,MATCH(B164,$AT$4:$AT$53,1),3)</f>
        <v>218.92480218480634</v>
      </c>
      <c r="G164" s="4">
        <f t="shared" si="64"/>
        <v>0.38072929007941669</v>
      </c>
      <c r="H164" s="6">
        <f t="shared" si="81"/>
        <v>35000</v>
      </c>
      <c r="I164" s="13">
        <f t="shared" si="65"/>
        <v>148.29361543729314</v>
      </c>
      <c r="J164" s="13">
        <f t="shared" si="82"/>
        <v>288.25906143162791</v>
      </c>
      <c r="K164" s="13">
        <f t="shared" si="66"/>
        <v>160.68785996547959</v>
      </c>
      <c r="L164" s="13">
        <f t="shared" si="83"/>
        <v>164.48133581523803</v>
      </c>
      <c r="M164" s="13">
        <f t="shared" si="84"/>
        <v>4.4545342701971311</v>
      </c>
      <c r="N164" s="13">
        <f t="shared" si="85"/>
        <v>4.1863082198461354</v>
      </c>
      <c r="O164" s="4">
        <f t="shared" si="67"/>
        <v>1.05</v>
      </c>
      <c r="P164" s="4">
        <f t="shared" si="68"/>
        <v>1.1862126380443982</v>
      </c>
      <c r="Q164" s="4">
        <f t="shared" si="69"/>
        <v>0.79774784762813356</v>
      </c>
      <c r="R164" s="4">
        <f t="shared" si="70"/>
        <v>0.28005226278273643</v>
      </c>
      <c r="S164" s="4">
        <f t="shared" si="71"/>
        <v>0.31074217218595784</v>
      </c>
      <c r="T164" s="1"/>
      <c r="U164" s="1"/>
      <c r="V164" s="1">
        <v>1</v>
      </c>
      <c r="W164" s="1">
        <v>1</v>
      </c>
      <c r="Y164" s="1">
        <f t="shared" si="86"/>
        <v>1.1428628575697859</v>
      </c>
      <c r="Z164" s="1">
        <f t="shared" si="87"/>
        <v>1.1428628575697859</v>
      </c>
      <c r="AB164" s="130">
        <v>1</v>
      </c>
      <c r="AC164" s="128">
        <f t="shared" si="72"/>
        <v>0.52050252531694174</v>
      </c>
      <c r="AD164" s="4">
        <f t="shared" si="73"/>
        <v>0.28005226278273643</v>
      </c>
      <c r="AE164" s="4">
        <f t="shared" si="74"/>
        <v>0.46675377130456075</v>
      </c>
      <c r="AF164" s="32">
        <f t="shared" si="75"/>
        <v>0.58944793303682341</v>
      </c>
      <c r="AG164" s="4">
        <f t="shared" si="76"/>
        <v>0.91522414741392188</v>
      </c>
      <c r="AH164" s="42">
        <f t="shared" si="77"/>
        <v>1.5122989483458615</v>
      </c>
      <c r="AJ164" s="23">
        <v>4</v>
      </c>
      <c r="AK164" s="24">
        <v>0.8</v>
      </c>
      <c r="AL164" s="5">
        <f t="shared" si="78"/>
        <v>2.0799999999999999E-2</v>
      </c>
      <c r="AM164" s="5">
        <f t="shared" si="88"/>
        <v>0.1194718394324346</v>
      </c>
      <c r="AN164" s="25">
        <f t="shared" si="89"/>
        <v>-8.0000000000000002E-3</v>
      </c>
      <c r="AO164" s="30">
        <f t="shared" si="79"/>
        <v>1.4E-2</v>
      </c>
      <c r="AP164" s="5">
        <f t="shared" si="80"/>
        <v>0.18</v>
      </c>
      <c r="AQ164" s="25">
        <v>0</v>
      </c>
    </row>
    <row r="165" spans="2:43">
      <c r="B165" s="38">
        <v>35000</v>
      </c>
      <c r="C165" s="3">
        <v>0</v>
      </c>
      <c r="D165" s="3">
        <f t="shared" si="90"/>
        <v>0.54999999999999993</v>
      </c>
      <c r="E165" s="13" cm="1">
        <f t="array" ref="E165">((B165-INDEX($AT$4:$AW$53,MATCH(B165,$AT$4:$AT$53,1),1))/(INDEX($AT$4:$AW$53,MATCH(B165,$AT$4:$AT$53,1)+1,1)-INDEX($AT$4:$AW$53,MATCH(B165,$AT$4:$AT$53,1),1)))*(INDEX($AT$4:$AW$53,MATCH(B165,$AT$4:$AT$53,1)+1,4)-INDEX($AT$4:$AW$53,MATCH(B165,$AT$4:$AT$53,1),4))+INDEX($AT$4:$AW$53,MATCH(B165,$AT$4:$AT$53,1),4)</f>
        <v>23.92176125626364</v>
      </c>
      <c r="F165" s="13" cm="1">
        <f t="array" ref="F165">C165+((B165-INDEX($AT$4:$AW$53,MATCH(B165,$AT$4:$AT$53,1),1))/(INDEX($AT$4:$AW$53,MATCH(B165,$AT$4:$AT$53,1)+1,1)-INDEX($AT$4:$AW$53,MATCH(B165,$AT$4:$AT$53,1),1)))*(INDEX($AT$4:$AW$53,MATCH(B165,$AT$4:$AT$53,1)+1,3)-INDEX($AT$4:$AW$53,MATCH(B165,$AT$4:$AT$53,1),3))+INDEX($AT$4:$AW$53,MATCH(B165,$AT$4:$AT$53,1),3)</f>
        <v>218.92480218480634</v>
      </c>
      <c r="G165" s="4">
        <f t="shared" si="64"/>
        <v>0.38072929007941669</v>
      </c>
      <c r="H165" s="6">
        <f t="shared" si="81"/>
        <v>35000</v>
      </c>
      <c r="I165" s="13">
        <f t="shared" si="65"/>
        <v>163.12297698102248</v>
      </c>
      <c r="J165" s="13">
        <f t="shared" si="82"/>
        <v>317.08496757479071</v>
      </c>
      <c r="K165" s="13">
        <f t="shared" si="66"/>
        <v>176.75664596202753</v>
      </c>
      <c r="L165" s="13">
        <f t="shared" si="83"/>
        <v>181.79322247863246</v>
      </c>
      <c r="M165" s="13">
        <f t="shared" si="84"/>
        <v>5.4601813935765788</v>
      </c>
      <c r="N165" s="13">
        <f t="shared" si="85"/>
        <v>5.065432946013825</v>
      </c>
      <c r="O165" s="4">
        <f t="shared" si="67"/>
        <v>1.0605</v>
      </c>
      <c r="P165" s="4">
        <f t="shared" si="68"/>
        <v>1.2282516464855568</v>
      </c>
      <c r="Q165" s="4">
        <f t="shared" si="69"/>
        <v>0.80572532610441483</v>
      </c>
      <c r="R165" s="4">
        <f t="shared" si="70"/>
        <v>0.28997722822442851</v>
      </c>
      <c r="S165" s="4">
        <f t="shared" si="71"/>
        <v>0.31074217218595784</v>
      </c>
      <c r="T165" s="1"/>
      <c r="U165" s="1"/>
      <c r="V165" s="1">
        <v>1</v>
      </c>
      <c r="W165" s="1">
        <v>1</v>
      </c>
      <c r="Y165" s="1">
        <f t="shared" si="86"/>
        <v>3.1886807452969781</v>
      </c>
      <c r="Z165" s="1">
        <f t="shared" si="87"/>
        <v>3.1886807452969781</v>
      </c>
      <c r="AB165" s="130">
        <v>1</v>
      </c>
      <c r="AC165" s="128">
        <f t="shared" si="72"/>
        <v>0.51808661059033034</v>
      </c>
      <c r="AD165" s="4">
        <f t="shared" si="73"/>
        <v>0.28997722822442851</v>
      </c>
      <c r="AE165" s="4">
        <f t="shared" si="74"/>
        <v>0.48329538037404751</v>
      </c>
      <c r="AF165" s="32">
        <f t="shared" si="75"/>
        <v>0.61298226825603863</v>
      </c>
      <c r="AG165" s="4">
        <f t="shared" si="76"/>
        <v>0.9282987780912636</v>
      </c>
      <c r="AH165" s="42">
        <f t="shared" si="77"/>
        <v>1.5240661159554691</v>
      </c>
      <c r="AJ165" s="23">
        <v>4</v>
      </c>
      <c r="AK165" s="24">
        <v>0.8</v>
      </c>
      <c r="AL165" s="5">
        <f t="shared" si="78"/>
        <v>2.0799999999999999E-2</v>
      </c>
      <c r="AM165" s="5">
        <f t="shared" si="88"/>
        <v>0.1194718394324346</v>
      </c>
      <c r="AN165" s="25">
        <f t="shared" si="89"/>
        <v>-8.0000000000000002E-3</v>
      </c>
      <c r="AO165" s="30">
        <f t="shared" si="79"/>
        <v>1.4E-2</v>
      </c>
      <c r="AP165" s="5">
        <f t="shared" si="80"/>
        <v>0.18</v>
      </c>
      <c r="AQ165" s="25">
        <v>0</v>
      </c>
    </row>
    <row r="166" spans="2:43">
      <c r="B166" s="38">
        <v>35000</v>
      </c>
      <c r="C166" s="3">
        <v>0</v>
      </c>
      <c r="D166" s="3">
        <f t="shared" si="90"/>
        <v>0.6</v>
      </c>
      <c r="E166" s="13" cm="1">
        <f t="array" ref="E166">((B166-INDEX($AT$4:$AW$53,MATCH(B166,$AT$4:$AT$53,1),1))/(INDEX($AT$4:$AW$53,MATCH(B166,$AT$4:$AT$53,1)+1,1)-INDEX($AT$4:$AW$53,MATCH(B166,$AT$4:$AT$53,1),1)))*(INDEX($AT$4:$AW$53,MATCH(B166,$AT$4:$AT$53,1)+1,4)-INDEX($AT$4:$AW$53,MATCH(B166,$AT$4:$AT$53,1),4))+INDEX($AT$4:$AW$53,MATCH(B166,$AT$4:$AT$53,1),4)</f>
        <v>23.92176125626364</v>
      </c>
      <c r="F166" s="13" cm="1">
        <f t="array" ref="F166">C166+((B166-INDEX($AT$4:$AW$53,MATCH(B166,$AT$4:$AT$53,1),1))/(INDEX($AT$4:$AW$53,MATCH(B166,$AT$4:$AT$53,1)+1,1)-INDEX($AT$4:$AW$53,MATCH(B166,$AT$4:$AT$53,1),1)))*(INDEX($AT$4:$AW$53,MATCH(B166,$AT$4:$AT$53,1)+1,3)-INDEX($AT$4:$AW$53,MATCH(B166,$AT$4:$AT$53,1),3))+INDEX($AT$4:$AW$53,MATCH(B166,$AT$4:$AT$53,1),3)</f>
        <v>218.92480218480634</v>
      </c>
      <c r="G166" s="4">
        <f t="shared" si="64"/>
        <v>0.38072929007941669</v>
      </c>
      <c r="H166" s="6">
        <f t="shared" si="81"/>
        <v>35000</v>
      </c>
      <c r="I166" s="13">
        <f t="shared" si="65"/>
        <v>177.95233852475181</v>
      </c>
      <c r="J166" s="13">
        <f t="shared" si="82"/>
        <v>345.91087371795356</v>
      </c>
      <c r="K166" s="13">
        <f t="shared" si="66"/>
        <v>192.82543195857554</v>
      </c>
      <c r="L166" s="13">
        <f t="shared" si="83"/>
        <v>199.34612495042438</v>
      </c>
      <c r="M166" s="13">
        <f t="shared" si="84"/>
        <v>6.5905355628211479</v>
      </c>
      <c r="N166" s="13">
        <f t="shared" si="85"/>
        <v>6.0282838365784377</v>
      </c>
      <c r="O166" s="4">
        <f t="shared" si="67"/>
        <v>1.0720000000000001</v>
      </c>
      <c r="P166" s="4">
        <f t="shared" si="68"/>
        <v>1.2755037763406945</v>
      </c>
      <c r="Q166" s="4">
        <f t="shared" si="69"/>
        <v>0.81446256443558018</v>
      </c>
      <c r="R166" s="4">
        <f t="shared" si="70"/>
        <v>0.30113295651699767</v>
      </c>
      <c r="S166" s="4">
        <f t="shared" si="71"/>
        <v>0.31074217218595784</v>
      </c>
      <c r="T166" s="1"/>
      <c r="U166" s="1"/>
      <c r="V166" s="1">
        <v>1</v>
      </c>
      <c r="W166" s="1">
        <v>1</v>
      </c>
      <c r="Y166" s="1">
        <f t="shared" si="86"/>
        <v>4.959019364430584</v>
      </c>
      <c r="Z166" s="1">
        <f t="shared" si="87"/>
        <v>4.959019364430584</v>
      </c>
      <c r="AB166" s="130">
        <v>1</v>
      </c>
      <c r="AC166" s="128">
        <f t="shared" si="72"/>
        <v>0.51577823315309623</v>
      </c>
      <c r="AD166" s="4">
        <f t="shared" si="73"/>
        <v>0.30113295651699767</v>
      </c>
      <c r="AE166" s="4">
        <f t="shared" si="74"/>
        <v>0.50188826086166283</v>
      </c>
      <c r="AF166" s="32">
        <f t="shared" si="75"/>
        <v>0.63651660347525374</v>
      </c>
      <c r="AG166" s="4">
        <f t="shared" si="76"/>
        <v>0.94137340876860542</v>
      </c>
      <c r="AH166" s="42">
        <f t="shared" si="77"/>
        <v>1.5358332835650765</v>
      </c>
      <c r="AJ166" s="23">
        <v>4</v>
      </c>
      <c r="AK166" s="24">
        <v>0.8</v>
      </c>
      <c r="AL166" s="5">
        <f t="shared" si="78"/>
        <v>2.0799999999999999E-2</v>
      </c>
      <c r="AM166" s="5">
        <f t="shared" si="88"/>
        <v>0.1194718394324346</v>
      </c>
      <c r="AN166" s="25">
        <f t="shared" si="89"/>
        <v>-8.0000000000000002E-3</v>
      </c>
      <c r="AO166" s="30">
        <f t="shared" si="79"/>
        <v>1.4E-2</v>
      </c>
      <c r="AP166" s="5">
        <f t="shared" si="80"/>
        <v>0.18</v>
      </c>
      <c r="AQ166" s="25">
        <v>0</v>
      </c>
    </row>
    <row r="167" spans="2:43">
      <c r="B167" s="38">
        <v>35000</v>
      </c>
      <c r="C167" s="3">
        <v>0</v>
      </c>
      <c r="D167" s="3">
        <f t="shared" si="90"/>
        <v>0.65</v>
      </c>
      <c r="E167" s="13" cm="1">
        <f t="array" ref="E167">((B167-INDEX($AT$4:$AW$53,MATCH(B167,$AT$4:$AT$53,1),1))/(INDEX($AT$4:$AW$53,MATCH(B167,$AT$4:$AT$53,1)+1,1)-INDEX($AT$4:$AW$53,MATCH(B167,$AT$4:$AT$53,1),1)))*(INDEX($AT$4:$AW$53,MATCH(B167,$AT$4:$AT$53,1)+1,4)-INDEX($AT$4:$AW$53,MATCH(B167,$AT$4:$AT$53,1),4))+INDEX($AT$4:$AW$53,MATCH(B167,$AT$4:$AT$53,1),4)</f>
        <v>23.92176125626364</v>
      </c>
      <c r="F167" s="13" cm="1">
        <f t="array" ref="F167">C167+((B167-INDEX($AT$4:$AW$53,MATCH(B167,$AT$4:$AT$53,1),1))/(INDEX($AT$4:$AW$53,MATCH(B167,$AT$4:$AT$53,1)+1,1)-INDEX($AT$4:$AW$53,MATCH(B167,$AT$4:$AT$53,1),1)))*(INDEX($AT$4:$AW$53,MATCH(B167,$AT$4:$AT$53,1)+1,3)-INDEX($AT$4:$AW$53,MATCH(B167,$AT$4:$AT$53,1),3))+INDEX($AT$4:$AW$53,MATCH(B167,$AT$4:$AT$53,1),3)</f>
        <v>218.92480218480634</v>
      </c>
      <c r="G167" s="4">
        <f t="shared" si="64"/>
        <v>0.38072929007941669</v>
      </c>
      <c r="H167" s="6">
        <f t="shared" si="81"/>
        <v>35000</v>
      </c>
      <c r="I167" s="13">
        <f t="shared" si="65"/>
        <v>192.78170006848111</v>
      </c>
      <c r="J167" s="13">
        <f t="shared" si="82"/>
        <v>374.73677986111636</v>
      </c>
      <c r="K167" s="13">
        <f t="shared" si="66"/>
        <v>208.89421795512348</v>
      </c>
      <c r="L167" s="13">
        <f t="shared" si="83"/>
        <v>217.15914630786614</v>
      </c>
      <c r="M167" s="13">
        <f t="shared" si="84"/>
        <v>7.8540464715712117</v>
      </c>
      <c r="N167" s="13">
        <f t="shared" si="85"/>
        <v>7.0748608915399709</v>
      </c>
      <c r="O167" s="4">
        <f t="shared" si="67"/>
        <v>1.0845</v>
      </c>
      <c r="P167" s="4">
        <f t="shared" si="68"/>
        <v>1.328322249663566</v>
      </c>
      <c r="Q167" s="4">
        <f t="shared" si="69"/>
        <v>0.82395956262162928</v>
      </c>
      <c r="R167" s="4">
        <f t="shared" si="70"/>
        <v>0.31360283965294694</v>
      </c>
      <c r="S167" s="4">
        <f t="shared" si="71"/>
        <v>0.31074217218595784</v>
      </c>
      <c r="T167" s="1"/>
      <c r="U167" s="1"/>
      <c r="V167" s="1">
        <v>1</v>
      </c>
      <c r="W167" s="1">
        <v>1</v>
      </c>
      <c r="Y167" s="1">
        <f t="shared" si="86"/>
        <v>6.4977767071738626</v>
      </c>
      <c r="Z167" s="1">
        <f t="shared" si="87"/>
        <v>6.4977767071738626</v>
      </c>
      <c r="AB167" s="130">
        <v>1</v>
      </c>
      <c r="AC167" s="128">
        <f t="shared" si="72"/>
        <v>0.51356419576191015</v>
      </c>
      <c r="AD167" s="4">
        <f t="shared" si="73"/>
        <v>0.31360283965294694</v>
      </c>
      <c r="AE167" s="4">
        <f t="shared" si="74"/>
        <v>0.52267139942157825</v>
      </c>
      <c r="AF167" s="32">
        <f t="shared" si="75"/>
        <v>0.66005093869446885</v>
      </c>
      <c r="AG167" s="4">
        <f t="shared" si="76"/>
        <v>0.95444803944594714</v>
      </c>
      <c r="AH167" s="42">
        <f t="shared" si="77"/>
        <v>1.5476004511746841</v>
      </c>
      <c r="AJ167" s="23">
        <v>4</v>
      </c>
      <c r="AK167" s="24">
        <v>0.8</v>
      </c>
      <c r="AL167" s="5">
        <f t="shared" si="78"/>
        <v>2.0799999999999999E-2</v>
      </c>
      <c r="AM167" s="5">
        <f t="shared" si="88"/>
        <v>0.1194718394324346</v>
      </c>
      <c r="AN167" s="25">
        <f t="shared" si="89"/>
        <v>-8.0000000000000002E-3</v>
      </c>
      <c r="AO167" s="30">
        <f t="shared" si="79"/>
        <v>1.4E-2</v>
      </c>
      <c r="AP167" s="5">
        <f t="shared" si="80"/>
        <v>0.18</v>
      </c>
      <c r="AQ167" s="25">
        <v>0</v>
      </c>
    </row>
    <row r="168" spans="2:43">
      <c r="B168" s="38">
        <v>35000</v>
      </c>
      <c r="C168" s="3">
        <v>0</v>
      </c>
      <c r="D168" s="3">
        <f t="shared" si="90"/>
        <v>0.70000000000000007</v>
      </c>
      <c r="E168" s="13" cm="1">
        <f t="array" ref="E168">((B168-INDEX($AT$4:$AW$53,MATCH(B168,$AT$4:$AT$53,1),1))/(INDEX($AT$4:$AW$53,MATCH(B168,$AT$4:$AT$53,1)+1,1)-INDEX($AT$4:$AW$53,MATCH(B168,$AT$4:$AT$53,1),1)))*(INDEX($AT$4:$AW$53,MATCH(B168,$AT$4:$AT$53,1)+1,4)-INDEX($AT$4:$AW$53,MATCH(B168,$AT$4:$AT$53,1),4))+INDEX($AT$4:$AW$53,MATCH(B168,$AT$4:$AT$53,1),4)</f>
        <v>23.92176125626364</v>
      </c>
      <c r="F168" s="13" cm="1">
        <f t="array" ref="F168">C168+((B168-INDEX($AT$4:$AW$53,MATCH(B168,$AT$4:$AT$53,1),1))/(INDEX($AT$4:$AW$53,MATCH(B168,$AT$4:$AT$53,1)+1,1)-INDEX($AT$4:$AW$53,MATCH(B168,$AT$4:$AT$53,1),1)))*(INDEX($AT$4:$AW$53,MATCH(B168,$AT$4:$AT$53,1)+1,3)-INDEX($AT$4:$AW$53,MATCH(B168,$AT$4:$AT$53,1),3))+INDEX($AT$4:$AW$53,MATCH(B168,$AT$4:$AT$53,1),3)</f>
        <v>218.92480218480634</v>
      </c>
      <c r="G168" s="4">
        <f t="shared" si="64"/>
        <v>0.38072929007941669</v>
      </c>
      <c r="H168" s="6">
        <f t="shared" si="81"/>
        <v>35000</v>
      </c>
      <c r="I168" s="13">
        <f t="shared" si="65"/>
        <v>207.61106161221045</v>
      </c>
      <c r="J168" s="13">
        <f t="shared" si="82"/>
        <v>403.56268600427916</v>
      </c>
      <c r="K168" s="13">
        <f t="shared" si="66"/>
        <v>224.96300395167145</v>
      </c>
      <c r="L168" s="13">
        <f t="shared" si="83"/>
        <v>235.25055615225682</v>
      </c>
      <c r="M168" s="13">
        <f t="shared" si="84"/>
        <v>9.2601457702591006</v>
      </c>
      <c r="N168" s="13">
        <f t="shared" si="85"/>
        <v>8.2051641108984299</v>
      </c>
      <c r="O168" s="4">
        <f t="shared" si="67"/>
        <v>1.0980000000000001</v>
      </c>
      <c r="P168" s="4">
        <f t="shared" si="68"/>
        <v>1.3871013371908156</v>
      </c>
      <c r="Q168" s="4">
        <f t="shared" si="69"/>
        <v>0.83421632066256257</v>
      </c>
      <c r="R168" s="4">
        <f t="shared" si="70"/>
        <v>0.32747996078482838</v>
      </c>
      <c r="S168" s="4">
        <f t="shared" si="71"/>
        <v>0.31074217218595784</v>
      </c>
      <c r="T168" s="1"/>
      <c r="U168" s="1"/>
      <c r="V168" s="1">
        <v>1</v>
      </c>
      <c r="W168" s="1">
        <v>1</v>
      </c>
      <c r="Y168" s="1">
        <f t="shared" si="86"/>
        <v>7.8394841367023949</v>
      </c>
      <c r="Z168" s="1">
        <f t="shared" si="87"/>
        <v>7.8394841367023949</v>
      </c>
      <c r="AB168" s="130">
        <v>1</v>
      </c>
      <c r="AC168" s="128">
        <f t="shared" si="72"/>
        <v>0.51143379814261469</v>
      </c>
      <c r="AD168" s="4">
        <f t="shared" si="73"/>
        <v>0.32747996078482838</v>
      </c>
      <c r="AE168" s="4">
        <f t="shared" si="74"/>
        <v>0.54579993464138066</v>
      </c>
      <c r="AF168" s="32">
        <f t="shared" si="75"/>
        <v>0.68358527391368407</v>
      </c>
      <c r="AG168" s="4">
        <f t="shared" si="76"/>
        <v>0.96752267012328896</v>
      </c>
      <c r="AH168" s="42">
        <f t="shared" si="77"/>
        <v>1.5593676187842918</v>
      </c>
      <c r="AJ168" s="23">
        <v>4</v>
      </c>
      <c r="AK168" s="24">
        <v>0.8</v>
      </c>
      <c r="AL168" s="5">
        <f t="shared" si="78"/>
        <v>2.0799999999999999E-2</v>
      </c>
      <c r="AM168" s="5">
        <f t="shared" si="88"/>
        <v>0.1194718394324346</v>
      </c>
      <c r="AN168" s="25">
        <f t="shared" si="89"/>
        <v>-8.0000000000000002E-3</v>
      </c>
      <c r="AO168" s="30">
        <f t="shared" si="79"/>
        <v>1.4E-2</v>
      </c>
      <c r="AP168" s="5">
        <f t="shared" si="80"/>
        <v>0.18</v>
      </c>
      <c r="AQ168" s="25">
        <v>0</v>
      </c>
    </row>
    <row r="169" spans="2:43">
      <c r="B169" s="38">
        <v>35000</v>
      </c>
      <c r="C169" s="3">
        <v>0</v>
      </c>
      <c r="D169" s="3">
        <f t="shared" si="90"/>
        <v>0.75000000000000011</v>
      </c>
      <c r="E169" s="13" cm="1">
        <f t="array" ref="E169">((B169-INDEX($AT$4:$AW$53,MATCH(B169,$AT$4:$AT$53,1),1))/(INDEX($AT$4:$AW$53,MATCH(B169,$AT$4:$AT$53,1)+1,1)-INDEX($AT$4:$AW$53,MATCH(B169,$AT$4:$AT$53,1),1)))*(INDEX($AT$4:$AW$53,MATCH(B169,$AT$4:$AT$53,1)+1,4)-INDEX($AT$4:$AW$53,MATCH(B169,$AT$4:$AT$53,1),4))+INDEX($AT$4:$AW$53,MATCH(B169,$AT$4:$AT$53,1),4)</f>
        <v>23.92176125626364</v>
      </c>
      <c r="F169" s="13" cm="1">
        <f t="array" ref="F169">C169+((B169-INDEX($AT$4:$AW$53,MATCH(B169,$AT$4:$AT$53,1),1))/(INDEX($AT$4:$AW$53,MATCH(B169,$AT$4:$AT$53,1)+1,1)-INDEX($AT$4:$AW$53,MATCH(B169,$AT$4:$AT$53,1),1)))*(INDEX($AT$4:$AW$53,MATCH(B169,$AT$4:$AT$53,1)+1,3)-INDEX($AT$4:$AW$53,MATCH(B169,$AT$4:$AT$53,1),3))+INDEX($AT$4:$AW$53,MATCH(B169,$AT$4:$AT$53,1),3)</f>
        <v>218.92480218480634</v>
      </c>
      <c r="G169" s="4">
        <f t="shared" si="64"/>
        <v>0.38072929007941669</v>
      </c>
      <c r="H169" s="6">
        <f t="shared" si="81"/>
        <v>35000</v>
      </c>
      <c r="I169" s="13">
        <f t="shared" si="65"/>
        <v>222.44042315593978</v>
      </c>
      <c r="J169" s="13">
        <f t="shared" si="82"/>
        <v>432.38859214744201</v>
      </c>
      <c r="K169" s="13">
        <f t="shared" si="66"/>
        <v>241.03178994821945</v>
      </c>
      <c r="L169" s="13">
        <f t="shared" si="83"/>
        <v>253.63768741564721</v>
      </c>
      <c r="M169" s="13">
        <f t="shared" si="84"/>
        <v>10.819311162460963</v>
      </c>
      <c r="N169" s="13">
        <f t="shared" si="85"/>
        <v>9.4191934946538094</v>
      </c>
      <c r="O169" s="4">
        <f t="shared" si="67"/>
        <v>1.1125</v>
      </c>
      <c r="P169" s="4">
        <f t="shared" si="68"/>
        <v>1.4522790377580601</v>
      </c>
      <c r="Q169" s="4">
        <f t="shared" si="69"/>
        <v>0.84523283855837961</v>
      </c>
      <c r="R169" s="4">
        <f t="shared" si="70"/>
        <v>0.34286772680705252</v>
      </c>
      <c r="S169" s="4">
        <f t="shared" si="71"/>
        <v>0.31074217218595784</v>
      </c>
      <c r="T169" s="1"/>
      <c r="U169" s="1"/>
      <c r="V169" s="1">
        <v>1</v>
      </c>
      <c r="W169" s="1">
        <v>1</v>
      </c>
      <c r="Y169" s="1">
        <f t="shared" si="86"/>
        <v>9.0137001212521071</v>
      </c>
      <c r="Z169" s="1">
        <f t="shared" si="87"/>
        <v>9.0137001212521071</v>
      </c>
      <c r="AB169" s="130">
        <v>1</v>
      </c>
      <c r="AC169" s="128">
        <f t="shared" si="72"/>
        <v>0.50937822173508929</v>
      </c>
      <c r="AD169" s="4">
        <f t="shared" si="73"/>
        <v>0.34286772680705252</v>
      </c>
      <c r="AE169" s="4">
        <f t="shared" si="74"/>
        <v>0.57144621134508755</v>
      </c>
      <c r="AF169" s="32">
        <f t="shared" si="75"/>
        <v>0.70711960913289917</v>
      </c>
      <c r="AG169" s="4">
        <f t="shared" si="76"/>
        <v>0.98059730080063057</v>
      </c>
      <c r="AH169" s="42">
        <f t="shared" si="77"/>
        <v>1.5711347863938994</v>
      </c>
      <c r="AJ169" s="23">
        <v>4</v>
      </c>
      <c r="AK169" s="24">
        <v>0.8</v>
      </c>
      <c r="AL169" s="5">
        <f t="shared" si="78"/>
        <v>2.0799999999999999E-2</v>
      </c>
      <c r="AM169" s="5">
        <f t="shared" si="88"/>
        <v>0.1194718394324346</v>
      </c>
      <c r="AN169" s="25">
        <f t="shared" si="89"/>
        <v>-8.0000000000000002E-3</v>
      </c>
      <c r="AO169" s="30">
        <f t="shared" si="79"/>
        <v>1.4E-2</v>
      </c>
      <c r="AP169" s="5">
        <f t="shared" si="80"/>
        <v>0.18</v>
      </c>
      <c r="AQ169" s="25">
        <v>0</v>
      </c>
    </row>
    <row r="170" spans="2:43">
      <c r="B170" s="38">
        <v>35000</v>
      </c>
      <c r="C170" s="3">
        <v>0</v>
      </c>
      <c r="D170" s="3">
        <f t="shared" si="90"/>
        <v>0.80000000000000016</v>
      </c>
      <c r="E170" s="13" cm="1">
        <f t="array" ref="E170">((B170-INDEX($AT$4:$AW$53,MATCH(B170,$AT$4:$AT$53,1),1))/(INDEX($AT$4:$AW$53,MATCH(B170,$AT$4:$AT$53,1)+1,1)-INDEX($AT$4:$AW$53,MATCH(B170,$AT$4:$AT$53,1),1)))*(INDEX($AT$4:$AW$53,MATCH(B170,$AT$4:$AT$53,1)+1,4)-INDEX($AT$4:$AW$53,MATCH(B170,$AT$4:$AT$53,1),4))+INDEX($AT$4:$AW$53,MATCH(B170,$AT$4:$AT$53,1),4)</f>
        <v>23.92176125626364</v>
      </c>
      <c r="F170" s="13" cm="1">
        <f t="array" ref="F170">C170+((B170-INDEX($AT$4:$AW$53,MATCH(B170,$AT$4:$AT$53,1),1))/(INDEX($AT$4:$AW$53,MATCH(B170,$AT$4:$AT$53,1)+1,1)-INDEX($AT$4:$AW$53,MATCH(B170,$AT$4:$AT$53,1),1)))*(INDEX($AT$4:$AW$53,MATCH(B170,$AT$4:$AT$53,1)+1,3)-INDEX($AT$4:$AW$53,MATCH(B170,$AT$4:$AT$53,1),3))+INDEX($AT$4:$AW$53,MATCH(B170,$AT$4:$AT$53,1),3)</f>
        <v>218.92480218480634</v>
      </c>
      <c r="G170" s="4">
        <f t="shared" si="64"/>
        <v>0.38072929007941669</v>
      </c>
      <c r="H170" s="6">
        <f t="shared" si="81"/>
        <v>35000</v>
      </c>
      <c r="I170" s="13">
        <f t="shared" si="65"/>
        <v>237.26978469966912</v>
      </c>
      <c r="J170" s="13">
        <f t="shared" si="82"/>
        <v>461.21449829060481</v>
      </c>
      <c r="K170" s="13">
        <f t="shared" si="66"/>
        <v>257.1005759447674</v>
      </c>
      <c r="L170" s="13">
        <f t="shared" si="83"/>
        <v>272.33682975274786</v>
      </c>
      <c r="M170" s="13">
        <f t="shared" si="84"/>
        <v>12.543136525768986</v>
      </c>
      <c r="N170" s="13">
        <f t="shared" si="85"/>
        <v>10.716949042806114</v>
      </c>
      <c r="O170" s="4">
        <f t="shared" si="67"/>
        <v>1.1280000000000001</v>
      </c>
      <c r="P170" s="4">
        <f t="shared" si="68"/>
        <v>1.5243400095586486</v>
      </c>
      <c r="Q170" s="4">
        <f t="shared" si="69"/>
        <v>0.85700911630908061</v>
      </c>
      <c r="R170" s="4">
        <f t="shared" si="70"/>
        <v>0.35988056039509125</v>
      </c>
      <c r="S170" s="4">
        <f t="shared" si="71"/>
        <v>0.31074217218595784</v>
      </c>
      <c r="T170" s="1"/>
      <c r="U170" s="1"/>
      <c r="V170" s="1">
        <v>1</v>
      </c>
      <c r="W170" s="1">
        <v>1</v>
      </c>
      <c r="Y170" s="1">
        <f t="shared" si="86"/>
        <v>10.047913366835862</v>
      </c>
      <c r="Z170" s="1">
        <f t="shared" si="87"/>
        <v>10.047913366835862</v>
      </c>
      <c r="AB170" s="130">
        <v>1</v>
      </c>
      <c r="AC170" s="128">
        <f t="shared" si="72"/>
        <v>0.50739009663000589</v>
      </c>
      <c r="AD170" s="4">
        <f t="shared" si="73"/>
        <v>0.35988056039509125</v>
      </c>
      <c r="AE170" s="4">
        <f t="shared" si="74"/>
        <v>0.59980093399181877</v>
      </c>
      <c r="AF170" s="32">
        <f t="shared" si="75"/>
        <v>0.73065394435211439</v>
      </c>
      <c r="AG170" s="4">
        <f t="shared" si="76"/>
        <v>0.9936719314779725</v>
      </c>
      <c r="AH170" s="42">
        <f t="shared" si="77"/>
        <v>1.582901954003507</v>
      </c>
      <c r="AJ170" s="23">
        <v>4</v>
      </c>
      <c r="AK170" s="24">
        <v>0.8</v>
      </c>
      <c r="AL170" s="5">
        <f t="shared" si="78"/>
        <v>2.0799999999999999E-2</v>
      </c>
      <c r="AM170" s="5">
        <f t="shared" si="88"/>
        <v>0.1194718394324346</v>
      </c>
      <c r="AN170" s="25">
        <f t="shared" si="89"/>
        <v>-8.0000000000000002E-3</v>
      </c>
      <c r="AO170" s="30">
        <f t="shared" si="79"/>
        <v>1.4000000000000004E-2</v>
      </c>
      <c r="AP170" s="5">
        <f t="shared" si="80"/>
        <v>0.18</v>
      </c>
      <c r="AQ170" s="25">
        <v>0</v>
      </c>
    </row>
    <row r="171" spans="2:43">
      <c r="B171" s="38">
        <v>35000</v>
      </c>
      <c r="C171" s="3">
        <v>0</v>
      </c>
      <c r="D171" s="3">
        <f t="shared" si="90"/>
        <v>0.8500000000000002</v>
      </c>
      <c r="E171" s="13" cm="1">
        <f t="array" ref="E171">((B171-INDEX($AT$4:$AW$53,MATCH(B171,$AT$4:$AT$53,1),1))/(INDEX($AT$4:$AW$53,MATCH(B171,$AT$4:$AT$53,1)+1,1)-INDEX($AT$4:$AW$53,MATCH(B171,$AT$4:$AT$53,1),1)))*(INDEX($AT$4:$AW$53,MATCH(B171,$AT$4:$AT$53,1)+1,4)-INDEX($AT$4:$AW$53,MATCH(B171,$AT$4:$AT$53,1),4))+INDEX($AT$4:$AW$53,MATCH(B171,$AT$4:$AT$53,1),4)</f>
        <v>23.92176125626364</v>
      </c>
      <c r="F171" s="13" cm="1">
        <f t="array" ref="F171">C171+((B171-INDEX($AT$4:$AW$53,MATCH(B171,$AT$4:$AT$53,1),1))/(INDEX($AT$4:$AW$53,MATCH(B171,$AT$4:$AT$53,1)+1,1)-INDEX($AT$4:$AW$53,MATCH(B171,$AT$4:$AT$53,1),1)))*(INDEX($AT$4:$AW$53,MATCH(B171,$AT$4:$AT$53,1)+1,3)-INDEX($AT$4:$AW$53,MATCH(B171,$AT$4:$AT$53,1),3))+INDEX($AT$4:$AW$53,MATCH(B171,$AT$4:$AT$53,1),3)</f>
        <v>218.92480218480634</v>
      </c>
      <c r="G171" s="4">
        <f t="shared" si="64"/>
        <v>0.38072929007941669</v>
      </c>
      <c r="H171" s="6">
        <f t="shared" si="81"/>
        <v>35000</v>
      </c>
      <c r="I171" s="13">
        <f t="shared" si="65"/>
        <v>252.09914624339845</v>
      </c>
      <c r="J171" s="13">
        <f t="shared" si="82"/>
        <v>490.04040443376766</v>
      </c>
      <c r="K171" s="13">
        <f t="shared" si="66"/>
        <v>273.1693619413154</v>
      </c>
      <c r="L171" s="13">
        <f t="shared" si="83"/>
        <v>291.36312099579482</v>
      </c>
      <c r="M171" s="13">
        <f t="shared" si="84"/>
        <v>14.444408253118992</v>
      </c>
      <c r="N171" s="13">
        <f t="shared" si="85"/>
        <v>12.098430755355341</v>
      </c>
      <c r="O171" s="4">
        <f t="shared" si="67"/>
        <v>1.1445000000000001</v>
      </c>
      <c r="P171" s="4">
        <f t="shared" si="68"/>
        <v>1.6038187614357571</v>
      </c>
      <c r="Q171" s="4">
        <f t="shared" si="69"/>
        <v>0.86954515391466558</v>
      </c>
      <c r="R171" s="4">
        <f t="shared" si="70"/>
        <v>0.37864465343580189</v>
      </c>
      <c r="S171" s="4">
        <f t="shared" si="71"/>
        <v>0.31074217218595784</v>
      </c>
      <c r="T171" s="1"/>
      <c r="U171" s="1"/>
      <c r="V171" s="1">
        <v>1</v>
      </c>
      <c r="W171" s="1">
        <v>1</v>
      </c>
      <c r="Y171" s="1">
        <f t="shared" si="86"/>
        <v>-4.2072284557616015</v>
      </c>
      <c r="Z171" s="1">
        <f t="shared" si="87"/>
        <v>10.969583383423847</v>
      </c>
      <c r="AB171" s="130">
        <v>1</v>
      </c>
      <c r="AC171" s="128">
        <f t="shared" si="72"/>
        <v>0.5054631887989498</v>
      </c>
      <c r="AD171" s="4">
        <f t="shared" si="73"/>
        <v>0.37864465343580189</v>
      </c>
      <c r="AE171" s="4">
        <f t="shared" si="74"/>
        <v>0.63107442239300315</v>
      </c>
      <c r="AF171" s="32">
        <f t="shared" si="75"/>
        <v>0.7541882795713295</v>
      </c>
      <c r="AG171" s="4">
        <f t="shared" si="76"/>
        <v>1.0067465621553142</v>
      </c>
      <c r="AH171" s="42">
        <f t="shared" si="77"/>
        <v>1.5946691216131146</v>
      </c>
      <c r="AJ171" s="23">
        <v>4</v>
      </c>
      <c r="AK171" s="24">
        <v>0.8</v>
      </c>
      <c r="AL171" s="5">
        <f t="shared" si="78"/>
        <v>3.5100000000000048E-2</v>
      </c>
      <c r="AM171" s="5">
        <f t="shared" si="88"/>
        <v>0.1194718394324346</v>
      </c>
      <c r="AN171" s="25">
        <f t="shared" si="89"/>
        <v>-8.0000000000000002E-3</v>
      </c>
      <c r="AO171" s="30">
        <f t="shared" si="79"/>
        <v>1.5750000000000007E-2</v>
      </c>
      <c r="AP171" s="5">
        <f t="shared" si="80"/>
        <v>0.18</v>
      </c>
      <c r="AQ171" s="25">
        <v>0</v>
      </c>
    </row>
    <row r="172" spans="2:43">
      <c r="B172" s="38">
        <v>35000</v>
      </c>
      <c r="C172" s="3">
        <v>0</v>
      </c>
      <c r="D172" s="3">
        <f t="shared" si="90"/>
        <v>0.90000000000000024</v>
      </c>
      <c r="E172" s="13" cm="1">
        <f t="array" ref="E172">((B172-INDEX($AT$4:$AW$53,MATCH(B172,$AT$4:$AT$53,1),1))/(INDEX($AT$4:$AW$53,MATCH(B172,$AT$4:$AT$53,1)+1,1)-INDEX($AT$4:$AW$53,MATCH(B172,$AT$4:$AT$53,1),1)))*(INDEX($AT$4:$AW$53,MATCH(B172,$AT$4:$AT$53,1)+1,4)-INDEX($AT$4:$AW$53,MATCH(B172,$AT$4:$AT$53,1),4))+INDEX($AT$4:$AW$53,MATCH(B172,$AT$4:$AT$53,1),4)</f>
        <v>23.92176125626364</v>
      </c>
      <c r="F172" s="13" cm="1">
        <f t="array" ref="F172">C172+((B172-INDEX($AT$4:$AW$53,MATCH(B172,$AT$4:$AT$53,1),1))/(INDEX($AT$4:$AW$53,MATCH(B172,$AT$4:$AT$53,1)+1,1)-INDEX($AT$4:$AW$53,MATCH(B172,$AT$4:$AT$53,1),1)))*(INDEX($AT$4:$AW$53,MATCH(B172,$AT$4:$AT$53,1)+1,3)-INDEX($AT$4:$AW$53,MATCH(B172,$AT$4:$AT$53,1),3))+INDEX($AT$4:$AW$53,MATCH(B172,$AT$4:$AT$53,1),3)</f>
        <v>218.92480218480634</v>
      </c>
      <c r="G172" s="4">
        <f t="shared" si="64"/>
        <v>0.38072929007941669</v>
      </c>
      <c r="H172" s="6">
        <f t="shared" si="81"/>
        <v>35000</v>
      </c>
      <c r="I172" s="13">
        <f t="shared" si="65"/>
        <v>266.92850778712778</v>
      </c>
      <c r="J172" s="13">
        <f t="shared" si="82"/>
        <v>518.86631057693046</v>
      </c>
      <c r="K172" s="13">
        <f t="shared" si="66"/>
        <v>289.23814793786335</v>
      </c>
      <c r="L172" s="13">
        <f t="shared" si="83"/>
        <v>310.730438467596</v>
      </c>
      <c r="M172" s="13">
        <f t="shared" si="84"/>
        <v>16.537188021331854</v>
      </c>
      <c r="N172" s="13">
        <f t="shared" si="85"/>
        <v>13.563638632301492</v>
      </c>
      <c r="O172" s="4">
        <f t="shared" si="67"/>
        <v>1.1619999999999999</v>
      </c>
      <c r="P172" s="4">
        <f t="shared" si="68"/>
        <v>1.691303112850931</v>
      </c>
      <c r="Q172" s="4">
        <f t="shared" si="69"/>
        <v>0.8828409513751343</v>
      </c>
      <c r="R172" s="4">
        <f t="shared" si="70"/>
        <v>0.39929878388942008</v>
      </c>
      <c r="S172" s="4">
        <f t="shared" si="71"/>
        <v>0.31074217218595784</v>
      </c>
      <c r="T172" s="1"/>
      <c r="U172" s="1"/>
      <c r="V172" s="1">
        <v>1</v>
      </c>
      <c r="W172" s="1">
        <v>1</v>
      </c>
      <c r="Y172" s="1">
        <f t="shared" si="86"/>
        <v>-24.223744569075475</v>
      </c>
      <c r="Z172" s="1">
        <f t="shared" si="87"/>
        <v>11.807668679908643</v>
      </c>
      <c r="AB172" s="130">
        <v>1</v>
      </c>
      <c r="AC172" s="128">
        <f t="shared" si="72"/>
        <v>0.50359216913646399</v>
      </c>
      <c r="AD172" s="4">
        <f t="shared" si="73"/>
        <v>0.39929878388942008</v>
      </c>
      <c r="AE172" s="4">
        <f t="shared" si="74"/>
        <v>0.66549797314903347</v>
      </c>
      <c r="AF172" s="32">
        <f t="shared" si="75"/>
        <v>0.77772261479054472</v>
      </c>
      <c r="AG172" s="4">
        <f t="shared" si="76"/>
        <v>1.0198211928326559</v>
      </c>
      <c r="AH172" s="42">
        <f t="shared" si="77"/>
        <v>1.6064362892227222</v>
      </c>
      <c r="AJ172" s="23">
        <v>4</v>
      </c>
      <c r="AK172" s="24">
        <v>0.8</v>
      </c>
      <c r="AL172" s="5">
        <f t="shared" si="78"/>
        <v>4.9400000000000062E-2</v>
      </c>
      <c r="AM172" s="5">
        <f t="shared" si="88"/>
        <v>0.1194718394324346</v>
      </c>
      <c r="AN172" s="25">
        <f t="shared" si="89"/>
        <v>-8.0000000000000002E-3</v>
      </c>
      <c r="AO172" s="30">
        <f t="shared" si="79"/>
        <v>1.7500000000000009E-2</v>
      </c>
      <c r="AP172" s="5">
        <f t="shared" si="80"/>
        <v>0.18</v>
      </c>
      <c r="AQ172" s="25">
        <v>0</v>
      </c>
    </row>
    <row r="173" spans="2:43">
      <c r="B173" s="38">
        <v>35000</v>
      </c>
      <c r="C173" s="3">
        <v>0</v>
      </c>
      <c r="D173" s="3">
        <f t="shared" si="90"/>
        <v>0.95000000000000029</v>
      </c>
      <c r="E173" s="13" cm="1">
        <f t="array" ref="E173">((B173-INDEX($AT$4:$AW$53,MATCH(B173,$AT$4:$AT$53,1),1))/(INDEX($AT$4:$AW$53,MATCH(B173,$AT$4:$AT$53,1)+1,1)-INDEX($AT$4:$AW$53,MATCH(B173,$AT$4:$AT$53,1),1)))*(INDEX($AT$4:$AW$53,MATCH(B173,$AT$4:$AT$53,1)+1,4)-INDEX($AT$4:$AW$53,MATCH(B173,$AT$4:$AT$53,1),4))+INDEX($AT$4:$AW$53,MATCH(B173,$AT$4:$AT$53,1),4)</f>
        <v>23.92176125626364</v>
      </c>
      <c r="F173" s="13" cm="1">
        <f t="array" ref="F173">C173+((B173-INDEX($AT$4:$AW$53,MATCH(B173,$AT$4:$AT$53,1),1))/(INDEX($AT$4:$AW$53,MATCH(B173,$AT$4:$AT$53,1)+1,1)-INDEX($AT$4:$AW$53,MATCH(B173,$AT$4:$AT$53,1),1)))*(INDEX($AT$4:$AW$53,MATCH(B173,$AT$4:$AT$53,1)+1,3)-INDEX($AT$4:$AW$53,MATCH(B173,$AT$4:$AT$53,1),3))+INDEX($AT$4:$AW$53,MATCH(B173,$AT$4:$AT$53,1),3)</f>
        <v>218.92480218480634</v>
      </c>
      <c r="G173" s="4">
        <f t="shared" si="64"/>
        <v>0.38072929007941669</v>
      </c>
      <c r="H173" s="6">
        <f t="shared" si="81"/>
        <v>35000</v>
      </c>
      <c r="I173" s="13">
        <f t="shared" si="65"/>
        <v>281.75786933085709</v>
      </c>
      <c r="J173" s="13">
        <f t="shared" si="82"/>
        <v>547.69221672009326</v>
      </c>
      <c r="K173" s="13">
        <f t="shared" si="66"/>
        <v>305.30693393441135</v>
      </c>
      <c r="L173" s="13">
        <f t="shared" si="83"/>
        <v>330.45129224258227</v>
      </c>
      <c r="M173" s="13">
        <f t="shared" si="84"/>
        <v>18.836902203830416</v>
      </c>
      <c r="N173" s="13">
        <f t="shared" si="85"/>
        <v>15.112572673644561</v>
      </c>
      <c r="O173" s="4">
        <f t="shared" si="67"/>
        <v>1.1805000000000001</v>
      </c>
      <c r="P173" s="4">
        <f t="shared" si="68"/>
        <v>1.7874379315987108</v>
      </c>
      <c r="Q173" s="4">
        <f t="shared" si="69"/>
        <v>0.89689650869048732</v>
      </c>
      <c r="R173" s="4">
        <f t="shared" si="70"/>
        <v>0.42199519822446635</v>
      </c>
      <c r="S173" s="4">
        <f t="shared" si="71"/>
        <v>0.31074217218595784</v>
      </c>
      <c r="T173" s="1"/>
      <c r="U173" s="1"/>
      <c r="V173" s="1">
        <v>1</v>
      </c>
      <c r="W173" s="1">
        <v>1</v>
      </c>
      <c r="Y173" s="1">
        <f t="shared" si="86"/>
        <v>-50.970830213911356</v>
      </c>
      <c r="Z173" s="1">
        <f t="shared" si="87"/>
        <v>12.593846605734168</v>
      </c>
      <c r="AB173" s="130">
        <v>1</v>
      </c>
      <c r="AC173" s="128">
        <f t="shared" si="72"/>
        <v>0.50177243958633722</v>
      </c>
      <c r="AD173" s="4">
        <f t="shared" si="73"/>
        <v>0.42199519822446635</v>
      </c>
      <c r="AE173" s="4">
        <f t="shared" si="74"/>
        <v>0.7033253303741106</v>
      </c>
      <c r="AF173" s="32">
        <f t="shared" si="75"/>
        <v>0.80125695000975994</v>
      </c>
      <c r="AG173" s="4">
        <f t="shared" si="76"/>
        <v>1.0328958235099976</v>
      </c>
      <c r="AH173" s="42">
        <f t="shared" si="77"/>
        <v>1.6182034568323298</v>
      </c>
      <c r="AJ173" s="23">
        <v>4</v>
      </c>
      <c r="AK173" s="24">
        <v>0.8</v>
      </c>
      <c r="AL173" s="5">
        <f t="shared" si="78"/>
        <v>6.3700000000000062E-2</v>
      </c>
      <c r="AM173" s="5">
        <f t="shared" si="88"/>
        <v>0.1194718394324346</v>
      </c>
      <c r="AN173" s="25">
        <f t="shared" si="89"/>
        <v>-8.0000000000000002E-3</v>
      </c>
      <c r="AO173" s="30">
        <f t="shared" si="79"/>
        <v>1.925000000000001E-2</v>
      </c>
      <c r="AP173" s="5">
        <f t="shared" si="80"/>
        <v>0.18</v>
      </c>
      <c r="AQ173" s="25">
        <v>0</v>
      </c>
    </row>
    <row r="174" spans="2:43" ht="15" thickBot="1">
      <c r="B174" s="39">
        <v>35000</v>
      </c>
      <c r="C174" s="48">
        <v>0</v>
      </c>
      <c r="D174" s="48">
        <f t="shared" si="90"/>
        <v>1.0000000000000002</v>
      </c>
      <c r="E174" s="152" cm="1">
        <f t="array" ref="E174">((B174-INDEX($AT$4:$AW$53,MATCH(B174,$AT$4:$AT$53,1),1))/(INDEX($AT$4:$AW$53,MATCH(B174,$AT$4:$AT$53,1)+1,1)-INDEX($AT$4:$AW$53,MATCH(B174,$AT$4:$AT$53,1),1)))*(INDEX($AT$4:$AW$53,MATCH(B174,$AT$4:$AT$53,1)+1,4)-INDEX($AT$4:$AW$53,MATCH(B174,$AT$4:$AT$53,1),4))+INDEX($AT$4:$AW$53,MATCH(B174,$AT$4:$AT$53,1),4)</f>
        <v>23.92176125626364</v>
      </c>
      <c r="F174" s="152" cm="1">
        <f t="array" ref="F174">C174+((B174-INDEX($AT$4:$AW$53,MATCH(B174,$AT$4:$AT$53,1),1))/(INDEX($AT$4:$AW$53,MATCH(B174,$AT$4:$AT$53,1)+1,1)-INDEX($AT$4:$AW$53,MATCH(B174,$AT$4:$AT$53,1),1)))*(INDEX($AT$4:$AW$53,MATCH(B174,$AT$4:$AT$53,1)+1,3)-INDEX($AT$4:$AW$53,MATCH(B174,$AT$4:$AT$53,1),3))+INDEX($AT$4:$AW$53,MATCH(B174,$AT$4:$AT$53,1),3)</f>
        <v>218.92480218480634</v>
      </c>
      <c r="G174" s="43">
        <f t="shared" si="64"/>
        <v>0.38072929007941669</v>
      </c>
      <c r="H174" s="153">
        <f t="shared" si="81"/>
        <v>35000</v>
      </c>
      <c r="I174" s="152">
        <f t="shared" si="65"/>
        <v>296.5872308745864</v>
      </c>
      <c r="J174" s="152">
        <f t="shared" si="82"/>
        <v>576.51812286325605</v>
      </c>
      <c r="K174" s="152">
        <f t="shared" si="66"/>
        <v>321.37571993095929</v>
      </c>
      <c r="L174" s="152">
        <f t="shared" si="83"/>
        <v>350.53672270087725</v>
      </c>
      <c r="M174" s="152">
        <f t="shared" si="84"/>
        <v>21.360438154083283</v>
      </c>
      <c r="N174" s="152">
        <f t="shared" si="85"/>
        <v>16.745232879384552</v>
      </c>
      <c r="O174" s="43">
        <f t="shared" si="67"/>
        <v>1.2</v>
      </c>
      <c r="P174" s="43">
        <f t="shared" si="68"/>
        <v>1.8929291587378541</v>
      </c>
      <c r="Q174" s="43">
        <f t="shared" si="69"/>
        <v>0.91171182586072397</v>
      </c>
      <c r="R174" s="43">
        <f t="shared" si="70"/>
        <v>0.44690056166145492</v>
      </c>
      <c r="S174" s="43">
        <f t="shared" si="71"/>
        <v>0.31074217218595784</v>
      </c>
      <c r="T174" s="98"/>
      <c r="U174" s="98"/>
      <c r="V174" s="98">
        <v>1</v>
      </c>
      <c r="W174" s="98">
        <v>1</v>
      </c>
      <c r="X174" s="104"/>
      <c r="Y174" s="98">
        <f t="shared" si="86"/>
        <v>-85.48806533899409</v>
      </c>
      <c r="Z174" s="1">
        <f t="shared" si="87"/>
        <v>13.363548512813981</v>
      </c>
      <c r="AB174" s="130">
        <v>1</v>
      </c>
      <c r="AC174" s="128">
        <f t="shared" si="72"/>
        <v>0.5</v>
      </c>
      <c r="AD174" s="4">
        <f t="shared" si="73"/>
        <v>0.44690056166145492</v>
      </c>
      <c r="AE174" s="4">
        <f t="shared" si="74"/>
        <v>0.74483426943575826</v>
      </c>
      <c r="AF174" s="32">
        <f t="shared" si="75"/>
        <v>0.82479128522897494</v>
      </c>
      <c r="AG174" s="4">
        <f t="shared" si="76"/>
        <v>1.0459704541873394</v>
      </c>
      <c r="AH174" s="42">
        <f t="shared" si="77"/>
        <v>1.6299706244419372</v>
      </c>
      <c r="AJ174" s="23">
        <v>4</v>
      </c>
      <c r="AK174" s="24">
        <v>0.8</v>
      </c>
      <c r="AL174" s="5">
        <f t="shared" si="78"/>
        <v>7.8000000000000042E-2</v>
      </c>
      <c r="AM174" s="5">
        <f t="shared" si="88"/>
        <v>0.1194718394324346</v>
      </c>
      <c r="AN174" s="25">
        <f t="shared" si="89"/>
        <v>-8.0000000000000002E-3</v>
      </c>
      <c r="AO174" s="30">
        <f t="shared" si="79"/>
        <v>2.1000000000000008E-2</v>
      </c>
      <c r="AP174" s="5">
        <f t="shared" si="80"/>
        <v>0.18</v>
      </c>
      <c r="AQ174" s="25">
        <v>0</v>
      </c>
    </row>
    <row r="175" spans="2:43">
      <c r="B175" s="146">
        <v>40000</v>
      </c>
      <c r="C175" s="147">
        <v>0</v>
      </c>
      <c r="D175" s="147">
        <v>0.01</v>
      </c>
      <c r="E175" s="148" cm="1">
        <f t="array" ref="E175">((B175-INDEX($AT$4:$AW$53,MATCH(B175,$AT$4:$AT$53,1),1))/(INDEX($AT$4:$AW$53,MATCH(B175,$AT$4:$AT$53,1)+1,1)-INDEX($AT$4:$AW$53,MATCH(B175,$AT$4:$AT$53,1),1)))*(INDEX($AT$4:$AW$53,MATCH(B175,$AT$4:$AT$53,1)+1,4)-INDEX($AT$4:$AW$53,MATCH(B175,$AT$4:$AT$53,1),4))+INDEX($AT$4:$AW$53,MATCH(B175,$AT$4:$AT$53,1),4)</f>
        <v>18.835521147023321</v>
      </c>
      <c r="F175" s="148" cm="1">
        <f t="array" ref="F175">C175+((B175-INDEX($AT$4:$AW$53,MATCH(B175,$AT$4:$AT$53,1),1))/(INDEX($AT$4:$AW$53,MATCH(B175,$AT$4:$AT$53,1)+1,1)-INDEX($AT$4:$AW$53,MATCH(B175,$AT$4:$AT$53,1),1)))*(INDEX($AT$4:$AW$53,MATCH(B175,$AT$4:$AT$53,1)+1,3)-INDEX($AT$4:$AW$53,MATCH(B175,$AT$4:$AT$53,1),3))+INDEX($AT$4:$AW$53,MATCH(B175,$AT$4:$AT$53,1),3)</f>
        <v>216.7</v>
      </c>
      <c r="G175" s="149">
        <f t="shared" si="64"/>
        <v>0.30285645382388221</v>
      </c>
      <c r="H175" s="150">
        <f t="shared" si="81"/>
        <v>40000</v>
      </c>
      <c r="I175" s="148">
        <f t="shared" si="65"/>
        <v>2.9507636299778399</v>
      </c>
      <c r="J175" s="148">
        <f t="shared" si="82"/>
        <v>5.735812374496124</v>
      </c>
      <c r="K175" s="148">
        <f t="shared" si="66"/>
        <v>2.8517096622898057</v>
      </c>
      <c r="L175" s="148">
        <f t="shared" si="83"/>
        <v>2.8517386821891093</v>
      </c>
      <c r="M175" s="148">
        <f t="shared" si="84"/>
        <v>1.3185194427786792E-3</v>
      </c>
      <c r="N175" s="148">
        <f t="shared" si="85"/>
        <v>1.3184864802916322E-3</v>
      </c>
      <c r="O175" s="149">
        <f t="shared" si="67"/>
        <v>1.0000199999999999</v>
      </c>
      <c r="P175" s="149">
        <f t="shared" si="68"/>
        <v>1.0000700017500173</v>
      </c>
      <c r="Q175" s="149">
        <f t="shared" si="69"/>
        <v>0.75205390942217587</v>
      </c>
      <c r="R175" s="149">
        <f t="shared" si="70"/>
        <v>0.18590515338234495</v>
      </c>
      <c r="S175" s="149">
        <f t="shared" si="71"/>
        <v>0.24718421927070242</v>
      </c>
      <c r="T175" s="151"/>
      <c r="U175" s="151"/>
      <c r="V175" s="151">
        <v>1</v>
      </c>
      <c r="W175" s="151">
        <v>1</v>
      </c>
      <c r="X175" s="125"/>
      <c r="Y175" s="151">
        <f t="shared" si="86"/>
        <v>-768.14433044202826</v>
      </c>
      <c r="Z175" s="1">
        <f t="shared" si="87"/>
        <v>-768.14433044202826</v>
      </c>
      <c r="AB175" s="130">
        <v>1</v>
      </c>
      <c r="AC175" s="128">
        <f t="shared" si="72"/>
        <v>0.56299999999999994</v>
      </c>
      <c r="AD175" s="4">
        <f t="shared" si="73"/>
        <v>0.18590515338234495</v>
      </c>
      <c r="AE175" s="4">
        <f t="shared" si="74"/>
        <v>0.30984192230390828</v>
      </c>
      <c r="AF175" s="32">
        <f t="shared" si="75"/>
        <v>0.3569835988309375</v>
      </c>
      <c r="AG175" s="4">
        <f t="shared" si="76"/>
        <v>0.78308317683550721</v>
      </c>
      <c r="AH175" s="42">
        <f t="shared" si="77"/>
        <v>1.389864238664748</v>
      </c>
      <c r="AJ175" s="23">
        <v>4</v>
      </c>
      <c r="AK175" s="24">
        <v>0.8</v>
      </c>
      <c r="AL175" s="5">
        <f t="shared" si="78"/>
        <v>2.0799999999999999E-2</v>
      </c>
      <c r="AM175" s="5">
        <f t="shared" si="88"/>
        <v>0.1194718394324346</v>
      </c>
      <c r="AN175" s="25">
        <f t="shared" si="89"/>
        <v>-8.0000000000000002E-3</v>
      </c>
      <c r="AO175" s="30">
        <f t="shared" si="79"/>
        <v>1.4E-2</v>
      </c>
      <c r="AP175" s="5">
        <f t="shared" si="80"/>
        <v>0.18</v>
      </c>
      <c r="AQ175" s="25">
        <v>0</v>
      </c>
    </row>
    <row r="176" spans="2:43">
      <c r="B176" s="38">
        <v>40000</v>
      </c>
      <c r="C176" s="3">
        <v>0</v>
      </c>
      <c r="D176" s="3">
        <v>0.05</v>
      </c>
      <c r="E176" s="13" cm="1">
        <f t="array" ref="E176">((B176-INDEX($AT$4:$AW$53,MATCH(B176,$AT$4:$AT$53,1),1))/(INDEX($AT$4:$AW$53,MATCH(B176,$AT$4:$AT$53,1)+1,1)-INDEX($AT$4:$AW$53,MATCH(B176,$AT$4:$AT$53,1),1)))*(INDEX($AT$4:$AW$53,MATCH(B176,$AT$4:$AT$53,1)+1,4)-INDEX($AT$4:$AW$53,MATCH(B176,$AT$4:$AT$53,1),4))+INDEX($AT$4:$AW$53,MATCH(B176,$AT$4:$AT$53,1),4)</f>
        <v>18.835521147023321</v>
      </c>
      <c r="F176" s="13" cm="1">
        <f t="array" ref="F176">C176+((B176-INDEX($AT$4:$AW$53,MATCH(B176,$AT$4:$AT$53,1),1))/(INDEX($AT$4:$AW$53,MATCH(B176,$AT$4:$AT$53,1)+1,1)-INDEX($AT$4:$AW$53,MATCH(B176,$AT$4:$AT$53,1),1)))*(INDEX($AT$4:$AW$53,MATCH(B176,$AT$4:$AT$53,1)+1,3)-INDEX($AT$4:$AW$53,MATCH(B176,$AT$4:$AT$53,1),3))+INDEX($AT$4:$AW$53,MATCH(B176,$AT$4:$AT$53,1),3)</f>
        <v>216.7</v>
      </c>
      <c r="G176" s="4">
        <f t="shared" si="64"/>
        <v>0.30285645382388221</v>
      </c>
      <c r="H176" s="6">
        <f t="shared" si="81"/>
        <v>40000</v>
      </c>
      <c r="I176" s="13">
        <f t="shared" si="65"/>
        <v>14.753818149889199</v>
      </c>
      <c r="J176" s="13">
        <f t="shared" si="82"/>
        <v>28.67906187248062</v>
      </c>
      <c r="K176" s="13">
        <f t="shared" si="66"/>
        <v>14.258548311449029</v>
      </c>
      <c r="L176" s="13">
        <f t="shared" si="83"/>
        <v>14.262175581196889</v>
      </c>
      <c r="M176" s="13">
        <f t="shared" si="84"/>
        <v>3.298276850920176E-2</v>
      </c>
      <c r="N176" s="13">
        <f t="shared" si="85"/>
        <v>3.296216200729081E-2</v>
      </c>
      <c r="O176" s="4">
        <f t="shared" si="67"/>
        <v>1.0004999999999999</v>
      </c>
      <c r="P176" s="4">
        <f t="shared" si="68"/>
        <v>1.0017510940234544</v>
      </c>
      <c r="Q176" s="4">
        <f t="shared" si="69"/>
        <v>0.75241488807912549</v>
      </c>
      <c r="R176" s="4">
        <f t="shared" si="70"/>
        <v>0.18621765522361239</v>
      </c>
      <c r="S176" s="4">
        <f t="shared" si="71"/>
        <v>0.24718421927070242</v>
      </c>
      <c r="T176" s="1"/>
      <c r="U176" s="1"/>
      <c r="V176" s="1">
        <v>1</v>
      </c>
      <c r="W176" s="1">
        <v>1</v>
      </c>
      <c r="Y176" s="1">
        <f t="shared" si="86"/>
        <v>-152.46398741530709</v>
      </c>
      <c r="Z176" s="1">
        <f t="shared" si="87"/>
        <v>-152.46398741530709</v>
      </c>
      <c r="AB176" s="130">
        <v>1</v>
      </c>
      <c r="AC176" s="128">
        <f t="shared" si="72"/>
        <v>0.55434752415750155</v>
      </c>
      <c r="AD176" s="4">
        <f t="shared" si="73"/>
        <v>0.18621765522361239</v>
      </c>
      <c r="AE176" s="4">
        <f t="shared" si="74"/>
        <v>0.31036275870602065</v>
      </c>
      <c r="AF176" s="32">
        <f t="shared" si="75"/>
        <v>0.37571515654926191</v>
      </c>
      <c r="AG176" s="4">
        <f t="shared" si="76"/>
        <v>0.79348959779013195</v>
      </c>
      <c r="AH176" s="42">
        <f t="shared" si="77"/>
        <v>1.3992300175239103</v>
      </c>
      <c r="AJ176" s="23">
        <v>4</v>
      </c>
      <c r="AK176" s="24">
        <v>0.8</v>
      </c>
      <c r="AL176" s="5">
        <f t="shared" si="78"/>
        <v>2.0799999999999999E-2</v>
      </c>
      <c r="AM176" s="5">
        <f t="shared" si="88"/>
        <v>0.1194718394324346</v>
      </c>
      <c r="AN176" s="25">
        <f t="shared" si="89"/>
        <v>-8.0000000000000002E-3</v>
      </c>
      <c r="AO176" s="30">
        <f t="shared" si="79"/>
        <v>1.4E-2</v>
      </c>
      <c r="AP176" s="5">
        <f t="shared" si="80"/>
        <v>0.18</v>
      </c>
      <c r="AQ176" s="25">
        <v>0</v>
      </c>
    </row>
    <row r="177" spans="2:43">
      <c r="B177" s="38">
        <v>40000</v>
      </c>
      <c r="C177" s="3">
        <v>0</v>
      </c>
      <c r="D177" s="3">
        <f t="shared" ref="D177:D195" si="91">D176+0.05</f>
        <v>0.1</v>
      </c>
      <c r="E177" s="13" cm="1">
        <f t="array" ref="E177">((B177-INDEX($AT$4:$AW$53,MATCH(B177,$AT$4:$AT$53,1),1))/(INDEX($AT$4:$AW$53,MATCH(B177,$AT$4:$AT$53,1)+1,1)-INDEX($AT$4:$AW$53,MATCH(B177,$AT$4:$AT$53,1),1)))*(INDEX($AT$4:$AW$53,MATCH(B177,$AT$4:$AT$53,1)+1,4)-INDEX($AT$4:$AW$53,MATCH(B177,$AT$4:$AT$53,1),4))+INDEX($AT$4:$AW$53,MATCH(B177,$AT$4:$AT$53,1),4)</f>
        <v>18.835521147023321</v>
      </c>
      <c r="F177" s="13" cm="1">
        <f t="array" ref="F177">C177+((B177-INDEX($AT$4:$AW$53,MATCH(B177,$AT$4:$AT$53,1),1))/(INDEX($AT$4:$AW$53,MATCH(B177,$AT$4:$AT$53,1)+1,1)-INDEX($AT$4:$AW$53,MATCH(B177,$AT$4:$AT$53,1),1)))*(INDEX($AT$4:$AW$53,MATCH(B177,$AT$4:$AT$53,1)+1,3)-INDEX($AT$4:$AW$53,MATCH(B177,$AT$4:$AT$53,1),3))+INDEX($AT$4:$AW$53,MATCH(B177,$AT$4:$AT$53,1),3)</f>
        <v>216.7</v>
      </c>
      <c r="G177" s="4">
        <f t="shared" si="64"/>
        <v>0.30285645382388221</v>
      </c>
      <c r="H177" s="6">
        <f t="shared" si="81"/>
        <v>40000</v>
      </c>
      <c r="I177" s="13">
        <f t="shared" si="65"/>
        <v>29.507636299778397</v>
      </c>
      <c r="J177" s="13">
        <f t="shared" si="82"/>
        <v>57.35812374496124</v>
      </c>
      <c r="K177" s="13">
        <f t="shared" si="66"/>
        <v>28.517096622898059</v>
      </c>
      <c r="L177" s="13">
        <f t="shared" si="83"/>
        <v>28.546109263712953</v>
      </c>
      <c r="M177" s="13">
        <f t="shared" si="84"/>
        <v>0.13217859935324414</v>
      </c>
      <c r="N177" s="13">
        <f t="shared" si="85"/>
        <v>0.13184864802916324</v>
      </c>
      <c r="O177" s="4">
        <f t="shared" si="67"/>
        <v>1.002</v>
      </c>
      <c r="P177" s="4">
        <f t="shared" si="68"/>
        <v>1.0070175175043741</v>
      </c>
      <c r="Q177" s="4">
        <f t="shared" si="69"/>
        <v>0.75354294638209274</v>
      </c>
      <c r="R177" s="4">
        <f t="shared" si="70"/>
        <v>0.18719664195782448</v>
      </c>
      <c r="S177" s="4">
        <f t="shared" si="71"/>
        <v>0.24718421927070242</v>
      </c>
      <c r="T177" s="1"/>
      <c r="U177" s="1"/>
      <c r="V177" s="1">
        <v>1</v>
      </c>
      <c r="W177" s="1">
        <v>1</v>
      </c>
      <c r="Y177" s="1">
        <f t="shared" si="86"/>
        <v>-74.421339084168054</v>
      </c>
      <c r="Z177" s="1">
        <f t="shared" si="87"/>
        <v>-74.421339084168054</v>
      </c>
      <c r="AB177" s="130">
        <v>1</v>
      </c>
      <c r="AC177" s="128">
        <f t="shared" si="72"/>
        <v>0.5478640563788213</v>
      </c>
      <c r="AD177" s="4">
        <f t="shared" si="73"/>
        <v>0.18719664195782448</v>
      </c>
      <c r="AE177" s="4">
        <f t="shared" si="74"/>
        <v>0.31199440326304084</v>
      </c>
      <c r="AF177" s="32">
        <f t="shared" si="75"/>
        <v>0.39912960369716743</v>
      </c>
      <c r="AG177" s="4">
        <f t="shared" si="76"/>
        <v>0.80649762398341274</v>
      </c>
      <c r="AH177" s="42">
        <f t="shared" si="77"/>
        <v>1.4109372410978629</v>
      </c>
      <c r="AJ177" s="23">
        <v>4</v>
      </c>
      <c r="AK177" s="24">
        <v>0.8</v>
      </c>
      <c r="AL177" s="5">
        <f t="shared" si="78"/>
        <v>2.0799999999999999E-2</v>
      </c>
      <c r="AM177" s="5">
        <f t="shared" si="88"/>
        <v>0.1194718394324346</v>
      </c>
      <c r="AN177" s="25">
        <f t="shared" si="89"/>
        <v>-8.0000000000000002E-3</v>
      </c>
      <c r="AO177" s="30">
        <f t="shared" si="79"/>
        <v>1.4E-2</v>
      </c>
      <c r="AP177" s="5">
        <f t="shared" si="80"/>
        <v>0.18</v>
      </c>
      <c r="AQ177" s="25">
        <v>0</v>
      </c>
    </row>
    <row r="178" spans="2:43">
      <c r="B178" s="38">
        <v>40000</v>
      </c>
      <c r="C178" s="3">
        <v>0</v>
      </c>
      <c r="D178" s="3">
        <f t="shared" si="91"/>
        <v>0.15000000000000002</v>
      </c>
      <c r="E178" s="13" cm="1">
        <f t="array" ref="E178">((B178-INDEX($AT$4:$AW$53,MATCH(B178,$AT$4:$AT$53,1),1))/(INDEX($AT$4:$AW$53,MATCH(B178,$AT$4:$AT$53,1)+1,1)-INDEX($AT$4:$AW$53,MATCH(B178,$AT$4:$AT$53,1),1)))*(INDEX($AT$4:$AW$53,MATCH(B178,$AT$4:$AT$53,1)+1,4)-INDEX($AT$4:$AW$53,MATCH(B178,$AT$4:$AT$53,1),4))+INDEX($AT$4:$AW$53,MATCH(B178,$AT$4:$AT$53,1),4)</f>
        <v>18.835521147023321</v>
      </c>
      <c r="F178" s="13" cm="1">
        <f t="array" ref="F178">C178+((B178-INDEX($AT$4:$AW$53,MATCH(B178,$AT$4:$AT$53,1),1))/(INDEX($AT$4:$AW$53,MATCH(B178,$AT$4:$AT$53,1)+1,1)-INDEX($AT$4:$AW$53,MATCH(B178,$AT$4:$AT$53,1),1)))*(INDEX($AT$4:$AW$53,MATCH(B178,$AT$4:$AT$53,1)+1,3)-INDEX($AT$4:$AW$53,MATCH(B178,$AT$4:$AT$53,1),3))+INDEX($AT$4:$AW$53,MATCH(B178,$AT$4:$AT$53,1),3)</f>
        <v>216.7</v>
      </c>
      <c r="G178" s="4">
        <f t="shared" si="64"/>
        <v>0.30285645382388221</v>
      </c>
      <c r="H178" s="6">
        <f t="shared" si="81"/>
        <v>40000</v>
      </c>
      <c r="I178" s="13">
        <f t="shared" si="65"/>
        <v>44.261454449667603</v>
      </c>
      <c r="J178" s="13">
        <f t="shared" si="82"/>
        <v>86.037185617441878</v>
      </c>
      <c r="K178" s="13">
        <f t="shared" si="66"/>
        <v>42.775644934347099</v>
      </c>
      <c r="L178" s="13">
        <f t="shared" si="83"/>
        <v>42.873531348037034</v>
      </c>
      <c r="M178" s="13">
        <f t="shared" si="84"/>
        <v>0.29833192422450849</v>
      </c>
      <c r="N178" s="13">
        <f t="shared" si="85"/>
        <v>0.29665945806561733</v>
      </c>
      <c r="O178" s="4">
        <f t="shared" si="67"/>
        <v>1.0044999999999999</v>
      </c>
      <c r="P178" s="4">
        <f t="shared" si="68"/>
        <v>1.0158387931980133</v>
      </c>
      <c r="Q178" s="4">
        <f t="shared" si="69"/>
        <v>0.7554230435537046</v>
      </c>
      <c r="R178" s="4">
        <f t="shared" si="70"/>
        <v>0.18883644777940123</v>
      </c>
      <c r="S178" s="4">
        <f t="shared" si="71"/>
        <v>0.24718421927070242</v>
      </c>
      <c r="T178" s="1"/>
      <c r="U178" s="1"/>
      <c r="V178" s="1">
        <v>1</v>
      </c>
      <c r="W178" s="1">
        <v>1</v>
      </c>
      <c r="Y178" s="1">
        <f t="shared" si="86"/>
        <v>-47.623496940453528</v>
      </c>
      <c r="Z178" s="1">
        <f t="shared" si="87"/>
        <v>-47.623496940453528</v>
      </c>
      <c r="AB178" s="130">
        <v>1</v>
      </c>
      <c r="AC178" s="128">
        <f t="shared" si="72"/>
        <v>0.54288911657654815</v>
      </c>
      <c r="AD178" s="4">
        <f t="shared" si="73"/>
        <v>0.18883644777940123</v>
      </c>
      <c r="AE178" s="4">
        <f t="shared" si="74"/>
        <v>0.31472741296566875</v>
      </c>
      <c r="AF178" s="32">
        <f t="shared" si="75"/>
        <v>0.42254405084507296</v>
      </c>
      <c r="AG178" s="4">
        <f t="shared" si="76"/>
        <v>0.81950565017669363</v>
      </c>
      <c r="AH178" s="42">
        <f t="shared" si="77"/>
        <v>1.4226444646718157</v>
      </c>
      <c r="AJ178" s="23">
        <v>4</v>
      </c>
      <c r="AK178" s="24">
        <v>0.8</v>
      </c>
      <c r="AL178" s="5">
        <f t="shared" si="78"/>
        <v>2.0799999999999999E-2</v>
      </c>
      <c r="AM178" s="5">
        <f t="shared" si="88"/>
        <v>0.1194718394324346</v>
      </c>
      <c r="AN178" s="25">
        <f t="shared" si="89"/>
        <v>-8.0000000000000002E-3</v>
      </c>
      <c r="AO178" s="30">
        <f t="shared" si="79"/>
        <v>1.4E-2</v>
      </c>
      <c r="AP178" s="5">
        <f t="shared" si="80"/>
        <v>0.18</v>
      </c>
      <c r="AQ178" s="25">
        <v>0</v>
      </c>
    </row>
    <row r="179" spans="2:43">
      <c r="B179" s="38">
        <v>40000</v>
      </c>
      <c r="C179" s="3">
        <v>0</v>
      </c>
      <c r="D179" s="3">
        <f t="shared" si="91"/>
        <v>0.2</v>
      </c>
      <c r="E179" s="13" cm="1">
        <f t="array" ref="E179">((B179-INDEX($AT$4:$AW$53,MATCH(B179,$AT$4:$AT$53,1),1))/(INDEX($AT$4:$AW$53,MATCH(B179,$AT$4:$AT$53,1)+1,1)-INDEX($AT$4:$AW$53,MATCH(B179,$AT$4:$AT$53,1),1)))*(INDEX($AT$4:$AW$53,MATCH(B179,$AT$4:$AT$53,1)+1,4)-INDEX($AT$4:$AW$53,MATCH(B179,$AT$4:$AT$53,1),4))+INDEX($AT$4:$AW$53,MATCH(B179,$AT$4:$AT$53,1),4)</f>
        <v>18.835521147023321</v>
      </c>
      <c r="F179" s="13" cm="1">
        <f t="array" ref="F179">C179+((B179-INDEX($AT$4:$AW$53,MATCH(B179,$AT$4:$AT$53,1),1))/(INDEX($AT$4:$AW$53,MATCH(B179,$AT$4:$AT$53,1)+1,1)-INDEX($AT$4:$AW$53,MATCH(B179,$AT$4:$AT$53,1),1)))*(INDEX($AT$4:$AW$53,MATCH(B179,$AT$4:$AT$53,1)+1,3)-INDEX($AT$4:$AW$53,MATCH(B179,$AT$4:$AT$53,1),3))+INDEX($AT$4:$AW$53,MATCH(B179,$AT$4:$AT$53,1),3)</f>
        <v>216.7</v>
      </c>
      <c r="G179" s="4">
        <f t="shared" si="64"/>
        <v>0.30285645382388221</v>
      </c>
      <c r="H179" s="6">
        <f t="shared" si="81"/>
        <v>40000</v>
      </c>
      <c r="I179" s="13">
        <f t="shared" si="65"/>
        <v>59.015272599556795</v>
      </c>
      <c r="J179" s="13">
        <f t="shared" si="82"/>
        <v>114.71624748992248</v>
      </c>
      <c r="K179" s="13">
        <f t="shared" si="66"/>
        <v>57.034193245796118</v>
      </c>
      <c r="L179" s="13">
        <f t="shared" si="83"/>
        <v>57.266115532401784</v>
      </c>
      <c r="M179" s="13">
        <f t="shared" si="84"/>
        <v>0.53268965490044617</v>
      </c>
      <c r="N179" s="13">
        <f t="shared" si="85"/>
        <v>0.52739459211665296</v>
      </c>
      <c r="O179" s="4">
        <f t="shared" si="67"/>
        <v>1.008</v>
      </c>
      <c r="P179" s="4">
        <f t="shared" si="68"/>
        <v>1.0282811211191059</v>
      </c>
      <c r="Q179" s="4">
        <f t="shared" si="69"/>
        <v>0.75805517959396151</v>
      </c>
      <c r="R179" s="4">
        <f t="shared" si="70"/>
        <v>0.19114937875078969</v>
      </c>
      <c r="S179" s="4">
        <f t="shared" si="71"/>
        <v>0.24718421927070242</v>
      </c>
      <c r="T179" s="1"/>
      <c r="U179" s="1"/>
      <c r="V179" s="1">
        <v>1</v>
      </c>
      <c r="W179" s="1">
        <v>1</v>
      </c>
      <c r="Y179" s="1">
        <f t="shared" si="86"/>
        <v>-33.660223562224388</v>
      </c>
      <c r="Z179" s="1">
        <f t="shared" si="87"/>
        <v>-33.660223562224388</v>
      </c>
      <c r="AB179" s="130">
        <v>1</v>
      </c>
      <c r="AC179" s="128">
        <f t="shared" si="72"/>
        <v>0.53869504831500292</v>
      </c>
      <c r="AD179" s="4">
        <f t="shared" si="73"/>
        <v>0.19114937875078969</v>
      </c>
      <c r="AE179" s="4">
        <f t="shared" si="74"/>
        <v>0.31858229791798282</v>
      </c>
      <c r="AF179" s="32">
        <f t="shared" si="75"/>
        <v>0.44595849799297849</v>
      </c>
      <c r="AG179" s="4">
        <f t="shared" si="76"/>
        <v>0.83251367636997442</v>
      </c>
      <c r="AH179" s="42">
        <f t="shared" si="77"/>
        <v>1.4343516882457685</v>
      </c>
      <c r="AJ179" s="23">
        <v>4</v>
      </c>
      <c r="AK179" s="24">
        <v>0.8</v>
      </c>
      <c r="AL179" s="5">
        <f t="shared" si="78"/>
        <v>2.0799999999999999E-2</v>
      </c>
      <c r="AM179" s="5">
        <f t="shared" si="88"/>
        <v>0.1194718394324346</v>
      </c>
      <c r="AN179" s="25">
        <f t="shared" si="89"/>
        <v>-8.0000000000000002E-3</v>
      </c>
      <c r="AO179" s="30">
        <f t="shared" si="79"/>
        <v>1.4E-2</v>
      </c>
      <c r="AP179" s="5">
        <f t="shared" si="80"/>
        <v>0.18</v>
      </c>
      <c r="AQ179" s="25">
        <v>0</v>
      </c>
    </row>
    <row r="180" spans="2:43">
      <c r="B180" s="38">
        <v>40000</v>
      </c>
      <c r="C180" s="3">
        <v>0</v>
      </c>
      <c r="D180" s="3">
        <f t="shared" si="91"/>
        <v>0.25</v>
      </c>
      <c r="E180" s="13" cm="1">
        <f t="array" ref="E180">((B180-INDEX($AT$4:$AW$53,MATCH(B180,$AT$4:$AT$53,1),1))/(INDEX($AT$4:$AW$53,MATCH(B180,$AT$4:$AT$53,1)+1,1)-INDEX($AT$4:$AW$53,MATCH(B180,$AT$4:$AT$53,1),1)))*(INDEX($AT$4:$AW$53,MATCH(B180,$AT$4:$AT$53,1)+1,4)-INDEX($AT$4:$AW$53,MATCH(B180,$AT$4:$AT$53,1),4))+INDEX($AT$4:$AW$53,MATCH(B180,$AT$4:$AT$53,1),4)</f>
        <v>18.835521147023321</v>
      </c>
      <c r="F180" s="13" cm="1">
        <f t="array" ref="F180">C180+((B180-INDEX($AT$4:$AW$53,MATCH(B180,$AT$4:$AT$53,1),1))/(INDEX($AT$4:$AW$53,MATCH(B180,$AT$4:$AT$53,1)+1,1)-INDEX($AT$4:$AW$53,MATCH(B180,$AT$4:$AT$53,1),1)))*(INDEX($AT$4:$AW$53,MATCH(B180,$AT$4:$AT$53,1)+1,3)-INDEX($AT$4:$AW$53,MATCH(B180,$AT$4:$AT$53,1),3))+INDEX($AT$4:$AW$53,MATCH(B180,$AT$4:$AT$53,1),3)</f>
        <v>216.7</v>
      </c>
      <c r="G180" s="4">
        <f t="shared" si="64"/>
        <v>0.30285645382388221</v>
      </c>
      <c r="H180" s="6">
        <f t="shared" si="81"/>
        <v>40000</v>
      </c>
      <c r="I180" s="13">
        <f t="shared" si="65"/>
        <v>73.769090749445994</v>
      </c>
      <c r="J180" s="13">
        <f t="shared" si="82"/>
        <v>143.39530936240311</v>
      </c>
      <c r="K180" s="13">
        <f t="shared" si="66"/>
        <v>71.292741557245151</v>
      </c>
      <c r="L180" s="13">
        <f t="shared" si="83"/>
        <v>71.74544812624444</v>
      </c>
      <c r="M180" s="13">
        <f t="shared" si="84"/>
        <v>0.83701049432868424</v>
      </c>
      <c r="N180" s="13">
        <f t="shared" si="85"/>
        <v>0.82405405018227007</v>
      </c>
      <c r="O180" s="4">
        <f t="shared" si="67"/>
        <v>1.0125</v>
      </c>
      <c r="P180" s="4">
        <f t="shared" si="68"/>
        <v>1.0444378728783388</v>
      </c>
      <c r="Q180" s="4">
        <f t="shared" si="69"/>
        <v>0.76143935450286304</v>
      </c>
      <c r="R180" s="4">
        <f t="shared" si="70"/>
        <v>0.19415279192057247</v>
      </c>
      <c r="S180" s="4">
        <f t="shared" si="71"/>
        <v>0.24718421927070242</v>
      </c>
      <c r="T180" s="1"/>
      <c r="U180" s="1"/>
      <c r="V180" s="1">
        <v>1</v>
      </c>
      <c r="W180" s="1">
        <v>1</v>
      </c>
      <c r="Y180" s="1">
        <f t="shared" si="86"/>
        <v>-24.856335316953164</v>
      </c>
      <c r="Z180" s="1">
        <f t="shared" si="87"/>
        <v>-24.856335316953164</v>
      </c>
      <c r="AB180" s="130">
        <v>1</v>
      </c>
      <c r="AC180" s="128">
        <f t="shared" si="72"/>
        <v>0.53500000000000003</v>
      </c>
      <c r="AD180" s="4">
        <f t="shared" si="73"/>
        <v>0.19415279192057247</v>
      </c>
      <c r="AE180" s="4">
        <f t="shared" si="74"/>
        <v>0.32358798653428744</v>
      </c>
      <c r="AF180" s="32">
        <f t="shared" si="75"/>
        <v>0.46937294514088396</v>
      </c>
      <c r="AG180" s="4">
        <f t="shared" si="76"/>
        <v>0.84552170256325532</v>
      </c>
      <c r="AH180" s="42">
        <f t="shared" si="77"/>
        <v>1.4460589118197211</v>
      </c>
      <c r="AJ180" s="23">
        <v>4</v>
      </c>
      <c r="AK180" s="24">
        <v>0.8</v>
      </c>
      <c r="AL180" s="5">
        <f t="shared" si="78"/>
        <v>2.0799999999999999E-2</v>
      </c>
      <c r="AM180" s="5">
        <f t="shared" si="88"/>
        <v>0.1194718394324346</v>
      </c>
      <c r="AN180" s="25">
        <f t="shared" si="89"/>
        <v>-8.0000000000000002E-3</v>
      </c>
      <c r="AO180" s="30">
        <f t="shared" si="79"/>
        <v>1.4E-2</v>
      </c>
      <c r="AP180" s="5">
        <f t="shared" si="80"/>
        <v>0.18</v>
      </c>
      <c r="AQ180" s="25">
        <v>0</v>
      </c>
    </row>
    <row r="181" spans="2:43">
      <c r="B181" s="38">
        <v>40000</v>
      </c>
      <c r="C181" s="3">
        <v>0</v>
      </c>
      <c r="D181" s="3">
        <f t="shared" si="91"/>
        <v>0.3</v>
      </c>
      <c r="E181" s="13" cm="1">
        <f t="array" ref="E181">((B181-INDEX($AT$4:$AW$53,MATCH(B181,$AT$4:$AT$53,1),1))/(INDEX($AT$4:$AW$53,MATCH(B181,$AT$4:$AT$53,1)+1,1)-INDEX($AT$4:$AW$53,MATCH(B181,$AT$4:$AT$53,1),1)))*(INDEX($AT$4:$AW$53,MATCH(B181,$AT$4:$AT$53,1)+1,4)-INDEX($AT$4:$AW$53,MATCH(B181,$AT$4:$AT$53,1),4))+INDEX($AT$4:$AW$53,MATCH(B181,$AT$4:$AT$53,1),4)</f>
        <v>18.835521147023321</v>
      </c>
      <c r="F181" s="13" cm="1">
        <f t="array" ref="F181">C181+((B181-INDEX($AT$4:$AW$53,MATCH(B181,$AT$4:$AT$53,1),1))/(INDEX($AT$4:$AW$53,MATCH(B181,$AT$4:$AT$53,1)+1,1)-INDEX($AT$4:$AW$53,MATCH(B181,$AT$4:$AT$53,1),1)))*(INDEX($AT$4:$AW$53,MATCH(B181,$AT$4:$AT$53,1)+1,3)-INDEX($AT$4:$AW$53,MATCH(B181,$AT$4:$AT$53,1),3))+INDEX($AT$4:$AW$53,MATCH(B181,$AT$4:$AT$53,1),3)</f>
        <v>216.7</v>
      </c>
      <c r="G181" s="4">
        <f t="shared" si="64"/>
        <v>0.30285645382388221</v>
      </c>
      <c r="H181" s="6">
        <f t="shared" si="81"/>
        <v>40000</v>
      </c>
      <c r="I181" s="13">
        <f t="shared" si="65"/>
        <v>88.522908899335192</v>
      </c>
      <c r="J181" s="13">
        <f t="shared" si="82"/>
        <v>172.07437123488373</v>
      </c>
      <c r="K181" s="13">
        <f t="shared" si="66"/>
        <v>85.551289868694184</v>
      </c>
      <c r="L181" s="13">
        <f t="shared" si="83"/>
        <v>86.33299432641067</v>
      </c>
      <c r="M181" s="13">
        <f t="shared" si="84"/>
        <v>1.2135780173424318</v>
      </c>
      <c r="N181" s="13">
        <f t="shared" si="85"/>
        <v>1.1866378322624689</v>
      </c>
      <c r="O181" s="4">
        <f t="shared" si="67"/>
        <v>1.018</v>
      </c>
      <c r="P181" s="4">
        <f t="shared" si="68"/>
        <v>1.0644302861529382</v>
      </c>
      <c r="Q181" s="4">
        <f t="shared" si="69"/>
        <v>0.76557556828040951</v>
      </c>
      <c r="R181" s="4">
        <f t="shared" si="70"/>
        <v>0.19786922442009131</v>
      </c>
      <c r="S181" s="4">
        <f t="shared" si="71"/>
        <v>0.24718421927070242</v>
      </c>
      <c r="T181" s="1"/>
      <c r="U181" s="1"/>
      <c r="V181" s="1">
        <v>1</v>
      </c>
      <c r="W181" s="1">
        <v>1</v>
      </c>
      <c r="Y181" s="1">
        <f t="shared" si="86"/>
        <v>-18.658637639054241</v>
      </c>
      <c r="Z181" s="1">
        <f t="shared" si="87"/>
        <v>-18.658637639054241</v>
      </c>
      <c r="AB181" s="130">
        <v>1</v>
      </c>
      <c r="AC181" s="128">
        <f t="shared" si="72"/>
        <v>0.53165942097463836</v>
      </c>
      <c r="AD181" s="4">
        <f t="shared" si="73"/>
        <v>0.19786922442009131</v>
      </c>
      <c r="AE181" s="4">
        <f t="shared" si="74"/>
        <v>0.32978204070015221</v>
      </c>
      <c r="AF181" s="32">
        <f t="shared" si="75"/>
        <v>0.49278739228878948</v>
      </c>
      <c r="AG181" s="4">
        <f t="shared" si="76"/>
        <v>0.8585297287565361</v>
      </c>
      <c r="AH181" s="42">
        <f t="shared" si="77"/>
        <v>1.4577661353936739</v>
      </c>
      <c r="AJ181" s="23">
        <v>4</v>
      </c>
      <c r="AK181" s="24">
        <v>0.8</v>
      </c>
      <c r="AL181" s="5">
        <f t="shared" si="78"/>
        <v>2.0799999999999999E-2</v>
      </c>
      <c r="AM181" s="5">
        <f t="shared" si="88"/>
        <v>0.1194718394324346</v>
      </c>
      <c r="AN181" s="25">
        <f t="shared" si="89"/>
        <v>-8.0000000000000002E-3</v>
      </c>
      <c r="AO181" s="30">
        <f t="shared" si="79"/>
        <v>1.4E-2</v>
      </c>
      <c r="AP181" s="5">
        <f t="shared" si="80"/>
        <v>0.18</v>
      </c>
      <c r="AQ181" s="25">
        <v>0</v>
      </c>
    </row>
    <row r="182" spans="2:43">
      <c r="B182" s="38">
        <v>40000</v>
      </c>
      <c r="C182" s="3">
        <v>0</v>
      </c>
      <c r="D182" s="3">
        <f t="shared" si="91"/>
        <v>0.35</v>
      </c>
      <c r="E182" s="13" cm="1">
        <f t="array" ref="E182">((B182-INDEX($AT$4:$AW$53,MATCH(B182,$AT$4:$AT$53,1),1))/(INDEX($AT$4:$AW$53,MATCH(B182,$AT$4:$AT$53,1)+1,1)-INDEX($AT$4:$AW$53,MATCH(B182,$AT$4:$AT$53,1),1)))*(INDEX($AT$4:$AW$53,MATCH(B182,$AT$4:$AT$53,1)+1,4)-INDEX($AT$4:$AW$53,MATCH(B182,$AT$4:$AT$53,1),4))+INDEX($AT$4:$AW$53,MATCH(B182,$AT$4:$AT$53,1),4)</f>
        <v>18.835521147023321</v>
      </c>
      <c r="F182" s="13" cm="1">
        <f t="array" ref="F182">C182+((B182-INDEX($AT$4:$AW$53,MATCH(B182,$AT$4:$AT$53,1),1))/(INDEX($AT$4:$AW$53,MATCH(B182,$AT$4:$AT$53,1)+1,1)-INDEX($AT$4:$AW$53,MATCH(B182,$AT$4:$AT$53,1),1)))*(INDEX($AT$4:$AW$53,MATCH(B182,$AT$4:$AT$53,1)+1,3)-INDEX($AT$4:$AW$53,MATCH(B182,$AT$4:$AT$53,1),3))+INDEX($AT$4:$AW$53,MATCH(B182,$AT$4:$AT$53,1),3)</f>
        <v>216.7</v>
      </c>
      <c r="G182" s="4">
        <f t="shared" si="64"/>
        <v>0.30285645382388221</v>
      </c>
      <c r="H182" s="6">
        <f t="shared" si="81"/>
        <v>40000</v>
      </c>
      <c r="I182" s="13">
        <f t="shared" si="65"/>
        <v>103.27672704922439</v>
      </c>
      <c r="J182" s="13">
        <f t="shared" si="82"/>
        <v>200.75343310736434</v>
      </c>
      <c r="K182" s="13">
        <f t="shared" si="66"/>
        <v>99.809838180143203</v>
      </c>
      <c r="L182" s="13">
        <f t="shared" si="83"/>
        <v>101.05006065363321</v>
      </c>
      <c r="M182" s="13">
        <f t="shared" si="84"/>
        <v>1.6652175659611324</v>
      </c>
      <c r="N182" s="13">
        <f t="shared" si="85"/>
        <v>1.6151459383572497</v>
      </c>
      <c r="O182" s="4">
        <f t="shared" si="67"/>
        <v>1.0245</v>
      </c>
      <c r="P182" s="4">
        <f t="shared" si="68"/>
        <v>1.0884083616780784</v>
      </c>
      <c r="Q182" s="4">
        <f t="shared" si="69"/>
        <v>0.77046382092660071</v>
      </c>
      <c r="R182" s="4">
        <f t="shared" si="70"/>
        <v>0.20232656020710046</v>
      </c>
      <c r="S182" s="4">
        <f t="shared" si="71"/>
        <v>0.24718421927070242</v>
      </c>
      <c r="T182" s="1"/>
      <c r="U182" s="1"/>
      <c r="V182" s="1">
        <v>1</v>
      </c>
      <c r="W182" s="1">
        <v>1</v>
      </c>
      <c r="Y182" s="1">
        <f t="shared" si="86"/>
        <v>-13.976777988360984</v>
      </c>
      <c r="Z182" s="1">
        <f t="shared" si="87"/>
        <v>-13.976777988360984</v>
      </c>
      <c r="AB182" s="130">
        <v>1</v>
      </c>
      <c r="AC182" s="128">
        <f t="shared" si="72"/>
        <v>0.52858744151830273</v>
      </c>
      <c r="AD182" s="4">
        <f t="shared" si="73"/>
        <v>0.20232656020710046</v>
      </c>
      <c r="AE182" s="4">
        <f t="shared" si="74"/>
        <v>0.3372109336785008</v>
      </c>
      <c r="AF182" s="32">
        <f t="shared" si="75"/>
        <v>0.51620183943669506</v>
      </c>
      <c r="AG182" s="4">
        <f t="shared" si="76"/>
        <v>0.87153775494981711</v>
      </c>
      <c r="AH182" s="42">
        <f t="shared" si="77"/>
        <v>1.4694733589676268</v>
      </c>
      <c r="AJ182" s="23">
        <v>4</v>
      </c>
      <c r="AK182" s="24">
        <v>0.8</v>
      </c>
      <c r="AL182" s="5">
        <f t="shared" si="78"/>
        <v>2.0799999999999999E-2</v>
      </c>
      <c r="AM182" s="5">
        <f t="shared" si="88"/>
        <v>0.1194718394324346</v>
      </c>
      <c r="AN182" s="25">
        <f t="shared" si="89"/>
        <v>-8.0000000000000002E-3</v>
      </c>
      <c r="AO182" s="30">
        <f t="shared" si="79"/>
        <v>1.4E-2</v>
      </c>
      <c r="AP182" s="5">
        <f t="shared" si="80"/>
        <v>0.18</v>
      </c>
      <c r="AQ182" s="25">
        <v>0</v>
      </c>
    </row>
    <row r="183" spans="2:43">
      <c r="B183" s="38">
        <v>40000</v>
      </c>
      <c r="C183" s="3">
        <v>0</v>
      </c>
      <c r="D183" s="3">
        <f t="shared" si="91"/>
        <v>0.39999999999999997</v>
      </c>
      <c r="E183" s="13" cm="1">
        <f t="array" ref="E183">((B183-INDEX($AT$4:$AW$53,MATCH(B183,$AT$4:$AT$53,1),1))/(INDEX($AT$4:$AW$53,MATCH(B183,$AT$4:$AT$53,1)+1,1)-INDEX($AT$4:$AW$53,MATCH(B183,$AT$4:$AT$53,1),1)))*(INDEX($AT$4:$AW$53,MATCH(B183,$AT$4:$AT$53,1)+1,4)-INDEX($AT$4:$AW$53,MATCH(B183,$AT$4:$AT$53,1),4))+INDEX($AT$4:$AW$53,MATCH(B183,$AT$4:$AT$53,1),4)</f>
        <v>18.835521147023321</v>
      </c>
      <c r="F183" s="13" cm="1">
        <f t="array" ref="F183">C183+((B183-INDEX($AT$4:$AW$53,MATCH(B183,$AT$4:$AT$53,1),1))/(INDEX($AT$4:$AW$53,MATCH(B183,$AT$4:$AT$53,1)+1,1)-INDEX($AT$4:$AW$53,MATCH(B183,$AT$4:$AT$53,1),1)))*(INDEX($AT$4:$AW$53,MATCH(B183,$AT$4:$AT$53,1)+1,3)-INDEX($AT$4:$AW$53,MATCH(B183,$AT$4:$AT$53,1),3))+INDEX($AT$4:$AW$53,MATCH(B183,$AT$4:$AT$53,1),3)</f>
        <v>216.7</v>
      </c>
      <c r="G183" s="4">
        <f t="shared" si="64"/>
        <v>0.30285645382388221</v>
      </c>
      <c r="H183" s="6">
        <f t="shared" si="81"/>
        <v>40000</v>
      </c>
      <c r="I183" s="13">
        <f t="shared" si="65"/>
        <v>118.03054519911358</v>
      </c>
      <c r="J183" s="13">
        <f t="shared" si="82"/>
        <v>229.43249497984493</v>
      </c>
      <c r="K183" s="13">
        <f t="shared" si="66"/>
        <v>114.06838649159222</v>
      </c>
      <c r="L183" s="13">
        <f t="shared" si="83"/>
        <v>115.91775271515529</v>
      </c>
      <c r="M183" s="13">
        <f t="shared" si="84"/>
        <v>2.1953170167367486</v>
      </c>
      <c r="N183" s="13">
        <f t="shared" si="85"/>
        <v>2.1095783684666114</v>
      </c>
      <c r="O183" s="4">
        <f t="shared" si="67"/>
        <v>1.032</v>
      </c>
      <c r="P183" s="4">
        <f t="shared" si="68"/>
        <v>1.1165519658097534</v>
      </c>
      <c r="Q183" s="4">
        <f t="shared" si="69"/>
        <v>0.77610411244143684</v>
      </c>
      <c r="R183" s="4">
        <f t="shared" si="70"/>
        <v>0.20755823502353879</v>
      </c>
      <c r="S183" s="4">
        <f t="shared" si="71"/>
        <v>0.24718421927070242</v>
      </c>
      <c r="T183" s="1"/>
      <c r="U183" s="1"/>
      <c r="V183" s="1">
        <v>1</v>
      </c>
      <c r="W183" s="1">
        <v>1</v>
      </c>
      <c r="Y183" s="1">
        <f t="shared" si="86"/>
        <v>-10.268331576098296</v>
      </c>
      <c r="Z183" s="1">
        <f t="shared" si="87"/>
        <v>-10.268331576098296</v>
      </c>
      <c r="AB183" s="130">
        <v>1</v>
      </c>
      <c r="AC183" s="128">
        <f t="shared" si="72"/>
        <v>0.52572811275764275</v>
      </c>
      <c r="AD183" s="4">
        <f t="shared" si="73"/>
        <v>0.20755823502353879</v>
      </c>
      <c r="AE183" s="4">
        <f t="shared" si="74"/>
        <v>0.34593039170589801</v>
      </c>
      <c r="AF183" s="32">
        <f t="shared" si="75"/>
        <v>0.53961628658460059</v>
      </c>
      <c r="AG183" s="4">
        <f t="shared" si="76"/>
        <v>0.8845457811430979</v>
      </c>
      <c r="AH183" s="42">
        <f t="shared" si="77"/>
        <v>1.4811805825415796</v>
      </c>
      <c r="AJ183" s="23">
        <v>4</v>
      </c>
      <c r="AK183" s="24">
        <v>0.8</v>
      </c>
      <c r="AL183" s="5">
        <f t="shared" si="78"/>
        <v>2.0799999999999999E-2</v>
      </c>
      <c r="AM183" s="5">
        <f t="shared" si="88"/>
        <v>0.1194718394324346</v>
      </c>
      <c r="AN183" s="25">
        <f t="shared" si="89"/>
        <v>-8.0000000000000002E-3</v>
      </c>
      <c r="AO183" s="30">
        <f t="shared" si="79"/>
        <v>1.4E-2</v>
      </c>
      <c r="AP183" s="5">
        <f t="shared" si="80"/>
        <v>0.18</v>
      </c>
      <c r="AQ183" s="25">
        <v>0</v>
      </c>
    </row>
    <row r="184" spans="2:43">
      <c r="B184" s="38">
        <v>40000</v>
      </c>
      <c r="C184" s="3">
        <v>0</v>
      </c>
      <c r="D184" s="3">
        <f t="shared" si="91"/>
        <v>0.44999999999999996</v>
      </c>
      <c r="E184" s="13" cm="1">
        <f t="array" ref="E184">((B184-INDEX($AT$4:$AW$53,MATCH(B184,$AT$4:$AT$53,1),1))/(INDEX($AT$4:$AW$53,MATCH(B184,$AT$4:$AT$53,1)+1,1)-INDEX($AT$4:$AW$53,MATCH(B184,$AT$4:$AT$53,1),1)))*(INDEX($AT$4:$AW$53,MATCH(B184,$AT$4:$AT$53,1)+1,4)-INDEX($AT$4:$AW$53,MATCH(B184,$AT$4:$AT$53,1),4))+INDEX($AT$4:$AW$53,MATCH(B184,$AT$4:$AT$53,1),4)</f>
        <v>18.835521147023321</v>
      </c>
      <c r="F184" s="13" cm="1">
        <f t="array" ref="F184">C184+((B184-INDEX($AT$4:$AW$53,MATCH(B184,$AT$4:$AT$53,1),1))/(INDEX($AT$4:$AW$53,MATCH(B184,$AT$4:$AT$53,1)+1,1)-INDEX($AT$4:$AW$53,MATCH(B184,$AT$4:$AT$53,1),1)))*(INDEX($AT$4:$AW$53,MATCH(B184,$AT$4:$AT$53,1)+1,3)-INDEX($AT$4:$AW$53,MATCH(B184,$AT$4:$AT$53,1),3))+INDEX($AT$4:$AW$53,MATCH(B184,$AT$4:$AT$53,1),3)</f>
        <v>216.7</v>
      </c>
      <c r="G184" s="4">
        <f t="shared" si="64"/>
        <v>0.30285645382388221</v>
      </c>
      <c r="H184" s="6">
        <f t="shared" si="81"/>
        <v>40000</v>
      </c>
      <c r="I184" s="13">
        <f t="shared" si="65"/>
        <v>132.78436334900277</v>
      </c>
      <c r="J184" s="13">
        <f t="shared" si="82"/>
        <v>258.11155685232558</v>
      </c>
      <c r="K184" s="13">
        <f t="shared" si="66"/>
        <v>128.32693480304127</v>
      </c>
      <c r="L184" s="13">
        <f t="shared" si="83"/>
        <v>130.95692754772199</v>
      </c>
      <c r="M184" s="13">
        <f t="shared" si="84"/>
        <v>2.8078514898629163</v>
      </c>
      <c r="N184" s="13">
        <f t="shared" si="85"/>
        <v>2.6699351225905548</v>
      </c>
      <c r="O184" s="4">
        <f t="shared" si="67"/>
        <v>1.0405</v>
      </c>
      <c r="P184" s="4">
        <f t="shared" si="68"/>
        <v>1.1490721423604813</v>
      </c>
      <c r="Q184" s="4">
        <f t="shared" si="69"/>
        <v>0.78249644282491759</v>
      </c>
      <c r="R184" s="4">
        <f t="shared" si="70"/>
        <v>0.21360348025547729</v>
      </c>
      <c r="S184" s="4">
        <f t="shared" si="71"/>
        <v>0.24718421927070242</v>
      </c>
      <c r="T184" s="1"/>
      <c r="U184" s="1"/>
      <c r="V184" s="1">
        <v>1</v>
      </c>
      <c r="W184" s="1">
        <v>1</v>
      </c>
      <c r="Y184" s="1">
        <f t="shared" si="86"/>
        <v>-7.2337089841031306</v>
      </c>
      <c r="Z184" s="1">
        <f t="shared" si="87"/>
        <v>-7.2337089841031306</v>
      </c>
      <c r="AB184" s="130">
        <v>1</v>
      </c>
      <c r="AC184" s="128">
        <f t="shared" si="72"/>
        <v>0.52304257247250441</v>
      </c>
      <c r="AD184" s="4">
        <f t="shared" si="73"/>
        <v>0.21360348025547729</v>
      </c>
      <c r="AE184" s="4">
        <f t="shared" si="74"/>
        <v>0.35600580042579549</v>
      </c>
      <c r="AF184" s="32">
        <f t="shared" si="75"/>
        <v>0.56303073373250612</v>
      </c>
      <c r="AG184" s="4">
        <f t="shared" si="76"/>
        <v>0.89755380733637857</v>
      </c>
      <c r="AH184" s="42">
        <f t="shared" si="77"/>
        <v>1.4928878061155324</v>
      </c>
      <c r="AJ184" s="23">
        <v>4</v>
      </c>
      <c r="AK184" s="24">
        <v>0.8</v>
      </c>
      <c r="AL184" s="5">
        <f t="shared" si="78"/>
        <v>2.0799999999999999E-2</v>
      </c>
      <c r="AM184" s="5">
        <f t="shared" si="88"/>
        <v>0.1194718394324346</v>
      </c>
      <c r="AN184" s="25">
        <f t="shared" si="89"/>
        <v>-8.0000000000000002E-3</v>
      </c>
      <c r="AO184" s="30">
        <f t="shared" si="79"/>
        <v>1.4E-2</v>
      </c>
      <c r="AP184" s="5">
        <f t="shared" si="80"/>
        <v>0.18</v>
      </c>
      <c r="AQ184" s="25">
        <v>0</v>
      </c>
    </row>
    <row r="185" spans="2:43">
      <c r="B185" s="38">
        <v>40000</v>
      </c>
      <c r="C185" s="3">
        <v>0</v>
      </c>
      <c r="D185" s="3">
        <f t="shared" si="91"/>
        <v>0.49999999999999994</v>
      </c>
      <c r="E185" s="13" cm="1">
        <f t="array" ref="E185">((B185-INDEX($AT$4:$AW$53,MATCH(B185,$AT$4:$AT$53,1),1))/(INDEX($AT$4:$AW$53,MATCH(B185,$AT$4:$AT$53,1)+1,1)-INDEX($AT$4:$AW$53,MATCH(B185,$AT$4:$AT$53,1),1)))*(INDEX($AT$4:$AW$53,MATCH(B185,$AT$4:$AT$53,1)+1,4)-INDEX($AT$4:$AW$53,MATCH(B185,$AT$4:$AT$53,1),4))+INDEX($AT$4:$AW$53,MATCH(B185,$AT$4:$AT$53,1),4)</f>
        <v>18.835521147023321</v>
      </c>
      <c r="F185" s="13" cm="1">
        <f t="array" ref="F185">C185+((B185-INDEX($AT$4:$AW$53,MATCH(B185,$AT$4:$AT$53,1),1))/(INDEX($AT$4:$AW$53,MATCH(B185,$AT$4:$AT$53,1)+1,1)-INDEX($AT$4:$AW$53,MATCH(B185,$AT$4:$AT$53,1),1)))*(INDEX($AT$4:$AW$53,MATCH(B185,$AT$4:$AT$53,1)+1,3)-INDEX($AT$4:$AW$53,MATCH(B185,$AT$4:$AT$53,1),3))+INDEX($AT$4:$AW$53,MATCH(B185,$AT$4:$AT$53,1),3)</f>
        <v>216.7</v>
      </c>
      <c r="G185" s="4">
        <f t="shared" si="64"/>
        <v>0.30285645382388221</v>
      </c>
      <c r="H185" s="6">
        <f t="shared" si="81"/>
        <v>40000</v>
      </c>
      <c r="I185" s="13">
        <f t="shared" si="65"/>
        <v>147.53818149889196</v>
      </c>
      <c r="J185" s="13">
        <f t="shared" si="82"/>
        <v>286.79061872480617</v>
      </c>
      <c r="K185" s="13">
        <f t="shared" si="66"/>
        <v>142.58548311449027</v>
      </c>
      <c r="L185" s="13">
        <f t="shared" si="83"/>
        <v>146.18813990519882</v>
      </c>
      <c r="M185" s="13">
        <f t="shared" si="84"/>
        <v>3.5074120817282628</v>
      </c>
      <c r="N185" s="13">
        <f t="shared" si="85"/>
        <v>3.2962162007290794</v>
      </c>
      <c r="O185" s="4">
        <f t="shared" si="67"/>
        <v>1.05</v>
      </c>
      <c r="P185" s="4">
        <f t="shared" si="68"/>
        <v>1.1862126380443982</v>
      </c>
      <c r="Q185" s="4">
        <f t="shared" si="69"/>
        <v>0.78964081207704329</v>
      </c>
      <c r="R185" s="4">
        <f t="shared" si="70"/>
        <v>0.22050760650137263</v>
      </c>
      <c r="S185" s="4">
        <f t="shared" si="71"/>
        <v>0.24718421927070242</v>
      </c>
      <c r="T185" s="1"/>
      <c r="U185" s="1"/>
      <c r="V185" s="1">
        <v>1</v>
      </c>
      <c r="W185" s="1">
        <v>1</v>
      </c>
      <c r="Y185" s="1">
        <f t="shared" si="86"/>
        <v>-4.6940021708332527</v>
      </c>
      <c r="Z185" s="1">
        <f t="shared" si="87"/>
        <v>-4.6940021708332527</v>
      </c>
      <c r="AB185" s="130">
        <v>1</v>
      </c>
      <c r="AC185" s="128">
        <f t="shared" si="72"/>
        <v>0.52050252531694174</v>
      </c>
      <c r="AD185" s="4">
        <f t="shared" si="73"/>
        <v>0.22050760650137263</v>
      </c>
      <c r="AE185" s="4">
        <f t="shared" si="74"/>
        <v>0.36751267750228772</v>
      </c>
      <c r="AF185" s="32">
        <f t="shared" si="75"/>
        <v>0.58644518088041164</v>
      </c>
      <c r="AG185" s="4">
        <f t="shared" si="76"/>
        <v>0.91056183352965958</v>
      </c>
      <c r="AH185" s="42">
        <f t="shared" si="77"/>
        <v>1.5045950296894852</v>
      </c>
      <c r="AJ185" s="23">
        <v>4</v>
      </c>
      <c r="AK185" s="24">
        <v>0.8</v>
      </c>
      <c r="AL185" s="5">
        <f t="shared" si="78"/>
        <v>2.0799999999999999E-2</v>
      </c>
      <c r="AM185" s="5">
        <f t="shared" si="88"/>
        <v>0.1194718394324346</v>
      </c>
      <c r="AN185" s="25">
        <f t="shared" si="89"/>
        <v>-8.0000000000000002E-3</v>
      </c>
      <c r="AO185" s="30">
        <f t="shared" si="79"/>
        <v>1.4E-2</v>
      </c>
      <c r="AP185" s="5">
        <f t="shared" si="80"/>
        <v>0.18</v>
      </c>
      <c r="AQ185" s="25">
        <v>0</v>
      </c>
    </row>
    <row r="186" spans="2:43">
      <c r="B186" s="38">
        <v>40000</v>
      </c>
      <c r="C186" s="3">
        <v>0</v>
      </c>
      <c r="D186" s="3">
        <f t="shared" si="91"/>
        <v>0.54999999999999993</v>
      </c>
      <c r="E186" s="13" cm="1">
        <f t="array" ref="E186">((B186-INDEX($AT$4:$AW$53,MATCH(B186,$AT$4:$AT$53,1),1))/(INDEX($AT$4:$AW$53,MATCH(B186,$AT$4:$AT$53,1)+1,1)-INDEX($AT$4:$AW$53,MATCH(B186,$AT$4:$AT$53,1),1)))*(INDEX($AT$4:$AW$53,MATCH(B186,$AT$4:$AT$53,1)+1,4)-INDEX($AT$4:$AW$53,MATCH(B186,$AT$4:$AT$53,1),4))+INDEX($AT$4:$AW$53,MATCH(B186,$AT$4:$AT$53,1),4)</f>
        <v>18.835521147023321</v>
      </c>
      <c r="F186" s="13" cm="1">
        <f t="array" ref="F186">C186+((B186-INDEX($AT$4:$AW$53,MATCH(B186,$AT$4:$AT$53,1),1))/(INDEX($AT$4:$AW$53,MATCH(B186,$AT$4:$AT$53,1)+1,1)-INDEX($AT$4:$AW$53,MATCH(B186,$AT$4:$AT$53,1),1)))*(INDEX($AT$4:$AW$53,MATCH(B186,$AT$4:$AT$53,1)+1,3)-INDEX($AT$4:$AW$53,MATCH(B186,$AT$4:$AT$53,1),3))+INDEX($AT$4:$AW$53,MATCH(B186,$AT$4:$AT$53,1),3)</f>
        <v>216.7</v>
      </c>
      <c r="G186" s="4">
        <f t="shared" si="64"/>
        <v>0.30285645382388221</v>
      </c>
      <c r="H186" s="6">
        <f t="shared" si="81"/>
        <v>40000</v>
      </c>
      <c r="I186" s="13">
        <f t="shared" si="65"/>
        <v>162.29199964878117</v>
      </c>
      <c r="J186" s="13">
        <f t="shared" si="82"/>
        <v>315.46968059728681</v>
      </c>
      <c r="K186" s="13">
        <f t="shared" si="66"/>
        <v>156.84403142593931</v>
      </c>
      <c r="L186" s="13">
        <f t="shared" si="83"/>
        <v>161.63158198865858</v>
      </c>
      <c r="M186" s="13">
        <f t="shared" si="84"/>
        <v>4.2992387142215973</v>
      </c>
      <c r="N186" s="13">
        <f t="shared" si="85"/>
        <v>3.9884216028821871</v>
      </c>
      <c r="O186" s="4">
        <f t="shared" si="67"/>
        <v>1.0605</v>
      </c>
      <c r="P186" s="4">
        <f t="shared" si="68"/>
        <v>1.2282516464855568</v>
      </c>
      <c r="Q186" s="4">
        <f t="shared" si="69"/>
        <v>0.7975372201978137</v>
      </c>
      <c r="R186" s="4">
        <f t="shared" si="70"/>
        <v>0.22832232776950326</v>
      </c>
      <c r="S186" s="4">
        <f t="shared" si="71"/>
        <v>0.24718421927070242</v>
      </c>
      <c r="T186" s="1"/>
      <c r="U186" s="1"/>
      <c r="V186" s="1">
        <v>1</v>
      </c>
      <c r="W186" s="1">
        <v>1</v>
      </c>
      <c r="Y186" s="1">
        <f t="shared" si="86"/>
        <v>-2.5353448407853083</v>
      </c>
      <c r="Z186" s="1">
        <f t="shared" si="87"/>
        <v>-2.5353448407853083</v>
      </c>
      <c r="AB186" s="130">
        <v>1</v>
      </c>
      <c r="AC186" s="128">
        <f t="shared" si="72"/>
        <v>0.51808661059033034</v>
      </c>
      <c r="AD186" s="4">
        <f t="shared" si="73"/>
        <v>0.22832232776950326</v>
      </c>
      <c r="AE186" s="4">
        <f t="shared" si="74"/>
        <v>0.38053721294917209</v>
      </c>
      <c r="AF186" s="32">
        <f t="shared" si="75"/>
        <v>0.60985962802831717</v>
      </c>
      <c r="AG186" s="4">
        <f t="shared" si="76"/>
        <v>0.92356985972294037</v>
      </c>
      <c r="AH186" s="42">
        <f t="shared" si="77"/>
        <v>1.516302253263438</v>
      </c>
      <c r="AJ186" s="23">
        <v>4</v>
      </c>
      <c r="AK186" s="24">
        <v>0.8</v>
      </c>
      <c r="AL186" s="5">
        <f t="shared" si="78"/>
        <v>2.0799999999999999E-2</v>
      </c>
      <c r="AM186" s="5">
        <f t="shared" si="88"/>
        <v>0.1194718394324346</v>
      </c>
      <c r="AN186" s="25">
        <f t="shared" si="89"/>
        <v>-8.0000000000000002E-3</v>
      </c>
      <c r="AO186" s="30">
        <f t="shared" si="79"/>
        <v>1.4E-2</v>
      </c>
      <c r="AP186" s="5">
        <f t="shared" si="80"/>
        <v>0.18</v>
      </c>
      <c r="AQ186" s="25">
        <v>0</v>
      </c>
    </row>
    <row r="187" spans="2:43">
      <c r="B187" s="38">
        <v>40000</v>
      </c>
      <c r="C187" s="3">
        <v>0</v>
      </c>
      <c r="D187" s="3">
        <f t="shared" si="91"/>
        <v>0.6</v>
      </c>
      <c r="E187" s="13" cm="1">
        <f t="array" ref="E187">((B187-INDEX($AT$4:$AW$53,MATCH(B187,$AT$4:$AT$53,1),1))/(INDEX($AT$4:$AW$53,MATCH(B187,$AT$4:$AT$53,1)+1,1)-INDEX($AT$4:$AW$53,MATCH(B187,$AT$4:$AT$53,1),1)))*(INDEX($AT$4:$AW$53,MATCH(B187,$AT$4:$AT$53,1)+1,4)-INDEX($AT$4:$AW$53,MATCH(B187,$AT$4:$AT$53,1),4))+INDEX($AT$4:$AW$53,MATCH(B187,$AT$4:$AT$53,1),4)</f>
        <v>18.835521147023321</v>
      </c>
      <c r="F187" s="13" cm="1">
        <f t="array" ref="F187">C187+((B187-INDEX($AT$4:$AW$53,MATCH(B187,$AT$4:$AT$53,1),1))/(INDEX($AT$4:$AW$53,MATCH(B187,$AT$4:$AT$53,1)+1,1)-INDEX($AT$4:$AW$53,MATCH(B187,$AT$4:$AT$53,1),1)))*(INDEX($AT$4:$AW$53,MATCH(B187,$AT$4:$AT$53,1)+1,3)-INDEX($AT$4:$AW$53,MATCH(B187,$AT$4:$AT$53,1),3))+INDEX($AT$4:$AW$53,MATCH(B187,$AT$4:$AT$53,1),3)</f>
        <v>216.7</v>
      </c>
      <c r="G187" s="4">
        <f t="shared" si="64"/>
        <v>0.30285645382388221</v>
      </c>
      <c r="H187" s="6">
        <f t="shared" si="81"/>
        <v>40000</v>
      </c>
      <c r="I187" s="13">
        <f t="shared" si="65"/>
        <v>177.04581779867038</v>
      </c>
      <c r="J187" s="13">
        <f t="shared" si="82"/>
        <v>344.14874246976746</v>
      </c>
      <c r="K187" s="13">
        <f t="shared" si="66"/>
        <v>171.10257973738837</v>
      </c>
      <c r="L187" s="13">
        <f t="shared" si="83"/>
        <v>177.30701627526983</v>
      </c>
      <c r="M187" s="13">
        <f t="shared" si="84"/>
        <v>5.189257205349934</v>
      </c>
      <c r="N187" s="13">
        <f t="shared" si="85"/>
        <v>4.7465513290498755</v>
      </c>
      <c r="O187" s="4">
        <f t="shared" si="67"/>
        <v>1.0720000000000001</v>
      </c>
      <c r="P187" s="4">
        <f t="shared" si="68"/>
        <v>1.2755037763406945</v>
      </c>
      <c r="Q187" s="4">
        <f t="shared" si="69"/>
        <v>0.80618566718722895</v>
      </c>
      <c r="R187" s="4">
        <f t="shared" si="70"/>
        <v>0.23710612733652359</v>
      </c>
      <c r="S187" s="4">
        <f t="shared" si="71"/>
        <v>0.24718421927070242</v>
      </c>
      <c r="T187" s="1"/>
      <c r="U187" s="1"/>
      <c r="V187" s="1">
        <v>1</v>
      </c>
      <c r="W187" s="1">
        <v>1</v>
      </c>
      <c r="Y187" s="1">
        <f t="shared" si="86"/>
        <v>-0.68097798474906657</v>
      </c>
      <c r="Z187" s="1">
        <f t="shared" si="87"/>
        <v>-0.68097798474906657</v>
      </c>
      <c r="AB187" s="130">
        <v>1</v>
      </c>
      <c r="AC187" s="128">
        <f t="shared" si="72"/>
        <v>0.51577823315309623</v>
      </c>
      <c r="AD187" s="4">
        <f t="shared" si="73"/>
        <v>0.23710612733652359</v>
      </c>
      <c r="AE187" s="4">
        <f t="shared" si="74"/>
        <v>0.395176878894206</v>
      </c>
      <c r="AF187" s="32">
        <f t="shared" si="75"/>
        <v>0.63327407517622269</v>
      </c>
      <c r="AG187" s="4">
        <f t="shared" si="76"/>
        <v>0.93657788591622126</v>
      </c>
      <c r="AH187" s="42">
        <f t="shared" si="77"/>
        <v>1.5280094768373906</v>
      </c>
      <c r="AJ187" s="23">
        <v>4</v>
      </c>
      <c r="AK187" s="24">
        <v>0.8</v>
      </c>
      <c r="AL187" s="5">
        <f t="shared" si="78"/>
        <v>2.0799999999999999E-2</v>
      </c>
      <c r="AM187" s="5">
        <f t="shared" si="88"/>
        <v>0.1194718394324346</v>
      </c>
      <c r="AN187" s="25">
        <f t="shared" si="89"/>
        <v>-8.0000000000000002E-3</v>
      </c>
      <c r="AO187" s="30">
        <f t="shared" si="79"/>
        <v>1.4E-2</v>
      </c>
      <c r="AP187" s="5">
        <f t="shared" si="80"/>
        <v>0.18</v>
      </c>
      <c r="AQ187" s="25">
        <v>0</v>
      </c>
    </row>
    <row r="188" spans="2:43">
      <c r="B188" s="38">
        <v>40000</v>
      </c>
      <c r="C188" s="3">
        <v>0</v>
      </c>
      <c r="D188" s="3">
        <f t="shared" si="91"/>
        <v>0.65</v>
      </c>
      <c r="E188" s="13" cm="1">
        <f t="array" ref="E188">((B188-INDEX($AT$4:$AW$53,MATCH(B188,$AT$4:$AT$53,1),1))/(INDEX($AT$4:$AW$53,MATCH(B188,$AT$4:$AT$53,1)+1,1)-INDEX($AT$4:$AW$53,MATCH(B188,$AT$4:$AT$53,1),1)))*(INDEX($AT$4:$AW$53,MATCH(B188,$AT$4:$AT$53,1)+1,4)-INDEX($AT$4:$AW$53,MATCH(B188,$AT$4:$AT$53,1),4))+INDEX($AT$4:$AW$53,MATCH(B188,$AT$4:$AT$53,1),4)</f>
        <v>18.835521147023321</v>
      </c>
      <c r="F188" s="13" cm="1">
        <f t="array" ref="F188">C188+((B188-INDEX($AT$4:$AW$53,MATCH(B188,$AT$4:$AT$53,1),1))/(INDEX($AT$4:$AW$53,MATCH(B188,$AT$4:$AT$53,1)+1,1)-INDEX($AT$4:$AW$53,MATCH(B188,$AT$4:$AT$53,1),1)))*(INDEX($AT$4:$AW$53,MATCH(B188,$AT$4:$AT$53,1)+1,3)-INDEX($AT$4:$AW$53,MATCH(B188,$AT$4:$AT$53,1),3))+INDEX($AT$4:$AW$53,MATCH(B188,$AT$4:$AT$53,1),3)</f>
        <v>216.7</v>
      </c>
      <c r="G188" s="4">
        <f t="shared" si="64"/>
        <v>0.30285645382388221</v>
      </c>
      <c r="H188" s="6">
        <f t="shared" si="81"/>
        <v>40000</v>
      </c>
      <c r="I188" s="13">
        <f t="shared" si="65"/>
        <v>191.7996359485596</v>
      </c>
      <c r="J188" s="13">
        <f t="shared" si="82"/>
        <v>372.8278043422481</v>
      </c>
      <c r="K188" s="13">
        <f t="shared" si="66"/>
        <v>185.3611280488374</v>
      </c>
      <c r="L188" s="13">
        <f t="shared" si="83"/>
        <v>193.23370128677774</v>
      </c>
      <c r="M188" s="13">
        <f t="shared" si="84"/>
        <v>6.1841206765763692</v>
      </c>
      <c r="N188" s="13">
        <f t="shared" si="85"/>
        <v>5.5706053792321475</v>
      </c>
      <c r="O188" s="4">
        <f t="shared" si="67"/>
        <v>1.0845</v>
      </c>
      <c r="P188" s="4">
        <f t="shared" si="68"/>
        <v>1.328322249663566</v>
      </c>
      <c r="Q188" s="4">
        <f t="shared" si="69"/>
        <v>0.81558615304528892</v>
      </c>
      <c r="R188" s="4">
        <f t="shared" si="70"/>
        <v>0.24692466640611588</v>
      </c>
      <c r="S188" s="4">
        <f t="shared" si="71"/>
        <v>0.24718421927070242</v>
      </c>
      <c r="T188" s="1"/>
      <c r="U188" s="1"/>
      <c r="V188" s="1">
        <v>1</v>
      </c>
      <c r="W188" s="1">
        <v>1</v>
      </c>
      <c r="Y188" s="1">
        <f t="shared" si="86"/>
        <v>0.92390715640856558</v>
      </c>
      <c r="Z188" s="1">
        <f t="shared" si="87"/>
        <v>0.92390715640856558</v>
      </c>
      <c r="AB188" s="130">
        <v>1</v>
      </c>
      <c r="AC188" s="128">
        <f t="shared" si="72"/>
        <v>0.51356419576191015</v>
      </c>
      <c r="AD188" s="4">
        <f t="shared" si="73"/>
        <v>0.24692466640611588</v>
      </c>
      <c r="AE188" s="4">
        <f t="shared" si="74"/>
        <v>0.41154111067685983</v>
      </c>
      <c r="AF188" s="32">
        <f t="shared" si="75"/>
        <v>0.65668852232412822</v>
      </c>
      <c r="AG188" s="4">
        <f t="shared" si="76"/>
        <v>0.94958591210950205</v>
      </c>
      <c r="AH188" s="42">
        <f t="shared" si="77"/>
        <v>1.5397167004113435</v>
      </c>
      <c r="AJ188" s="23">
        <v>4</v>
      </c>
      <c r="AK188" s="24">
        <v>0.8</v>
      </c>
      <c r="AL188" s="5">
        <f t="shared" si="78"/>
        <v>2.0799999999999999E-2</v>
      </c>
      <c r="AM188" s="5">
        <f t="shared" si="88"/>
        <v>0.1194718394324346</v>
      </c>
      <c r="AN188" s="25">
        <f t="shared" si="89"/>
        <v>-8.0000000000000002E-3</v>
      </c>
      <c r="AO188" s="30">
        <f t="shared" si="79"/>
        <v>1.4E-2</v>
      </c>
      <c r="AP188" s="5">
        <f t="shared" si="80"/>
        <v>0.18</v>
      </c>
      <c r="AQ188" s="25">
        <v>0</v>
      </c>
    </row>
    <row r="189" spans="2:43">
      <c r="B189" s="38">
        <v>40000</v>
      </c>
      <c r="C189" s="3">
        <v>0</v>
      </c>
      <c r="D189" s="3">
        <f t="shared" si="91"/>
        <v>0.70000000000000007</v>
      </c>
      <c r="E189" s="13" cm="1">
        <f t="array" ref="E189">((B189-INDEX($AT$4:$AW$53,MATCH(B189,$AT$4:$AT$53,1),1))/(INDEX($AT$4:$AW$53,MATCH(B189,$AT$4:$AT$53,1)+1,1)-INDEX($AT$4:$AW$53,MATCH(B189,$AT$4:$AT$53,1),1)))*(INDEX($AT$4:$AW$53,MATCH(B189,$AT$4:$AT$53,1)+1,4)-INDEX($AT$4:$AW$53,MATCH(B189,$AT$4:$AT$53,1),4))+INDEX($AT$4:$AW$53,MATCH(B189,$AT$4:$AT$53,1),4)</f>
        <v>18.835521147023321</v>
      </c>
      <c r="F189" s="13" cm="1">
        <f t="array" ref="F189">C189+((B189-INDEX($AT$4:$AW$53,MATCH(B189,$AT$4:$AT$53,1),1))/(INDEX($AT$4:$AW$53,MATCH(B189,$AT$4:$AT$53,1)+1,1)-INDEX($AT$4:$AW$53,MATCH(B189,$AT$4:$AT$53,1),1)))*(INDEX($AT$4:$AW$53,MATCH(B189,$AT$4:$AT$53,1)+1,3)-INDEX($AT$4:$AW$53,MATCH(B189,$AT$4:$AT$53,1),3))+INDEX($AT$4:$AW$53,MATCH(B189,$AT$4:$AT$53,1),3)</f>
        <v>216.7</v>
      </c>
      <c r="G189" s="4">
        <f t="shared" si="64"/>
        <v>0.30285645382388221</v>
      </c>
      <c r="H189" s="6">
        <f t="shared" si="81"/>
        <v>40000</v>
      </c>
      <c r="I189" s="13">
        <f t="shared" si="65"/>
        <v>206.55345409844881</v>
      </c>
      <c r="J189" s="13">
        <f t="shared" si="82"/>
        <v>401.50686621472875</v>
      </c>
      <c r="K189" s="13">
        <f t="shared" si="66"/>
        <v>199.61967636028643</v>
      </c>
      <c r="L189" s="13">
        <f t="shared" si="83"/>
        <v>209.43031034922862</v>
      </c>
      <c r="M189" s="13">
        <f t="shared" si="84"/>
        <v>7.2912554226986135</v>
      </c>
      <c r="N189" s="13">
        <f t="shared" si="85"/>
        <v>6.4605837534290007</v>
      </c>
      <c r="O189" s="4">
        <f t="shared" si="67"/>
        <v>1.0980000000000001</v>
      </c>
      <c r="P189" s="4">
        <f t="shared" si="68"/>
        <v>1.3871013371908156</v>
      </c>
      <c r="Q189" s="4">
        <f t="shared" si="69"/>
        <v>0.82573867777199383</v>
      </c>
      <c r="R189" s="4">
        <f t="shared" si="70"/>
        <v>0.25785123680949351</v>
      </c>
      <c r="S189" s="4">
        <f t="shared" si="71"/>
        <v>0.24718421927070242</v>
      </c>
      <c r="T189" s="1"/>
      <c r="U189" s="1"/>
      <c r="V189" s="1">
        <v>1</v>
      </c>
      <c r="W189" s="1">
        <v>1</v>
      </c>
      <c r="Y189" s="1">
        <f t="shared" si="86"/>
        <v>2.3209474060729889</v>
      </c>
      <c r="Z189" s="1">
        <f t="shared" si="87"/>
        <v>2.3209474060729889</v>
      </c>
      <c r="AB189" s="130">
        <v>1</v>
      </c>
      <c r="AC189" s="128">
        <f t="shared" si="72"/>
        <v>0.51143379814261469</v>
      </c>
      <c r="AD189" s="4">
        <f t="shared" si="73"/>
        <v>0.25785123680949351</v>
      </c>
      <c r="AE189" s="4">
        <f t="shared" si="74"/>
        <v>0.42975206134915589</v>
      </c>
      <c r="AF189" s="32">
        <f t="shared" si="75"/>
        <v>0.68010296947203386</v>
      </c>
      <c r="AG189" s="4">
        <f t="shared" si="76"/>
        <v>0.96259393830278306</v>
      </c>
      <c r="AH189" s="42">
        <f t="shared" si="77"/>
        <v>1.5514239239852963</v>
      </c>
      <c r="AJ189" s="23">
        <v>4</v>
      </c>
      <c r="AK189" s="24">
        <v>0.8</v>
      </c>
      <c r="AL189" s="5">
        <f t="shared" si="78"/>
        <v>2.0799999999999999E-2</v>
      </c>
      <c r="AM189" s="5">
        <f t="shared" si="88"/>
        <v>0.1194718394324346</v>
      </c>
      <c r="AN189" s="25">
        <f t="shared" si="89"/>
        <v>-8.0000000000000002E-3</v>
      </c>
      <c r="AO189" s="30">
        <f t="shared" si="79"/>
        <v>1.4E-2</v>
      </c>
      <c r="AP189" s="5">
        <f t="shared" si="80"/>
        <v>0.18</v>
      </c>
      <c r="AQ189" s="25">
        <v>0</v>
      </c>
    </row>
    <row r="190" spans="2:43">
      <c r="B190" s="38">
        <v>40000</v>
      </c>
      <c r="C190" s="3">
        <v>0</v>
      </c>
      <c r="D190" s="3">
        <f t="shared" si="91"/>
        <v>0.75000000000000011</v>
      </c>
      <c r="E190" s="13" cm="1">
        <f t="array" ref="E190">((B190-INDEX($AT$4:$AW$53,MATCH(B190,$AT$4:$AT$53,1),1))/(INDEX($AT$4:$AW$53,MATCH(B190,$AT$4:$AT$53,1)+1,1)-INDEX($AT$4:$AW$53,MATCH(B190,$AT$4:$AT$53,1),1)))*(INDEX($AT$4:$AW$53,MATCH(B190,$AT$4:$AT$53,1)+1,4)-INDEX($AT$4:$AW$53,MATCH(B190,$AT$4:$AT$53,1),4))+INDEX($AT$4:$AW$53,MATCH(B190,$AT$4:$AT$53,1),4)</f>
        <v>18.835521147023321</v>
      </c>
      <c r="F190" s="13" cm="1">
        <f t="array" ref="F190">C190+((B190-INDEX($AT$4:$AW$53,MATCH(B190,$AT$4:$AT$53,1),1))/(INDEX($AT$4:$AW$53,MATCH(B190,$AT$4:$AT$53,1)+1,1)-INDEX($AT$4:$AW$53,MATCH(B190,$AT$4:$AT$53,1),1)))*(INDEX($AT$4:$AW$53,MATCH(B190,$AT$4:$AT$53,1)+1,3)-INDEX($AT$4:$AW$53,MATCH(B190,$AT$4:$AT$53,1),3))+INDEX($AT$4:$AW$53,MATCH(B190,$AT$4:$AT$53,1),3)</f>
        <v>216.7</v>
      </c>
      <c r="G190" s="4">
        <f t="shared" si="64"/>
        <v>0.30285645382388221</v>
      </c>
      <c r="H190" s="6">
        <f t="shared" si="81"/>
        <v>40000</v>
      </c>
      <c r="I190" s="13">
        <f t="shared" si="65"/>
        <v>221.30727224833802</v>
      </c>
      <c r="J190" s="13">
        <f t="shared" si="82"/>
        <v>430.18592808720939</v>
      </c>
      <c r="K190" s="13">
        <f t="shared" si="66"/>
        <v>213.8782246717355</v>
      </c>
      <c r="L190" s="13">
        <f t="shared" si="83"/>
        <v>225.91484363217157</v>
      </c>
      <c r="M190" s="13">
        <f t="shared" si="84"/>
        <v>8.5189113800473013</v>
      </c>
      <c r="N190" s="13">
        <f t="shared" si="85"/>
        <v>7.4164864516404343</v>
      </c>
      <c r="O190" s="4">
        <f t="shared" si="67"/>
        <v>1.1125</v>
      </c>
      <c r="P190" s="4">
        <f t="shared" si="68"/>
        <v>1.4522790377580601</v>
      </c>
      <c r="Q190" s="4">
        <f t="shared" si="69"/>
        <v>0.83664324136734336</v>
      </c>
      <c r="R190" s="4">
        <f t="shared" si="70"/>
        <v>0.26996725908779295</v>
      </c>
      <c r="S190" s="4">
        <f t="shared" si="71"/>
        <v>0.24718421927070242</v>
      </c>
      <c r="T190" s="1"/>
      <c r="U190" s="1"/>
      <c r="V190" s="1">
        <v>1</v>
      </c>
      <c r="W190" s="1">
        <v>1</v>
      </c>
      <c r="Y190" s="1">
        <f t="shared" si="86"/>
        <v>3.5439943701230301</v>
      </c>
      <c r="Z190" s="1">
        <f t="shared" si="87"/>
        <v>3.5439943701230301</v>
      </c>
      <c r="AB190" s="130">
        <v>1</v>
      </c>
      <c r="AC190" s="128">
        <f t="shared" si="72"/>
        <v>0.50937822173508929</v>
      </c>
      <c r="AD190" s="4">
        <f t="shared" si="73"/>
        <v>0.26996725908779295</v>
      </c>
      <c r="AE190" s="4">
        <f t="shared" si="74"/>
        <v>0.44994543181298829</v>
      </c>
      <c r="AF190" s="32">
        <f t="shared" si="75"/>
        <v>0.70351741661993938</v>
      </c>
      <c r="AG190" s="4">
        <f t="shared" si="76"/>
        <v>0.97560196449606384</v>
      </c>
      <c r="AH190" s="42">
        <f t="shared" si="77"/>
        <v>1.5631311475592491</v>
      </c>
      <c r="AJ190" s="23">
        <v>4</v>
      </c>
      <c r="AK190" s="24">
        <v>0.8</v>
      </c>
      <c r="AL190" s="5">
        <f t="shared" si="78"/>
        <v>2.0799999999999999E-2</v>
      </c>
      <c r="AM190" s="5">
        <f t="shared" si="88"/>
        <v>0.1194718394324346</v>
      </c>
      <c r="AN190" s="25">
        <f t="shared" si="89"/>
        <v>-8.0000000000000002E-3</v>
      </c>
      <c r="AO190" s="30">
        <f t="shared" si="79"/>
        <v>1.4E-2</v>
      </c>
      <c r="AP190" s="5">
        <f t="shared" si="80"/>
        <v>0.18</v>
      </c>
      <c r="AQ190" s="25">
        <v>0</v>
      </c>
    </row>
    <row r="191" spans="2:43">
      <c r="B191" s="38">
        <v>40000</v>
      </c>
      <c r="C191" s="3">
        <v>0</v>
      </c>
      <c r="D191" s="3">
        <f t="shared" si="91"/>
        <v>0.80000000000000016</v>
      </c>
      <c r="E191" s="13" cm="1">
        <f t="array" ref="E191">((B191-INDEX($AT$4:$AW$53,MATCH(B191,$AT$4:$AT$53,1),1))/(INDEX($AT$4:$AW$53,MATCH(B191,$AT$4:$AT$53,1)+1,1)-INDEX($AT$4:$AW$53,MATCH(B191,$AT$4:$AT$53,1),1)))*(INDEX($AT$4:$AW$53,MATCH(B191,$AT$4:$AT$53,1)+1,4)-INDEX($AT$4:$AW$53,MATCH(B191,$AT$4:$AT$53,1),4))+INDEX($AT$4:$AW$53,MATCH(B191,$AT$4:$AT$53,1),4)</f>
        <v>18.835521147023321</v>
      </c>
      <c r="F191" s="13" cm="1">
        <f t="array" ref="F191">C191+((B191-INDEX($AT$4:$AW$53,MATCH(B191,$AT$4:$AT$53,1),1))/(INDEX($AT$4:$AW$53,MATCH(B191,$AT$4:$AT$53,1)+1,1)-INDEX($AT$4:$AW$53,MATCH(B191,$AT$4:$AT$53,1),1)))*(INDEX($AT$4:$AW$53,MATCH(B191,$AT$4:$AT$53,1)+1,3)-INDEX($AT$4:$AW$53,MATCH(B191,$AT$4:$AT$53,1),3))+INDEX($AT$4:$AW$53,MATCH(B191,$AT$4:$AT$53,1),3)</f>
        <v>216.7</v>
      </c>
      <c r="G191" s="4">
        <f t="shared" si="64"/>
        <v>0.30285645382388221</v>
      </c>
      <c r="H191" s="6">
        <f t="shared" si="81"/>
        <v>40000</v>
      </c>
      <c r="I191" s="13">
        <f t="shared" si="65"/>
        <v>236.06109039822724</v>
      </c>
      <c r="J191" s="13">
        <f t="shared" si="82"/>
        <v>458.86498995969004</v>
      </c>
      <c r="K191" s="13">
        <f t="shared" si="66"/>
        <v>228.13677298318453</v>
      </c>
      <c r="L191" s="13">
        <f t="shared" si="83"/>
        <v>242.70453401578561</v>
      </c>
      <c r="M191" s="13">
        <f t="shared" si="84"/>
        <v>9.8762173382723351</v>
      </c>
      <c r="N191" s="13">
        <f t="shared" si="85"/>
        <v>8.4383134738664509</v>
      </c>
      <c r="O191" s="4">
        <f t="shared" si="67"/>
        <v>1.1280000000000001</v>
      </c>
      <c r="P191" s="4">
        <f t="shared" si="68"/>
        <v>1.5243400095586486</v>
      </c>
      <c r="Q191" s="4">
        <f t="shared" si="69"/>
        <v>0.84829984383133794</v>
      </c>
      <c r="R191" s="4">
        <f t="shared" si="70"/>
        <v>0.28336282739003854</v>
      </c>
      <c r="S191" s="4">
        <f t="shared" si="71"/>
        <v>0.24718421927070242</v>
      </c>
      <c r="T191" s="1"/>
      <c r="U191" s="1"/>
      <c r="V191" s="1">
        <v>1</v>
      </c>
      <c r="W191" s="1">
        <v>1</v>
      </c>
      <c r="Y191" s="1">
        <f t="shared" si="86"/>
        <v>4.6226041631031158</v>
      </c>
      <c r="Z191" s="1">
        <f t="shared" si="87"/>
        <v>4.6226041631031158</v>
      </c>
      <c r="AB191" s="130">
        <v>1</v>
      </c>
      <c r="AC191" s="128">
        <f t="shared" si="72"/>
        <v>0.50739009663000589</v>
      </c>
      <c r="AD191" s="4">
        <f t="shared" si="73"/>
        <v>0.28336282739003854</v>
      </c>
      <c r="AE191" s="4">
        <f t="shared" si="74"/>
        <v>0.47227137898339761</v>
      </c>
      <c r="AF191" s="32">
        <f t="shared" si="75"/>
        <v>0.72693186376784491</v>
      </c>
      <c r="AG191" s="4">
        <f t="shared" si="76"/>
        <v>0.98860999068934474</v>
      </c>
      <c r="AH191" s="42">
        <f t="shared" si="77"/>
        <v>1.5748383711332017</v>
      </c>
      <c r="AJ191" s="23">
        <v>4</v>
      </c>
      <c r="AK191" s="24">
        <v>0.8</v>
      </c>
      <c r="AL191" s="5">
        <f t="shared" si="78"/>
        <v>2.0799999999999999E-2</v>
      </c>
      <c r="AM191" s="5">
        <f t="shared" si="88"/>
        <v>0.1194718394324346</v>
      </c>
      <c r="AN191" s="25">
        <f t="shared" si="89"/>
        <v>-8.0000000000000002E-3</v>
      </c>
      <c r="AO191" s="30">
        <f t="shared" si="79"/>
        <v>1.4000000000000004E-2</v>
      </c>
      <c r="AP191" s="5">
        <f t="shared" si="80"/>
        <v>0.18</v>
      </c>
      <c r="AQ191" s="25">
        <v>0</v>
      </c>
    </row>
    <row r="192" spans="2:43">
      <c r="B192" s="38">
        <v>40000</v>
      </c>
      <c r="C192" s="3">
        <v>0</v>
      </c>
      <c r="D192" s="3">
        <f t="shared" si="91"/>
        <v>0.8500000000000002</v>
      </c>
      <c r="E192" s="13" cm="1">
        <f t="array" ref="E192">((B192-INDEX($AT$4:$AW$53,MATCH(B192,$AT$4:$AT$53,1),1))/(INDEX($AT$4:$AW$53,MATCH(B192,$AT$4:$AT$53,1)+1,1)-INDEX($AT$4:$AW$53,MATCH(B192,$AT$4:$AT$53,1),1)))*(INDEX($AT$4:$AW$53,MATCH(B192,$AT$4:$AT$53,1)+1,4)-INDEX($AT$4:$AW$53,MATCH(B192,$AT$4:$AT$53,1),4))+INDEX($AT$4:$AW$53,MATCH(B192,$AT$4:$AT$53,1),4)</f>
        <v>18.835521147023321</v>
      </c>
      <c r="F192" s="13" cm="1">
        <f t="array" ref="F192">C192+((B192-INDEX($AT$4:$AW$53,MATCH(B192,$AT$4:$AT$53,1),1))/(INDEX($AT$4:$AW$53,MATCH(B192,$AT$4:$AT$53,1)+1,1)-INDEX($AT$4:$AW$53,MATCH(B192,$AT$4:$AT$53,1),1)))*(INDEX($AT$4:$AW$53,MATCH(B192,$AT$4:$AT$53,1)+1,3)-INDEX($AT$4:$AW$53,MATCH(B192,$AT$4:$AT$53,1),3))+INDEX($AT$4:$AW$53,MATCH(B192,$AT$4:$AT$53,1),3)</f>
        <v>216.7</v>
      </c>
      <c r="G192" s="4">
        <f t="shared" si="64"/>
        <v>0.30285645382388221</v>
      </c>
      <c r="H192" s="6">
        <f t="shared" si="81"/>
        <v>40000</v>
      </c>
      <c r="I192" s="13">
        <f t="shared" si="65"/>
        <v>250.81490854811645</v>
      </c>
      <c r="J192" s="13">
        <f t="shared" si="82"/>
        <v>487.54405183217068</v>
      </c>
      <c r="K192" s="13">
        <f t="shared" si="66"/>
        <v>242.39532129463356</v>
      </c>
      <c r="L192" s="13">
        <f t="shared" si="83"/>
        <v>259.81574761462628</v>
      </c>
      <c r="M192" s="13">
        <f t="shared" si="84"/>
        <v>11.373241049992632</v>
      </c>
      <c r="N192" s="13">
        <f t="shared" si="85"/>
        <v>9.5260648201070488</v>
      </c>
      <c r="O192" s="4">
        <f t="shared" si="67"/>
        <v>1.1445000000000001</v>
      </c>
      <c r="P192" s="4">
        <f t="shared" si="68"/>
        <v>1.6038187614357571</v>
      </c>
      <c r="Q192" s="4">
        <f t="shared" si="69"/>
        <v>0.86070848516397713</v>
      </c>
      <c r="R192" s="4">
        <f t="shared" si="70"/>
        <v>0.29813730270926181</v>
      </c>
      <c r="S192" s="4">
        <f t="shared" si="71"/>
        <v>0.24718421927070242</v>
      </c>
      <c r="T192" s="1"/>
      <c r="U192" s="1"/>
      <c r="V192" s="1">
        <v>1</v>
      </c>
      <c r="W192" s="1">
        <v>1</v>
      </c>
      <c r="Y192" s="1">
        <f t="shared" si="86"/>
        <v>-6.3046236913140179</v>
      </c>
      <c r="Z192" s="1">
        <f t="shared" si="87"/>
        <v>5.5844224258286204</v>
      </c>
      <c r="AB192" s="130">
        <v>1</v>
      </c>
      <c r="AC192" s="128">
        <f t="shared" si="72"/>
        <v>0.5054631887989498</v>
      </c>
      <c r="AD192" s="4">
        <f t="shared" si="73"/>
        <v>0.29813730270926181</v>
      </c>
      <c r="AE192" s="4">
        <f t="shared" si="74"/>
        <v>0.49689550451543635</v>
      </c>
      <c r="AF192" s="32">
        <f t="shared" si="75"/>
        <v>0.75034631091575044</v>
      </c>
      <c r="AG192" s="4">
        <f t="shared" si="76"/>
        <v>1.0016180168826254</v>
      </c>
      <c r="AH192" s="42">
        <f t="shared" si="77"/>
        <v>1.5865455947071545</v>
      </c>
      <c r="AJ192" s="23">
        <v>4</v>
      </c>
      <c r="AK192" s="24">
        <v>0.8</v>
      </c>
      <c r="AL192" s="5">
        <f t="shared" si="78"/>
        <v>3.5100000000000048E-2</v>
      </c>
      <c r="AM192" s="5">
        <f t="shared" si="88"/>
        <v>0.1194718394324346</v>
      </c>
      <c r="AN192" s="25">
        <f t="shared" si="89"/>
        <v>-8.0000000000000002E-3</v>
      </c>
      <c r="AO192" s="30">
        <f t="shared" si="79"/>
        <v>1.5750000000000007E-2</v>
      </c>
      <c r="AP192" s="5">
        <f t="shared" si="80"/>
        <v>0.18</v>
      </c>
      <c r="AQ192" s="25">
        <v>0</v>
      </c>
    </row>
    <row r="193" spans="2:43">
      <c r="B193" s="38">
        <v>40000</v>
      </c>
      <c r="C193" s="3">
        <v>0</v>
      </c>
      <c r="D193" s="3">
        <f t="shared" si="91"/>
        <v>0.90000000000000024</v>
      </c>
      <c r="E193" s="13" cm="1">
        <f t="array" ref="E193">((B193-INDEX($AT$4:$AW$53,MATCH(B193,$AT$4:$AT$53,1),1))/(INDEX($AT$4:$AW$53,MATCH(B193,$AT$4:$AT$53,1)+1,1)-INDEX($AT$4:$AW$53,MATCH(B193,$AT$4:$AT$53,1),1)))*(INDEX($AT$4:$AW$53,MATCH(B193,$AT$4:$AT$53,1)+1,4)-INDEX($AT$4:$AW$53,MATCH(B193,$AT$4:$AT$53,1),4))+INDEX($AT$4:$AW$53,MATCH(B193,$AT$4:$AT$53,1),4)</f>
        <v>18.835521147023321</v>
      </c>
      <c r="F193" s="13" cm="1">
        <f t="array" ref="F193">C193+((B193-INDEX($AT$4:$AW$53,MATCH(B193,$AT$4:$AT$53,1),1))/(INDEX($AT$4:$AW$53,MATCH(B193,$AT$4:$AT$53,1)+1,1)-INDEX($AT$4:$AW$53,MATCH(B193,$AT$4:$AT$53,1),1)))*(INDEX($AT$4:$AW$53,MATCH(B193,$AT$4:$AT$53,1)+1,3)-INDEX($AT$4:$AW$53,MATCH(B193,$AT$4:$AT$53,1),3))+INDEX($AT$4:$AW$53,MATCH(B193,$AT$4:$AT$53,1),3)</f>
        <v>216.7</v>
      </c>
      <c r="G193" s="4">
        <f t="shared" si="64"/>
        <v>0.30285645382388221</v>
      </c>
      <c r="H193" s="6">
        <f t="shared" si="81"/>
        <v>40000</v>
      </c>
      <c r="I193" s="13">
        <f t="shared" si="65"/>
        <v>265.56872669800566</v>
      </c>
      <c r="J193" s="13">
        <f t="shared" si="82"/>
        <v>516.22311370465138</v>
      </c>
      <c r="K193" s="13">
        <f t="shared" si="66"/>
        <v>256.65386960608265</v>
      </c>
      <c r="L193" s="13">
        <f t="shared" si="83"/>
        <v>277.26388008119795</v>
      </c>
      <c r="M193" s="13">
        <f t="shared" si="84"/>
        <v>13.021054401106761</v>
      </c>
      <c r="N193" s="13">
        <f t="shared" si="85"/>
        <v>10.679740490362228</v>
      </c>
      <c r="O193" s="4">
        <f t="shared" si="67"/>
        <v>1.1619999999999999</v>
      </c>
      <c r="P193" s="4">
        <f t="shared" si="68"/>
        <v>1.691303112850931</v>
      </c>
      <c r="Q193" s="4">
        <f t="shared" si="69"/>
        <v>0.87386916536526105</v>
      </c>
      <c r="R193" s="4">
        <f t="shared" si="70"/>
        <v>0.31439995606345994</v>
      </c>
      <c r="S193" s="4">
        <f t="shared" si="71"/>
        <v>0.24718421927070242</v>
      </c>
      <c r="T193" s="1"/>
      <c r="U193" s="1"/>
      <c r="V193" s="1">
        <v>1</v>
      </c>
      <c r="W193" s="1">
        <v>1</v>
      </c>
      <c r="Y193" s="1">
        <f t="shared" si="86"/>
        <v>-21.768991596590958</v>
      </c>
      <c r="Z193" s="1">
        <f t="shared" si="87"/>
        <v>6.4569058001832182</v>
      </c>
      <c r="AB193" s="130">
        <v>1</v>
      </c>
      <c r="AC193" s="128">
        <f t="shared" si="72"/>
        <v>0.50359216913646399</v>
      </c>
      <c r="AD193" s="4">
        <f t="shared" si="73"/>
        <v>0.31439995606345994</v>
      </c>
      <c r="AE193" s="4">
        <f t="shared" si="74"/>
        <v>0.52399992677243323</v>
      </c>
      <c r="AF193" s="32">
        <f t="shared" si="75"/>
        <v>0.77376075806365596</v>
      </c>
      <c r="AG193" s="4">
        <f t="shared" si="76"/>
        <v>1.0146260430759064</v>
      </c>
      <c r="AH193" s="42">
        <f t="shared" si="77"/>
        <v>1.5982528182811073</v>
      </c>
      <c r="AJ193" s="23">
        <v>4</v>
      </c>
      <c r="AK193" s="24">
        <v>0.8</v>
      </c>
      <c r="AL193" s="5">
        <f t="shared" si="78"/>
        <v>4.9400000000000062E-2</v>
      </c>
      <c r="AM193" s="5">
        <f t="shared" si="88"/>
        <v>0.1194718394324346</v>
      </c>
      <c r="AN193" s="25">
        <f t="shared" si="89"/>
        <v>-8.0000000000000002E-3</v>
      </c>
      <c r="AO193" s="30">
        <f t="shared" si="79"/>
        <v>1.7500000000000009E-2</v>
      </c>
      <c r="AP193" s="5">
        <f t="shared" si="80"/>
        <v>0.18</v>
      </c>
      <c r="AQ193" s="25">
        <v>0</v>
      </c>
    </row>
    <row r="194" spans="2:43">
      <c r="B194" s="38">
        <v>40000</v>
      </c>
      <c r="C194" s="3">
        <v>0</v>
      </c>
      <c r="D194" s="3">
        <f t="shared" si="91"/>
        <v>0.95000000000000029</v>
      </c>
      <c r="E194" s="13" cm="1">
        <f t="array" ref="E194">((B194-INDEX($AT$4:$AW$53,MATCH(B194,$AT$4:$AT$53,1),1))/(INDEX($AT$4:$AW$53,MATCH(B194,$AT$4:$AT$53,1)+1,1)-INDEX($AT$4:$AW$53,MATCH(B194,$AT$4:$AT$53,1),1)))*(INDEX($AT$4:$AW$53,MATCH(B194,$AT$4:$AT$53,1)+1,4)-INDEX($AT$4:$AW$53,MATCH(B194,$AT$4:$AT$53,1),4))+INDEX($AT$4:$AW$53,MATCH(B194,$AT$4:$AT$53,1),4)</f>
        <v>18.835521147023321</v>
      </c>
      <c r="F194" s="13" cm="1">
        <f t="array" ref="F194">C194+((B194-INDEX($AT$4:$AW$53,MATCH(B194,$AT$4:$AT$53,1),1))/(INDEX($AT$4:$AW$53,MATCH(B194,$AT$4:$AT$53,1)+1,1)-INDEX($AT$4:$AW$53,MATCH(B194,$AT$4:$AT$53,1),1)))*(INDEX($AT$4:$AW$53,MATCH(B194,$AT$4:$AT$53,1)+1,3)-INDEX($AT$4:$AW$53,MATCH(B194,$AT$4:$AT$53,1),3))+INDEX($AT$4:$AW$53,MATCH(B194,$AT$4:$AT$53,1),3)</f>
        <v>216.7</v>
      </c>
      <c r="G194" s="4">
        <f t="shared" si="64"/>
        <v>0.30285645382388221</v>
      </c>
      <c r="H194" s="6">
        <f t="shared" si="81"/>
        <v>40000</v>
      </c>
      <c r="I194" s="13">
        <f t="shared" si="65"/>
        <v>280.32254484789485</v>
      </c>
      <c r="J194" s="13">
        <f t="shared" si="82"/>
        <v>544.90217557713197</v>
      </c>
      <c r="K194" s="13">
        <f t="shared" si="66"/>
        <v>270.91241791753163</v>
      </c>
      <c r="L194" s="13">
        <f t="shared" si="83"/>
        <v>295.06325011352692</v>
      </c>
      <c r="M194" s="13">
        <f t="shared" si="84"/>
        <v>14.831803812595821</v>
      </c>
      <c r="N194" s="13">
        <f t="shared" si="85"/>
        <v>11.899340484631987</v>
      </c>
      <c r="O194" s="4">
        <f t="shared" si="67"/>
        <v>1.1805000000000001</v>
      </c>
      <c r="P194" s="4">
        <f t="shared" si="68"/>
        <v>1.7874379315987108</v>
      </c>
      <c r="Q194" s="4">
        <f t="shared" si="69"/>
        <v>0.88778188443519013</v>
      </c>
      <c r="R194" s="4">
        <f t="shared" si="70"/>
        <v>0.33227066330736882</v>
      </c>
      <c r="S194" s="4">
        <f t="shared" si="71"/>
        <v>0.24718421927070242</v>
      </c>
      <c r="T194" s="1"/>
      <c r="U194" s="1"/>
      <c r="V194" s="1">
        <v>1</v>
      </c>
      <c r="W194" s="1">
        <v>1</v>
      </c>
      <c r="Y194" s="1">
        <f t="shared" si="86"/>
        <v>-42.525970274095911</v>
      </c>
      <c r="Z194" s="1">
        <f t="shared" si="87"/>
        <v>7.2686362702646692</v>
      </c>
      <c r="AB194" s="130">
        <v>1</v>
      </c>
      <c r="AC194" s="128">
        <f t="shared" si="72"/>
        <v>0.50177243958633722</v>
      </c>
      <c r="AD194" s="4">
        <f t="shared" si="73"/>
        <v>0.33227066330736882</v>
      </c>
      <c r="AE194" s="4">
        <f t="shared" si="74"/>
        <v>0.55378443884561468</v>
      </c>
      <c r="AF194" s="32">
        <f t="shared" si="75"/>
        <v>0.79717520521156171</v>
      </c>
      <c r="AG194" s="4">
        <f t="shared" si="76"/>
        <v>1.0276340692691872</v>
      </c>
      <c r="AH194" s="42">
        <f t="shared" si="77"/>
        <v>1.6099600418550601</v>
      </c>
      <c r="AJ194" s="23">
        <v>4</v>
      </c>
      <c r="AK194" s="24">
        <v>0.8</v>
      </c>
      <c r="AL194" s="5">
        <f t="shared" si="78"/>
        <v>6.3700000000000062E-2</v>
      </c>
      <c r="AM194" s="5">
        <f t="shared" si="88"/>
        <v>0.1194718394324346</v>
      </c>
      <c r="AN194" s="25">
        <f t="shared" si="89"/>
        <v>-8.0000000000000002E-3</v>
      </c>
      <c r="AO194" s="30">
        <f t="shared" si="79"/>
        <v>1.925000000000001E-2</v>
      </c>
      <c r="AP194" s="5">
        <f t="shared" si="80"/>
        <v>0.18</v>
      </c>
      <c r="AQ194" s="25">
        <v>0</v>
      </c>
    </row>
    <row r="195" spans="2:43" ht="15" thickBot="1">
      <c r="B195" s="39">
        <v>40000</v>
      </c>
      <c r="C195" s="48">
        <v>0</v>
      </c>
      <c r="D195" s="48">
        <f t="shared" si="91"/>
        <v>1.0000000000000002</v>
      </c>
      <c r="E195" s="152" cm="1">
        <f t="array" ref="E195">((B195-INDEX($AT$4:$AW$53,MATCH(B195,$AT$4:$AT$53,1),1))/(INDEX($AT$4:$AW$53,MATCH(B195,$AT$4:$AT$53,1)+1,1)-INDEX($AT$4:$AW$53,MATCH(B195,$AT$4:$AT$53,1),1)))*(INDEX($AT$4:$AW$53,MATCH(B195,$AT$4:$AT$53,1)+1,4)-INDEX($AT$4:$AW$53,MATCH(B195,$AT$4:$AT$53,1),4))+INDEX($AT$4:$AW$53,MATCH(B195,$AT$4:$AT$53,1),4)</f>
        <v>18.835521147023321</v>
      </c>
      <c r="F195" s="152" cm="1">
        <f t="array" ref="F195">C195+((B195-INDEX($AT$4:$AW$53,MATCH(B195,$AT$4:$AT$53,1),1))/(INDEX($AT$4:$AW$53,MATCH(B195,$AT$4:$AT$53,1)+1,1)-INDEX($AT$4:$AW$53,MATCH(B195,$AT$4:$AT$53,1),1)))*(INDEX($AT$4:$AW$53,MATCH(B195,$AT$4:$AT$53,1)+1,3)-INDEX($AT$4:$AW$53,MATCH(B195,$AT$4:$AT$53,1),3))+INDEX($AT$4:$AW$53,MATCH(B195,$AT$4:$AT$53,1),3)</f>
        <v>216.7</v>
      </c>
      <c r="G195" s="43">
        <f t="shared" si="64"/>
        <v>0.30285645382388221</v>
      </c>
      <c r="H195" s="153">
        <f t="shared" si="81"/>
        <v>40000</v>
      </c>
      <c r="I195" s="152">
        <f t="shared" si="65"/>
        <v>295.07636299778403</v>
      </c>
      <c r="J195" s="152">
        <f t="shared" si="82"/>
        <v>573.58123744961256</v>
      </c>
      <c r="K195" s="152">
        <f t="shared" si="66"/>
        <v>285.17096622898066</v>
      </c>
      <c r="L195" s="152">
        <f t="shared" si="83"/>
        <v>313.22699188803489</v>
      </c>
      <c r="M195" s="152">
        <f t="shared" si="84"/>
        <v>16.818786052200593</v>
      </c>
      <c r="N195" s="152">
        <f t="shared" si="85"/>
        <v>13.184864802916328</v>
      </c>
      <c r="O195" s="43">
        <f t="shared" si="67"/>
        <v>1.2</v>
      </c>
      <c r="P195" s="43">
        <f t="shared" si="68"/>
        <v>1.8929291587378541</v>
      </c>
      <c r="Q195" s="43">
        <f t="shared" si="69"/>
        <v>0.9024466423737636</v>
      </c>
      <c r="R195" s="43">
        <f t="shared" si="70"/>
        <v>0.35188065333554319</v>
      </c>
      <c r="S195" s="43">
        <f t="shared" si="71"/>
        <v>0.24718421927070242</v>
      </c>
      <c r="T195" s="98"/>
      <c r="U195" s="98"/>
      <c r="V195" s="98">
        <v>1</v>
      </c>
      <c r="W195" s="98">
        <v>1</v>
      </c>
      <c r="X195" s="104"/>
      <c r="Y195" s="98">
        <f t="shared" si="86"/>
        <v>-69.386921038862496</v>
      </c>
      <c r="Z195" s="1">
        <f t="shared" si="87"/>
        <v>8.050383204687936</v>
      </c>
      <c r="AB195" s="130">
        <v>1</v>
      </c>
      <c r="AC195" s="128">
        <f t="shared" si="72"/>
        <v>0.5</v>
      </c>
      <c r="AD195" s="4">
        <f t="shared" si="73"/>
        <v>0.35188065333554319</v>
      </c>
      <c r="AE195" s="4">
        <f t="shared" si="74"/>
        <v>0.58646775555923869</v>
      </c>
      <c r="AF195" s="32">
        <f t="shared" si="75"/>
        <v>0.82058965235946713</v>
      </c>
      <c r="AG195" s="4">
        <f t="shared" si="76"/>
        <v>1.0406420954624682</v>
      </c>
      <c r="AH195" s="42">
        <f t="shared" si="77"/>
        <v>1.6216672654290127</v>
      </c>
      <c r="AJ195" s="23">
        <v>4</v>
      </c>
      <c r="AK195" s="24">
        <v>0.8</v>
      </c>
      <c r="AL195" s="5">
        <f t="shared" si="78"/>
        <v>7.8000000000000042E-2</v>
      </c>
      <c r="AM195" s="5">
        <f t="shared" si="88"/>
        <v>0.1194718394324346</v>
      </c>
      <c r="AN195" s="25">
        <f t="shared" si="89"/>
        <v>-8.0000000000000002E-3</v>
      </c>
      <c r="AO195" s="30">
        <f t="shared" si="79"/>
        <v>2.1000000000000008E-2</v>
      </c>
      <c r="AP195" s="5">
        <f t="shared" si="80"/>
        <v>0.18</v>
      </c>
      <c r="AQ195" s="25">
        <v>0</v>
      </c>
    </row>
    <row r="196" spans="2:43">
      <c r="B196" s="146">
        <v>45000</v>
      </c>
      <c r="C196" s="147">
        <v>0</v>
      </c>
      <c r="D196" s="147">
        <v>0.01</v>
      </c>
      <c r="E196" s="148" cm="1">
        <f t="array" ref="E196">((B196-INDEX($AT$4:$AW$53,MATCH(B196,$AT$4:$AT$53,1),1))/(INDEX($AT$4:$AW$53,MATCH(B196,$AT$4:$AT$53,1)+1,1)-INDEX($AT$4:$AW$53,MATCH(B196,$AT$4:$AT$53,1),1)))*(INDEX($AT$4:$AW$53,MATCH(B196,$AT$4:$AT$53,1)+1,4)-INDEX($AT$4:$AW$53,MATCH(B196,$AT$4:$AT$53,1),4))+INDEX($AT$4:$AW$53,MATCH(B196,$AT$4:$AT$53,1),4)</f>
        <v>14.828881018275807</v>
      </c>
      <c r="F196" s="148" cm="1">
        <f t="array" ref="F196">C196+((B196-INDEX($AT$4:$AW$53,MATCH(B196,$AT$4:$AT$53,1),1))/(INDEX($AT$4:$AW$53,MATCH(B196,$AT$4:$AT$53,1)+1,1)-INDEX($AT$4:$AW$53,MATCH(B196,$AT$4:$AT$53,1),1)))*(INDEX($AT$4:$AW$53,MATCH(B196,$AT$4:$AT$53,1)+1,3)-INDEX($AT$4:$AW$53,MATCH(B196,$AT$4:$AT$53,1),3))+INDEX($AT$4:$AW$53,MATCH(B196,$AT$4:$AT$53,1),3)</f>
        <v>216.7</v>
      </c>
      <c r="G196" s="149">
        <f t="shared" si="64"/>
        <v>0.23843366394356602</v>
      </c>
      <c r="H196" s="150">
        <f t="shared" si="81"/>
        <v>45000</v>
      </c>
      <c r="I196" s="148">
        <f t="shared" si="65"/>
        <v>2.9507636299778399</v>
      </c>
      <c r="J196" s="148">
        <f t="shared" si="82"/>
        <v>5.735812374496124</v>
      </c>
      <c r="K196" s="148">
        <f t="shared" si="66"/>
        <v>2.5302922014108762</v>
      </c>
      <c r="L196" s="148">
        <f t="shared" si="83"/>
        <v>2.5303192012355189</v>
      </c>
      <c r="M196" s="148">
        <f t="shared" si="84"/>
        <v>1.0380476220769863E-3</v>
      </c>
      <c r="N196" s="148">
        <f t="shared" si="85"/>
        <v>1.0380216712793063E-3</v>
      </c>
      <c r="O196" s="149">
        <f t="shared" si="67"/>
        <v>1.0000199999999999</v>
      </c>
      <c r="P196" s="149">
        <f t="shared" si="68"/>
        <v>1.0000700017500173</v>
      </c>
      <c r="Q196" s="149">
        <f t="shared" si="69"/>
        <v>0.75205390942217587</v>
      </c>
      <c r="R196" s="149">
        <f t="shared" si="70"/>
        <v>0.14635992169650019</v>
      </c>
      <c r="S196" s="149">
        <f t="shared" si="71"/>
        <v>0.19460387363584664</v>
      </c>
      <c r="T196" s="151"/>
      <c r="U196" s="151"/>
      <c r="V196" s="151">
        <v>1</v>
      </c>
      <c r="W196" s="151">
        <v>1</v>
      </c>
      <c r="X196" s="125"/>
      <c r="Y196" s="151">
        <f t="shared" si="86"/>
        <v>-975.80285679793099</v>
      </c>
      <c r="Z196" s="1">
        <f t="shared" si="87"/>
        <v>-975.80285679793099</v>
      </c>
      <c r="AB196" s="130">
        <v>1</v>
      </c>
      <c r="AC196" s="128">
        <f t="shared" si="72"/>
        <v>0.56299999999999994</v>
      </c>
      <c r="AD196" s="4">
        <f t="shared" si="73"/>
        <v>0.14635992169650019</v>
      </c>
      <c r="AE196" s="4">
        <f t="shared" si="74"/>
        <v>0.24393320282750033</v>
      </c>
      <c r="AF196" s="32">
        <f t="shared" si="75"/>
        <v>0.3569835988309375</v>
      </c>
      <c r="AG196" s="4">
        <f t="shared" si="76"/>
        <v>0.78308317683550721</v>
      </c>
      <c r="AH196" s="42">
        <f t="shared" si="77"/>
        <v>1.389864238664748</v>
      </c>
      <c r="AJ196" s="23">
        <v>4</v>
      </c>
      <c r="AK196" s="24">
        <v>0.8</v>
      </c>
      <c r="AL196" s="5">
        <f t="shared" si="78"/>
        <v>2.0799999999999999E-2</v>
      </c>
      <c r="AM196" s="5">
        <f t="shared" si="88"/>
        <v>0.1194718394324346</v>
      </c>
      <c r="AN196" s="25">
        <f t="shared" si="89"/>
        <v>-8.0000000000000002E-3</v>
      </c>
      <c r="AO196" s="30">
        <f t="shared" si="79"/>
        <v>1.4E-2</v>
      </c>
      <c r="AP196" s="5">
        <f t="shared" si="80"/>
        <v>0.18</v>
      </c>
      <c r="AQ196" s="25">
        <v>0</v>
      </c>
    </row>
    <row r="197" spans="2:43">
      <c r="B197" s="38">
        <v>45000</v>
      </c>
      <c r="C197" s="3">
        <v>0</v>
      </c>
      <c r="D197" s="3">
        <v>0.05</v>
      </c>
      <c r="E197" s="13" cm="1">
        <f t="array" ref="E197">((B197-INDEX($AT$4:$AW$53,MATCH(B197,$AT$4:$AT$53,1),1))/(INDEX($AT$4:$AW$53,MATCH(B197,$AT$4:$AT$53,1)+1,1)-INDEX($AT$4:$AW$53,MATCH(B197,$AT$4:$AT$53,1),1)))*(INDEX($AT$4:$AW$53,MATCH(B197,$AT$4:$AT$53,1)+1,4)-INDEX($AT$4:$AW$53,MATCH(B197,$AT$4:$AT$53,1),4))+INDEX($AT$4:$AW$53,MATCH(B197,$AT$4:$AT$53,1),4)</f>
        <v>14.828881018275807</v>
      </c>
      <c r="F197" s="13" cm="1">
        <f t="array" ref="F197">C197+((B197-INDEX($AT$4:$AW$53,MATCH(B197,$AT$4:$AT$53,1),1))/(INDEX($AT$4:$AW$53,MATCH(B197,$AT$4:$AT$53,1)+1,1)-INDEX($AT$4:$AW$53,MATCH(B197,$AT$4:$AT$53,1),1)))*(INDEX($AT$4:$AW$53,MATCH(B197,$AT$4:$AT$53,1)+1,3)-INDEX($AT$4:$AW$53,MATCH(B197,$AT$4:$AT$53,1),3))+INDEX($AT$4:$AW$53,MATCH(B197,$AT$4:$AT$53,1),3)</f>
        <v>216.7</v>
      </c>
      <c r="G197" s="4">
        <f t="shared" si="64"/>
        <v>0.23843366394356602</v>
      </c>
      <c r="H197" s="6">
        <f t="shared" si="81"/>
        <v>45000</v>
      </c>
      <c r="I197" s="13">
        <f t="shared" si="65"/>
        <v>14.753818149889199</v>
      </c>
      <c r="J197" s="13">
        <f t="shared" si="82"/>
        <v>28.67906187248062</v>
      </c>
      <c r="K197" s="13">
        <f t="shared" si="66"/>
        <v>12.651461007054381</v>
      </c>
      <c r="L197" s="13">
        <f t="shared" si="83"/>
        <v>12.654835882721642</v>
      </c>
      <c r="M197" s="13">
        <f t="shared" si="84"/>
        <v>2.5966764925619366E-2</v>
      </c>
      <c r="N197" s="13">
        <f t="shared" si="85"/>
        <v>2.5950541781982656E-2</v>
      </c>
      <c r="O197" s="4">
        <f t="shared" si="67"/>
        <v>1.0004999999999999</v>
      </c>
      <c r="P197" s="4">
        <f t="shared" si="68"/>
        <v>1.0017510940234544</v>
      </c>
      <c r="Q197" s="4">
        <f t="shared" si="69"/>
        <v>0.75241488807912549</v>
      </c>
      <c r="R197" s="4">
        <f t="shared" si="70"/>
        <v>0.14660594900766274</v>
      </c>
      <c r="S197" s="4">
        <f t="shared" si="71"/>
        <v>0.19460387363584664</v>
      </c>
      <c r="T197" s="1"/>
      <c r="U197" s="1"/>
      <c r="V197" s="1">
        <v>1</v>
      </c>
      <c r="W197" s="1">
        <v>1</v>
      </c>
      <c r="Y197" s="1">
        <f t="shared" si="86"/>
        <v>-194.21937961937422</v>
      </c>
      <c r="Z197" s="1">
        <f t="shared" si="87"/>
        <v>-194.21937961937422</v>
      </c>
      <c r="AB197" s="130">
        <v>1</v>
      </c>
      <c r="AC197" s="128">
        <f t="shared" si="72"/>
        <v>0.55434752415750155</v>
      </c>
      <c r="AD197" s="4">
        <f t="shared" si="73"/>
        <v>0.14660594900766274</v>
      </c>
      <c r="AE197" s="4">
        <f t="shared" si="74"/>
        <v>0.24434324834610457</v>
      </c>
      <c r="AF197" s="32">
        <f t="shared" si="75"/>
        <v>0.37571515654926191</v>
      </c>
      <c r="AG197" s="4">
        <f t="shared" si="76"/>
        <v>0.79348959779013195</v>
      </c>
      <c r="AH197" s="42">
        <f t="shared" si="77"/>
        <v>1.3992300175239103</v>
      </c>
      <c r="AJ197" s="23">
        <v>4</v>
      </c>
      <c r="AK197" s="24">
        <v>0.8</v>
      </c>
      <c r="AL197" s="5">
        <f t="shared" si="78"/>
        <v>2.0799999999999999E-2</v>
      </c>
      <c r="AM197" s="5">
        <f t="shared" si="88"/>
        <v>0.1194718394324346</v>
      </c>
      <c r="AN197" s="25">
        <f t="shared" si="89"/>
        <v>-8.0000000000000002E-3</v>
      </c>
      <c r="AO197" s="30">
        <f t="shared" si="79"/>
        <v>1.4E-2</v>
      </c>
      <c r="AP197" s="5">
        <f t="shared" si="80"/>
        <v>0.18</v>
      </c>
      <c r="AQ197" s="25">
        <v>0</v>
      </c>
    </row>
    <row r="198" spans="2:43">
      <c r="B198" s="38">
        <v>45000</v>
      </c>
      <c r="C198" s="3">
        <v>0</v>
      </c>
      <c r="D198" s="3">
        <f t="shared" ref="D198:D216" si="92">D197+0.05</f>
        <v>0.1</v>
      </c>
      <c r="E198" s="13" cm="1">
        <f t="array" ref="E198">((B198-INDEX($AT$4:$AW$53,MATCH(B198,$AT$4:$AT$53,1),1))/(INDEX($AT$4:$AW$53,MATCH(B198,$AT$4:$AT$53,1)+1,1)-INDEX($AT$4:$AW$53,MATCH(B198,$AT$4:$AT$53,1),1)))*(INDEX($AT$4:$AW$53,MATCH(B198,$AT$4:$AT$53,1)+1,4)-INDEX($AT$4:$AW$53,MATCH(B198,$AT$4:$AT$53,1),4))+INDEX($AT$4:$AW$53,MATCH(B198,$AT$4:$AT$53,1),4)</f>
        <v>14.828881018275807</v>
      </c>
      <c r="F198" s="13" cm="1">
        <f t="array" ref="F198">C198+((B198-INDEX($AT$4:$AW$53,MATCH(B198,$AT$4:$AT$53,1),1))/(INDEX($AT$4:$AW$53,MATCH(B198,$AT$4:$AT$53,1)+1,1)-INDEX($AT$4:$AW$53,MATCH(B198,$AT$4:$AT$53,1),1)))*(INDEX($AT$4:$AW$53,MATCH(B198,$AT$4:$AT$53,1)+1,3)-INDEX($AT$4:$AW$53,MATCH(B198,$AT$4:$AT$53,1),3))+INDEX($AT$4:$AW$53,MATCH(B198,$AT$4:$AT$53,1),3)</f>
        <v>216.7</v>
      </c>
      <c r="G198" s="4">
        <f t="shared" si="64"/>
        <v>0.23843366394356602</v>
      </c>
      <c r="H198" s="6">
        <f t="shared" si="81"/>
        <v>45000</v>
      </c>
      <c r="I198" s="13">
        <f t="shared" si="65"/>
        <v>29.507636299778397</v>
      </c>
      <c r="J198" s="13">
        <f t="shared" si="82"/>
        <v>57.35812374496124</v>
      </c>
      <c r="K198" s="13">
        <f t="shared" si="66"/>
        <v>25.302922014108763</v>
      </c>
      <c r="L198" s="13">
        <f t="shared" si="83"/>
        <v>25.329918590167637</v>
      </c>
      <c r="M198" s="13">
        <f t="shared" si="84"/>
        <v>0.10406193211603088</v>
      </c>
      <c r="N198" s="13">
        <f t="shared" si="85"/>
        <v>0.10380216712793063</v>
      </c>
      <c r="O198" s="4">
        <f t="shared" si="67"/>
        <v>1.002</v>
      </c>
      <c r="P198" s="4">
        <f t="shared" si="68"/>
        <v>1.0070175175043741</v>
      </c>
      <c r="Q198" s="4">
        <f t="shared" si="69"/>
        <v>0.75354294638209274</v>
      </c>
      <c r="R198" s="4">
        <f t="shared" si="70"/>
        <v>0.14737668838284565</v>
      </c>
      <c r="S198" s="4">
        <f t="shared" si="71"/>
        <v>0.19460387363584664</v>
      </c>
      <c r="T198" s="1"/>
      <c r="U198" s="1"/>
      <c r="V198" s="1">
        <v>1</v>
      </c>
      <c r="W198" s="1">
        <v>1</v>
      </c>
      <c r="Y198" s="1">
        <f t="shared" si="86"/>
        <v>-95.646531947477811</v>
      </c>
      <c r="Z198" s="1">
        <f t="shared" si="87"/>
        <v>-95.646531947477811</v>
      </c>
      <c r="AB198" s="130">
        <v>1</v>
      </c>
      <c r="AC198" s="128">
        <f t="shared" si="72"/>
        <v>0.5478640563788213</v>
      </c>
      <c r="AD198" s="4">
        <f t="shared" si="73"/>
        <v>0.14737668838284565</v>
      </c>
      <c r="AE198" s="4">
        <f t="shared" si="74"/>
        <v>0.24562781397140943</v>
      </c>
      <c r="AF198" s="32">
        <f t="shared" si="75"/>
        <v>0.39912960369716743</v>
      </c>
      <c r="AG198" s="4">
        <f t="shared" si="76"/>
        <v>0.80649762398341274</v>
      </c>
      <c r="AH198" s="42">
        <f t="shared" si="77"/>
        <v>1.4109372410978629</v>
      </c>
      <c r="AJ198" s="23">
        <v>4</v>
      </c>
      <c r="AK198" s="24">
        <v>0.8</v>
      </c>
      <c r="AL198" s="5">
        <f t="shared" si="78"/>
        <v>2.0799999999999999E-2</v>
      </c>
      <c r="AM198" s="5">
        <f t="shared" si="88"/>
        <v>0.1194718394324346</v>
      </c>
      <c r="AN198" s="25">
        <f t="shared" si="89"/>
        <v>-8.0000000000000002E-3</v>
      </c>
      <c r="AO198" s="30">
        <f t="shared" si="79"/>
        <v>1.4E-2</v>
      </c>
      <c r="AP198" s="5">
        <f t="shared" si="80"/>
        <v>0.18</v>
      </c>
      <c r="AQ198" s="25">
        <v>0</v>
      </c>
    </row>
    <row r="199" spans="2:43">
      <c r="B199" s="38">
        <v>45000</v>
      </c>
      <c r="C199" s="3">
        <v>0</v>
      </c>
      <c r="D199" s="3">
        <f t="shared" si="92"/>
        <v>0.15000000000000002</v>
      </c>
      <c r="E199" s="13" cm="1">
        <f t="array" ref="E199">((B199-INDEX($AT$4:$AW$53,MATCH(B199,$AT$4:$AT$53,1),1))/(INDEX($AT$4:$AW$53,MATCH(B199,$AT$4:$AT$53,1)+1,1)-INDEX($AT$4:$AW$53,MATCH(B199,$AT$4:$AT$53,1),1)))*(INDEX($AT$4:$AW$53,MATCH(B199,$AT$4:$AT$53,1)+1,4)-INDEX($AT$4:$AW$53,MATCH(B199,$AT$4:$AT$53,1),4))+INDEX($AT$4:$AW$53,MATCH(B199,$AT$4:$AT$53,1),4)</f>
        <v>14.828881018275807</v>
      </c>
      <c r="F199" s="13" cm="1">
        <f t="array" ref="F199">C199+((B199-INDEX($AT$4:$AW$53,MATCH(B199,$AT$4:$AT$53,1),1))/(INDEX($AT$4:$AW$53,MATCH(B199,$AT$4:$AT$53,1)+1,1)-INDEX($AT$4:$AW$53,MATCH(B199,$AT$4:$AT$53,1),1)))*(INDEX($AT$4:$AW$53,MATCH(B199,$AT$4:$AT$53,1)+1,3)-INDEX($AT$4:$AW$53,MATCH(B199,$AT$4:$AT$53,1),3))+INDEX($AT$4:$AW$53,MATCH(B199,$AT$4:$AT$53,1),3)</f>
        <v>216.7</v>
      </c>
      <c r="G199" s="4">
        <f t="shared" ref="G199:G262" si="93">E199*1000/($D$3*F199)</f>
        <v>0.23843366394356602</v>
      </c>
      <c r="H199" s="6">
        <f t="shared" si="81"/>
        <v>45000</v>
      </c>
      <c r="I199" s="13">
        <f t="shared" ref="I199:I262" si="94">D199*SQRT($E$3*$D$3*F199)</f>
        <v>44.261454449667603</v>
      </c>
      <c r="J199" s="13">
        <f t="shared" si="82"/>
        <v>86.037185617441878</v>
      </c>
      <c r="K199" s="13">
        <f t="shared" ref="K199:K262" si="95">J199*SQRT(S199)</f>
        <v>37.954383021163153</v>
      </c>
      <c r="L199" s="13">
        <f t="shared" si="83"/>
        <v>38.045482613215881</v>
      </c>
      <c r="M199" s="13">
        <f t="shared" si="84"/>
        <v>0.23487157980641524</v>
      </c>
      <c r="N199" s="13">
        <f t="shared" si="85"/>
        <v>0.23355487603784397</v>
      </c>
      <c r="O199" s="4">
        <f t="shared" ref="O199:O262" si="96">(1+($E$3-1)/2*D199^2)</f>
        <v>1.0044999999999999</v>
      </c>
      <c r="P199" s="4">
        <f t="shared" ref="P199:P262" si="97">O199^($E$3/($E$3-1))</f>
        <v>1.0158387931980133</v>
      </c>
      <c r="Q199" s="4">
        <f t="shared" ref="Q199:Q262" si="98">F199*O199/$C$3</f>
        <v>0.7554230435537046</v>
      </c>
      <c r="R199" s="4">
        <f t="shared" ref="R199:R262" si="99">E199*P199/$B$3</f>
        <v>0.14866767923101132</v>
      </c>
      <c r="S199" s="4">
        <f t="shared" ref="S199:S262" si="100">G199/($B$3*1000/($D$3*$C$3))</f>
        <v>0.19460387363584664</v>
      </c>
      <c r="T199" s="1"/>
      <c r="U199" s="1"/>
      <c r="V199" s="1">
        <v>1</v>
      </c>
      <c r="W199" s="1">
        <v>1</v>
      </c>
      <c r="Y199" s="1">
        <f t="shared" si="86"/>
        <v>-62.155242704750854</v>
      </c>
      <c r="Z199" s="1">
        <f t="shared" si="87"/>
        <v>-62.155242704750854</v>
      </c>
      <c r="AB199" s="130">
        <v>1</v>
      </c>
      <c r="AC199" s="128">
        <f t="shared" ref="AC199:AC262" si="101">1-(0.43+0.014*MIN(MAX(AB199,5),15)*SQRT(D199))</f>
        <v>0.54288911657654815</v>
      </c>
      <c r="AD199" s="4">
        <f t="shared" ref="AD199:AD262" si="102">R199</f>
        <v>0.14866767923101132</v>
      </c>
      <c r="AE199" s="4">
        <f t="shared" ref="AE199:AE262" si="103">R199/0.6</f>
        <v>0.24777946538501888</v>
      </c>
      <c r="AF199" s="32">
        <f t="shared" ref="AF199:AF262" si="104">(0.45+0.54*D199-MIN(MAX(AB199,5),15)/100+(MIN(MAX(AB199,5),15)^2)/4000)*SQRT(F199/$C$3)</f>
        <v>0.42254405084507296</v>
      </c>
      <c r="AG199" s="4">
        <f t="shared" ref="AG199:AG262" si="105">(0.9+0.3*D199)*SQRT(F199/$C$3)</f>
        <v>0.81950565017669363</v>
      </c>
      <c r="AH199" s="42">
        <f t="shared" ref="AH199:AH262" si="106">(1.6+0.27*D199)*SQRT(F199/$C$3)</f>
        <v>1.4226444646718157</v>
      </c>
      <c r="AJ199" s="23">
        <v>4</v>
      </c>
      <c r="AK199" s="24">
        <v>0.8</v>
      </c>
      <c r="AL199" s="5">
        <f t="shared" ref="AL199:AL262" si="107">IF(D199&gt;0.8, 0.02+(D199-0.8)*0.286,0.02)+0.02*0.2^2</f>
        <v>2.0799999999999999E-2</v>
      </c>
      <c r="AM199" s="5">
        <f t="shared" si="88"/>
        <v>0.1194718394324346</v>
      </c>
      <c r="AN199" s="25">
        <f t="shared" si="89"/>
        <v>-8.0000000000000002E-3</v>
      </c>
      <c r="AO199" s="30">
        <f t="shared" ref="AO199:AO262" si="108">IF(D199&lt;0.8,0.014, IF(D199&gt;1.2, 0.028,0.014+(D199-0.8)*0.035))</f>
        <v>1.4E-2</v>
      </c>
      <c r="AP199" s="5">
        <f t="shared" ref="AP199:AP262" si="109">IF(D199&gt;1,0.18+(D199-1)*0.18,0.18)</f>
        <v>0.18</v>
      </c>
      <c r="AQ199" s="25">
        <v>0</v>
      </c>
    </row>
    <row r="200" spans="2:43">
      <c r="B200" s="38">
        <v>45000</v>
      </c>
      <c r="C200" s="3">
        <v>0</v>
      </c>
      <c r="D200" s="3">
        <f t="shared" si="92"/>
        <v>0.2</v>
      </c>
      <c r="E200" s="13" cm="1">
        <f t="array" ref="E200">((B200-INDEX($AT$4:$AW$53,MATCH(B200,$AT$4:$AT$53,1),1))/(INDEX($AT$4:$AW$53,MATCH(B200,$AT$4:$AT$53,1)+1,1)-INDEX($AT$4:$AW$53,MATCH(B200,$AT$4:$AT$53,1),1)))*(INDEX($AT$4:$AW$53,MATCH(B200,$AT$4:$AT$53,1)+1,4)-INDEX($AT$4:$AW$53,MATCH(B200,$AT$4:$AT$53,1),4))+INDEX($AT$4:$AW$53,MATCH(B200,$AT$4:$AT$53,1),4)</f>
        <v>14.828881018275807</v>
      </c>
      <c r="F200" s="13" cm="1">
        <f t="array" ref="F200">C200+((B200-INDEX($AT$4:$AW$53,MATCH(B200,$AT$4:$AT$53,1),1))/(INDEX($AT$4:$AW$53,MATCH(B200,$AT$4:$AT$53,1)+1,1)-INDEX($AT$4:$AW$53,MATCH(B200,$AT$4:$AT$53,1),1)))*(INDEX($AT$4:$AW$53,MATCH(B200,$AT$4:$AT$53,1)+1,3)-INDEX($AT$4:$AW$53,MATCH(B200,$AT$4:$AT$53,1),3))+INDEX($AT$4:$AW$53,MATCH(B200,$AT$4:$AT$53,1),3)</f>
        <v>216.7</v>
      </c>
      <c r="G200" s="4">
        <f t="shared" si="93"/>
        <v>0.23843366394356602</v>
      </c>
      <c r="H200" s="6">
        <f t="shared" ref="H200:H263" si="110">B200+(120*C200)</f>
        <v>45000</v>
      </c>
      <c r="I200" s="13">
        <f t="shared" si="94"/>
        <v>59.015272599556795</v>
      </c>
      <c r="J200" s="13">
        <f t="shared" ref="J200:J263" si="111">I200*1.94384</f>
        <v>114.71624748992248</v>
      </c>
      <c r="K200" s="13">
        <f t="shared" si="95"/>
        <v>50.605844028217525</v>
      </c>
      <c r="L200" s="13">
        <f t="shared" ref="L200:L263" si="112">SQRT($E$3*$D$3*$C$3)*SQRT(5*(((((P200-1)*E200)/$B$3)+1)^(2/7)-1))*1.94384</f>
        <v>50.821736900412716</v>
      </c>
      <c r="M200" s="13">
        <f t="shared" ref="M200:M263" si="113">(P200-1)*E200</f>
        <v>0.41937738013866788</v>
      </c>
      <c r="N200" s="13">
        <f t="shared" ref="N200:N263" si="114">(0.5*G200*I200^2)/1000</f>
        <v>0.4152086685117225</v>
      </c>
      <c r="O200" s="4">
        <f t="shared" si="96"/>
        <v>1.008</v>
      </c>
      <c r="P200" s="4">
        <f t="shared" si="97"/>
        <v>1.0282811211191059</v>
      </c>
      <c r="Q200" s="4">
        <f t="shared" si="98"/>
        <v>0.75805517959396151</v>
      </c>
      <c r="R200" s="4">
        <f t="shared" si="99"/>
        <v>0.15048860990293092</v>
      </c>
      <c r="S200" s="4">
        <f t="shared" si="100"/>
        <v>0.19460387363584664</v>
      </c>
      <c r="T200" s="1"/>
      <c r="U200" s="1"/>
      <c r="V200" s="1">
        <v>1</v>
      </c>
      <c r="W200" s="1">
        <v>1</v>
      </c>
      <c r="Y200" s="1">
        <f t="shared" ref="Y200:Y263" si="115">I200*((AD200/W200)*$H$3-AM200*V200^2*W200/(N200*1000)*$J$3*1000-AN200*V200-(AL200/((W200/(N200*1000))*$J$3*1000)))</f>
        <v>-44.952739677622226</v>
      </c>
      <c r="Z200" s="1">
        <f t="shared" ref="Z200:Z263" si="116">I200*((AD200/W200)*$H$3-AM200*V200^2*W200/(N200*1000)*$J$3*1000-AN200*V200-($AL$7/((W200/(N200*1000))*$J$3*1000)))</f>
        <v>-44.952739677622226</v>
      </c>
      <c r="AB200" s="130">
        <v>1</v>
      </c>
      <c r="AC200" s="128">
        <f t="shared" si="101"/>
        <v>0.53869504831500292</v>
      </c>
      <c r="AD200" s="4">
        <f t="shared" si="102"/>
        <v>0.15048860990293092</v>
      </c>
      <c r="AE200" s="4">
        <f t="shared" si="103"/>
        <v>0.25081434983821821</v>
      </c>
      <c r="AF200" s="32">
        <f t="shared" si="104"/>
        <v>0.44595849799297849</v>
      </c>
      <c r="AG200" s="4">
        <f t="shared" si="105"/>
        <v>0.83251367636997442</v>
      </c>
      <c r="AH200" s="42">
        <f t="shared" si="106"/>
        <v>1.4343516882457685</v>
      </c>
      <c r="AJ200" s="23">
        <v>4</v>
      </c>
      <c r="AK200" s="24">
        <v>0.8</v>
      </c>
      <c r="AL200" s="5">
        <f t="shared" si="107"/>
        <v>2.0799999999999999E-2</v>
      </c>
      <c r="AM200" s="5">
        <f t="shared" ref="AM200:AM263" si="117">1/(PI()*AJ200*AK200)+0.02</f>
        <v>0.1194718394324346</v>
      </c>
      <c r="AN200" s="25">
        <f t="shared" si="89"/>
        <v>-8.0000000000000002E-3</v>
      </c>
      <c r="AO200" s="30">
        <f t="shared" si="108"/>
        <v>1.4E-2</v>
      </c>
      <c r="AP200" s="5">
        <f t="shared" si="109"/>
        <v>0.18</v>
      </c>
      <c r="AQ200" s="25">
        <v>0</v>
      </c>
    </row>
    <row r="201" spans="2:43">
      <c r="B201" s="38">
        <v>45000</v>
      </c>
      <c r="C201" s="3">
        <v>0</v>
      </c>
      <c r="D201" s="3">
        <f t="shared" si="92"/>
        <v>0.25</v>
      </c>
      <c r="E201" s="13" cm="1">
        <f t="array" ref="E201">((B201-INDEX($AT$4:$AW$53,MATCH(B201,$AT$4:$AT$53,1),1))/(INDEX($AT$4:$AW$53,MATCH(B201,$AT$4:$AT$53,1)+1,1)-INDEX($AT$4:$AW$53,MATCH(B201,$AT$4:$AT$53,1),1)))*(INDEX($AT$4:$AW$53,MATCH(B201,$AT$4:$AT$53,1)+1,4)-INDEX($AT$4:$AW$53,MATCH(B201,$AT$4:$AT$53,1),4))+INDEX($AT$4:$AW$53,MATCH(B201,$AT$4:$AT$53,1),4)</f>
        <v>14.828881018275807</v>
      </c>
      <c r="F201" s="13" cm="1">
        <f t="array" ref="F201">C201+((B201-INDEX($AT$4:$AW$53,MATCH(B201,$AT$4:$AT$53,1),1))/(INDEX($AT$4:$AW$53,MATCH(B201,$AT$4:$AT$53,1)+1,1)-INDEX($AT$4:$AW$53,MATCH(B201,$AT$4:$AT$53,1),1)))*(INDEX($AT$4:$AW$53,MATCH(B201,$AT$4:$AT$53,1)+1,3)-INDEX($AT$4:$AW$53,MATCH(B201,$AT$4:$AT$53,1),3))+INDEX($AT$4:$AW$53,MATCH(B201,$AT$4:$AT$53,1),3)</f>
        <v>216.7</v>
      </c>
      <c r="G201" s="4">
        <f t="shared" si="93"/>
        <v>0.23843366394356602</v>
      </c>
      <c r="H201" s="6">
        <f t="shared" si="110"/>
        <v>45000</v>
      </c>
      <c r="I201" s="13">
        <f t="shared" si="94"/>
        <v>73.769090749445994</v>
      </c>
      <c r="J201" s="13">
        <f t="shared" si="111"/>
        <v>143.39530936240311</v>
      </c>
      <c r="K201" s="13">
        <f t="shared" si="95"/>
        <v>63.257305035271912</v>
      </c>
      <c r="L201" s="13">
        <f t="shared" si="112"/>
        <v>63.678849909301974</v>
      </c>
      <c r="M201" s="13">
        <f t="shared" si="113"/>
        <v>0.6589639296181512</v>
      </c>
      <c r="N201" s="13">
        <f t="shared" si="114"/>
        <v>0.64876354454956631</v>
      </c>
      <c r="O201" s="4">
        <f t="shared" si="96"/>
        <v>1.0125</v>
      </c>
      <c r="P201" s="4">
        <f t="shared" si="97"/>
        <v>1.0444378728783388</v>
      </c>
      <c r="Q201" s="4">
        <f t="shared" si="98"/>
        <v>0.76143935450286304</v>
      </c>
      <c r="R201" s="4">
        <f t="shared" si="99"/>
        <v>0.152853145303666</v>
      </c>
      <c r="S201" s="4">
        <f t="shared" si="100"/>
        <v>0.19460387363584664</v>
      </c>
      <c r="T201" s="1"/>
      <c r="U201" s="1"/>
      <c r="V201" s="1">
        <v>1</v>
      </c>
      <c r="W201" s="1">
        <v>1</v>
      </c>
      <c r="Y201" s="1">
        <f t="shared" si="115"/>
        <v>-34.285872215594068</v>
      </c>
      <c r="Z201" s="1">
        <f t="shared" si="116"/>
        <v>-34.285872215594068</v>
      </c>
      <c r="AB201" s="130">
        <v>1</v>
      </c>
      <c r="AC201" s="128">
        <f t="shared" si="101"/>
        <v>0.53500000000000003</v>
      </c>
      <c r="AD201" s="4">
        <f t="shared" si="102"/>
        <v>0.152853145303666</v>
      </c>
      <c r="AE201" s="4">
        <f t="shared" si="103"/>
        <v>0.25475524217277667</v>
      </c>
      <c r="AF201" s="32">
        <f t="shared" si="104"/>
        <v>0.46937294514088396</v>
      </c>
      <c r="AG201" s="4">
        <f t="shared" si="105"/>
        <v>0.84552170256325532</v>
      </c>
      <c r="AH201" s="42">
        <f t="shared" si="106"/>
        <v>1.4460589118197211</v>
      </c>
      <c r="AJ201" s="23">
        <v>4</v>
      </c>
      <c r="AK201" s="24">
        <v>0.8</v>
      </c>
      <c r="AL201" s="5">
        <f t="shared" si="107"/>
        <v>2.0799999999999999E-2</v>
      </c>
      <c r="AM201" s="5">
        <f t="shared" si="117"/>
        <v>0.1194718394324346</v>
      </c>
      <c r="AN201" s="25">
        <f t="shared" ref="AN201:AN264" si="118">AN200</f>
        <v>-8.0000000000000002E-3</v>
      </c>
      <c r="AO201" s="30">
        <f t="shared" si="108"/>
        <v>1.4E-2</v>
      </c>
      <c r="AP201" s="5">
        <f t="shared" si="109"/>
        <v>0.18</v>
      </c>
      <c r="AQ201" s="25">
        <v>0</v>
      </c>
    </row>
    <row r="202" spans="2:43">
      <c r="B202" s="38">
        <v>45000</v>
      </c>
      <c r="C202" s="3">
        <v>0</v>
      </c>
      <c r="D202" s="3">
        <f t="shared" si="92"/>
        <v>0.3</v>
      </c>
      <c r="E202" s="13" cm="1">
        <f t="array" ref="E202">((B202-INDEX($AT$4:$AW$53,MATCH(B202,$AT$4:$AT$53,1),1))/(INDEX($AT$4:$AW$53,MATCH(B202,$AT$4:$AT$53,1)+1,1)-INDEX($AT$4:$AW$53,MATCH(B202,$AT$4:$AT$53,1),1)))*(INDEX($AT$4:$AW$53,MATCH(B202,$AT$4:$AT$53,1)+1,4)-INDEX($AT$4:$AW$53,MATCH(B202,$AT$4:$AT$53,1),4))+INDEX($AT$4:$AW$53,MATCH(B202,$AT$4:$AT$53,1),4)</f>
        <v>14.828881018275807</v>
      </c>
      <c r="F202" s="13" cm="1">
        <f t="array" ref="F202">C202+((B202-INDEX($AT$4:$AW$53,MATCH(B202,$AT$4:$AT$53,1),1))/(INDEX($AT$4:$AW$53,MATCH(B202,$AT$4:$AT$53,1)+1,1)-INDEX($AT$4:$AW$53,MATCH(B202,$AT$4:$AT$53,1),1)))*(INDEX($AT$4:$AW$53,MATCH(B202,$AT$4:$AT$53,1)+1,3)-INDEX($AT$4:$AW$53,MATCH(B202,$AT$4:$AT$53,1),3))+INDEX($AT$4:$AW$53,MATCH(B202,$AT$4:$AT$53,1),3)</f>
        <v>216.7</v>
      </c>
      <c r="G202" s="4">
        <f t="shared" si="93"/>
        <v>0.23843366394356602</v>
      </c>
      <c r="H202" s="6">
        <f t="shared" si="110"/>
        <v>45000</v>
      </c>
      <c r="I202" s="13">
        <f t="shared" si="94"/>
        <v>88.522908899335192</v>
      </c>
      <c r="J202" s="13">
        <f t="shared" si="111"/>
        <v>172.07437123488373</v>
      </c>
      <c r="K202" s="13">
        <f t="shared" si="95"/>
        <v>75.908766042326292</v>
      </c>
      <c r="L202" s="13">
        <f t="shared" si="112"/>
        <v>76.636932069504169</v>
      </c>
      <c r="M202" s="13">
        <f t="shared" si="113"/>
        <v>0.95542904733538414</v>
      </c>
      <c r="N202" s="13">
        <f t="shared" si="114"/>
        <v>0.93421950415137556</v>
      </c>
      <c r="O202" s="4">
        <f t="shared" si="96"/>
        <v>1.018</v>
      </c>
      <c r="P202" s="4">
        <f t="shared" si="97"/>
        <v>1.0644302861529382</v>
      </c>
      <c r="Q202" s="4">
        <f t="shared" si="98"/>
        <v>0.76557556828040951</v>
      </c>
      <c r="R202" s="4">
        <f t="shared" si="99"/>
        <v>0.1557790285281144</v>
      </c>
      <c r="S202" s="4">
        <f t="shared" si="100"/>
        <v>0.19460387363584664</v>
      </c>
      <c r="T202" s="1"/>
      <c r="U202" s="1"/>
      <c r="V202" s="1">
        <v>1</v>
      </c>
      <c r="W202" s="1">
        <v>1</v>
      </c>
      <c r="Y202" s="1">
        <f t="shared" si="115"/>
        <v>-26.907683955314585</v>
      </c>
      <c r="Z202" s="1">
        <f t="shared" si="116"/>
        <v>-26.907683955314585</v>
      </c>
      <c r="AB202" s="130">
        <v>1</v>
      </c>
      <c r="AC202" s="128">
        <f t="shared" si="101"/>
        <v>0.53165942097463836</v>
      </c>
      <c r="AD202" s="4">
        <f t="shared" si="102"/>
        <v>0.1557790285281144</v>
      </c>
      <c r="AE202" s="4">
        <f t="shared" si="103"/>
        <v>0.25963171421352399</v>
      </c>
      <c r="AF202" s="32">
        <f t="shared" si="104"/>
        <v>0.49278739228878948</v>
      </c>
      <c r="AG202" s="4">
        <f t="shared" si="105"/>
        <v>0.8585297287565361</v>
      </c>
      <c r="AH202" s="42">
        <f t="shared" si="106"/>
        <v>1.4577661353936739</v>
      </c>
      <c r="AJ202" s="23">
        <v>4</v>
      </c>
      <c r="AK202" s="24">
        <v>0.8</v>
      </c>
      <c r="AL202" s="5">
        <f t="shared" si="107"/>
        <v>2.0799999999999999E-2</v>
      </c>
      <c r="AM202" s="5">
        <f t="shared" si="117"/>
        <v>0.1194718394324346</v>
      </c>
      <c r="AN202" s="25">
        <f t="shared" si="118"/>
        <v>-8.0000000000000002E-3</v>
      </c>
      <c r="AO202" s="30">
        <f t="shared" si="108"/>
        <v>1.4E-2</v>
      </c>
      <c r="AP202" s="5">
        <f t="shared" si="109"/>
        <v>0.18</v>
      </c>
      <c r="AQ202" s="25">
        <v>0</v>
      </c>
    </row>
    <row r="203" spans="2:43">
      <c r="B203" s="38">
        <v>45000</v>
      </c>
      <c r="C203" s="3">
        <v>0</v>
      </c>
      <c r="D203" s="3">
        <f t="shared" si="92"/>
        <v>0.35</v>
      </c>
      <c r="E203" s="13" cm="1">
        <f t="array" ref="E203">((B203-INDEX($AT$4:$AW$53,MATCH(B203,$AT$4:$AT$53,1),1))/(INDEX($AT$4:$AW$53,MATCH(B203,$AT$4:$AT$53,1)+1,1)-INDEX($AT$4:$AW$53,MATCH(B203,$AT$4:$AT$53,1),1)))*(INDEX($AT$4:$AW$53,MATCH(B203,$AT$4:$AT$53,1)+1,4)-INDEX($AT$4:$AW$53,MATCH(B203,$AT$4:$AT$53,1),4))+INDEX($AT$4:$AW$53,MATCH(B203,$AT$4:$AT$53,1),4)</f>
        <v>14.828881018275807</v>
      </c>
      <c r="F203" s="13" cm="1">
        <f t="array" ref="F203">C203+((B203-INDEX($AT$4:$AW$53,MATCH(B203,$AT$4:$AT$53,1),1))/(INDEX($AT$4:$AW$53,MATCH(B203,$AT$4:$AT$53,1)+1,1)-INDEX($AT$4:$AW$53,MATCH(B203,$AT$4:$AT$53,1),1)))*(INDEX($AT$4:$AW$53,MATCH(B203,$AT$4:$AT$53,1)+1,3)-INDEX($AT$4:$AW$53,MATCH(B203,$AT$4:$AT$53,1),3))+INDEX($AT$4:$AW$53,MATCH(B203,$AT$4:$AT$53,1),3)</f>
        <v>216.7</v>
      </c>
      <c r="G203" s="4">
        <f t="shared" si="93"/>
        <v>0.23843366394356602</v>
      </c>
      <c r="H203" s="6">
        <f t="shared" si="110"/>
        <v>45000</v>
      </c>
      <c r="I203" s="13">
        <f t="shared" si="94"/>
        <v>103.27672704922439</v>
      </c>
      <c r="J203" s="13">
        <f t="shared" si="111"/>
        <v>200.75343310736434</v>
      </c>
      <c r="K203" s="13">
        <f t="shared" si="95"/>
        <v>88.560227049380671</v>
      </c>
      <c r="L203" s="13">
        <f t="shared" si="112"/>
        <v>89.71601483745917</v>
      </c>
      <c r="M203" s="13">
        <f t="shared" si="113"/>
        <v>1.3109970763449192</v>
      </c>
      <c r="N203" s="13">
        <f t="shared" si="114"/>
        <v>1.2715765473171501</v>
      </c>
      <c r="O203" s="4">
        <f t="shared" si="96"/>
        <v>1.0245</v>
      </c>
      <c r="P203" s="4">
        <f t="shared" si="97"/>
        <v>1.0884083616780784</v>
      </c>
      <c r="Q203" s="4">
        <f t="shared" si="98"/>
        <v>0.77046382092660071</v>
      </c>
      <c r="R203" s="4">
        <f t="shared" si="99"/>
        <v>0.15928821213541303</v>
      </c>
      <c r="S203" s="4">
        <f t="shared" si="100"/>
        <v>0.19460387363584664</v>
      </c>
      <c r="T203" s="1"/>
      <c r="U203" s="1"/>
      <c r="V203" s="1">
        <v>1</v>
      </c>
      <c r="W203" s="1">
        <v>1</v>
      </c>
      <c r="Y203" s="1">
        <f t="shared" si="115"/>
        <v>-21.429671868602288</v>
      </c>
      <c r="Z203" s="1">
        <f t="shared" si="116"/>
        <v>-21.429671868602288</v>
      </c>
      <c r="AB203" s="130">
        <v>1</v>
      </c>
      <c r="AC203" s="128">
        <f t="shared" si="101"/>
        <v>0.52858744151830273</v>
      </c>
      <c r="AD203" s="4">
        <f t="shared" si="102"/>
        <v>0.15928821213541303</v>
      </c>
      <c r="AE203" s="4">
        <f t="shared" si="103"/>
        <v>0.26548035355902172</v>
      </c>
      <c r="AF203" s="32">
        <f t="shared" si="104"/>
        <v>0.51620183943669506</v>
      </c>
      <c r="AG203" s="4">
        <f t="shared" si="105"/>
        <v>0.87153775494981711</v>
      </c>
      <c r="AH203" s="42">
        <f t="shared" si="106"/>
        <v>1.4694733589676268</v>
      </c>
      <c r="AJ203" s="23">
        <v>4</v>
      </c>
      <c r="AK203" s="24">
        <v>0.8</v>
      </c>
      <c r="AL203" s="5">
        <f t="shared" si="107"/>
        <v>2.0799999999999999E-2</v>
      </c>
      <c r="AM203" s="5">
        <f t="shared" si="117"/>
        <v>0.1194718394324346</v>
      </c>
      <c r="AN203" s="25">
        <f t="shared" si="118"/>
        <v>-8.0000000000000002E-3</v>
      </c>
      <c r="AO203" s="30">
        <f t="shared" si="108"/>
        <v>1.4E-2</v>
      </c>
      <c r="AP203" s="5">
        <f t="shared" si="109"/>
        <v>0.18</v>
      </c>
      <c r="AQ203" s="25">
        <v>0</v>
      </c>
    </row>
    <row r="204" spans="2:43">
      <c r="B204" s="38">
        <v>45000</v>
      </c>
      <c r="C204" s="3">
        <v>0</v>
      </c>
      <c r="D204" s="3">
        <f t="shared" si="92"/>
        <v>0.39999999999999997</v>
      </c>
      <c r="E204" s="13" cm="1">
        <f t="array" ref="E204">((B204-INDEX($AT$4:$AW$53,MATCH(B204,$AT$4:$AT$53,1),1))/(INDEX($AT$4:$AW$53,MATCH(B204,$AT$4:$AT$53,1)+1,1)-INDEX($AT$4:$AW$53,MATCH(B204,$AT$4:$AT$53,1),1)))*(INDEX($AT$4:$AW$53,MATCH(B204,$AT$4:$AT$53,1)+1,4)-INDEX($AT$4:$AW$53,MATCH(B204,$AT$4:$AT$53,1),4))+INDEX($AT$4:$AW$53,MATCH(B204,$AT$4:$AT$53,1),4)</f>
        <v>14.828881018275807</v>
      </c>
      <c r="F204" s="13" cm="1">
        <f t="array" ref="F204">C204+((B204-INDEX($AT$4:$AW$53,MATCH(B204,$AT$4:$AT$53,1),1))/(INDEX($AT$4:$AW$53,MATCH(B204,$AT$4:$AT$53,1)+1,1)-INDEX($AT$4:$AW$53,MATCH(B204,$AT$4:$AT$53,1),1)))*(INDEX($AT$4:$AW$53,MATCH(B204,$AT$4:$AT$53,1)+1,3)-INDEX($AT$4:$AW$53,MATCH(B204,$AT$4:$AT$53,1),3))+INDEX($AT$4:$AW$53,MATCH(B204,$AT$4:$AT$53,1),3)</f>
        <v>216.7</v>
      </c>
      <c r="G204" s="4">
        <f t="shared" si="93"/>
        <v>0.23843366394356602</v>
      </c>
      <c r="H204" s="6">
        <f t="shared" si="110"/>
        <v>45000</v>
      </c>
      <c r="I204" s="13">
        <f t="shared" si="94"/>
        <v>118.03054519911358</v>
      </c>
      <c r="J204" s="13">
        <f t="shared" si="111"/>
        <v>229.43249497984493</v>
      </c>
      <c r="K204" s="13">
        <f t="shared" si="95"/>
        <v>101.21168805643504</v>
      </c>
      <c r="L204" s="13">
        <f t="shared" si="112"/>
        <v>102.93602556125936</v>
      </c>
      <c r="M204" s="13">
        <f t="shared" si="113"/>
        <v>1.7283352334389823</v>
      </c>
      <c r="N204" s="13">
        <f t="shared" si="114"/>
        <v>1.6608346740468896</v>
      </c>
      <c r="O204" s="4">
        <f t="shared" si="96"/>
        <v>1.032</v>
      </c>
      <c r="P204" s="4">
        <f t="shared" si="97"/>
        <v>1.1165519658097534</v>
      </c>
      <c r="Q204" s="4">
        <f t="shared" si="98"/>
        <v>0.77610411244143684</v>
      </c>
      <c r="R204" s="4">
        <f t="shared" si="99"/>
        <v>0.16340701950865816</v>
      </c>
      <c r="S204" s="4">
        <f t="shared" si="100"/>
        <v>0.19460387363584664</v>
      </c>
      <c r="T204" s="1"/>
      <c r="U204" s="1"/>
      <c r="V204" s="1">
        <v>1</v>
      </c>
      <c r="W204" s="1">
        <v>1</v>
      </c>
      <c r="Y204" s="1">
        <f t="shared" si="115"/>
        <v>-17.159750635156609</v>
      </c>
      <c r="Z204" s="1">
        <f t="shared" si="116"/>
        <v>-17.159750635156609</v>
      </c>
      <c r="AB204" s="130">
        <v>1</v>
      </c>
      <c r="AC204" s="128">
        <f t="shared" si="101"/>
        <v>0.52572811275764275</v>
      </c>
      <c r="AD204" s="4">
        <f t="shared" si="102"/>
        <v>0.16340701950865816</v>
      </c>
      <c r="AE204" s="4">
        <f t="shared" si="103"/>
        <v>0.27234503251443026</v>
      </c>
      <c r="AF204" s="32">
        <f t="shared" si="104"/>
        <v>0.53961628658460059</v>
      </c>
      <c r="AG204" s="4">
        <f t="shared" si="105"/>
        <v>0.8845457811430979</v>
      </c>
      <c r="AH204" s="42">
        <f t="shared" si="106"/>
        <v>1.4811805825415796</v>
      </c>
      <c r="AJ204" s="23">
        <v>4</v>
      </c>
      <c r="AK204" s="24">
        <v>0.8</v>
      </c>
      <c r="AL204" s="5">
        <f t="shared" si="107"/>
        <v>2.0799999999999999E-2</v>
      </c>
      <c r="AM204" s="5">
        <f t="shared" si="117"/>
        <v>0.1194718394324346</v>
      </c>
      <c r="AN204" s="25">
        <f t="shared" si="118"/>
        <v>-8.0000000000000002E-3</v>
      </c>
      <c r="AO204" s="30">
        <f t="shared" si="108"/>
        <v>1.4E-2</v>
      </c>
      <c r="AP204" s="5">
        <f t="shared" si="109"/>
        <v>0.18</v>
      </c>
      <c r="AQ204" s="25">
        <v>0</v>
      </c>
    </row>
    <row r="205" spans="2:43">
      <c r="B205" s="38">
        <v>45000</v>
      </c>
      <c r="C205" s="3">
        <v>0</v>
      </c>
      <c r="D205" s="3">
        <f t="shared" si="92"/>
        <v>0.44999999999999996</v>
      </c>
      <c r="E205" s="13" cm="1">
        <f t="array" ref="E205">((B205-INDEX($AT$4:$AW$53,MATCH(B205,$AT$4:$AT$53,1),1))/(INDEX($AT$4:$AW$53,MATCH(B205,$AT$4:$AT$53,1)+1,1)-INDEX($AT$4:$AW$53,MATCH(B205,$AT$4:$AT$53,1),1)))*(INDEX($AT$4:$AW$53,MATCH(B205,$AT$4:$AT$53,1)+1,4)-INDEX($AT$4:$AW$53,MATCH(B205,$AT$4:$AT$53,1),4))+INDEX($AT$4:$AW$53,MATCH(B205,$AT$4:$AT$53,1),4)</f>
        <v>14.828881018275807</v>
      </c>
      <c r="F205" s="13" cm="1">
        <f t="array" ref="F205">C205+((B205-INDEX($AT$4:$AW$53,MATCH(B205,$AT$4:$AT$53,1),1))/(INDEX($AT$4:$AW$53,MATCH(B205,$AT$4:$AT$53,1)+1,1)-INDEX($AT$4:$AW$53,MATCH(B205,$AT$4:$AT$53,1),1)))*(INDEX($AT$4:$AW$53,MATCH(B205,$AT$4:$AT$53,1)+1,3)-INDEX($AT$4:$AW$53,MATCH(B205,$AT$4:$AT$53,1),3))+INDEX($AT$4:$AW$53,MATCH(B205,$AT$4:$AT$53,1),3)</f>
        <v>216.7</v>
      </c>
      <c r="G205" s="4">
        <f t="shared" si="93"/>
        <v>0.23843366394356602</v>
      </c>
      <c r="H205" s="6">
        <f t="shared" si="110"/>
        <v>45000</v>
      </c>
      <c r="I205" s="13">
        <f t="shared" si="94"/>
        <v>132.78436334900277</v>
      </c>
      <c r="J205" s="13">
        <f t="shared" si="111"/>
        <v>258.11155685232558</v>
      </c>
      <c r="K205" s="13">
        <f t="shared" si="95"/>
        <v>113.86314906348943</v>
      </c>
      <c r="L205" s="13">
        <f t="shared" si="112"/>
        <v>116.31675742504443</v>
      </c>
      <c r="M205" s="13">
        <f t="shared" si="113"/>
        <v>2.2105730622030495</v>
      </c>
      <c r="N205" s="13">
        <f t="shared" si="114"/>
        <v>2.1019938843405943</v>
      </c>
      <c r="O205" s="4">
        <f t="shared" si="96"/>
        <v>1.0405</v>
      </c>
      <c r="P205" s="4">
        <f t="shared" si="97"/>
        <v>1.1490721423604813</v>
      </c>
      <c r="Q205" s="4">
        <f t="shared" si="98"/>
        <v>0.78249644282491759</v>
      </c>
      <c r="R205" s="4">
        <f t="shared" si="99"/>
        <v>0.16816633684163684</v>
      </c>
      <c r="S205" s="4">
        <f t="shared" si="100"/>
        <v>0.19460387363584664</v>
      </c>
      <c r="T205" s="1"/>
      <c r="U205" s="1"/>
      <c r="V205" s="1">
        <v>1</v>
      </c>
      <c r="W205" s="1">
        <v>1</v>
      </c>
      <c r="Y205" s="1">
        <f t="shared" si="115"/>
        <v>-13.714812206806709</v>
      </c>
      <c r="Z205" s="1">
        <f t="shared" si="116"/>
        <v>-13.714812206806709</v>
      </c>
      <c r="AB205" s="130">
        <v>1</v>
      </c>
      <c r="AC205" s="128">
        <f t="shared" si="101"/>
        <v>0.52304257247250441</v>
      </c>
      <c r="AD205" s="4">
        <f t="shared" si="102"/>
        <v>0.16816633684163684</v>
      </c>
      <c r="AE205" s="4">
        <f t="shared" si="103"/>
        <v>0.28027722806939476</v>
      </c>
      <c r="AF205" s="32">
        <f t="shared" si="104"/>
        <v>0.56303073373250612</v>
      </c>
      <c r="AG205" s="4">
        <f t="shared" si="105"/>
        <v>0.89755380733637857</v>
      </c>
      <c r="AH205" s="42">
        <f t="shared" si="106"/>
        <v>1.4928878061155324</v>
      </c>
      <c r="AJ205" s="23">
        <v>4</v>
      </c>
      <c r="AK205" s="24">
        <v>0.8</v>
      </c>
      <c r="AL205" s="5">
        <f t="shared" si="107"/>
        <v>2.0799999999999999E-2</v>
      </c>
      <c r="AM205" s="5">
        <f t="shared" si="117"/>
        <v>0.1194718394324346</v>
      </c>
      <c r="AN205" s="25">
        <f t="shared" si="118"/>
        <v>-8.0000000000000002E-3</v>
      </c>
      <c r="AO205" s="30">
        <f t="shared" si="108"/>
        <v>1.4E-2</v>
      </c>
      <c r="AP205" s="5">
        <f t="shared" si="109"/>
        <v>0.18</v>
      </c>
      <c r="AQ205" s="25">
        <v>0</v>
      </c>
    </row>
    <row r="206" spans="2:43">
      <c r="B206" s="38">
        <v>45000</v>
      </c>
      <c r="C206" s="3">
        <v>0</v>
      </c>
      <c r="D206" s="3">
        <f t="shared" si="92"/>
        <v>0.49999999999999994</v>
      </c>
      <c r="E206" s="13" cm="1">
        <f t="array" ref="E206">((B206-INDEX($AT$4:$AW$53,MATCH(B206,$AT$4:$AT$53,1),1))/(INDEX($AT$4:$AW$53,MATCH(B206,$AT$4:$AT$53,1)+1,1)-INDEX($AT$4:$AW$53,MATCH(B206,$AT$4:$AT$53,1),1)))*(INDEX($AT$4:$AW$53,MATCH(B206,$AT$4:$AT$53,1)+1,4)-INDEX($AT$4:$AW$53,MATCH(B206,$AT$4:$AT$53,1),4))+INDEX($AT$4:$AW$53,MATCH(B206,$AT$4:$AT$53,1),4)</f>
        <v>14.828881018275807</v>
      </c>
      <c r="F206" s="13" cm="1">
        <f t="array" ref="F206">C206+((B206-INDEX($AT$4:$AW$53,MATCH(B206,$AT$4:$AT$53,1),1))/(INDEX($AT$4:$AW$53,MATCH(B206,$AT$4:$AT$53,1)+1,1)-INDEX($AT$4:$AW$53,MATCH(B206,$AT$4:$AT$53,1),1)))*(INDEX($AT$4:$AW$53,MATCH(B206,$AT$4:$AT$53,1)+1,3)-INDEX($AT$4:$AW$53,MATCH(B206,$AT$4:$AT$53,1),3))+INDEX($AT$4:$AW$53,MATCH(B206,$AT$4:$AT$53,1),3)</f>
        <v>216.7</v>
      </c>
      <c r="G206" s="4">
        <f t="shared" si="93"/>
        <v>0.23843366394356602</v>
      </c>
      <c r="H206" s="6">
        <f t="shared" si="110"/>
        <v>45000</v>
      </c>
      <c r="I206" s="13">
        <f t="shared" si="94"/>
        <v>147.53818149889196</v>
      </c>
      <c r="J206" s="13">
        <f t="shared" si="111"/>
        <v>286.79061872480617</v>
      </c>
      <c r="K206" s="13">
        <f t="shared" si="95"/>
        <v>126.51461007054381</v>
      </c>
      <c r="L206" s="13">
        <f t="shared" si="112"/>
        <v>129.87783380710229</v>
      </c>
      <c r="M206" s="13">
        <f t="shared" si="113"/>
        <v>2.7613250536596405</v>
      </c>
      <c r="N206" s="13">
        <f t="shared" si="114"/>
        <v>2.5950541781982643</v>
      </c>
      <c r="O206" s="4">
        <f t="shared" si="96"/>
        <v>1.05</v>
      </c>
      <c r="P206" s="4">
        <f t="shared" si="97"/>
        <v>1.1862126380443982</v>
      </c>
      <c r="Q206" s="4">
        <f t="shared" si="98"/>
        <v>0.78964081207704329</v>
      </c>
      <c r="R206" s="4">
        <f t="shared" si="99"/>
        <v>0.17360183638722376</v>
      </c>
      <c r="S206" s="4">
        <f t="shared" si="100"/>
        <v>0.19460387363584664</v>
      </c>
      <c r="T206" s="1"/>
      <c r="U206" s="1"/>
      <c r="V206" s="1">
        <v>1</v>
      </c>
      <c r="W206" s="1">
        <v>1</v>
      </c>
      <c r="Y206" s="1">
        <f t="shared" si="115"/>
        <v>-10.865657488314888</v>
      </c>
      <c r="Z206" s="1">
        <f t="shared" si="116"/>
        <v>-10.865657488314888</v>
      </c>
      <c r="AB206" s="130">
        <v>1</v>
      </c>
      <c r="AC206" s="128">
        <f t="shared" si="101"/>
        <v>0.52050252531694174</v>
      </c>
      <c r="AD206" s="4">
        <f t="shared" si="102"/>
        <v>0.17360183638722376</v>
      </c>
      <c r="AE206" s="4">
        <f t="shared" si="103"/>
        <v>0.28933639397870631</v>
      </c>
      <c r="AF206" s="32">
        <f t="shared" si="104"/>
        <v>0.58644518088041164</v>
      </c>
      <c r="AG206" s="4">
        <f t="shared" si="105"/>
        <v>0.91056183352965958</v>
      </c>
      <c r="AH206" s="42">
        <f t="shared" si="106"/>
        <v>1.5045950296894852</v>
      </c>
      <c r="AJ206" s="23">
        <v>4</v>
      </c>
      <c r="AK206" s="24">
        <v>0.8</v>
      </c>
      <c r="AL206" s="5">
        <f t="shared" si="107"/>
        <v>2.0799999999999999E-2</v>
      </c>
      <c r="AM206" s="5">
        <f t="shared" si="117"/>
        <v>0.1194718394324346</v>
      </c>
      <c r="AN206" s="25">
        <f t="shared" si="118"/>
        <v>-8.0000000000000002E-3</v>
      </c>
      <c r="AO206" s="30">
        <f t="shared" si="108"/>
        <v>1.4E-2</v>
      </c>
      <c r="AP206" s="5">
        <f t="shared" si="109"/>
        <v>0.18</v>
      </c>
      <c r="AQ206" s="25">
        <v>0</v>
      </c>
    </row>
    <row r="207" spans="2:43">
      <c r="B207" s="38">
        <v>45000</v>
      </c>
      <c r="C207" s="3">
        <v>0</v>
      </c>
      <c r="D207" s="3">
        <f t="shared" si="92"/>
        <v>0.54999999999999993</v>
      </c>
      <c r="E207" s="13" cm="1">
        <f t="array" ref="E207">((B207-INDEX($AT$4:$AW$53,MATCH(B207,$AT$4:$AT$53,1),1))/(INDEX($AT$4:$AW$53,MATCH(B207,$AT$4:$AT$53,1)+1,1)-INDEX($AT$4:$AW$53,MATCH(B207,$AT$4:$AT$53,1),1)))*(INDEX($AT$4:$AW$53,MATCH(B207,$AT$4:$AT$53,1)+1,4)-INDEX($AT$4:$AW$53,MATCH(B207,$AT$4:$AT$53,1),4))+INDEX($AT$4:$AW$53,MATCH(B207,$AT$4:$AT$53,1),4)</f>
        <v>14.828881018275807</v>
      </c>
      <c r="F207" s="13" cm="1">
        <f t="array" ref="F207">C207+((B207-INDEX($AT$4:$AW$53,MATCH(B207,$AT$4:$AT$53,1),1))/(INDEX($AT$4:$AW$53,MATCH(B207,$AT$4:$AT$53,1)+1,1)-INDEX($AT$4:$AW$53,MATCH(B207,$AT$4:$AT$53,1),1)))*(INDEX($AT$4:$AW$53,MATCH(B207,$AT$4:$AT$53,1)+1,3)-INDEX($AT$4:$AW$53,MATCH(B207,$AT$4:$AT$53,1),3))+INDEX($AT$4:$AW$53,MATCH(B207,$AT$4:$AT$53,1),3)</f>
        <v>216.7</v>
      </c>
      <c r="G207" s="4">
        <f t="shared" si="93"/>
        <v>0.23843366394356602</v>
      </c>
      <c r="H207" s="6">
        <f t="shared" si="110"/>
        <v>45000</v>
      </c>
      <c r="I207" s="13">
        <f t="shared" si="94"/>
        <v>162.29199964878117</v>
      </c>
      <c r="J207" s="13">
        <f t="shared" si="111"/>
        <v>315.46968059728681</v>
      </c>
      <c r="K207" s="13">
        <f t="shared" si="95"/>
        <v>139.16607107759819</v>
      </c>
      <c r="L207" s="13">
        <f t="shared" si="112"/>
        <v>143.63866646648879</v>
      </c>
      <c r="M207" s="13">
        <f t="shared" si="113"/>
        <v>3.3847165079598738</v>
      </c>
      <c r="N207" s="13">
        <f t="shared" si="114"/>
        <v>3.1400155556199008</v>
      </c>
      <c r="O207" s="4">
        <f t="shared" si="96"/>
        <v>1.0605</v>
      </c>
      <c r="P207" s="4">
        <f t="shared" si="97"/>
        <v>1.2282516464855568</v>
      </c>
      <c r="Q207" s="4">
        <f t="shared" si="98"/>
        <v>0.7975372201978137</v>
      </c>
      <c r="R207" s="4">
        <f t="shared" si="99"/>
        <v>0.17975423169243207</v>
      </c>
      <c r="S207" s="4">
        <f t="shared" si="100"/>
        <v>0.19460387363584664</v>
      </c>
      <c r="T207" s="1"/>
      <c r="U207" s="1"/>
      <c r="V207" s="1">
        <v>1</v>
      </c>
      <c r="W207" s="1">
        <v>1</v>
      </c>
      <c r="Y207" s="1">
        <f t="shared" si="115"/>
        <v>-8.4664201310551803</v>
      </c>
      <c r="Z207" s="1">
        <f t="shared" si="116"/>
        <v>-8.4664201310551803</v>
      </c>
      <c r="AB207" s="130">
        <v>1</v>
      </c>
      <c r="AC207" s="128">
        <f t="shared" si="101"/>
        <v>0.51808661059033034</v>
      </c>
      <c r="AD207" s="4">
        <f t="shared" si="102"/>
        <v>0.17975423169243207</v>
      </c>
      <c r="AE207" s="4">
        <f t="shared" si="103"/>
        <v>0.29959038615405348</v>
      </c>
      <c r="AF207" s="32">
        <f t="shared" si="104"/>
        <v>0.60985962802831717</v>
      </c>
      <c r="AG207" s="4">
        <f t="shared" si="105"/>
        <v>0.92356985972294037</v>
      </c>
      <c r="AH207" s="42">
        <f t="shared" si="106"/>
        <v>1.516302253263438</v>
      </c>
      <c r="AJ207" s="23">
        <v>4</v>
      </c>
      <c r="AK207" s="24">
        <v>0.8</v>
      </c>
      <c r="AL207" s="5">
        <f t="shared" si="107"/>
        <v>2.0799999999999999E-2</v>
      </c>
      <c r="AM207" s="5">
        <f t="shared" si="117"/>
        <v>0.1194718394324346</v>
      </c>
      <c r="AN207" s="25">
        <f t="shared" si="118"/>
        <v>-8.0000000000000002E-3</v>
      </c>
      <c r="AO207" s="30">
        <f t="shared" si="108"/>
        <v>1.4E-2</v>
      </c>
      <c r="AP207" s="5">
        <f t="shared" si="109"/>
        <v>0.18</v>
      </c>
      <c r="AQ207" s="25">
        <v>0</v>
      </c>
    </row>
    <row r="208" spans="2:43">
      <c r="B208" s="38">
        <v>45000</v>
      </c>
      <c r="C208" s="3">
        <v>0</v>
      </c>
      <c r="D208" s="3">
        <f t="shared" si="92"/>
        <v>0.6</v>
      </c>
      <c r="E208" s="13" cm="1">
        <f t="array" ref="E208">((B208-INDEX($AT$4:$AW$53,MATCH(B208,$AT$4:$AT$53,1),1))/(INDEX($AT$4:$AW$53,MATCH(B208,$AT$4:$AT$53,1)+1,1)-INDEX($AT$4:$AW$53,MATCH(B208,$AT$4:$AT$53,1),1)))*(INDEX($AT$4:$AW$53,MATCH(B208,$AT$4:$AT$53,1)+1,4)-INDEX($AT$4:$AW$53,MATCH(B208,$AT$4:$AT$53,1),4))+INDEX($AT$4:$AW$53,MATCH(B208,$AT$4:$AT$53,1),4)</f>
        <v>14.828881018275807</v>
      </c>
      <c r="F208" s="13" cm="1">
        <f t="array" ref="F208">C208+((B208-INDEX($AT$4:$AW$53,MATCH(B208,$AT$4:$AT$53,1),1))/(INDEX($AT$4:$AW$53,MATCH(B208,$AT$4:$AT$53,1)+1,1)-INDEX($AT$4:$AW$53,MATCH(B208,$AT$4:$AT$53,1),1)))*(INDEX($AT$4:$AW$53,MATCH(B208,$AT$4:$AT$53,1)+1,3)-INDEX($AT$4:$AW$53,MATCH(B208,$AT$4:$AT$53,1),3))+INDEX($AT$4:$AW$53,MATCH(B208,$AT$4:$AT$53,1),3)</f>
        <v>216.7</v>
      </c>
      <c r="G208" s="4">
        <f t="shared" si="93"/>
        <v>0.23843366394356602</v>
      </c>
      <c r="H208" s="6">
        <f t="shared" si="110"/>
        <v>45000</v>
      </c>
      <c r="I208" s="13">
        <f t="shared" si="94"/>
        <v>177.04581779867038</v>
      </c>
      <c r="J208" s="13">
        <f t="shared" si="111"/>
        <v>344.14874246976746</v>
      </c>
      <c r="K208" s="13">
        <f t="shared" si="95"/>
        <v>151.81753208465258</v>
      </c>
      <c r="L208" s="13">
        <f t="shared" si="112"/>
        <v>157.61840707105762</v>
      </c>
      <c r="M208" s="13">
        <f t="shared" si="113"/>
        <v>4.0854127194418268</v>
      </c>
      <c r="N208" s="13">
        <f t="shared" si="114"/>
        <v>3.7368780166055022</v>
      </c>
      <c r="O208" s="4">
        <f t="shared" si="96"/>
        <v>1.0720000000000001</v>
      </c>
      <c r="P208" s="4">
        <f t="shared" si="97"/>
        <v>1.2755037763406945</v>
      </c>
      <c r="Q208" s="4">
        <f t="shared" si="98"/>
        <v>0.80618566718722895</v>
      </c>
      <c r="R208" s="4">
        <f t="shared" si="99"/>
        <v>0.18666956563254514</v>
      </c>
      <c r="S208" s="4">
        <f t="shared" si="100"/>
        <v>0.19460387363584664</v>
      </c>
      <c r="T208" s="1"/>
      <c r="U208" s="1"/>
      <c r="V208" s="1">
        <v>1</v>
      </c>
      <c r="W208" s="1">
        <v>1</v>
      </c>
      <c r="Y208" s="1">
        <f t="shared" si="115"/>
        <v>-6.4191881722501503</v>
      </c>
      <c r="Z208" s="1">
        <f t="shared" si="116"/>
        <v>-6.4191881722501503</v>
      </c>
      <c r="AB208" s="130">
        <v>1</v>
      </c>
      <c r="AC208" s="128">
        <f t="shared" si="101"/>
        <v>0.51577823315309623</v>
      </c>
      <c r="AD208" s="4">
        <f t="shared" si="102"/>
        <v>0.18666956563254514</v>
      </c>
      <c r="AE208" s="4">
        <f t="shared" si="103"/>
        <v>0.31111594272090859</v>
      </c>
      <c r="AF208" s="32">
        <f t="shared" si="104"/>
        <v>0.63327407517622269</v>
      </c>
      <c r="AG208" s="4">
        <f t="shared" si="105"/>
        <v>0.93657788591622126</v>
      </c>
      <c r="AH208" s="42">
        <f t="shared" si="106"/>
        <v>1.5280094768373906</v>
      </c>
      <c r="AJ208" s="23">
        <v>4</v>
      </c>
      <c r="AK208" s="24">
        <v>0.8</v>
      </c>
      <c r="AL208" s="5">
        <f t="shared" si="107"/>
        <v>2.0799999999999999E-2</v>
      </c>
      <c r="AM208" s="5">
        <f t="shared" si="117"/>
        <v>0.1194718394324346</v>
      </c>
      <c r="AN208" s="25">
        <f t="shared" si="118"/>
        <v>-8.0000000000000002E-3</v>
      </c>
      <c r="AO208" s="30">
        <f t="shared" si="108"/>
        <v>1.4E-2</v>
      </c>
      <c r="AP208" s="5">
        <f t="shared" si="109"/>
        <v>0.18</v>
      </c>
      <c r="AQ208" s="25">
        <v>0</v>
      </c>
    </row>
    <row r="209" spans="2:43">
      <c r="B209" s="38">
        <v>45000</v>
      </c>
      <c r="C209" s="3">
        <v>0</v>
      </c>
      <c r="D209" s="3">
        <f t="shared" si="92"/>
        <v>0.65</v>
      </c>
      <c r="E209" s="13" cm="1">
        <f t="array" ref="E209">((B209-INDEX($AT$4:$AW$53,MATCH(B209,$AT$4:$AT$53,1),1))/(INDEX($AT$4:$AW$53,MATCH(B209,$AT$4:$AT$53,1)+1,1)-INDEX($AT$4:$AW$53,MATCH(B209,$AT$4:$AT$53,1),1)))*(INDEX($AT$4:$AW$53,MATCH(B209,$AT$4:$AT$53,1)+1,4)-INDEX($AT$4:$AW$53,MATCH(B209,$AT$4:$AT$53,1),4))+INDEX($AT$4:$AW$53,MATCH(B209,$AT$4:$AT$53,1),4)</f>
        <v>14.828881018275807</v>
      </c>
      <c r="F209" s="13" cm="1">
        <f t="array" ref="F209">C209+((B209-INDEX($AT$4:$AW$53,MATCH(B209,$AT$4:$AT$53,1),1))/(INDEX($AT$4:$AW$53,MATCH(B209,$AT$4:$AT$53,1)+1,1)-INDEX($AT$4:$AW$53,MATCH(B209,$AT$4:$AT$53,1),1)))*(INDEX($AT$4:$AW$53,MATCH(B209,$AT$4:$AT$53,1)+1,3)-INDEX($AT$4:$AW$53,MATCH(B209,$AT$4:$AT$53,1),3))+INDEX($AT$4:$AW$53,MATCH(B209,$AT$4:$AT$53,1),3)</f>
        <v>216.7</v>
      </c>
      <c r="G209" s="4">
        <f t="shared" si="93"/>
        <v>0.23843366394356602</v>
      </c>
      <c r="H209" s="6">
        <f t="shared" si="110"/>
        <v>45000</v>
      </c>
      <c r="I209" s="13">
        <f t="shared" si="94"/>
        <v>191.7996359485596</v>
      </c>
      <c r="J209" s="13">
        <f t="shared" si="111"/>
        <v>372.8278043422481</v>
      </c>
      <c r="K209" s="13">
        <f t="shared" si="95"/>
        <v>164.46899309170698</v>
      </c>
      <c r="L209" s="13">
        <f t="shared" si="112"/>
        <v>171.83589169743112</v>
      </c>
      <c r="M209" s="13">
        <f t="shared" si="113"/>
        <v>4.868651575913665</v>
      </c>
      <c r="N209" s="13">
        <f t="shared" si="114"/>
        <v>4.3856415611550696</v>
      </c>
      <c r="O209" s="4">
        <f t="shared" si="96"/>
        <v>1.0845</v>
      </c>
      <c r="P209" s="4">
        <f t="shared" si="97"/>
        <v>1.328322249663566</v>
      </c>
      <c r="Q209" s="4">
        <f t="shared" si="98"/>
        <v>0.81558615304528892</v>
      </c>
      <c r="R209" s="4">
        <f t="shared" si="99"/>
        <v>0.19439953214102612</v>
      </c>
      <c r="S209" s="4">
        <f t="shared" si="100"/>
        <v>0.19460387363584664</v>
      </c>
      <c r="T209" s="1"/>
      <c r="U209" s="1"/>
      <c r="V209" s="1">
        <v>1</v>
      </c>
      <c r="W209" s="1">
        <v>1</v>
      </c>
      <c r="Y209" s="1">
        <f t="shared" si="115"/>
        <v>-4.6548632927912523</v>
      </c>
      <c r="Z209" s="1">
        <f t="shared" si="116"/>
        <v>-4.6548632927912523</v>
      </c>
      <c r="AB209" s="130">
        <v>1</v>
      </c>
      <c r="AC209" s="128">
        <f t="shared" si="101"/>
        <v>0.51356419576191015</v>
      </c>
      <c r="AD209" s="4">
        <f t="shared" si="102"/>
        <v>0.19439953214102612</v>
      </c>
      <c r="AE209" s="4">
        <f t="shared" si="103"/>
        <v>0.32399922023504357</v>
      </c>
      <c r="AF209" s="32">
        <f t="shared" si="104"/>
        <v>0.65668852232412822</v>
      </c>
      <c r="AG209" s="4">
        <f t="shared" si="105"/>
        <v>0.94958591210950205</v>
      </c>
      <c r="AH209" s="42">
        <f t="shared" si="106"/>
        <v>1.5397167004113435</v>
      </c>
      <c r="AJ209" s="23">
        <v>4</v>
      </c>
      <c r="AK209" s="24">
        <v>0.8</v>
      </c>
      <c r="AL209" s="5">
        <f t="shared" si="107"/>
        <v>2.0799999999999999E-2</v>
      </c>
      <c r="AM209" s="5">
        <f t="shared" si="117"/>
        <v>0.1194718394324346</v>
      </c>
      <c r="AN209" s="25">
        <f t="shared" si="118"/>
        <v>-8.0000000000000002E-3</v>
      </c>
      <c r="AO209" s="30">
        <f t="shared" si="108"/>
        <v>1.4E-2</v>
      </c>
      <c r="AP209" s="5">
        <f t="shared" si="109"/>
        <v>0.18</v>
      </c>
      <c r="AQ209" s="25">
        <v>0</v>
      </c>
    </row>
    <row r="210" spans="2:43">
      <c r="B210" s="38">
        <v>45000</v>
      </c>
      <c r="C210" s="3">
        <v>0</v>
      </c>
      <c r="D210" s="3">
        <f t="shared" si="92"/>
        <v>0.70000000000000007</v>
      </c>
      <c r="E210" s="13" cm="1">
        <f t="array" ref="E210">((B210-INDEX($AT$4:$AW$53,MATCH(B210,$AT$4:$AT$53,1),1))/(INDEX($AT$4:$AW$53,MATCH(B210,$AT$4:$AT$53,1)+1,1)-INDEX($AT$4:$AW$53,MATCH(B210,$AT$4:$AT$53,1),1)))*(INDEX($AT$4:$AW$53,MATCH(B210,$AT$4:$AT$53,1)+1,4)-INDEX($AT$4:$AW$53,MATCH(B210,$AT$4:$AT$53,1),4))+INDEX($AT$4:$AW$53,MATCH(B210,$AT$4:$AT$53,1),4)</f>
        <v>14.828881018275807</v>
      </c>
      <c r="F210" s="13" cm="1">
        <f t="array" ref="F210">C210+((B210-INDEX($AT$4:$AW$53,MATCH(B210,$AT$4:$AT$53,1),1))/(INDEX($AT$4:$AW$53,MATCH(B210,$AT$4:$AT$53,1)+1,1)-INDEX($AT$4:$AW$53,MATCH(B210,$AT$4:$AT$53,1),1)))*(INDEX($AT$4:$AW$53,MATCH(B210,$AT$4:$AT$53,1)+1,3)-INDEX($AT$4:$AW$53,MATCH(B210,$AT$4:$AT$53,1),3))+INDEX($AT$4:$AW$53,MATCH(B210,$AT$4:$AT$53,1),3)</f>
        <v>216.7</v>
      </c>
      <c r="G210" s="4">
        <f t="shared" si="93"/>
        <v>0.23843366394356602</v>
      </c>
      <c r="H210" s="6">
        <f t="shared" si="110"/>
        <v>45000</v>
      </c>
      <c r="I210" s="13">
        <f t="shared" si="94"/>
        <v>206.55345409844881</v>
      </c>
      <c r="J210" s="13">
        <f t="shared" si="111"/>
        <v>401.50686621472875</v>
      </c>
      <c r="K210" s="13">
        <f t="shared" si="95"/>
        <v>177.12045409876137</v>
      </c>
      <c r="L210" s="13">
        <f t="shared" si="112"/>
        <v>186.30957807223439</v>
      </c>
      <c r="M210" s="13">
        <f t="shared" si="113"/>
        <v>5.7402796712180688</v>
      </c>
      <c r="N210" s="13">
        <f t="shared" si="114"/>
        <v>5.0863061892686021</v>
      </c>
      <c r="O210" s="4">
        <f t="shared" si="96"/>
        <v>1.0980000000000001</v>
      </c>
      <c r="P210" s="4">
        <f t="shared" si="97"/>
        <v>1.3871013371908156</v>
      </c>
      <c r="Q210" s="4">
        <f t="shared" si="98"/>
        <v>0.82573867777199383</v>
      </c>
      <c r="R210" s="4">
        <f t="shared" si="99"/>
        <v>0.20300183261281887</v>
      </c>
      <c r="S210" s="4">
        <f t="shared" si="100"/>
        <v>0.19460387363584664</v>
      </c>
      <c r="T210" s="1"/>
      <c r="U210" s="1"/>
      <c r="V210" s="1">
        <v>1</v>
      </c>
      <c r="W210" s="1">
        <v>1</v>
      </c>
      <c r="Y210" s="1">
        <f t="shared" si="115"/>
        <v>-3.1221310194919525</v>
      </c>
      <c r="Z210" s="1">
        <f t="shared" si="116"/>
        <v>-3.1221310194919525</v>
      </c>
      <c r="AB210" s="130">
        <v>1</v>
      </c>
      <c r="AC210" s="128">
        <f t="shared" si="101"/>
        <v>0.51143379814261469</v>
      </c>
      <c r="AD210" s="4">
        <f t="shared" si="102"/>
        <v>0.20300183261281887</v>
      </c>
      <c r="AE210" s="4">
        <f t="shared" si="103"/>
        <v>0.33833638768803148</v>
      </c>
      <c r="AF210" s="32">
        <f t="shared" si="104"/>
        <v>0.68010296947203386</v>
      </c>
      <c r="AG210" s="4">
        <f t="shared" si="105"/>
        <v>0.96259393830278306</v>
      </c>
      <c r="AH210" s="42">
        <f t="shared" si="106"/>
        <v>1.5514239239852963</v>
      </c>
      <c r="AJ210" s="23">
        <v>4</v>
      </c>
      <c r="AK210" s="24">
        <v>0.8</v>
      </c>
      <c r="AL210" s="5">
        <f t="shared" si="107"/>
        <v>2.0799999999999999E-2</v>
      </c>
      <c r="AM210" s="5">
        <f t="shared" si="117"/>
        <v>0.1194718394324346</v>
      </c>
      <c r="AN210" s="25">
        <f t="shared" si="118"/>
        <v>-8.0000000000000002E-3</v>
      </c>
      <c r="AO210" s="30">
        <f t="shared" si="108"/>
        <v>1.4E-2</v>
      </c>
      <c r="AP210" s="5">
        <f t="shared" si="109"/>
        <v>0.18</v>
      </c>
      <c r="AQ210" s="25">
        <v>0</v>
      </c>
    </row>
    <row r="211" spans="2:43">
      <c r="B211" s="38">
        <v>45000</v>
      </c>
      <c r="C211" s="3">
        <v>0</v>
      </c>
      <c r="D211" s="3">
        <f t="shared" si="92"/>
        <v>0.75000000000000011</v>
      </c>
      <c r="E211" s="13" cm="1">
        <f t="array" ref="E211">((B211-INDEX($AT$4:$AW$53,MATCH(B211,$AT$4:$AT$53,1),1))/(INDEX($AT$4:$AW$53,MATCH(B211,$AT$4:$AT$53,1)+1,1)-INDEX($AT$4:$AW$53,MATCH(B211,$AT$4:$AT$53,1),1)))*(INDEX($AT$4:$AW$53,MATCH(B211,$AT$4:$AT$53,1)+1,4)-INDEX($AT$4:$AW$53,MATCH(B211,$AT$4:$AT$53,1),4))+INDEX($AT$4:$AW$53,MATCH(B211,$AT$4:$AT$53,1),4)</f>
        <v>14.828881018275807</v>
      </c>
      <c r="F211" s="13" cm="1">
        <f t="array" ref="F211">C211+((B211-INDEX($AT$4:$AW$53,MATCH(B211,$AT$4:$AT$53,1),1))/(INDEX($AT$4:$AW$53,MATCH(B211,$AT$4:$AT$53,1)+1,1)-INDEX($AT$4:$AW$53,MATCH(B211,$AT$4:$AT$53,1),1)))*(INDEX($AT$4:$AW$53,MATCH(B211,$AT$4:$AT$53,1)+1,3)-INDEX($AT$4:$AW$53,MATCH(B211,$AT$4:$AT$53,1),3))+INDEX($AT$4:$AW$53,MATCH(B211,$AT$4:$AT$53,1),3)</f>
        <v>216.7</v>
      </c>
      <c r="G211" s="4">
        <f t="shared" si="93"/>
        <v>0.23843366394356602</v>
      </c>
      <c r="H211" s="6">
        <f t="shared" si="110"/>
        <v>45000</v>
      </c>
      <c r="I211" s="13">
        <f t="shared" si="94"/>
        <v>221.30727224833802</v>
      </c>
      <c r="J211" s="13">
        <f t="shared" si="111"/>
        <v>430.18592808720939</v>
      </c>
      <c r="K211" s="13">
        <f t="shared" si="95"/>
        <v>189.77191510581576</v>
      </c>
      <c r="L211" s="13">
        <f t="shared" si="112"/>
        <v>201.05747548519707</v>
      </c>
      <c r="M211" s="13">
        <f t="shared" si="113"/>
        <v>6.7067920379745445</v>
      </c>
      <c r="N211" s="13">
        <f t="shared" si="114"/>
        <v>5.8388719009460992</v>
      </c>
      <c r="O211" s="4">
        <f t="shared" si="96"/>
        <v>1.1125</v>
      </c>
      <c r="P211" s="4">
        <f t="shared" si="97"/>
        <v>1.4522790377580601</v>
      </c>
      <c r="Q211" s="4">
        <f t="shared" si="98"/>
        <v>0.83664324136734336</v>
      </c>
      <c r="R211" s="4">
        <f t="shared" si="99"/>
        <v>0.21254056803602614</v>
      </c>
      <c r="S211" s="4">
        <f t="shared" si="100"/>
        <v>0.19460387363584664</v>
      </c>
      <c r="T211" s="1"/>
      <c r="U211" s="1"/>
      <c r="V211" s="1">
        <v>1</v>
      </c>
      <c r="W211" s="1">
        <v>1</v>
      </c>
      <c r="Y211" s="1">
        <f t="shared" si="115"/>
        <v>-1.7807485853558551</v>
      </c>
      <c r="Z211" s="1">
        <f t="shared" si="116"/>
        <v>-1.7807485853558551</v>
      </c>
      <c r="AB211" s="130">
        <v>1</v>
      </c>
      <c r="AC211" s="128">
        <f t="shared" si="101"/>
        <v>0.50937822173508929</v>
      </c>
      <c r="AD211" s="4">
        <f t="shared" si="102"/>
        <v>0.21254056803602614</v>
      </c>
      <c r="AE211" s="4">
        <f t="shared" si="103"/>
        <v>0.35423428006004359</v>
      </c>
      <c r="AF211" s="32">
        <f t="shared" si="104"/>
        <v>0.70351741661993938</v>
      </c>
      <c r="AG211" s="4">
        <f t="shared" si="105"/>
        <v>0.97560196449606384</v>
      </c>
      <c r="AH211" s="42">
        <f t="shared" si="106"/>
        <v>1.5631311475592491</v>
      </c>
      <c r="AJ211" s="23">
        <v>4</v>
      </c>
      <c r="AK211" s="24">
        <v>0.8</v>
      </c>
      <c r="AL211" s="5">
        <f t="shared" si="107"/>
        <v>2.0799999999999999E-2</v>
      </c>
      <c r="AM211" s="5">
        <f t="shared" si="117"/>
        <v>0.1194718394324346</v>
      </c>
      <c r="AN211" s="25">
        <f t="shared" si="118"/>
        <v>-8.0000000000000002E-3</v>
      </c>
      <c r="AO211" s="30">
        <f t="shared" si="108"/>
        <v>1.4E-2</v>
      </c>
      <c r="AP211" s="5">
        <f t="shared" si="109"/>
        <v>0.18</v>
      </c>
      <c r="AQ211" s="25">
        <v>0</v>
      </c>
    </row>
    <row r="212" spans="2:43">
      <c r="B212" s="38">
        <v>45000</v>
      </c>
      <c r="C212" s="3">
        <v>0</v>
      </c>
      <c r="D212" s="3">
        <f t="shared" si="92"/>
        <v>0.80000000000000016</v>
      </c>
      <c r="E212" s="13" cm="1">
        <f t="array" ref="E212">((B212-INDEX($AT$4:$AW$53,MATCH(B212,$AT$4:$AT$53,1),1))/(INDEX($AT$4:$AW$53,MATCH(B212,$AT$4:$AT$53,1)+1,1)-INDEX($AT$4:$AW$53,MATCH(B212,$AT$4:$AT$53,1),1)))*(INDEX($AT$4:$AW$53,MATCH(B212,$AT$4:$AT$53,1)+1,4)-INDEX($AT$4:$AW$53,MATCH(B212,$AT$4:$AT$53,1),4))+INDEX($AT$4:$AW$53,MATCH(B212,$AT$4:$AT$53,1),4)</f>
        <v>14.828881018275807</v>
      </c>
      <c r="F212" s="13" cm="1">
        <f t="array" ref="F212">C212+((B212-INDEX($AT$4:$AW$53,MATCH(B212,$AT$4:$AT$53,1),1))/(INDEX($AT$4:$AW$53,MATCH(B212,$AT$4:$AT$53,1)+1,1)-INDEX($AT$4:$AW$53,MATCH(B212,$AT$4:$AT$53,1),1)))*(INDEX($AT$4:$AW$53,MATCH(B212,$AT$4:$AT$53,1)+1,3)-INDEX($AT$4:$AW$53,MATCH(B212,$AT$4:$AT$53,1),3))+INDEX($AT$4:$AW$53,MATCH(B212,$AT$4:$AT$53,1),3)</f>
        <v>216.7</v>
      </c>
      <c r="G212" s="4">
        <f t="shared" si="93"/>
        <v>0.23843366394356602</v>
      </c>
      <c r="H212" s="6">
        <f t="shared" si="110"/>
        <v>45000</v>
      </c>
      <c r="I212" s="13">
        <f t="shared" si="94"/>
        <v>236.06109039822724</v>
      </c>
      <c r="J212" s="13">
        <f t="shared" si="111"/>
        <v>458.86498995969004</v>
      </c>
      <c r="K212" s="13">
        <f t="shared" si="95"/>
        <v>202.42337611287016</v>
      </c>
      <c r="L212" s="13">
        <f t="shared" si="112"/>
        <v>216.09706748912032</v>
      </c>
      <c r="M212" s="13">
        <f t="shared" si="113"/>
        <v>7.7753756148667987</v>
      </c>
      <c r="N212" s="13">
        <f t="shared" si="114"/>
        <v>6.6433386961875618</v>
      </c>
      <c r="O212" s="4">
        <f t="shared" si="96"/>
        <v>1.1280000000000001</v>
      </c>
      <c r="P212" s="4">
        <f t="shared" si="97"/>
        <v>1.5243400095586486</v>
      </c>
      <c r="Q212" s="4">
        <f t="shared" si="98"/>
        <v>0.84829984383133794</v>
      </c>
      <c r="R212" s="4">
        <f t="shared" si="99"/>
        <v>0.223086667980682</v>
      </c>
      <c r="S212" s="4">
        <f t="shared" si="100"/>
        <v>0.19460387363584664</v>
      </c>
      <c r="T212" s="1"/>
      <c r="U212" s="1"/>
      <c r="V212" s="1">
        <v>1</v>
      </c>
      <c r="W212" s="1">
        <v>1</v>
      </c>
      <c r="Y212" s="1">
        <f t="shared" si="115"/>
        <v>-0.59725298499474921</v>
      </c>
      <c r="Z212" s="1">
        <f t="shared" si="116"/>
        <v>-0.59725298499474921</v>
      </c>
      <c r="AB212" s="130">
        <v>1</v>
      </c>
      <c r="AC212" s="128">
        <f t="shared" si="101"/>
        <v>0.50739009663000589</v>
      </c>
      <c r="AD212" s="4">
        <f t="shared" si="102"/>
        <v>0.223086667980682</v>
      </c>
      <c r="AE212" s="4">
        <f t="shared" si="103"/>
        <v>0.3718111133011367</v>
      </c>
      <c r="AF212" s="32">
        <f t="shared" si="104"/>
        <v>0.72693186376784491</v>
      </c>
      <c r="AG212" s="4">
        <f t="shared" si="105"/>
        <v>0.98860999068934474</v>
      </c>
      <c r="AH212" s="42">
        <f t="shared" si="106"/>
        <v>1.5748383711332017</v>
      </c>
      <c r="AJ212" s="23">
        <v>4</v>
      </c>
      <c r="AK212" s="24">
        <v>0.8</v>
      </c>
      <c r="AL212" s="5">
        <f t="shared" si="107"/>
        <v>2.0799999999999999E-2</v>
      </c>
      <c r="AM212" s="5">
        <f t="shared" si="117"/>
        <v>0.1194718394324346</v>
      </c>
      <c r="AN212" s="25">
        <f t="shared" si="118"/>
        <v>-8.0000000000000002E-3</v>
      </c>
      <c r="AO212" s="30">
        <f t="shared" si="108"/>
        <v>1.4000000000000004E-2</v>
      </c>
      <c r="AP212" s="5">
        <f t="shared" si="109"/>
        <v>0.18</v>
      </c>
      <c r="AQ212" s="25">
        <v>0</v>
      </c>
    </row>
    <row r="213" spans="2:43">
      <c r="B213" s="38">
        <v>45000</v>
      </c>
      <c r="C213" s="3">
        <v>0</v>
      </c>
      <c r="D213" s="3">
        <f t="shared" si="92"/>
        <v>0.8500000000000002</v>
      </c>
      <c r="E213" s="13" cm="1">
        <f t="array" ref="E213">((B213-INDEX($AT$4:$AW$53,MATCH(B213,$AT$4:$AT$53,1),1))/(INDEX($AT$4:$AW$53,MATCH(B213,$AT$4:$AT$53,1)+1,1)-INDEX($AT$4:$AW$53,MATCH(B213,$AT$4:$AT$53,1),1)))*(INDEX($AT$4:$AW$53,MATCH(B213,$AT$4:$AT$53,1)+1,4)-INDEX($AT$4:$AW$53,MATCH(B213,$AT$4:$AT$53,1),4))+INDEX($AT$4:$AW$53,MATCH(B213,$AT$4:$AT$53,1),4)</f>
        <v>14.828881018275807</v>
      </c>
      <c r="F213" s="13" cm="1">
        <f t="array" ref="F213">C213+((B213-INDEX($AT$4:$AW$53,MATCH(B213,$AT$4:$AT$53,1),1))/(INDEX($AT$4:$AW$53,MATCH(B213,$AT$4:$AT$53,1)+1,1)-INDEX($AT$4:$AW$53,MATCH(B213,$AT$4:$AT$53,1),1)))*(INDEX($AT$4:$AW$53,MATCH(B213,$AT$4:$AT$53,1)+1,3)-INDEX($AT$4:$AW$53,MATCH(B213,$AT$4:$AT$53,1),3))+INDEX($AT$4:$AW$53,MATCH(B213,$AT$4:$AT$53,1),3)</f>
        <v>216.7</v>
      </c>
      <c r="G213" s="4">
        <f t="shared" si="93"/>
        <v>0.23843366394356602</v>
      </c>
      <c r="H213" s="6">
        <f t="shared" si="110"/>
        <v>45000</v>
      </c>
      <c r="I213" s="13">
        <f t="shared" si="94"/>
        <v>250.81490854811645</v>
      </c>
      <c r="J213" s="13">
        <f t="shared" si="111"/>
        <v>487.54405183217068</v>
      </c>
      <c r="K213" s="13">
        <f t="shared" si="95"/>
        <v>215.07483711992455</v>
      </c>
      <c r="L213" s="13">
        <f t="shared" si="112"/>
        <v>231.4452277091869</v>
      </c>
      <c r="M213" s="13">
        <f t="shared" si="113"/>
        <v>8.9539565699335064</v>
      </c>
      <c r="N213" s="13">
        <f t="shared" si="114"/>
        <v>7.4997065749929916</v>
      </c>
      <c r="O213" s="4">
        <f t="shared" si="96"/>
        <v>1.1445000000000001</v>
      </c>
      <c r="P213" s="4">
        <f t="shared" si="97"/>
        <v>1.6038187614357571</v>
      </c>
      <c r="Q213" s="4">
        <f t="shared" si="98"/>
        <v>0.86070848516397713</v>
      </c>
      <c r="R213" s="4">
        <f t="shared" si="99"/>
        <v>0.23471835764331914</v>
      </c>
      <c r="S213" s="4">
        <f t="shared" si="100"/>
        <v>0.19460387363584664</v>
      </c>
      <c r="T213" s="1"/>
      <c r="U213" s="1"/>
      <c r="V213" s="1">
        <v>1</v>
      </c>
      <c r="W213" s="1">
        <v>1</v>
      </c>
      <c r="Y213" s="1">
        <f t="shared" si="115"/>
        <v>-8.9021248862734836</v>
      </c>
      <c r="Z213" s="1">
        <f t="shared" si="116"/>
        <v>0.45791611900360873</v>
      </c>
      <c r="AB213" s="130">
        <v>1</v>
      </c>
      <c r="AC213" s="128">
        <f t="shared" si="101"/>
        <v>0.5054631887989498</v>
      </c>
      <c r="AD213" s="4">
        <f t="shared" si="102"/>
        <v>0.23471835764331914</v>
      </c>
      <c r="AE213" s="4">
        <f t="shared" si="103"/>
        <v>0.39119726273886524</v>
      </c>
      <c r="AF213" s="32">
        <f t="shared" si="104"/>
        <v>0.75034631091575044</v>
      </c>
      <c r="AG213" s="4">
        <f t="shared" si="105"/>
        <v>1.0016180168826254</v>
      </c>
      <c r="AH213" s="42">
        <f t="shared" si="106"/>
        <v>1.5865455947071545</v>
      </c>
      <c r="AJ213" s="23">
        <v>4</v>
      </c>
      <c r="AK213" s="24">
        <v>0.8</v>
      </c>
      <c r="AL213" s="5">
        <f t="shared" si="107"/>
        <v>3.5100000000000048E-2</v>
      </c>
      <c r="AM213" s="5">
        <f t="shared" si="117"/>
        <v>0.1194718394324346</v>
      </c>
      <c r="AN213" s="25">
        <f t="shared" si="118"/>
        <v>-8.0000000000000002E-3</v>
      </c>
      <c r="AO213" s="30">
        <f t="shared" si="108"/>
        <v>1.5750000000000007E-2</v>
      </c>
      <c r="AP213" s="5">
        <f t="shared" si="109"/>
        <v>0.18</v>
      </c>
      <c r="AQ213" s="25">
        <v>0</v>
      </c>
    </row>
    <row r="214" spans="2:43">
      <c r="B214" s="38">
        <v>45000</v>
      </c>
      <c r="C214" s="3">
        <v>0</v>
      </c>
      <c r="D214" s="3">
        <f t="shared" si="92"/>
        <v>0.90000000000000024</v>
      </c>
      <c r="E214" s="13" cm="1">
        <f t="array" ref="E214">((B214-INDEX($AT$4:$AW$53,MATCH(B214,$AT$4:$AT$53,1),1))/(INDEX($AT$4:$AW$53,MATCH(B214,$AT$4:$AT$53,1)+1,1)-INDEX($AT$4:$AW$53,MATCH(B214,$AT$4:$AT$53,1),1)))*(INDEX($AT$4:$AW$53,MATCH(B214,$AT$4:$AT$53,1)+1,4)-INDEX($AT$4:$AW$53,MATCH(B214,$AT$4:$AT$53,1),4))+INDEX($AT$4:$AW$53,MATCH(B214,$AT$4:$AT$53,1),4)</f>
        <v>14.828881018275807</v>
      </c>
      <c r="F214" s="13" cm="1">
        <f t="array" ref="F214">C214+((B214-INDEX($AT$4:$AW$53,MATCH(B214,$AT$4:$AT$53,1),1))/(INDEX($AT$4:$AW$53,MATCH(B214,$AT$4:$AT$53,1)+1,1)-INDEX($AT$4:$AW$53,MATCH(B214,$AT$4:$AT$53,1),1)))*(INDEX($AT$4:$AW$53,MATCH(B214,$AT$4:$AT$53,1)+1,3)-INDEX($AT$4:$AW$53,MATCH(B214,$AT$4:$AT$53,1),3))+INDEX($AT$4:$AW$53,MATCH(B214,$AT$4:$AT$53,1),3)</f>
        <v>216.7</v>
      </c>
      <c r="G214" s="4">
        <f t="shared" si="93"/>
        <v>0.23843366394356602</v>
      </c>
      <c r="H214" s="6">
        <f t="shared" si="110"/>
        <v>45000</v>
      </c>
      <c r="I214" s="13">
        <f t="shared" si="94"/>
        <v>265.56872669800566</v>
      </c>
      <c r="J214" s="13">
        <f t="shared" si="111"/>
        <v>516.22311370465138</v>
      </c>
      <c r="K214" s="13">
        <f t="shared" si="95"/>
        <v>227.72629812697897</v>
      </c>
      <c r="L214" s="13">
        <f t="shared" si="112"/>
        <v>247.11812931321427</v>
      </c>
      <c r="M214" s="13">
        <f t="shared" si="113"/>
        <v>10.251251608030149</v>
      </c>
      <c r="N214" s="13">
        <f t="shared" si="114"/>
        <v>8.4079755373623843</v>
      </c>
      <c r="O214" s="4">
        <f t="shared" si="96"/>
        <v>1.1619999999999999</v>
      </c>
      <c r="P214" s="4">
        <f t="shared" si="97"/>
        <v>1.691303112850931</v>
      </c>
      <c r="Q214" s="4">
        <f t="shared" si="98"/>
        <v>0.87386916536526105</v>
      </c>
      <c r="R214" s="4">
        <f t="shared" si="99"/>
        <v>0.24752166421224728</v>
      </c>
      <c r="S214" s="4">
        <f t="shared" si="100"/>
        <v>0.19460387363584664</v>
      </c>
      <c r="T214" s="1"/>
      <c r="U214" s="1"/>
      <c r="V214" s="1">
        <v>1</v>
      </c>
      <c r="W214" s="1">
        <v>1</v>
      </c>
      <c r="Y214" s="1">
        <f t="shared" si="115"/>
        <v>-20.809324364406862</v>
      </c>
      <c r="Z214" s="1">
        <f t="shared" si="116"/>
        <v>1.4124379570976924</v>
      </c>
      <c r="AB214" s="130">
        <v>1</v>
      </c>
      <c r="AC214" s="128">
        <f t="shared" si="101"/>
        <v>0.50359216913646399</v>
      </c>
      <c r="AD214" s="4">
        <f t="shared" si="102"/>
        <v>0.24752166421224728</v>
      </c>
      <c r="AE214" s="4">
        <f t="shared" si="103"/>
        <v>0.41253610702041216</v>
      </c>
      <c r="AF214" s="32">
        <f t="shared" si="104"/>
        <v>0.77376075806365596</v>
      </c>
      <c r="AG214" s="4">
        <f t="shared" si="105"/>
        <v>1.0146260430759064</v>
      </c>
      <c r="AH214" s="42">
        <f t="shared" si="106"/>
        <v>1.5982528182811073</v>
      </c>
      <c r="AJ214" s="23">
        <v>4</v>
      </c>
      <c r="AK214" s="24">
        <v>0.8</v>
      </c>
      <c r="AL214" s="5">
        <f t="shared" si="107"/>
        <v>4.9400000000000062E-2</v>
      </c>
      <c r="AM214" s="5">
        <f t="shared" si="117"/>
        <v>0.1194718394324346</v>
      </c>
      <c r="AN214" s="25">
        <f t="shared" si="118"/>
        <v>-8.0000000000000002E-3</v>
      </c>
      <c r="AO214" s="30">
        <f t="shared" si="108"/>
        <v>1.7500000000000009E-2</v>
      </c>
      <c r="AP214" s="5">
        <f t="shared" si="109"/>
        <v>0.18</v>
      </c>
      <c r="AQ214" s="25">
        <v>0</v>
      </c>
    </row>
    <row r="215" spans="2:43">
      <c r="B215" s="38">
        <v>45000</v>
      </c>
      <c r="C215" s="3">
        <v>0</v>
      </c>
      <c r="D215" s="3">
        <f t="shared" si="92"/>
        <v>0.95000000000000029</v>
      </c>
      <c r="E215" s="13" cm="1">
        <f t="array" ref="E215">((B215-INDEX($AT$4:$AW$53,MATCH(B215,$AT$4:$AT$53,1),1))/(INDEX($AT$4:$AW$53,MATCH(B215,$AT$4:$AT$53,1)+1,1)-INDEX($AT$4:$AW$53,MATCH(B215,$AT$4:$AT$53,1),1)))*(INDEX($AT$4:$AW$53,MATCH(B215,$AT$4:$AT$53,1)+1,4)-INDEX($AT$4:$AW$53,MATCH(B215,$AT$4:$AT$53,1),4))+INDEX($AT$4:$AW$53,MATCH(B215,$AT$4:$AT$53,1),4)</f>
        <v>14.828881018275807</v>
      </c>
      <c r="F215" s="13" cm="1">
        <f t="array" ref="F215">C215+((B215-INDEX($AT$4:$AW$53,MATCH(B215,$AT$4:$AT$53,1),1))/(INDEX($AT$4:$AW$53,MATCH(B215,$AT$4:$AT$53,1)+1,1)-INDEX($AT$4:$AW$53,MATCH(B215,$AT$4:$AT$53,1),1)))*(INDEX($AT$4:$AW$53,MATCH(B215,$AT$4:$AT$53,1)+1,3)-INDEX($AT$4:$AW$53,MATCH(B215,$AT$4:$AT$53,1),3))+INDEX($AT$4:$AW$53,MATCH(B215,$AT$4:$AT$53,1),3)</f>
        <v>216.7</v>
      </c>
      <c r="G215" s="4">
        <f t="shared" si="93"/>
        <v>0.23843366394356602</v>
      </c>
      <c r="H215" s="6">
        <f t="shared" si="110"/>
        <v>45000</v>
      </c>
      <c r="I215" s="13">
        <f t="shared" si="94"/>
        <v>280.32254484789485</v>
      </c>
      <c r="J215" s="13">
        <f t="shared" si="111"/>
        <v>544.90217557713197</v>
      </c>
      <c r="K215" s="13">
        <f t="shared" si="95"/>
        <v>240.37775913403334</v>
      </c>
      <c r="L215" s="13">
        <f t="shared" si="112"/>
        <v>263.13114894256506</v>
      </c>
      <c r="M215" s="13">
        <f t="shared" si="113"/>
        <v>11.676823396954486</v>
      </c>
      <c r="N215" s="13">
        <f t="shared" si="114"/>
        <v>9.3681455832957443</v>
      </c>
      <c r="O215" s="4">
        <f t="shared" si="96"/>
        <v>1.1805000000000001</v>
      </c>
      <c r="P215" s="4">
        <f t="shared" si="97"/>
        <v>1.7874379315987108</v>
      </c>
      <c r="Q215" s="4">
        <f t="shared" si="98"/>
        <v>0.88778188443519013</v>
      </c>
      <c r="R215" s="4">
        <f t="shared" si="99"/>
        <v>0.26159096388088121</v>
      </c>
      <c r="S215" s="4">
        <f t="shared" si="100"/>
        <v>0.19460387363584664</v>
      </c>
      <c r="T215" s="1"/>
      <c r="U215" s="1"/>
      <c r="V215" s="1">
        <v>1</v>
      </c>
      <c r="W215" s="1">
        <v>1</v>
      </c>
      <c r="Y215" s="1">
        <f t="shared" si="115"/>
        <v>-36.908833841957772</v>
      </c>
      <c r="Z215" s="1">
        <f t="shared" si="116"/>
        <v>2.2936012823219656</v>
      </c>
      <c r="AB215" s="130">
        <v>1</v>
      </c>
      <c r="AC215" s="128">
        <f t="shared" si="101"/>
        <v>0.50177243958633722</v>
      </c>
      <c r="AD215" s="4">
        <f t="shared" si="102"/>
        <v>0.26159096388088121</v>
      </c>
      <c r="AE215" s="4">
        <f t="shared" si="103"/>
        <v>0.43598493980146868</v>
      </c>
      <c r="AF215" s="32">
        <f t="shared" si="104"/>
        <v>0.79717520521156171</v>
      </c>
      <c r="AG215" s="4">
        <f t="shared" si="105"/>
        <v>1.0276340692691872</v>
      </c>
      <c r="AH215" s="42">
        <f t="shared" si="106"/>
        <v>1.6099600418550601</v>
      </c>
      <c r="AJ215" s="23">
        <v>4</v>
      </c>
      <c r="AK215" s="24">
        <v>0.8</v>
      </c>
      <c r="AL215" s="5">
        <f t="shared" si="107"/>
        <v>6.3700000000000062E-2</v>
      </c>
      <c r="AM215" s="5">
        <f t="shared" si="117"/>
        <v>0.1194718394324346</v>
      </c>
      <c r="AN215" s="25">
        <f t="shared" si="118"/>
        <v>-8.0000000000000002E-3</v>
      </c>
      <c r="AO215" s="30">
        <f t="shared" si="108"/>
        <v>1.925000000000001E-2</v>
      </c>
      <c r="AP215" s="5">
        <f t="shared" si="109"/>
        <v>0.18</v>
      </c>
      <c r="AQ215" s="25">
        <v>0</v>
      </c>
    </row>
    <row r="216" spans="2:43" ht="15" thickBot="1">
      <c r="B216" s="39">
        <v>45000</v>
      </c>
      <c r="C216" s="48">
        <v>0</v>
      </c>
      <c r="D216" s="48">
        <f t="shared" si="92"/>
        <v>1.0000000000000002</v>
      </c>
      <c r="E216" s="152" cm="1">
        <f t="array" ref="E216">((B216-INDEX($AT$4:$AW$53,MATCH(B216,$AT$4:$AT$53,1),1))/(INDEX($AT$4:$AW$53,MATCH(B216,$AT$4:$AT$53,1)+1,1)-INDEX($AT$4:$AW$53,MATCH(B216,$AT$4:$AT$53,1),1)))*(INDEX($AT$4:$AW$53,MATCH(B216,$AT$4:$AT$53,1)+1,4)-INDEX($AT$4:$AW$53,MATCH(B216,$AT$4:$AT$53,1),4))+INDEX($AT$4:$AW$53,MATCH(B216,$AT$4:$AT$53,1),4)</f>
        <v>14.828881018275807</v>
      </c>
      <c r="F216" s="152" cm="1">
        <f t="array" ref="F216">C216+((B216-INDEX($AT$4:$AW$53,MATCH(B216,$AT$4:$AT$53,1),1))/(INDEX($AT$4:$AW$53,MATCH(B216,$AT$4:$AT$53,1)+1,1)-INDEX($AT$4:$AW$53,MATCH(B216,$AT$4:$AT$53,1),1)))*(INDEX($AT$4:$AW$53,MATCH(B216,$AT$4:$AT$53,1)+1,3)-INDEX($AT$4:$AW$53,MATCH(B216,$AT$4:$AT$53,1),3))+INDEX($AT$4:$AW$53,MATCH(B216,$AT$4:$AT$53,1),3)</f>
        <v>216.7</v>
      </c>
      <c r="G216" s="43">
        <f t="shared" si="93"/>
        <v>0.23843366394356602</v>
      </c>
      <c r="H216" s="153">
        <f t="shared" si="110"/>
        <v>45000</v>
      </c>
      <c r="I216" s="152">
        <f t="shared" si="94"/>
        <v>295.07636299778403</v>
      </c>
      <c r="J216" s="152">
        <f t="shared" si="111"/>
        <v>573.58123744961256</v>
      </c>
      <c r="K216" s="152">
        <f t="shared" si="95"/>
        <v>253.02922014108771</v>
      </c>
      <c r="L216" s="152">
        <f t="shared" si="112"/>
        <v>279.49876616602921</v>
      </c>
      <c r="M216" s="152">
        <f t="shared" si="113"/>
        <v>13.241140252672748</v>
      </c>
      <c r="N216" s="152">
        <f t="shared" si="114"/>
        <v>10.380216712793066</v>
      </c>
      <c r="O216" s="43">
        <f t="shared" si="96"/>
        <v>1.2</v>
      </c>
      <c r="P216" s="43">
        <f t="shared" si="97"/>
        <v>1.8929291587378541</v>
      </c>
      <c r="Q216" s="43">
        <f t="shared" si="98"/>
        <v>0.9024466423737636</v>
      </c>
      <c r="R216" s="43">
        <f t="shared" si="99"/>
        <v>0.27702957089512514</v>
      </c>
      <c r="S216" s="43">
        <f t="shared" si="100"/>
        <v>0.19460387363584664</v>
      </c>
      <c r="T216" s="98"/>
      <c r="U216" s="98"/>
      <c r="V216" s="98">
        <v>1</v>
      </c>
      <c r="W216" s="98">
        <v>1</v>
      </c>
      <c r="X216" s="104"/>
      <c r="Y216" s="98">
        <f t="shared" si="115"/>
        <v>-57.835594772119357</v>
      </c>
      <c r="Z216" s="1">
        <f t="shared" si="116"/>
        <v>3.1294596078656047</v>
      </c>
      <c r="AB216" s="130">
        <v>1</v>
      </c>
      <c r="AC216" s="128">
        <f t="shared" si="101"/>
        <v>0.5</v>
      </c>
      <c r="AD216" s="4">
        <f t="shared" si="102"/>
        <v>0.27702957089512514</v>
      </c>
      <c r="AE216" s="4">
        <f t="shared" si="103"/>
        <v>0.46171595149187528</v>
      </c>
      <c r="AF216" s="32">
        <f t="shared" si="104"/>
        <v>0.82058965235946713</v>
      </c>
      <c r="AG216" s="4">
        <f t="shared" si="105"/>
        <v>1.0406420954624682</v>
      </c>
      <c r="AH216" s="42">
        <f t="shared" si="106"/>
        <v>1.6216672654290127</v>
      </c>
      <c r="AJ216" s="23">
        <v>4</v>
      </c>
      <c r="AK216" s="24">
        <v>0.8</v>
      </c>
      <c r="AL216" s="5">
        <f t="shared" si="107"/>
        <v>7.8000000000000042E-2</v>
      </c>
      <c r="AM216" s="5">
        <f t="shared" si="117"/>
        <v>0.1194718394324346</v>
      </c>
      <c r="AN216" s="25">
        <f t="shared" si="118"/>
        <v>-8.0000000000000002E-3</v>
      </c>
      <c r="AO216" s="30">
        <f t="shared" si="108"/>
        <v>2.1000000000000008E-2</v>
      </c>
      <c r="AP216" s="5">
        <f t="shared" si="109"/>
        <v>0.18</v>
      </c>
      <c r="AQ216" s="25">
        <v>0</v>
      </c>
    </row>
    <row r="217" spans="2:43">
      <c r="B217" s="146">
        <v>50000</v>
      </c>
      <c r="C217" s="147">
        <v>0</v>
      </c>
      <c r="D217" s="147">
        <v>0.01</v>
      </c>
      <c r="E217" s="148" cm="1">
        <f t="array" ref="E217">((B217-INDEX($AT$4:$AW$53,MATCH(B217,$AT$4:$AT$53,1),1))/(INDEX($AT$4:$AW$53,MATCH(B217,$AT$4:$AT$53,1)+1,1)-INDEX($AT$4:$AW$53,MATCH(B217,$AT$4:$AT$53,1),1)))*(INDEX($AT$4:$AW$53,MATCH(B217,$AT$4:$AT$53,1)+1,4)-INDEX($AT$4:$AW$53,MATCH(B217,$AT$4:$AT$53,1),4))+INDEX($AT$4:$AW$53,MATCH(B217,$AT$4:$AT$53,1),4)</f>
        <v>11.67320088757757</v>
      </c>
      <c r="F217" s="148" cm="1">
        <f t="array" ref="F217">C217+((B217-INDEX($AT$4:$AW$53,MATCH(B217,$AT$4:$AT$53,1),1))/(INDEX($AT$4:$AW$53,MATCH(B217,$AT$4:$AT$53,1)+1,1)-INDEX($AT$4:$AW$53,MATCH(B217,$AT$4:$AT$53,1),1)))*(INDEX($AT$4:$AW$53,MATCH(B217,$AT$4:$AT$53,1)+1,3)-INDEX($AT$4:$AW$53,MATCH(B217,$AT$4:$AT$53,1),3))+INDEX($AT$4:$AW$53,MATCH(B217,$AT$4:$AT$53,1),3)</f>
        <v>216.7</v>
      </c>
      <c r="G217" s="149">
        <f t="shared" si="93"/>
        <v>0.18769346480993121</v>
      </c>
      <c r="H217" s="150">
        <f t="shared" si="110"/>
        <v>50000</v>
      </c>
      <c r="I217" s="148">
        <f t="shared" si="94"/>
        <v>2.9507636299778399</v>
      </c>
      <c r="J217" s="148">
        <f t="shared" si="111"/>
        <v>5.735812374496124</v>
      </c>
      <c r="K217" s="148">
        <f t="shared" si="95"/>
        <v>2.2449747795292683</v>
      </c>
      <c r="L217" s="148">
        <f t="shared" si="112"/>
        <v>2.2449996087783131</v>
      </c>
      <c r="M217" s="148">
        <f t="shared" si="113"/>
        <v>8.1714449043342435E-4</v>
      </c>
      <c r="N217" s="148">
        <f t="shared" si="114"/>
        <v>8.1712406213042973E-4</v>
      </c>
      <c r="O217" s="149">
        <f t="shared" si="96"/>
        <v>1.0000199999999999</v>
      </c>
      <c r="P217" s="149">
        <f t="shared" si="97"/>
        <v>1.0000700017500173</v>
      </c>
      <c r="Q217" s="149">
        <f t="shared" si="98"/>
        <v>0.75205390942217587</v>
      </c>
      <c r="R217" s="149">
        <f t="shared" si="99"/>
        <v>0.11521360011910194</v>
      </c>
      <c r="S217" s="149">
        <f t="shared" si="100"/>
        <v>0.15319093245487037</v>
      </c>
      <c r="T217" s="151"/>
      <c r="U217" s="151"/>
      <c r="V217" s="151">
        <v>1</v>
      </c>
      <c r="W217" s="151">
        <v>1</v>
      </c>
      <c r="X217" s="125"/>
      <c r="Y217" s="151">
        <f t="shared" si="115"/>
        <v>-1239.6868042058659</v>
      </c>
      <c r="Z217" s="1">
        <f t="shared" si="116"/>
        <v>-1239.6868042058659</v>
      </c>
      <c r="AB217" s="130">
        <v>1</v>
      </c>
      <c r="AC217" s="128">
        <f t="shared" si="101"/>
        <v>0.56299999999999994</v>
      </c>
      <c r="AD217" s="4">
        <f t="shared" si="102"/>
        <v>0.11521360011910194</v>
      </c>
      <c r="AE217" s="4">
        <f t="shared" si="103"/>
        <v>0.19202266686516989</v>
      </c>
      <c r="AF217" s="32">
        <f t="shared" si="104"/>
        <v>0.3569835988309375</v>
      </c>
      <c r="AG217" s="4">
        <f t="shared" si="105"/>
        <v>0.78308317683550721</v>
      </c>
      <c r="AH217" s="42">
        <f t="shared" si="106"/>
        <v>1.389864238664748</v>
      </c>
      <c r="AJ217" s="23">
        <v>4</v>
      </c>
      <c r="AK217" s="24">
        <v>0.8</v>
      </c>
      <c r="AL217" s="5">
        <f t="shared" si="107"/>
        <v>2.0799999999999999E-2</v>
      </c>
      <c r="AM217" s="5">
        <f t="shared" si="117"/>
        <v>0.1194718394324346</v>
      </c>
      <c r="AN217" s="25">
        <f t="shared" si="118"/>
        <v>-8.0000000000000002E-3</v>
      </c>
      <c r="AO217" s="30">
        <f t="shared" si="108"/>
        <v>1.4E-2</v>
      </c>
      <c r="AP217" s="5">
        <f t="shared" si="109"/>
        <v>0.18</v>
      </c>
      <c r="AQ217" s="25">
        <v>0</v>
      </c>
    </row>
    <row r="218" spans="2:43">
      <c r="B218" s="38">
        <v>50000</v>
      </c>
      <c r="C218" s="3">
        <v>0</v>
      </c>
      <c r="D218" s="3">
        <v>0.05</v>
      </c>
      <c r="E218" s="13" cm="1">
        <f t="array" ref="E218">((B218-INDEX($AT$4:$AW$53,MATCH(B218,$AT$4:$AT$53,1),1))/(INDEX($AT$4:$AW$53,MATCH(B218,$AT$4:$AT$53,1)+1,1)-INDEX($AT$4:$AW$53,MATCH(B218,$AT$4:$AT$53,1),1)))*(INDEX($AT$4:$AW$53,MATCH(B218,$AT$4:$AT$53,1)+1,4)-INDEX($AT$4:$AW$53,MATCH(B218,$AT$4:$AT$53,1),4))+INDEX($AT$4:$AW$53,MATCH(B218,$AT$4:$AT$53,1),4)</f>
        <v>11.67320088757757</v>
      </c>
      <c r="F218" s="13" cm="1">
        <f t="array" ref="F218">C218+((B218-INDEX($AT$4:$AW$53,MATCH(B218,$AT$4:$AT$53,1),1))/(INDEX($AT$4:$AW$53,MATCH(B218,$AT$4:$AT$53,1)+1,1)-INDEX($AT$4:$AW$53,MATCH(B218,$AT$4:$AT$53,1),1)))*(INDEX($AT$4:$AW$53,MATCH(B218,$AT$4:$AT$53,1)+1,3)-INDEX($AT$4:$AW$53,MATCH(B218,$AT$4:$AT$53,1),3))+INDEX($AT$4:$AW$53,MATCH(B218,$AT$4:$AT$53,1),3)</f>
        <v>216.7</v>
      </c>
      <c r="G218" s="4">
        <f t="shared" si="93"/>
        <v>0.18769346480993121</v>
      </c>
      <c r="H218" s="6">
        <f t="shared" si="110"/>
        <v>50000</v>
      </c>
      <c r="I218" s="13">
        <f t="shared" si="94"/>
        <v>14.753818149889199</v>
      </c>
      <c r="J218" s="13">
        <f t="shared" si="111"/>
        <v>28.67906187248062</v>
      </c>
      <c r="K218" s="13">
        <f t="shared" si="95"/>
        <v>11.224873897646342</v>
      </c>
      <c r="L218" s="13">
        <f t="shared" si="112"/>
        <v>11.227977544988166</v>
      </c>
      <c r="M218" s="13">
        <f t="shared" si="113"/>
        <v>2.044087230881984E-2</v>
      </c>
      <c r="N218" s="13">
        <f t="shared" si="114"/>
        <v>2.0428101553260743E-2</v>
      </c>
      <c r="O218" s="4">
        <f t="shared" si="96"/>
        <v>1.0004999999999999</v>
      </c>
      <c r="P218" s="4">
        <f t="shared" si="97"/>
        <v>1.0017510940234544</v>
      </c>
      <c r="Q218" s="4">
        <f t="shared" si="98"/>
        <v>0.75241488807912549</v>
      </c>
      <c r="R218" s="4">
        <f t="shared" si="99"/>
        <v>0.11540727125473861</v>
      </c>
      <c r="S218" s="4">
        <f t="shared" si="100"/>
        <v>0.15319093245487037</v>
      </c>
      <c r="T218" s="1"/>
      <c r="U218" s="1"/>
      <c r="V218" s="1">
        <v>1</v>
      </c>
      <c r="W218" s="1">
        <v>1</v>
      </c>
      <c r="Y218" s="1">
        <f t="shared" si="115"/>
        <v>-247.17234774114965</v>
      </c>
      <c r="Z218" s="1">
        <f t="shared" si="116"/>
        <v>-247.17234774114965</v>
      </c>
      <c r="AB218" s="130">
        <v>1</v>
      </c>
      <c r="AC218" s="128">
        <f t="shared" si="101"/>
        <v>0.55434752415750155</v>
      </c>
      <c r="AD218" s="4">
        <f t="shared" si="102"/>
        <v>0.11540727125473861</v>
      </c>
      <c r="AE218" s="4">
        <f t="shared" si="103"/>
        <v>0.19234545209123102</v>
      </c>
      <c r="AF218" s="32">
        <f t="shared" si="104"/>
        <v>0.37571515654926191</v>
      </c>
      <c r="AG218" s="4">
        <f t="shared" si="105"/>
        <v>0.79348959779013195</v>
      </c>
      <c r="AH218" s="42">
        <f t="shared" si="106"/>
        <v>1.3992300175239103</v>
      </c>
      <c r="AJ218" s="23">
        <v>4</v>
      </c>
      <c r="AK218" s="24">
        <v>0.8</v>
      </c>
      <c r="AL218" s="5">
        <f t="shared" si="107"/>
        <v>2.0799999999999999E-2</v>
      </c>
      <c r="AM218" s="5">
        <f t="shared" si="117"/>
        <v>0.1194718394324346</v>
      </c>
      <c r="AN218" s="25">
        <f t="shared" si="118"/>
        <v>-8.0000000000000002E-3</v>
      </c>
      <c r="AO218" s="30">
        <f t="shared" si="108"/>
        <v>1.4E-2</v>
      </c>
      <c r="AP218" s="5">
        <f t="shared" si="109"/>
        <v>0.18</v>
      </c>
      <c r="AQ218" s="25">
        <v>0</v>
      </c>
    </row>
    <row r="219" spans="2:43">
      <c r="B219" s="38">
        <v>50000</v>
      </c>
      <c r="C219" s="3">
        <v>0</v>
      </c>
      <c r="D219" s="3">
        <f t="shared" ref="D219:D237" si="119">D218+0.05</f>
        <v>0.1</v>
      </c>
      <c r="E219" s="13" cm="1">
        <f t="array" ref="E219">((B219-INDEX($AT$4:$AW$53,MATCH(B219,$AT$4:$AT$53,1),1))/(INDEX($AT$4:$AW$53,MATCH(B219,$AT$4:$AT$53,1)+1,1)-INDEX($AT$4:$AW$53,MATCH(B219,$AT$4:$AT$53,1),1)))*(INDEX($AT$4:$AW$53,MATCH(B219,$AT$4:$AT$53,1)+1,4)-INDEX($AT$4:$AW$53,MATCH(B219,$AT$4:$AT$53,1),4))+INDEX($AT$4:$AW$53,MATCH(B219,$AT$4:$AT$53,1),4)</f>
        <v>11.67320088757757</v>
      </c>
      <c r="F219" s="13" cm="1">
        <f t="array" ref="F219">C219+((B219-INDEX($AT$4:$AW$53,MATCH(B219,$AT$4:$AT$53,1),1))/(INDEX($AT$4:$AW$53,MATCH(B219,$AT$4:$AT$53,1)+1,1)-INDEX($AT$4:$AW$53,MATCH(B219,$AT$4:$AT$53,1),1)))*(INDEX($AT$4:$AW$53,MATCH(B219,$AT$4:$AT$53,1)+1,3)-INDEX($AT$4:$AW$53,MATCH(B219,$AT$4:$AT$53,1),3))+INDEX($AT$4:$AW$53,MATCH(B219,$AT$4:$AT$53,1),3)</f>
        <v>216.7</v>
      </c>
      <c r="G219" s="4">
        <f t="shared" si="93"/>
        <v>0.18769346480993121</v>
      </c>
      <c r="H219" s="6">
        <f t="shared" si="110"/>
        <v>50000</v>
      </c>
      <c r="I219" s="13">
        <f t="shared" si="94"/>
        <v>29.507636299778397</v>
      </c>
      <c r="J219" s="13">
        <f t="shared" si="111"/>
        <v>57.35812374496124</v>
      </c>
      <c r="K219" s="13">
        <f t="shared" si="95"/>
        <v>22.449747795292684</v>
      </c>
      <c r="L219" s="13">
        <f t="shared" si="112"/>
        <v>22.474576699294008</v>
      </c>
      <c r="M219" s="13">
        <f t="shared" si="113"/>
        <v>8.1916891560650545E-2</v>
      </c>
      <c r="N219" s="13">
        <f t="shared" si="114"/>
        <v>8.1712406213042973E-2</v>
      </c>
      <c r="O219" s="4">
        <f t="shared" si="96"/>
        <v>1.002</v>
      </c>
      <c r="P219" s="4">
        <f t="shared" si="97"/>
        <v>1.0070175175043741</v>
      </c>
      <c r="Q219" s="4">
        <f t="shared" si="98"/>
        <v>0.75354294638209274</v>
      </c>
      <c r="R219" s="4">
        <f t="shared" si="99"/>
        <v>0.11601399239218574</v>
      </c>
      <c r="S219" s="4">
        <f t="shared" si="100"/>
        <v>0.15319093245487037</v>
      </c>
      <c r="T219" s="1"/>
      <c r="U219" s="1"/>
      <c r="V219" s="1">
        <v>1</v>
      </c>
      <c r="W219" s="1">
        <v>1</v>
      </c>
      <c r="Y219" s="1">
        <f t="shared" si="115"/>
        <v>-122.39670882573969</v>
      </c>
      <c r="Z219" s="1">
        <f t="shared" si="116"/>
        <v>-122.39670882573969</v>
      </c>
      <c r="AB219" s="130">
        <v>1</v>
      </c>
      <c r="AC219" s="128">
        <f t="shared" si="101"/>
        <v>0.5478640563788213</v>
      </c>
      <c r="AD219" s="4">
        <f t="shared" si="102"/>
        <v>0.11601399239218574</v>
      </c>
      <c r="AE219" s="4">
        <f t="shared" si="103"/>
        <v>0.19335665398697624</v>
      </c>
      <c r="AF219" s="32">
        <f t="shared" si="104"/>
        <v>0.39912960369716743</v>
      </c>
      <c r="AG219" s="4">
        <f t="shared" si="105"/>
        <v>0.80649762398341274</v>
      </c>
      <c r="AH219" s="42">
        <f t="shared" si="106"/>
        <v>1.4109372410978629</v>
      </c>
      <c r="AJ219" s="23">
        <v>4</v>
      </c>
      <c r="AK219" s="24">
        <v>0.8</v>
      </c>
      <c r="AL219" s="5">
        <f t="shared" si="107"/>
        <v>2.0799999999999999E-2</v>
      </c>
      <c r="AM219" s="5">
        <f t="shared" si="117"/>
        <v>0.1194718394324346</v>
      </c>
      <c r="AN219" s="25">
        <f t="shared" si="118"/>
        <v>-8.0000000000000002E-3</v>
      </c>
      <c r="AO219" s="30">
        <f t="shared" si="108"/>
        <v>1.4E-2</v>
      </c>
      <c r="AP219" s="5">
        <f t="shared" si="109"/>
        <v>0.18</v>
      </c>
      <c r="AQ219" s="25">
        <v>0</v>
      </c>
    </row>
    <row r="220" spans="2:43">
      <c r="B220" s="38">
        <v>50000</v>
      </c>
      <c r="C220" s="3">
        <v>0</v>
      </c>
      <c r="D220" s="3">
        <f t="shared" si="119"/>
        <v>0.15000000000000002</v>
      </c>
      <c r="E220" s="13" cm="1">
        <f t="array" ref="E220">((B220-INDEX($AT$4:$AW$53,MATCH(B220,$AT$4:$AT$53,1),1))/(INDEX($AT$4:$AW$53,MATCH(B220,$AT$4:$AT$53,1)+1,1)-INDEX($AT$4:$AW$53,MATCH(B220,$AT$4:$AT$53,1),1)))*(INDEX($AT$4:$AW$53,MATCH(B220,$AT$4:$AT$53,1)+1,4)-INDEX($AT$4:$AW$53,MATCH(B220,$AT$4:$AT$53,1),4))+INDEX($AT$4:$AW$53,MATCH(B220,$AT$4:$AT$53,1),4)</f>
        <v>11.67320088757757</v>
      </c>
      <c r="F220" s="13" cm="1">
        <f t="array" ref="F220">C220+((B220-INDEX($AT$4:$AW$53,MATCH(B220,$AT$4:$AT$53,1),1))/(INDEX($AT$4:$AW$53,MATCH(B220,$AT$4:$AT$53,1)+1,1)-INDEX($AT$4:$AW$53,MATCH(B220,$AT$4:$AT$53,1),1)))*(INDEX($AT$4:$AW$53,MATCH(B220,$AT$4:$AT$53,1)+1,3)-INDEX($AT$4:$AW$53,MATCH(B220,$AT$4:$AT$53,1),3))+INDEX($AT$4:$AW$53,MATCH(B220,$AT$4:$AT$53,1),3)</f>
        <v>216.7</v>
      </c>
      <c r="G220" s="4">
        <f t="shared" si="93"/>
        <v>0.18769346480993121</v>
      </c>
      <c r="H220" s="6">
        <f t="shared" si="110"/>
        <v>50000</v>
      </c>
      <c r="I220" s="13">
        <f t="shared" si="94"/>
        <v>44.261454449667603</v>
      </c>
      <c r="J220" s="13">
        <f t="shared" si="111"/>
        <v>86.037185617441878</v>
      </c>
      <c r="K220" s="13">
        <f t="shared" si="95"/>
        <v>33.674621692939034</v>
      </c>
      <c r="L220" s="13">
        <f t="shared" si="112"/>
        <v>33.758417541425381</v>
      </c>
      <c r="M220" s="13">
        <f t="shared" si="113"/>
        <v>0.18488941481720633</v>
      </c>
      <c r="N220" s="13">
        <f t="shared" si="114"/>
        <v>0.18385291397934675</v>
      </c>
      <c r="O220" s="4">
        <f t="shared" si="96"/>
        <v>1.0044999999999999</v>
      </c>
      <c r="P220" s="4">
        <f t="shared" si="97"/>
        <v>1.0158387931980133</v>
      </c>
      <c r="Q220" s="4">
        <f t="shared" si="98"/>
        <v>0.7554230435537046</v>
      </c>
      <c r="R220" s="4">
        <f t="shared" si="99"/>
        <v>0.11703025218252924</v>
      </c>
      <c r="S220" s="4">
        <f t="shared" si="100"/>
        <v>0.15319093245487037</v>
      </c>
      <c r="T220" s="1"/>
      <c r="U220" s="1"/>
      <c r="V220" s="1">
        <v>1</v>
      </c>
      <c r="W220" s="1">
        <v>1</v>
      </c>
      <c r="Y220" s="1">
        <f t="shared" si="115"/>
        <v>-80.289260451893199</v>
      </c>
      <c r="Z220" s="1">
        <f t="shared" si="116"/>
        <v>-80.289260451893199</v>
      </c>
      <c r="AB220" s="130">
        <v>1</v>
      </c>
      <c r="AC220" s="128">
        <f t="shared" si="101"/>
        <v>0.54288911657654815</v>
      </c>
      <c r="AD220" s="4">
        <f t="shared" si="102"/>
        <v>0.11703025218252924</v>
      </c>
      <c r="AE220" s="4">
        <f t="shared" si="103"/>
        <v>0.1950504203042154</v>
      </c>
      <c r="AF220" s="32">
        <f t="shared" si="104"/>
        <v>0.42254405084507296</v>
      </c>
      <c r="AG220" s="4">
        <f t="shared" si="105"/>
        <v>0.81950565017669363</v>
      </c>
      <c r="AH220" s="42">
        <f t="shared" si="106"/>
        <v>1.4226444646718157</v>
      </c>
      <c r="AJ220" s="23">
        <v>4</v>
      </c>
      <c r="AK220" s="24">
        <v>0.8</v>
      </c>
      <c r="AL220" s="5">
        <f t="shared" si="107"/>
        <v>2.0799999999999999E-2</v>
      </c>
      <c r="AM220" s="5">
        <f t="shared" si="117"/>
        <v>0.1194718394324346</v>
      </c>
      <c r="AN220" s="25">
        <f t="shared" si="118"/>
        <v>-8.0000000000000002E-3</v>
      </c>
      <c r="AO220" s="30">
        <f t="shared" si="108"/>
        <v>1.4E-2</v>
      </c>
      <c r="AP220" s="5">
        <f t="shared" si="109"/>
        <v>0.18</v>
      </c>
      <c r="AQ220" s="25">
        <v>0</v>
      </c>
    </row>
    <row r="221" spans="2:43">
      <c r="B221" s="38">
        <v>50000</v>
      </c>
      <c r="C221" s="3">
        <v>0</v>
      </c>
      <c r="D221" s="3">
        <f t="shared" si="119"/>
        <v>0.2</v>
      </c>
      <c r="E221" s="13" cm="1">
        <f t="array" ref="E221">((B221-INDEX($AT$4:$AW$53,MATCH(B221,$AT$4:$AT$53,1),1))/(INDEX($AT$4:$AW$53,MATCH(B221,$AT$4:$AT$53,1)+1,1)-INDEX($AT$4:$AW$53,MATCH(B221,$AT$4:$AT$53,1),1)))*(INDEX($AT$4:$AW$53,MATCH(B221,$AT$4:$AT$53,1)+1,4)-INDEX($AT$4:$AW$53,MATCH(B221,$AT$4:$AT$53,1),4))+INDEX($AT$4:$AW$53,MATCH(B221,$AT$4:$AT$53,1),4)</f>
        <v>11.67320088757757</v>
      </c>
      <c r="F221" s="13" cm="1">
        <f t="array" ref="F221">C221+((B221-INDEX($AT$4:$AW$53,MATCH(B221,$AT$4:$AT$53,1),1))/(INDEX($AT$4:$AW$53,MATCH(B221,$AT$4:$AT$53,1)+1,1)-INDEX($AT$4:$AW$53,MATCH(B221,$AT$4:$AT$53,1),1)))*(INDEX($AT$4:$AW$53,MATCH(B221,$AT$4:$AT$53,1)+1,3)-INDEX($AT$4:$AW$53,MATCH(B221,$AT$4:$AT$53,1),3))+INDEX($AT$4:$AW$53,MATCH(B221,$AT$4:$AT$53,1),3)</f>
        <v>216.7</v>
      </c>
      <c r="G221" s="4">
        <f t="shared" si="93"/>
        <v>0.18769346480993121</v>
      </c>
      <c r="H221" s="6">
        <f t="shared" si="110"/>
        <v>50000</v>
      </c>
      <c r="I221" s="13">
        <f t="shared" si="94"/>
        <v>59.015272599556795</v>
      </c>
      <c r="J221" s="13">
        <f t="shared" si="111"/>
        <v>114.71624748992248</v>
      </c>
      <c r="K221" s="13">
        <f t="shared" si="95"/>
        <v>44.899495590585367</v>
      </c>
      <c r="L221" s="13">
        <f t="shared" si="112"/>
        <v>45.098116357122571</v>
      </c>
      <c r="M221" s="13">
        <f t="shared" si="113"/>
        <v>0.33013120814923524</v>
      </c>
      <c r="N221" s="13">
        <f t="shared" si="114"/>
        <v>0.32684962485217189</v>
      </c>
      <c r="O221" s="4">
        <f t="shared" si="96"/>
        <v>1.008</v>
      </c>
      <c r="P221" s="4">
        <f t="shared" si="97"/>
        <v>1.0282811211191059</v>
      </c>
      <c r="Q221" s="4">
        <f t="shared" si="98"/>
        <v>0.75805517959396151</v>
      </c>
      <c r="R221" s="4">
        <f t="shared" si="99"/>
        <v>0.11846367723391862</v>
      </c>
      <c r="S221" s="4">
        <f t="shared" si="100"/>
        <v>0.15319093245487037</v>
      </c>
      <c r="T221" s="1"/>
      <c r="U221" s="1"/>
      <c r="V221" s="1">
        <v>1</v>
      </c>
      <c r="W221" s="1">
        <v>1</v>
      </c>
      <c r="Y221" s="1">
        <f t="shared" si="115"/>
        <v>-58.863341406570136</v>
      </c>
      <c r="Z221" s="1">
        <f t="shared" si="116"/>
        <v>-58.863341406570136</v>
      </c>
      <c r="AB221" s="130">
        <v>1</v>
      </c>
      <c r="AC221" s="128">
        <f t="shared" si="101"/>
        <v>0.53869504831500292</v>
      </c>
      <c r="AD221" s="4">
        <f t="shared" si="102"/>
        <v>0.11846367723391862</v>
      </c>
      <c r="AE221" s="4">
        <f t="shared" si="103"/>
        <v>0.19743946205653104</v>
      </c>
      <c r="AF221" s="32">
        <f t="shared" si="104"/>
        <v>0.44595849799297849</v>
      </c>
      <c r="AG221" s="4">
        <f t="shared" si="105"/>
        <v>0.83251367636997442</v>
      </c>
      <c r="AH221" s="42">
        <f t="shared" si="106"/>
        <v>1.4343516882457685</v>
      </c>
      <c r="AJ221" s="23">
        <v>4</v>
      </c>
      <c r="AK221" s="24">
        <v>0.8</v>
      </c>
      <c r="AL221" s="5">
        <f t="shared" si="107"/>
        <v>2.0799999999999999E-2</v>
      </c>
      <c r="AM221" s="5">
        <f t="shared" si="117"/>
        <v>0.1194718394324346</v>
      </c>
      <c r="AN221" s="25">
        <f t="shared" si="118"/>
        <v>-8.0000000000000002E-3</v>
      </c>
      <c r="AO221" s="30">
        <f t="shared" si="108"/>
        <v>1.4E-2</v>
      </c>
      <c r="AP221" s="5">
        <f t="shared" si="109"/>
        <v>0.18</v>
      </c>
      <c r="AQ221" s="25">
        <v>0</v>
      </c>
    </row>
    <row r="222" spans="2:43">
      <c r="B222" s="38">
        <v>50000</v>
      </c>
      <c r="C222" s="3">
        <v>0</v>
      </c>
      <c r="D222" s="3">
        <f t="shared" si="119"/>
        <v>0.25</v>
      </c>
      <c r="E222" s="13" cm="1">
        <f t="array" ref="E222">((B222-INDEX($AT$4:$AW$53,MATCH(B222,$AT$4:$AT$53,1),1))/(INDEX($AT$4:$AW$53,MATCH(B222,$AT$4:$AT$53,1)+1,1)-INDEX($AT$4:$AW$53,MATCH(B222,$AT$4:$AT$53,1),1)))*(INDEX($AT$4:$AW$53,MATCH(B222,$AT$4:$AT$53,1)+1,4)-INDEX($AT$4:$AW$53,MATCH(B222,$AT$4:$AT$53,1),4))+INDEX($AT$4:$AW$53,MATCH(B222,$AT$4:$AT$53,1),4)</f>
        <v>11.67320088757757</v>
      </c>
      <c r="F222" s="13" cm="1">
        <f t="array" ref="F222">C222+((B222-INDEX($AT$4:$AW$53,MATCH(B222,$AT$4:$AT$53,1),1))/(INDEX($AT$4:$AW$53,MATCH(B222,$AT$4:$AT$53,1)+1,1)-INDEX($AT$4:$AW$53,MATCH(B222,$AT$4:$AT$53,1),1)))*(INDEX($AT$4:$AW$53,MATCH(B222,$AT$4:$AT$53,1)+1,3)-INDEX($AT$4:$AW$53,MATCH(B222,$AT$4:$AT$53,1),3))+INDEX($AT$4:$AW$53,MATCH(B222,$AT$4:$AT$53,1),3)</f>
        <v>216.7</v>
      </c>
      <c r="G222" s="4">
        <f t="shared" si="93"/>
        <v>0.18769346480993121</v>
      </c>
      <c r="H222" s="6">
        <f t="shared" si="110"/>
        <v>50000</v>
      </c>
      <c r="I222" s="13">
        <f t="shared" si="94"/>
        <v>73.769090749445994</v>
      </c>
      <c r="J222" s="13">
        <f t="shared" si="111"/>
        <v>143.39530936240311</v>
      </c>
      <c r="K222" s="13">
        <f t="shared" si="95"/>
        <v>56.124369488231714</v>
      </c>
      <c r="L222" s="13">
        <f t="shared" si="112"/>
        <v>56.512281919439509</v>
      </c>
      <c r="M222" s="13">
        <f t="shared" si="113"/>
        <v>0.51873221712548345</v>
      </c>
      <c r="N222" s="13">
        <f t="shared" si="114"/>
        <v>0.5107025388315185</v>
      </c>
      <c r="O222" s="4">
        <f t="shared" si="96"/>
        <v>1.0125</v>
      </c>
      <c r="P222" s="4">
        <f t="shared" si="97"/>
        <v>1.0444378728783388</v>
      </c>
      <c r="Q222" s="4">
        <f t="shared" si="98"/>
        <v>0.76143935450286304</v>
      </c>
      <c r="R222" s="4">
        <f t="shared" si="99"/>
        <v>0.12032502447276638</v>
      </c>
      <c r="S222" s="4">
        <f t="shared" si="100"/>
        <v>0.15319093245487037</v>
      </c>
      <c r="T222" s="1"/>
      <c r="U222" s="1"/>
      <c r="V222" s="1">
        <v>1</v>
      </c>
      <c r="W222" s="1">
        <v>1</v>
      </c>
      <c r="Y222" s="1">
        <f t="shared" si="115"/>
        <v>-45.725873278049541</v>
      </c>
      <c r="Z222" s="1">
        <f t="shared" si="116"/>
        <v>-45.725873278049541</v>
      </c>
      <c r="AB222" s="130">
        <v>1</v>
      </c>
      <c r="AC222" s="128">
        <f t="shared" si="101"/>
        <v>0.53500000000000003</v>
      </c>
      <c r="AD222" s="4">
        <f t="shared" si="102"/>
        <v>0.12032502447276638</v>
      </c>
      <c r="AE222" s="4">
        <f t="shared" si="103"/>
        <v>0.20054170745461064</v>
      </c>
      <c r="AF222" s="32">
        <f t="shared" si="104"/>
        <v>0.46937294514088396</v>
      </c>
      <c r="AG222" s="4">
        <f t="shared" si="105"/>
        <v>0.84552170256325532</v>
      </c>
      <c r="AH222" s="42">
        <f t="shared" si="106"/>
        <v>1.4460589118197211</v>
      </c>
      <c r="AJ222" s="23">
        <v>4</v>
      </c>
      <c r="AK222" s="24">
        <v>0.8</v>
      </c>
      <c r="AL222" s="5">
        <f t="shared" si="107"/>
        <v>2.0799999999999999E-2</v>
      </c>
      <c r="AM222" s="5">
        <f t="shared" si="117"/>
        <v>0.1194718394324346</v>
      </c>
      <c r="AN222" s="25">
        <f t="shared" si="118"/>
        <v>-8.0000000000000002E-3</v>
      </c>
      <c r="AO222" s="30">
        <f t="shared" si="108"/>
        <v>1.4E-2</v>
      </c>
      <c r="AP222" s="5">
        <f t="shared" si="109"/>
        <v>0.18</v>
      </c>
      <c r="AQ222" s="25">
        <v>0</v>
      </c>
    </row>
    <row r="223" spans="2:43">
      <c r="B223" s="38">
        <v>50000</v>
      </c>
      <c r="C223" s="3">
        <v>0</v>
      </c>
      <c r="D223" s="3">
        <f t="shared" si="119"/>
        <v>0.3</v>
      </c>
      <c r="E223" s="13" cm="1">
        <f t="array" ref="E223">((B223-INDEX($AT$4:$AW$53,MATCH(B223,$AT$4:$AT$53,1),1))/(INDEX($AT$4:$AW$53,MATCH(B223,$AT$4:$AT$53,1)+1,1)-INDEX($AT$4:$AW$53,MATCH(B223,$AT$4:$AT$53,1),1)))*(INDEX($AT$4:$AW$53,MATCH(B223,$AT$4:$AT$53,1)+1,4)-INDEX($AT$4:$AW$53,MATCH(B223,$AT$4:$AT$53,1),4))+INDEX($AT$4:$AW$53,MATCH(B223,$AT$4:$AT$53,1),4)</f>
        <v>11.67320088757757</v>
      </c>
      <c r="F223" s="13" cm="1">
        <f t="array" ref="F223">C223+((B223-INDEX($AT$4:$AW$53,MATCH(B223,$AT$4:$AT$53,1),1))/(INDEX($AT$4:$AW$53,MATCH(B223,$AT$4:$AT$53,1)+1,1)-INDEX($AT$4:$AW$53,MATCH(B223,$AT$4:$AT$53,1),1)))*(INDEX($AT$4:$AW$53,MATCH(B223,$AT$4:$AT$53,1)+1,3)-INDEX($AT$4:$AW$53,MATCH(B223,$AT$4:$AT$53,1),3))+INDEX($AT$4:$AW$53,MATCH(B223,$AT$4:$AT$53,1),3)</f>
        <v>216.7</v>
      </c>
      <c r="G223" s="4">
        <f t="shared" si="93"/>
        <v>0.18769346480993121</v>
      </c>
      <c r="H223" s="6">
        <f t="shared" si="110"/>
        <v>50000</v>
      </c>
      <c r="I223" s="13">
        <f t="shared" si="94"/>
        <v>88.522908899335192</v>
      </c>
      <c r="J223" s="13">
        <f t="shared" si="111"/>
        <v>172.07437123488373</v>
      </c>
      <c r="K223" s="13">
        <f t="shared" si="95"/>
        <v>67.349243385878054</v>
      </c>
      <c r="L223" s="13">
        <f t="shared" si="112"/>
        <v>68.019509593530572</v>
      </c>
      <c r="M223" s="13">
        <f t="shared" si="113"/>
        <v>0.7521076735073553</v>
      </c>
      <c r="N223" s="13">
        <f t="shared" si="114"/>
        <v>0.73541165591738678</v>
      </c>
      <c r="O223" s="4">
        <f t="shared" si="96"/>
        <v>1.018</v>
      </c>
      <c r="P223" s="4">
        <f t="shared" si="97"/>
        <v>1.0644302861529382</v>
      </c>
      <c r="Q223" s="4">
        <f t="shared" si="98"/>
        <v>0.76557556828040951</v>
      </c>
      <c r="R223" s="4">
        <f t="shared" si="99"/>
        <v>0.12262826115060375</v>
      </c>
      <c r="S223" s="4">
        <f t="shared" si="100"/>
        <v>0.15319093245487037</v>
      </c>
      <c r="T223" s="1"/>
      <c r="U223" s="1"/>
      <c r="V223" s="1">
        <v>1</v>
      </c>
      <c r="W223" s="1">
        <v>1</v>
      </c>
      <c r="Y223" s="1">
        <f t="shared" si="115"/>
        <v>-36.749052584531306</v>
      </c>
      <c r="Z223" s="1">
        <f t="shared" si="116"/>
        <v>-36.749052584531306</v>
      </c>
      <c r="AB223" s="130">
        <v>1</v>
      </c>
      <c r="AC223" s="128">
        <f t="shared" si="101"/>
        <v>0.53165942097463836</v>
      </c>
      <c r="AD223" s="4">
        <f t="shared" si="102"/>
        <v>0.12262826115060375</v>
      </c>
      <c r="AE223" s="4">
        <f t="shared" si="103"/>
        <v>0.20438043525100627</v>
      </c>
      <c r="AF223" s="32">
        <f t="shared" si="104"/>
        <v>0.49278739228878948</v>
      </c>
      <c r="AG223" s="4">
        <f t="shared" si="105"/>
        <v>0.8585297287565361</v>
      </c>
      <c r="AH223" s="42">
        <f t="shared" si="106"/>
        <v>1.4577661353936739</v>
      </c>
      <c r="AJ223" s="23">
        <v>4</v>
      </c>
      <c r="AK223" s="24">
        <v>0.8</v>
      </c>
      <c r="AL223" s="5">
        <f t="shared" si="107"/>
        <v>2.0799999999999999E-2</v>
      </c>
      <c r="AM223" s="5">
        <f t="shared" si="117"/>
        <v>0.1194718394324346</v>
      </c>
      <c r="AN223" s="25">
        <f t="shared" si="118"/>
        <v>-8.0000000000000002E-3</v>
      </c>
      <c r="AO223" s="30">
        <f t="shared" si="108"/>
        <v>1.4E-2</v>
      </c>
      <c r="AP223" s="5">
        <f t="shared" si="109"/>
        <v>0.18</v>
      </c>
      <c r="AQ223" s="25">
        <v>0</v>
      </c>
    </row>
    <row r="224" spans="2:43">
      <c r="B224" s="38">
        <v>50000</v>
      </c>
      <c r="C224" s="3">
        <v>0</v>
      </c>
      <c r="D224" s="3">
        <f t="shared" si="119"/>
        <v>0.35</v>
      </c>
      <c r="E224" s="13" cm="1">
        <f t="array" ref="E224">((B224-INDEX($AT$4:$AW$53,MATCH(B224,$AT$4:$AT$53,1),1))/(INDEX($AT$4:$AW$53,MATCH(B224,$AT$4:$AT$53,1)+1,1)-INDEX($AT$4:$AW$53,MATCH(B224,$AT$4:$AT$53,1),1)))*(INDEX($AT$4:$AW$53,MATCH(B224,$AT$4:$AT$53,1)+1,4)-INDEX($AT$4:$AW$53,MATCH(B224,$AT$4:$AT$53,1),4))+INDEX($AT$4:$AW$53,MATCH(B224,$AT$4:$AT$53,1),4)</f>
        <v>11.67320088757757</v>
      </c>
      <c r="F224" s="13" cm="1">
        <f t="array" ref="F224">C224+((B224-INDEX($AT$4:$AW$53,MATCH(B224,$AT$4:$AT$53,1),1))/(INDEX($AT$4:$AW$53,MATCH(B224,$AT$4:$AT$53,1)+1,1)-INDEX($AT$4:$AW$53,MATCH(B224,$AT$4:$AT$53,1),1)))*(INDEX($AT$4:$AW$53,MATCH(B224,$AT$4:$AT$53,1)+1,3)-INDEX($AT$4:$AW$53,MATCH(B224,$AT$4:$AT$53,1),3))+INDEX($AT$4:$AW$53,MATCH(B224,$AT$4:$AT$53,1),3)</f>
        <v>216.7</v>
      </c>
      <c r="G224" s="4">
        <f t="shared" si="93"/>
        <v>0.18769346480993121</v>
      </c>
      <c r="H224" s="6">
        <f t="shared" si="110"/>
        <v>50000</v>
      </c>
      <c r="I224" s="13">
        <f t="shared" si="94"/>
        <v>103.27672704922439</v>
      </c>
      <c r="J224" s="13">
        <f t="shared" si="111"/>
        <v>200.75343310736434</v>
      </c>
      <c r="K224" s="13">
        <f t="shared" si="95"/>
        <v>78.574117283524402</v>
      </c>
      <c r="L224" s="13">
        <f t="shared" si="112"/>
        <v>79.638372563146277</v>
      </c>
      <c r="M224" s="13">
        <f t="shared" si="113"/>
        <v>1.0320085660098237</v>
      </c>
      <c r="N224" s="13">
        <f t="shared" si="114"/>
        <v>1.0009769761097764</v>
      </c>
      <c r="O224" s="4">
        <f t="shared" si="96"/>
        <v>1.0245</v>
      </c>
      <c r="P224" s="4">
        <f t="shared" si="97"/>
        <v>1.0884083616780784</v>
      </c>
      <c r="Q224" s="4">
        <f t="shared" si="98"/>
        <v>0.77046382092660071</v>
      </c>
      <c r="R224" s="4">
        <f t="shared" si="99"/>
        <v>0.12539066818245639</v>
      </c>
      <c r="S224" s="4">
        <f t="shared" si="100"/>
        <v>0.15319093245487037</v>
      </c>
      <c r="T224" s="1"/>
      <c r="U224" s="1"/>
      <c r="V224" s="1">
        <v>1</v>
      </c>
      <c r="W224" s="1">
        <v>1</v>
      </c>
      <c r="Y224" s="1">
        <f t="shared" si="115"/>
        <v>-30.166221394603518</v>
      </c>
      <c r="Z224" s="1">
        <f t="shared" si="116"/>
        <v>-30.166221394603518</v>
      </c>
      <c r="AB224" s="130">
        <v>1</v>
      </c>
      <c r="AC224" s="128">
        <f t="shared" si="101"/>
        <v>0.52858744151830273</v>
      </c>
      <c r="AD224" s="4">
        <f t="shared" si="102"/>
        <v>0.12539066818245639</v>
      </c>
      <c r="AE224" s="4">
        <f t="shared" si="103"/>
        <v>0.20898444697076066</v>
      </c>
      <c r="AF224" s="32">
        <f t="shared" si="104"/>
        <v>0.51620183943669506</v>
      </c>
      <c r="AG224" s="4">
        <f t="shared" si="105"/>
        <v>0.87153775494981711</v>
      </c>
      <c r="AH224" s="42">
        <f t="shared" si="106"/>
        <v>1.4694733589676268</v>
      </c>
      <c r="AJ224" s="23">
        <v>4</v>
      </c>
      <c r="AK224" s="24">
        <v>0.8</v>
      </c>
      <c r="AL224" s="5">
        <f t="shared" si="107"/>
        <v>2.0799999999999999E-2</v>
      </c>
      <c r="AM224" s="5">
        <f t="shared" si="117"/>
        <v>0.1194718394324346</v>
      </c>
      <c r="AN224" s="25">
        <f t="shared" si="118"/>
        <v>-8.0000000000000002E-3</v>
      </c>
      <c r="AO224" s="30">
        <f t="shared" si="108"/>
        <v>1.4E-2</v>
      </c>
      <c r="AP224" s="5">
        <f t="shared" si="109"/>
        <v>0.18</v>
      </c>
      <c r="AQ224" s="25">
        <v>0</v>
      </c>
    </row>
    <row r="225" spans="2:43">
      <c r="B225" s="38">
        <v>50000</v>
      </c>
      <c r="C225" s="3">
        <v>0</v>
      </c>
      <c r="D225" s="3">
        <f t="shared" si="119"/>
        <v>0.39999999999999997</v>
      </c>
      <c r="E225" s="13" cm="1">
        <f t="array" ref="E225">((B225-INDEX($AT$4:$AW$53,MATCH(B225,$AT$4:$AT$53,1),1))/(INDEX($AT$4:$AW$53,MATCH(B225,$AT$4:$AT$53,1)+1,1)-INDEX($AT$4:$AW$53,MATCH(B225,$AT$4:$AT$53,1),1)))*(INDEX($AT$4:$AW$53,MATCH(B225,$AT$4:$AT$53,1)+1,4)-INDEX($AT$4:$AW$53,MATCH(B225,$AT$4:$AT$53,1),4))+INDEX($AT$4:$AW$53,MATCH(B225,$AT$4:$AT$53,1),4)</f>
        <v>11.67320088757757</v>
      </c>
      <c r="F225" s="13" cm="1">
        <f t="array" ref="F225">C225+((B225-INDEX($AT$4:$AW$53,MATCH(B225,$AT$4:$AT$53,1),1))/(INDEX($AT$4:$AW$53,MATCH(B225,$AT$4:$AT$53,1)+1,1)-INDEX($AT$4:$AW$53,MATCH(B225,$AT$4:$AT$53,1),1)))*(INDEX($AT$4:$AW$53,MATCH(B225,$AT$4:$AT$53,1)+1,3)-INDEX($AT$4:$AW$53,MATCH(B225,$AT$4:$AT$53,1),3))+INDEX($AT$4:$AW$53,MATCH(B225,$AT$4:$AT$53,1),3)</f>
        <v>216.7</v>
      </c>
      <c r="G225" s="4">
        <f t="shared" si="93"/>
        <v>0.18769346480993121</v>
      </c>
      <c r="H225" s="6">
        <f t="shared" si="110"/>
        <v>50000</v>
      </c>
      <c r="I225" s="13">
        <f t="shared" si="94"/>
        <v>118.03054519911358</v>
      </c>
      <c r="J225" s="13">
        <f t="shared" si="111"/>
        <v>229.43249497984493</v>
      </c>
      <c r="K225" s="13">
        <f t="shared" si="95"/>
        <v>89.798991181170734</v>
      </c>
      <c r="L225" s="13">
        <f t="shared" si="112"/>
        <v>91.387409496542489</v>
      </c>
      <c r="M225" s="13">
        <f t="shared" si="113"/>
        <v>1.3605345107393234</v>
      </c>
      <c r="N225" s="13">
        <f t="shared" si="114"/>
        <v>1.3073984994086874</v>
      </c>
      <c r="O225" s="4">
        <f t="shared" si="96"/>
        <v>1.032</v>
      </c>
      <c r="P225" s="4">
        <f t="shared" si="97"/>
        <v>1.1165519658097534</v>
      </c>
      <c r="Q225" s="4">
        <f t="shared" si="98"/>
        <v>0.77610411244143684</v>
      </c>
      <c r="R225" s="4">
        <f t="shared" si="99"/>
        <v>0.12863296716819042</v>
      </c>
      <c r="S225" s="4">
        <f t="shared" si="100"/>
        <v>0.15319093245487037</v>
      </c>
      <c r="T225" s="1"/>
      <c r="U225" s="1"/>
      <c r="V225" s="1">
        <v>1</v>
      </c>
      <c r="W225" s="1">
        <v>1</v>
      </c>
      <c r="Y225" s="1">
        <f t="shared" si="115"/>
        <v>-25.095755956543805</v>
      </c>
      <c r="Z225" s="1">
        <f t="shared" si="116"/>
        <v>-25.095755956543805</v>
      </c>
      <c r="AB225" s="130">
        <v>1</v>
      </c>
      <c r="AC225" s="128">
        <f t="shared" si="101"/>
        <v>0.52572811275764275</v>
      </c>
      <c r="AD225" s="4">
        <f t="shared" si="102"/>
        <v>0.12863296716819042</v>
      </c>
      <c r="AE225" s="4">
        <f t="shared" si="103"/>
        <v>0.2143882786136507</v>
      </c>
      <c r="AF225" s="32">
        <f t="shared" si="104"/>
        <v>0.53961628658460059</v>
      </c>
      <c r="AG225" s="4">
        <f t="shared" si="105"/>
        <v>0.8845457811430979</v>
      </c>
      <c r="AH225" s="42">
        <f t="shared" si="106"/>
        <v>1.4811805825415796</v>
      </c>
      <c r="AJ225" s="23">
        <v>4</v>
      </c>
      <c r="AK225" s="24">
        <v>0.8</v>
      </c>
      <c r="AL225" s="5">
        <f t="shared" si="107"/>
        <v>2.0799999999999999E-2</v>
      </c>
      <c r="AM225" s="5">
        <f t="shared" si="117"/>
        <v>0.1194718394324346</v>
      </c>
      <c r="AN225" s="25">
        <f t="shared" si="118"/>
        <v>-8.0000000000000002E-3</v>
      </c>
      <c r="AO225" s="30">
        <f t="shared" si="108"/>
        <v>1.4E-2</v>
      </c>
      <c r="AP225" s="5">
        <f t="shared" si="109"/>
        <v>0.18</v>
      </c>
      <c r="AQ225" s="25">
        <v>0</v>
      </c>
    </row>
    <row r="226" spans="2:43">
      <c r="B226" s="38">
        <v>50000</v>
      </c>
      <c r="C226" s="3">
        <v>0</v>
      </c>
      <c r="D226" s="3">
        <f t="shared" si="119"/>
        <v>0.44999999999999996</v>
      </c>
      <c r="E226" s="13" cm="1">
        <f t="array" ref="E226">((B226-INDEX($AT$4:$AW$53,MATCH(B226,$AT$4:$AT$53,1),1))/(INDEX($AT$4:$AW$53,MATCH(B226,$AT$4:$AT$53,1)+1,1)-INDEX($AT$4:$AW$53,MATCH(B226,$AT$4:$AT$53,1),1)))*(INDEX($AT$4:$AW$53,MATCH(B226,$AT$4:$AT$53,1)+1,4)-INDEX($AT$4:$AW$53,MATCH(B226,$AT$4:$AT$53,1),4))+INDEX($AT$4:$AW$53,MATCH(B226,$AT$4:$AT$53,1),4)</f>
        <v>11.67320088757757</v>
      </c>
      <c r="F226" s="13" cm="1">
        <f t="array" ref="F226">C226+((B226-INDEX($AT$4:$AW$53,MATCH(B226,$AT$4:$AT$53,1),1))/(INDEX($AT$4:$AW$53,MATCH(B226,$AT$4:$AT$53,1)+1,1)-INDEX($AT$4:$AW$53,MATCH(B226,$AT$4:$AT$53,1),1)))*(INDEX($AT$4:$AW$53,MATCH(B226,$AT$4:$AT$53,1)+1,3)-INDEX($AT$4:$AW$53,MATCH(B226,$AT$4:$AT$53,1),3))+INDEX($AT$4:$AW$53,MATCH(B226,$AT$4:$AT$53,1),3)</f>
        <v>216.7</v>
      </c>
      <c r="G226" s="4">
        <f t="shared" si="93"/>
        <v>0.18769346480993121</v>
      </c>
      <c r="H226" s="6">
        <f t="shared" si="110"/>
        <v>50000</v>
      </c>
      <c r="I226" s="13">
        <f t="shared" si="94"/>
        <v>132.78436334900277</v>
      </c>
      <c r="J226" s="13">
        <f t="shared" si="111"/>
        <v>258.11155685232558</v>
      </c>
      <c r="K226" s="13">
        <f t="shared" si="95"/>
        <v>101.02386507881708</v>
      </c>
      <c r="L226" s="13">
        <f t="shared" si="112"/>
        <v>103.28510799698839</v>
      </c>
      <c r="M226" s="13">
        <f t="shared" si="113"/>
        <v>1.7401490645154598</v>
      </c>
      <c r="N226" s="13">
        <f t="shared" si="114"/>
        <v>1.6546762258141199</v>
      </c>
      <c r="O226" s="4">
        <f t="shared" si="96"/>
        <v>1.0405</v>
      </c>
      <c r="P226" s="4">
        <f t="shared" si="97"/>
        <v>1.1490721423604813</v>
      </c>
      <c r="Q226" s="4">
        <f t="shared" si="98"/>
        <v>0.78249644282491759</v>
      </c>
      <c r="R226" s="4">
        <f t="shared" si="99"/>
        <v>0.13237947152324728</v>
      </c>
      <c r="S226" s="4">
        <f t="shared" si="100"/>
        <v>0.15319093245487037</v>
      </c>
      <c r="T226" s="1"/>
      <c r="U226" s="1"/>
      <c r="V226" s="1">
        <v>1</v>
      </c>
      <c r="W226" s="1">
        <v>1</v>
      </c>
      <c r="Y226" s="1">
        <f t="shared" si="115"/>
        <v>-21.048954612935937</v>
      </c>
      <c r="Z226" s="1">
        <f t="shared" si="116"/>
        <v>-21.048954612935937</v>
      </c>
      <c r="AB226" s="130">
        <v>1</v>
      </c>
      <c r="AC226" s="128">
        <f t="shared" si="101"/>
        <v>0.52304257247250441</v>
      </c>
      <c r="AD226" s="4">
        <f t="shared" si="102"/>
        <v>0.13237947152324728</v>
      </c>
      <c r="AE226" s="4">
        <f t="shared" si="103"/>
        <v>0.22063245253874547</v>
      </c>
      <c r="AF226" s="32">
        <f t="shared" si="104"/>
        <v>0.56303073373250612</v>
      </c>
      <c r="AG226" s="4">
        <f t="shared" si="105"/>
        <v>0.89755380733637857</v>
      </c>
      <c r="AH226" s="42">
        <f t="shared" si="106"/>
        <v>1.4928878061155324</v>
      </c>
      <c r="AJ226" s="23">
        <v>4</v>
      </c>
      <c r="AK226" s="24">
        <v>0.8</v>
      </c>
      <c r="AL226" s="5">
        <f t="shared" si="107"/>
        <v>2.0799999999999999E-2</v>
      </c>
      <c r="AM226" s="5">
        <f t="shared" si="117"/>
        <v>0.1194718394324346</v>
      </c>
      <c r="AN226" s="25">
        <f t="shared" si="118"/>
        <v>-8.0000000000000002E-3</v>
      </c>
      <c r="AO226" s="30">
        <f t="shared" si="108"/>
        <v>1.4E-2</v>
      </c>
      <c r="AP226" s="5">
        <f t="shared" si="109"/>
        <v>0.18</v>
      </c>
      <c r="AQ226" s="25">
        <v>0</v>
      </c>
    </row>
    <row r="227" spans="2:43">
      <c r="B227" s="38">
        <v>50000</v>
      </c>
      <c r="C227" s="3">
        <v>0</v>
      </c>
      <c r="D227" s="3">
        <f t="shared" si="119"/>
        <v>0.49999999999999994</v>
      </c>
      <c r="E227" s="13" cm="1">
        <f t="array" ref="E227">((B227-INDEX($AT$4:$AW$53,MATCH(B227,$AT$4:$AT$53,1),1))/(INDEX($AT$4:$AW$53,MATCH(B227,$AT$4:$AT$53,1)+1,1)-INDEX($AT$4:$AW$53,MATCH(B227,$AT$4:$AT$53,1),1)))*(INDEX($AT$4:$AW$53,MATCH(B227,$AT$4:$AT$53,1)+1,4)-INDEX($AT$4:$AW$53,MATCH(B227,$AT$4:$AT$53,1),4))+INDEX($AT$4:$AW$53,MATCH(B227,$AT$4:$AT$53,1),4)</f>
        <v>11.67320088757757</v>
      </c>
      <c r="F227" s="13" cm="1">
        <f t="array" ref="F227">C227+((B227-INDEX($AT$4:$AW$53,MATCH(B227,$AT$4:$AT$53,1),1))/(INDEX($AT$4:$AW$53,MATCH(B227,$AT$4:$AT$53,1)+1,1)-INDEX($AT$4:$AW$53,MATCH(B227,$AT$4:$AT$53,1),1)))*(INDEX($AT$4:$AW$53,MATCH(B227,$AT$4:$AT$53,1)+1,3)-INDEX($AT$4:$AW$53,MATCH(B227,$AT$4:$AT$53,1),3))+INDEX($AT$4:$AW$53,MATCH(B227,$AT$4:$AT$53,1),3)</f>
        <v>216.7</v>
      </c>
      <c r="G227" s="4">
        <f t="shared" si="93"/>
        <v>0.18769346480993121</v>
      </c>
      <c r="H227" s="6">
        <f t="shared" si="110"/>
        <v>50000</v>
      </c>
      <c r="I227" s="13">
        <f t="shared" si="94"/>
        <v>147.53818149889196</v>
      </c>
      <c r="J227" s="13">
        <f t="shared" si="111"/>
        <v>286.79061872480617</v>
      </c>
      <c r="K227" s="13">
        <f t="shared" si="95"/>
        <v>112.24873897646341</v>
      </c>
      <c r="L227" s="13">
        <f t="shared" si="112"/>
        <v>115.34988321885199</v>
      </c>
      <c r="M227" s="13">
        <f t="shared" si="113"/>
        <v>2.1736975316980303</v>
      </c>
      <c r="N227" s="13">
        <f t="shared" si="114"/>
        <v>2.0428101553260736</v>
      </c>
      <c r="O227" s="4">
        <f t="shared" si="96"/>
        <v>1.05</v>
      </c>
      <c r="P227" s="4">
        <f t="shared" si="97"/>
        <v>1.1862126380443982</v>
      </c>
      <c r="Q227" s="4">
        <f t="shared" si="98"/>
        <v>0.78964081207704329</v>
      </c>
      <c r="R227" s="4">
        <f t="shared" si="99"/>
        <v>0.13665826221836269</v>
      </c>
      <c r="S227" s="4">
        <f t="shared" si="100"/>
        <v>0.15319093245487037</v>
      </c>
      <c r="T227" s="1"/>
      <c r="U227" s="1"/>
      <c r="V227" s="1">
        <v>1</v>
      </c>
      <c r="W227" s="1">
        <v>1</v>
      </c>
      <c r="Y227" s="1">
        <f t="shared" si="115"/>
        <v>-17.733120430639818</v>
      </c>
      <c r="Z227" s="1">
        <f t="shared" si="116"/>
        <v>-17.733120430639818</v>
      </c>
      <c r="AB227" s="130">
        <v>1</v>
      </c>
      <c r="AC227" s="128">
        <f t="shared" si="101"/>
        <v>0.52050252531694174</v>
      </c>
      <c r="AD227" s="4">
        <f t="shared" si="102"/>
        <v>0.13665826221836269</v>
      </c>
      <c r="AE227" s="4">
        <f t="shared" si="103"/>
        <v>0.22776377036393783</v>
      </c>
      <c r="AF227" s="32">
        <f t="shared" si="104"/>
        <v>0.58644518088041164</v>
      </c>
      <c r="AG227" s="4">
        <f t="shared" si="105"/>
        <v>0.91056183352965958</v>
      </c>
      <c r="AH227" s="42">
        <f t="shared" si="106"/>
        <v>1.5045950296894852</v>
      </c>
      <c r="AJ227" s="23">
        <v>4</v>
      </c>
      <c r="AK227" s="24">
        <v>0.8</v>
      </c>
      <c r="AL227" s="5">
        <f t="shared" si="107"/>
        <v>2.0799999999999999E-2</v>
      </c>
      <c r="AM227" s="5">
        <f t="shared" si="117"/>
        <v>0.1194718394324346</v>
      </c>
      <c r="AN227" s="25">
        <f t="shared" si="118"/>
        <v>-8.0000000000000002E-3</v>
      </c>
      <c r="AO227" s="30">
        <f t="shared" si="108"/>
        <v>1.4E-2</v>
      </c>
      <c r="AP227" s="5">
        <f t="shared" si="109"/>
        <v>0.18</v>
      </c>
      <c r="AQ227" s="25">
        <v>0</v>
      </c>
    </row>
    <row r="228" spans="2:43">
      <c r="B228" s="38">
        <v>50000</v>
      </c>
      <c r="C228" s="3">
        <v>0</v>
      </c>
      <c r="D228" s="3">
        <f t="shared" si="119"/>
        <v>0.54999999999999993</v>
      </c>
      <c r="E228" s="13" cm="1">
        <f t="array" ref="E228">((B228-INDEX($AT$4:$AW$53,MATCH(B228,$AT$4:$AT$53,1),1))/(INDEX($AT$4:$AW$53,MATCH(B228,$AT$4:$AT$53,1)+1,1)-INDEX($AT$4:$AW$53,MATCH(B228,$AT$4:$AT$53,1),1)))*(INDEX($AT$4:$AW$53,MATCH(B228,$AT$4:$AT$53,1)+1,4)-INDEX($AT$4:$AW$53,MATCH(B228,$AT$4:$AT$53,1),4))+INDEX($AT$4:$AW$53,MATCH(B228,$AT$4:$AT$53,1),4)</f>
        <v>11.67320088757757</v>
      </c>
      <c r="F228" s="13" cm="1">
        <f t="array" ref="F228">C228+((B228-INDEX($AT$4:$AW$53,MATCH(B228,$AT$4:$AT$53,1),1))/(INDEX($AT$4:$AW$53,MATCH(B228,$AT$4:$AT$53,1)+1,1)-INDEX($AT$4:$AW$53,MATCH(B228,$AT$4:$AT$53,1),1)))*(INDEX($AT$4:$AW$53,MATCH(B228,$AT$4:$AT$53,1)+1,3)-INDEX($AT$4:$AW$53,MATCH(B228,$AT$4:$AT$53,1),3))+INDEX($AT$4:$AW$53,MATCH(B228,$AT$4:$AT$53,1),3)</f>
        <v>216.7</v>
      </c>
      <c r="G228" s="4">
        <f t="shared" si="93"/>
        <v>0.18769346480993121</v>
      </c>
      <c r="H228" s="6">
        <f t="shared" si="110"/>
        <v>50000</v>
      </c>
      <c r="I228" s="13">
        <f t="shared" si="94"/>
        <v>162.29199964878117</v>
      </c>
      <c r="J228" s="13">
        <f t="shared" si="111"/>
        <v>315.46968059728681</v>
      </c>
      <c r="K228" s="13">
        <f t="shared" si="95"/>
        <v>123.47361287410976</v>
      </c>
      <c r="L228" s="13">
        <f t="shared" si="112"/>
        <v>127.60005107576289</v>
      </c>
      <c r="M228" s="13">
        <f t="shared" si="113"/>
        <v>2.6644273223462438</v>
      </c>
      <c r="N228" s="13">
        <f t="shared" si="114"/>
        <v>2.4718002879445495</v>
      </c>
      <c r="O228" s="4">
        <f t="shared" si="96"/>
        <v>1.0605</v>
      </c>
      <c r="P228" s="4">
        <f t="shared" si="97"/>
        <v>1.2282516464855568</v>
      </c>
      <c r="Q228" s="4">
        <f t="shared" si="98"/>
        <v>0.7975372201978137</v>
      </c>
      <c r="R228" s="4">
        <f t="shared" si="99"/>
        <v>0.14150138869897669</v>
      </c>
      <c r="S228" s="4">
        <f t="shared" si="100"/>
        <v>0.15319093245487037</v>
      </c>
      <c r="T228" s="1"/>
      <c r="U228" s="1"/>
      <c r="V228" s="1">
        <v>1</v>
      </c>
      <c r="W228" s="1">
        <v>1</v>
      </c>
      <c r="Y228" s="1">
        <f t="shared" si="115"/>
        <v>-14.961981980315493</v>
      </c>
      <c r="Z228" s="1">
        <f t="shared" si="116"/>
        <v>-14.961981980315493</v>
      </c>
      <c r="AB228" s="130">
        <v>1</v>
      </c>
      <c r="AC228" s="128">
        <f t="shared" si="101"/>
        <v>0.51808661059033034</v>
      </c>
      <c r="AD228" s="4">
        <f t="shared" si="102"/>
        <v>0.14150138869897669</v>
      </c>
      <c r="AE228" s="4">
        <f t="shared" si="103"/>
        <v>0.23583564783162783</v>
      </c>
      <c r="AF228" s="32">
        <f t="shared" si="104"/>
        <v>0.60985962802831717</v>
      </c>
      <c r="AG228" s="4">
        <f t="shared" si="105"/>
        <v>0.92356985972294037</v>
      </c>
      <c r="AH228" s="42">
        <f t="shared" si="106"/>
        <v>1.516302253263438</v>
      </c>
      <c r="AJ228" s="23">
        <v>4</v>
      </c>
      <c r="AK228" s="24">
        <v>0.8</v>
      </c>
      <c r="AL228" s="5">
        <f t="shared" si="107"/>
        <v>2.0799999999999999E-2</v>
      </c>
      <c r="AM228" s="5">
        <f t="shared" si="117"/>
        <v>0.1194718394324346</v>
      </c>
      <c r="AN228" s="25">
        <f t="shared" si="118"/>
        <v>-8.0000000000000002E-3</v>
      </c>
      <c r="AO228" s="30">
        <f t="shared" si="108"/>
        <v>1.4E-2</v>
      </c>
      <c r="AP228" s="5">
        <f t="shared" si="109"/>
        <v>0.18</v>
      </c>
      <c r="AQ228" s="25">
        <v>0</v>
      </c>
    </row>
    <row r="229" spans="2:43">
      <c r="B229" s="38">
        <v>50000</v>
      </c>
      <c r="C229" s="3">
        <v>0</v>
      </c>
      <c r="D229" s="3">
        <f t="shared" si="119"/>
        <v>0.6</v>
      </c>
      <c r="E229" s="13" cm="1">
        <f t="array" ref="E229">((B229-INDEX($AT$4:$AW$53,MATCH(B229,$AT$4:$AT$53,1),1))/(INDEX($AT$4:$AW$53,MATCH(B229,$AT$4:$AT$53,1)+1,1)-INDEX($AT$4:$AW$53,MATCH(B229,$AT$4:$AT$53,1),1)))*(INDEX($AT$4:$AW$53,MATCH(B229,$AT$4:$AT$53,1)+1,4)-INDEX($AT$4:$AW$53,MATCH(B229,$AT$4:$AT$53,1),4))+INDEX($AT$4:$AW$53,MATCH(B229,$AT$4:$AT$53,1),4)</f>
        <v>11.67320088757757</v>
      </c>
      <c r="F229" s="13" cm="1">
        <f t="array" ref="F229">C229+((B229-INDEX($AT$4:$AW$53,MATCH(B229,$AT$4:$AT$53,1),1))/(INDEX($AT$4:$AW$53,MATCH(B229,$AT$4:$AT$53,1)+1,1)-INDEX($AT$4:$AW$53,MATCH(B229,$AT$4:$AT$53,1),1)))*(INDEX($AT$4:$AW$53,MATCH(B229,$AT$4:$AT$53,1)+1,3)-INDEX($AT$4:$AW$53,MATCH(B229,$AT$4:$AT$53,1),3))+INDEX($AT$4:$AW$53,MATCH(B229,$AT$4:$AT$53,1),3)</f>
        <v>216.7</v>
      </c>
      <c r="G229" s="4">
        <f t="shared" si="93"/>
        <v>0.18769346480993121</v>
      </c>
      <c r="H229" s="6">
        <f t="shared" si="110"/>
        <v>50000</v>
      </c>
      <c r="I229" s="13">
        <f t="shared" si="94"/>
        <v>177.04581779867038</v>
      </c>
      <c r="J229" s="13">
        <f t="shared" si="111"/>
        <v>344.14874246976746</v>
      </c>
      <c r="K229" s="13">
        <f t="shared" si="95"/>
        <v>134.69848677175611</v>
      </c>
      <c r="L229" s="13">
        <f t="shared" si="112"/>
        <v>140.05379552407177</v>
      </c>
      <c r="M229" s="13">
        <f t="shared" si="113"/>
        <v>3.2160109265111667</v>
      </c>
      <c r="N229" s="13">
        <f t="shared" si="114"/>
        <v>2.9416466236695471</v>
      </c>
      <c r="O229" s="4">
        <f t="shared" si="96"/>
        <v>1.0720000000000001</v>
      </c>
      <c r="P229" s="4">
        <f t="shared" si="97"/>
        <v>1.2755037763406945</v>
      </c>
      <c r="Q229" s="4">
        <f t="shared" si="98"/>
        <v>0.80618566718722895</v>
      </c>
      <c r="R229" s="4">
        <f t="shared" si="99"/>
        <v>0.14694509562387106</v>
      </c>
      <c r="S229" s="4">
        <f t="shared" si="100"/>
        <v>0.15319093245487037</v>
      </c>
      <c r="T229" s="1"/>
      <c r="U229" s="1"/>
      <c r="V229" s="1">
        <v>1</v>
      </c>
      <c r="W229" s="1">
        <v>1</v>
      </c>
      <c r="Y229" s="1">
        <f t="shared" si="115"/>
        <v>-12.610832675974155</v>
      </c>
      <c r="Z229" s="1">
        <f t="shared" si="116"/>
        <v>-12.610832675974155</v>
      </c>
      <c r="AB229" s="130">
        <v>1</v>
      </c>
      <c r="AC229" s="128">
        <f t="shared" si="101"/>
        <v>0.51577823315309623</v>
      </c>
      <c r="AD229" s="4">
        <f t="shared" si="102"/>
        <v>0.14694509562387106</v>
      </c>
      <c r="AE229" s="4">
        <f t="shared" si="103"/>
        <v>0.24490849270645179</v>
      </c>
      <c r="AF229" s="32">
        <f t="shared" si="104"/>
        <v>0.63327407517622269</v>
      </c>
      <c r="AG229" s="4">
        <f t="shared" si="105"/>
        <v>0.93657788591622126</v>
      </c>
      <c r="AH229" s="42">
        <f t="shared" si="106"/>
        <v>1.5280094768373906</v>
      </c>
      <c r="AJ229" s="23">
        <v>4</v>
      </c>
      <c r="AK229" s="24">
        <v>0.8</v>
      </c>
      <c r="AL229" s="5">
        <f t="shared" si="107"/>
        <v>2.0799999999999999E-2</v>
      </c>
      <c r="AM229" s="5">
        <f t="shared" si="117"/>
        <v>0.1194718394324346</v>
      </c>
      <c r="AN229" s="25">
        <f t="shared" si="118"/>
        <v>-8.0000000000000002E-3</v>
      </c>
      <c r="AO229" s="30">
        <f t="shared" si="108"/>
        <v>1.4E-2</v>
      </c>
      <c r="AP229" s="5">
        <f t="shared" si="109"/>
        <v>0.18</v>
      </c>
      <c r="AQ229" s="25">
        <v>0</v>
      </c>
    </row>
    <row r="230" spans="2:43">
      <c r="B230" s="38">
        <v>50000</v>
      </c>
      <c r="C230" s="3">
        <v>0</v>
      </c>
      <c r="D230" s="3">
        <f t="shared" si="119"/>
        <v>0.65</v>
      </c>
      <c r="E230" s="13" cm="1">
        <f t="array" ref="E230">((B230-INDEX($AT$4:$AW$53,MATCH(B230,$AT$4:$AT$53,1),1))/(INDEX($AT$4:$AW$53,MATCH(B230,$AT$4:$AT$53,1)+1,1)-INDEX($AT$4:$AW$53,MATCH(B230,$AT$4:$AT$53,1),1)))*(INDEX($AT$4:$AW$53,MATCH(B230,$AT$4:$AT$53,1)+1,4)-INDEX($AT$4:$AW$53,MATCH(B230,$AT$4:$AT$53,1),4))+INDEX($AT$4:$AW$53,MATCH(B230,$AT$4:$AT$53,1),4)</f>
        <v>11.67320088757757</v>
      </c>
      <c r="F230" s="13" cm="1">
        <f t="array" ref="F230">C230+((B230-INDEX($AT$4:$AW$53,MATCH(B230,$AT$4:$AT$53,1),1))/(INDEX($AT$4:$AW$53,MATCH(B230,$AT$4:$AT$53,1)+1,1)-INDEX($AT$4:$AW$53,MATCH(B230,$AT$4:$AT$53,1),1)))*(INDEX($AT$4:$AW$53,MATCH(B230,$AT$4:$AT$53,1)+1,3)-INDEX($AT$4:$AW$53,MATCH(B230,$AT$4:$AT$53,1),3))+INDEX($AT$4:$AW$53,MATCH(B230,$AT$4:$AT$53,1),3)</f>
        <v>216.7</v>
      </c>
      <c r="G230" s="4">
        <f t="shared" si="93"/>
        <v>0.18769346480993121</v>
      </c>
      <c r="H230" s="6">
        <f t="shared" si="110"/>
        <v>50000</v>
      </c>
      <c r="I230" s="13">
        <f t="shared" si="94"/>
        <v>191.7996359485596</v>
      </c>
      <c r="J230" s="13">
        <f t="shared" si="111"/>
        <v>372.8278043422481</v>
      </c>
      <c r="K230" s="13">
        <f t="shared" si="95"/>
        <v>145.92336066940246</v>
      </c>
      <c r="L230" s="13">
        <f t="shared" si="112"/>
        <v>152.72912947447946</v>
      </c>
      <c r="M230" s="13">
        <f t="shared" si="113"/>
        <v>3.8325715761842036</v>
      </c>
      <c r="N230" s="13">
        <f t="shared" si="114"/>
        <v>3.4523491625010663</v>
      </c>
      <c r="O230" s="4">
        <f t="shared" si="96"/>
        <v>1.0845</v>
      </c>
      <c r="P230" s="4">
        <f t="shared" si="97"/>
        <v>1.328322249663566</v>
      </c>
      <c r="Q230" s="4">
        <f t="shared" si="98"/>
        <v>0.81558615304528892</v>
      </c>
      <c r="R230" s="4">
        <f t="shared" si="99"/>
        <v>0.15303007612890968</v>
      </c>
      <c r="S230" s="4">
        <f t="shared" si="100"/>
        <v>0.15319093245487037</v>
      </c>
      <c r="T230" s="1"/>
      <c r="U230" s="1"/>
      <c r="V230" s="1">
        <v>1</v>
      </c>
      <c r="W230" s="1">
        <v>1</v>
      </c>
      <c r="Y230" s="1">
        <f t="shared" si="115"/>
        <v>-10.592303513773851</v>
      </c>
      <c r="Z230" s="1">
        <f t="shared" si="116"/>
        <v>-10.592303513773851</v>
      </c>
      <c r="AB230" s="130">
        <v>1</v>
      </c>
      <c r="AC230" s="128">
        <f t="shared" si="101"/>
        <v>0.51356419576191015</v>
      </c>
      <c r="AD230" s="4">
        <f t="shared" si="102"/>
        <v>0.15303007612890968</v>
      </c>
      <c r="AE230" s="4">
        <f t="shared" si="103"/>
        <v>0.25505012688151613</v>
      </c>
      <c r="AF230" s="32">
        <f t="shared" si="104"/>
        <v>0.65668852232412822</v>
      </c>
      <c r="AG230" s="4">
        <f t="shared" si="105"/>
        <v>0.94958591210950205</v>
      </c>
      <c r="AH230" s="42">
        <f t="shared" si="106"/>
        <v>1.5397167004113435</v>
      </c>
      <c r="AJ230" s="23">
        <v>4</v>
      </c>
      <c r="AK230" s="24">
        <v>0.8</v>
      </c>
      <c r="AL230" s="5">
        <f t="shared" si="107"/>
        <v>2.0799999999999999E-2</v>
      </c>
      <c r="AM230" s="5">
        <f t="shared" si="117"/>
        <v>0.1194718394324346</v>
      </c>
      <c r="AN230" s="25">
        <f t="shared" si="118"/>
        <v>-8.0000000000000002E-3</v>
      </c>
      <c r="AO230" s="30">
        <f t="shared" si="108"/>
        <v>1.4E-2</v>
      </c>
      <c r="AP230" s="5">
        <f t="shared" si="109"/>
        <v>0.18</v>
      </c>
      <c r="AQ230" s="25">
        <v>0</v>
      </c>
    </row>
    <row r="231" spans="2:43">
      <c r="B231" s="38">
        <v>50000</v>
      </c>
      <c r="C231" s="3">
        <v>0</v>
      </c>
      <c r="D231" s="3">
        <f t="shared" si="119"/>
        <v>0.70000000000000007</v>
      </c>
      <c r="E231" s="13" cm="1">
        <f t="array" ref="E231">((B231-INDEX($AT$4:$AW$53,MATCH(B231,$AT$4:$AT$53,1),1))/(INDEX($AT$4:$AW$53,MATCH(B231,$AT$4:$AT$53,1)+1,1)-INDEX($AT$4:$AW$53,MATCH(B231,$AT$4:$AT$53,1),1)))*(INDEX($AT$4:$AW$53,MATCH(B231,$AT$4:$AT$53,1)+1,4)-INDEX($AT$4:$AW$53,MATCH(B231,$AT$4:$AT$53,1),4))+INDEX($AT$4:$AW$53,MATCH(B231,$AT$4:$AT$53,1),4)</f>
        <v>11.67320088757757</v>
      </c>
      <c r="F231" s="13" cm="1">
        <f t="array" ref="F231">C231+((B231-INDEX($AT$4:$AW$53,MATCH(B231,$AT$4:$AT$53,1),1))/(INDEX($AT$4:$AW$53,MATCH(B231,$AT$4:$AT$53,1)+1,1)-INDEX($AT$4:$AW$53,MATCH(B231,$AT$4:$AT$53,1),1)))*(INDEX($AT$4:$AW$53,MATCH(B231,$AT$4:$AT$53,1)+1,3)-INDEX($AT$4:$AW$53,MATCH(B231,$AT$4:$AT$53,1),3))+INDEX($AT$4:$AW$53,MATCH(B231,$AT$4:$AT$53,1),3)</f>
        <v>216.7</v>
      </c>
      <c r="G231" s="4">
        <f t="shared" si="93"/>
        <v>0.18769346480993121</v>
      </c>
      <c r="H231" s="6">
        <f t="shared" si="110"/>
        <v>50000</v>
      </c>
      <c r="I231" s="13">
        <f t="shared" si="94"/>
        <v>206.55345409844881</v>
      </c>
      <c r="J231" s="13">
        <f t="shared" si="111"/>
        <v>401.50686621472875</v>
      </c>
      <c r="K231" s="13">
        <f t="shared" si="95"/>
        <v>157.14823456704883</v>
      </c>
      <c r="L231" s="13">
        <f t="shared" si="112"/>
        <v>165.64384896934584</v>
      </c>
      <c r="M231" s="13">
        <f t="shared" si="113"/>
        <v>4.5187116728782932</v>
      </c>
      <c r="N231" s="13">
        <f t="shared" si="114"/>
        <v>4.0039079044391066</v>
      </c>
      <c r="O231" s="4">
        <f t="shared" si="96"/>
        <v>1.0980000000000001</v>
      </c>
      <c r="P231" s="4">
        <f t="shared" si="97"/>
        <v>1.3871013371908156</v>
      </c>
      <c r="Q231" s="4">
        <f t="shared" si="98"/>
        <v>0.82573867777199383</v>
      </c>
      <c r="R231" s="4">
        <f t="shared" si="99"/>
        <v>0.15980175238545141</v>
      </c>
      <c r="S231" s="4">
        <f t="shared" si="100"/>
        <v>0.15319093245487037</v>
      </c>
      <c r="T231" s="1"/>
      <c r="U231" s="1"/>
      <c r="V231" s="1">
        <v>1</v>
      </c>
      <c r="W231" s="1">
        <v>1</v>
      </c>
      <c r="Y231" s="1">
        <f t="shared" si="115"/>
        <v>-8.8424463192704383</v>
      </c>
      <c r="Z231" s="1">
        <f t="shared" si="116"/>
        <v>-8.8424463192704383</v>
      </c>
      <c r="AB231" s="130">
        <v>1</v>
      </c>
      <c r="AC231" s="128">
        <f t="shared" si="101"/>
        <v>0.51143379814261469</v>
      </c>
      <c r="AD231" s="4">
        <f t="shared" si="102"/>
        <v>0.15980175238545141</v>
      </c>
      <c r="AE231" s="4">
        <f t="shared" si="103"/>
        <v>0.26633625397575239</v>
      </c>
      <c r="AF231" s="32">
        <f t="shared" si="104"/>
        <v>0.68010296947203386</v>
      </c>
      <c r="AG231" s="4">
        <f t="shared" si="105"/>
        <v>0.96259393830278306</v>
      </c>
      <c r="AH231" s="42">
        <f t="shared" si="106"/>
        <v>1.5514239239852963</v>
      </c>
      <c r="AJ231" s="23">
        <v>4</v>
      </c>
      <c r="AK231" s="24">
        <v>0.8</v>
      </c>
      <c r="AL231" s="5">
        <f t="shared" si="107"/>
        <v>2.0799999999999999E-2</v>
      </c>
      <c r="AM231" s="5">
        <f t="shared" si="117"/>
        <v>0.1194718394324346</v>
      </c>
      <c r="AN231" s="25">
        <f t="shared" si="118"/>
        <v>-8.0000000000000002E-3</v>
      </c>
      <c r="AO231" s="30">
        <f t="shared" si="108"/>
        <v>1.4E-2</v>
      </c>
      <c r="AP231" s="5">
        <f t="shared" si="109"/>
        <v>0.18</v>
      </c>
      <c r="AQ231" s="25">
        <v>0</v>
      </c>
    </row>
    <row r="232" spans="2:43">
      <c r="B232" s="38">
        <v>50000</v>
      </c>
      <c r="C232" s="3">
        <v>0</v>
      </c>
      <c r="D232" s="3">
        <f t="shared" si="119"/>
        <v>0.75000000000000011</v>
      </c>
      <c r="E232" s="13" cm="1">
        <f t="array" ref="E232">((B232-INDEX($AT$4:$AW$53,MATCH(B232,$AT$4:$AT$53,1),1))/(INDEX($AT$4:$AW$53,MATCH(B232,$AT$4:$AT$53,1)+1,1)-INDEX($AT$4:$AW$53,MATCH(B232,$AT$4:$AT$53,1),1)))*(INDEX($AT$4:$AW$53,MATCH(B232,$AT$4:$AT$53,1)+1,4)-INDEX($AT$4:$AW$53,MATCH(B232,$AT$4:$AT$53,1),4))+INDEX($AT$4:$AW$53,MATCH(B232,$AT$4:$AT$53,1),4)</f>
        <v>11.67320088757757</v>
      </c>
      <c r="F232" s="13" cm="1">
        <f t="array" ref="F232">C232+((B232-INDEX($AT$4:$AW$53,MATCH(B232,$AT$4:$AT$53,1),1))/(INDEX($AT$4:$AW$53,MATCH(B232,$AT$4:$AT$53,1)+1,1)-INDEX($AT$4:$AW$53,MATCH(B232,$AT$4:$AT$53,1),1)))*(INDEX($AT$4:$AW$53,MATCH(B232,$AT$4:$AT$53,1)+1,3)-INDEX($AT$4:$AW$53,MATCH(B232,$AT$4:$AT$53,1),3))+INDEX($AT$4:$AW$53,MATCH(B232,$AT$4:$AT$53,1),3)</f>
        <v>216.7</v>
      </c>
      <c r="G232" s="4">
        <f t="shared" si="93"/>
        <v>0.18769346480993121</v>
      </c>
      <c r="H232" s="6">
        <f t="shared" si="110"/>
        <v>50000</v>
      </c>
      <c r="I232" s="13">
        <f t="shared" si="94"/>
        <v>221.30727224833802</v>
      </c>
      <c r="J232" s="13">
        <f t="shared" si="111"/>
        <v>430.18592808720939</v>
      </c>
      <c r="K232" s="13">
        <f t="shared" si="95"/>
        <v>168.37310846469518</v>
      </c>
      <c r="L232" s="13">
        <f t="shared" si="112"/>
        <v>178.81548036405351</v>
      </c>
      <c r="M232" s="13">
        <f t="shared" si="113"/>
        <v>5.2795440649901169</v>
      </c>
      <c r="N232" s="13">
        <f t="shared" si="114"/>
        <v>4.5963228494836681</v>
      </c>
      <c r="O232" s="4">
        <f t="shared" si="96"/>
        <v>1.1125</v>
      </c>
      <c r="P232" s="4">
        <f t="shared" si="97"/>
        <v>1.4522790377580601</v>
      </c>
      <c r="Q232" s="4">
        <f t="shared" si="98"/>
        <v>0.83664324136734336</v>
      </c>
      <c r="R232" s="4">
        <f t="shared" si="99"/>
        <v>0.16731058428391499</v>
      </c>
      <c r="S232" s="4">
        <f t="shared" si="100"/>
        <v>0.15319093245487037</v>
      </c>
      <c r="T232" s="1"/>
      <c r="U232" s="1"/>
      <c r="V232" s="1">
        <v>1</v>
      </c>
      <c r="W232" s="1">
        <v>1</v>
      </c>
      <c r="Y232" s="1">
        <f t="shared" si="115"/>
        <v>-7.312309494042224</v>
      </c>
      <c r="Z232" s="1">
        <f t="shared" si="116"/>
        <v>-7.312309494042224</v>
      </c>
      <c r="AB232" s="130">
        <v>1</v>
      </c>
      <c r="AC232" s="128">
        <f t="shared" si="101"/>
        <v>0.50937822173508929</v>
      </c>
      <c r="AD232" s="4">
        <f t="shared" si="102"/>
        <v>0.16731058428391499</v>
      </c>
      <c r="AE232" s="4">
        <f t="shared" si="103"/>
        <v>0.27885097380652502</v>
      </c>
      <c r="AF232" s="32">
        <f t="shared" si="104"/>
        <v>0.70351741661993938</v>
      </c>
      <c r="AG232" s="4">
        <f t="shared" si="105"/>
        <v>0.97560196449606384</v>
      </c>
      <c r="AH232" s="42">
        <f t="shared" si="106"/>
        <v>1.5631311475592491</v>
      </c>
      <c r="AJ232" s="23">
        <v>4</v>
      </c>
      <c r="AK232" s="24">
        <v>0.8</v>
      </c>
      <c r="AL232" s="5">
        <f t="shared" si="107"/>
        <v>2.0799999999999999E-2</v>
      </c>
      <c r="AM232" s="5">
        <f t="shared" si="117"/>
        <v>0.1194718394324346</v>
      </c>
      <c r="AN232" s="25">
        <f t="shared" si="118"/>
        <v>-8.0000000000000002E-3</v>
      </c>
      <c r="AO232" s="30">
        <f t="shared" si="108"/>
        <v>1.4E-2</v>
      </c>
      <c r="AP232" s="5">
        <f t="shared" si="109"/>
        <v>0.18</v>
      </c>
      <c r="AQ232" s="25">
        <v>0</v>
      </c>
    </row>
    <row r="233" spans="2:43">
      <c r="B233" s="38">
        <v>50000</v>
      </c>
      <c r="C233" s="3">
        <v>0</v>
      </c>
      <c r="D233" s="3">
        <f t="shared" si="119"/>
        <v>0.80000000000000016</v>
      </c>
      <c r="E233" s="13" cm="1">
        <f t="array" ref="E233">((B233-INDEX($AT$4:$AW$53,MATCH(B233,$AT$4:$AT$53,1),1))/(INDEX($AT$4:$AW$53,MATCH(B233,$AT$4:$AT$53,1)+1,1)-INDEX($AT$4:$AW$53,MATCH(B233,$AT$4:$AT$53,1),1)))*(INDEX($AT$4:$AW$53,MATCH(B233,$AT$4:$AT$53,1)+1,4)-INDEX($AT$4:$AW$53,MATCH(B233,$AT$4:$AT$53,1),4))+INDEX($AT$4:$AW$53,MATCH(B233,$AT$4:$AT$53,1),4)</f>
        <v>11.67320088757757</v>
      </c>
      <c r="F233" s="13" cm="1">
        <f t="array" ref="F233">C233+((B233-INDEX($AT$4:$AW$53,MATCH(B233,$AT$4:$AT$53,1),1))/(INDEX($AT$4:$AW$53,MATCH(B233,$AT$4:$AT$53,1)+1,1)-INDEX($AT$4:$AW$53,MATCH(B233,$AT$4:$AT$53,1),1)))*(INDEX($AT$4:$AW$53,MATCH(B233,$AT$4:$AT$53,1)+1,3)-INDEX($AT$4:$AW$53,MATCH(B233,$AT$4:$AT$53,1),3))+INDEX($AT$4:$AW$53,MATCH(B233,$AT$4:$AT$53,1),3)</f>
        <v>216.7</v>
      </c>
      <c r="G233" s="4">
        <f t="shared" si="93"/>
        <v>0.18769346480993121</v>
      </c>
      <c r="H233" s="6">
        <f t="shared" si="110"/>
        <v>50000</v>
      </c>
      <c r="I233" s="13">
        <f t="shared" si="94"/>
        <v>236.06109039822724</v>
      </c>
      <c r="J233" s="13">
        <f t="shared" si="111"/>
        <v>458.86498995969004</v>
      </c>
      <c r="K233" s="13">
        <f t="shared" si="95"/>
        <v>179.59798236234153</v>
      </c>
      <c r="L233" s="13">
        <f t="shared" si="112"/>
        <v>192.26122037004143</v>
      </c>
      <c r="M233" s="13">
        <f t="shared" si="113"/>
        <v>6.1207262649724479</v>
      </c>
      <c r="N233" s="13">
        <f t="shared" si="114"/>
        <v>5.229593997634753</v>
      </c>
      <c r="O233" s="4">
        <f t="shared" si="96"/>
        <v>1.1280000000000001</v>
      </c>
      <c r="P233" s="4">
        <f t="shared" si="97"/>
        <v>1.5243400095586486</v>
      </c>
      <c r="Q233" s="4">
        <f t="shared" si="98"/>
        <v>0.84829984383133794</v>
      </c>
      <c r="R233" s="4">
        <f t="shared" si="99"/>
        <v>0.17561240713101425</v>
      </c>
      <c r="S233" s="4">
        <f t="shared" si="100"/>
        <v>0.15319093245487037</v>
      </c>
      <c r="T233" s="1"/>
      <c r="U233" s="1"/>
      <c r="V233" s="1">
        <v>1</v>
      </c>
      <c r="W233" s="1">
        <v>1</v>
      </c>
      <c r="Y233" s="1">
        <f t="shared" si="115"/>
        <v>-5.962596611919075</v>
      </c>
      <c r="Z233" s="1">
        <f t="shared" si="116"/>
        <v>-5.962596611919075</v>
      </c>
      <c r="AB233" s="130">
        <v>1</v>
      </c>
      <c r="AC233" s="128">
        <f t="shared" si="101"/>
        <v>0.50739009663000589</v>
      </c>
      <c r="AD233" s="4">
        <f t="shared" si="102"/>
        <v>0.17561240713101425</v>
      </c>
      <c r="AE233" s="4">
        <f t="shared" si="103"/>
        <v>0.2926873452183571</v>
      </c>
      <c r="AF233" s="32">
        <f t="shared" si="104"/>
        <v>0.72693186376784491</v>
      </c>
      <c r="AG233" s="4">
        <f t="shared" si="105"/>
        <v>0.98860999068934474</v>
      </c>
      <c r="AH233" s="42">
        <f t="shared" si="106"/>
        <v>1.5748383711332017</v>
      </c>
      <c r="AJ233" s="23">
        <v>4</v>
      </c>
      <c r="AK233" s="24">
        <v>0.8</v>
      </c>
      <c r="AL233" s="5">
        <f t="shared" si="107"/>
        <v>2.0799999999999999E-2</v>
      </c>
      <c r="AM233" s="5">
        <f t="shared" si="117"/>
        <v>0.1194718394324346</v>
      </c>
      <c r="AN233" s="25">
        <f t="shared" si="118"/>
        <v>-8.0000000000000002E-3</v>
      </c>
      <c r="AO233" s="30">
        <f t="shared" si="108"/>
        <v>1.4000000000000004E-2</v>
      </c>
      <c r="AP233" s="5">
        <f t="shared" si="109"/>
        <v>0.18</v>
      </c>
      <c r="AQ233" s="25">
        <v>0</v>
      </c>
    </row>
    <row r="234" spans="2:43">
      <c r="B234" s="38">
        <v>50000</v>
      </c>
      <c r="C234" s="3">
        <v>0</v>
      </c>
      <c r="D234" s="3">
        <f t="shared" si="119"/>
        <v>0.8500000000000002</v>
      </c>
      <c r="E234" s="13" cm="1">
        <f t="array" ref="E234">((B234-INDEX($AT$4:$AW$53,MATCH(B234,$AT$4:$AT$53,1),1))/(INDEX($AT$4:$AW$53,MATCH(B234,$AT$4:$AT$53,1)+1,1)-INDEX($AT$4:$AW$53,MATCH(B234,$AT$4:$AT$53,1),1)))*(INDEX($AT$4:$AW$53,MATCH(B234,$AT$4:$AT$53,1)+1,4)-INDEX($AT$4:$AW$53,MATCH(B234,$AT$4:$AT$53,1),4))+INDEX($AT$4:$AW$53,MATCH(B234,$AT$4:$AT$53,1),4)</f>
        <v>11.67320088757757</v>
      </c>
      <c r="F234" s="13" cm="1">
        <f t="array" ref="F234">C234+((B234-INDEX($AT$4:$AW$53,MATCH(B234,$AT$4:$AT$53,1),1))/(INDEX($AT$4:$AW$53,MATCH(B234,$AT$4:$AT$53,1)+1,1)-INDEX($AT$4:$AW$53,MATCH(B234,$AT$4:$AT$53,1),1)))*(INDEX($AT$4:$AW$53,MATCH(B234,$AT$4:$AT$53,1)+1,3)-INDEX($AT$4:$AW$53,MATCH(B234,$AT$4:$AT$53,1),3))+INDEX($AT$4:$AW$53,MATCH(B234,$AT$4:$AT$53,1),3)</f>
        <v>216.7</v>
      </c>
      <c r="G234" s="4">
        <f t="shared" si="93"/>
        <v>0.18769346480993121</v>
      </c>
      <c r="H234" s="6">
        <f t="shared" si="110"/>
        <v>50000</v>
      </c>
      <c r="I234" s="13">
        <f t="shared" si="94"/>
        <v>250.81490854811645</v>
      </c>
      <c r="J234" s="13">
        <f t="shared" si="111"/>
        <v>487.54405183217068</v>
      </c>
      <c r="K234" s="13">
        <f t="shared" si="95"/>
        <v>190.82285625998787</v>
      </c>
      <c r="L234" s="13">
        <f t="shared" si="112"/>
        <v>205.99786895557389</v>
      </c>
      <c r="M234" s="13">
        <f t="shared" si="113"/>
        <v>7.048497701927869</v>
      </c>
      <c r="N234" s="13">
        <f t="shared" si="114"/>
        <v>5.9037213488923577</v>
      </c>
      <c r="O234" s="4">
        <f t="shared" si="96"/>
        <v>1.1445000000000001</v>
      </c>
      <c r="P234" s="4">
        <f t="shared" si="97"/>
        <v>1.6038187614357571</v>
      </c>
      <c r="Q234" s="4">
        <f t="shared" si="98"/>
        <v>0.86070848516397713</v>
      </c>
      <c r="R234" s="4">
        <f t="shared" si="99"/>
        <v>0.18476879930427278</v>
      </c>
      <c r="S234" s="4">
        <f t="shared" si="100"/>
        <v>0.15319093245487037</v>
      </c>
      <c r="T234" s="1"/>
      <c r="U234" s="1"/>
      <c r="V234" s="1">
        <v>1</v>
      </c>
      <c r="W234" s="1">
        <v>1</v>
      </c>
      <c r="Y234" s="1">
        <f t="shared" si="115"/>
        <v>-12.128296322582369</v>
      </c>
      <c r="Z234" s="1">
        <f t="shared" si="116"/>
        <v>-4.7601315341601085</v>
      </c>
      <c r="AB234" s="130">
        <v>1</v>
      </c>
      <c r="AC234" s="128">
        <f t="shared" si="101"/>
        <v>0.5054631887989498</v>
      </c>
      <c r="AD234" s="4">
        <f t="shared" si="102"/>
        <v>0.18476879930427278</v>
      </c>
      <c r="AE234" s="4">
        <f t="shared" si="103"/>
        <v>0.30794799884045465</v>
      </c>
      <c r="AF234" s="32">
        <f t="shared" si="104"/>
        <v>0.75034631091575044</v>
      </c>
      <c r="AG234" s="4">
        <f t="shared" si="105"/>
        <v>1.0016180168826254</v>
      </c>
      <c r="AH234" s="42">
        <f t="shared" si="106"/>
        <v>1.5865455947071545</v>
      </c>
      <c r="AJ234" s="23">
        <v>4</v>
      </c>
      <c r="AK234" s="24">
        <v>0.8</v>
      </c>
      <c r="AL234" s="5">
        <f t="shared" si="107"/>
        <v>3.5100000000000048E-2</v>
      </c>
      <c r="AM234" s="5">
        <f t="shared" si="117"/>
        <v>0.1194718394324346</v>
      </c>
      <c r="AN234" s="25">
        <f t="shared" si="118"/>
        <v>-8.0000000000000002E-3</v>
      </c>
      <c r="AO234" s="30">
        <f t="shared" si="108"/>
        <v>1.5750000000000007E-2</v>
      </c>
      <c r="AP234" s="5">
        <f t="shared" si="109"/>
        <v>0.18</v>
      </c>
      <c r="AQ234" s="25">
        <v>0</v>
      </c>
    </row>
    <row r="235" spans="2:43">
      <c r="B235" s="38">
        <v>50000</v>
      </c>
      <c r="C235" s="3">
        <v>0</v>
      </c>
      <c r="D235" s="3">
        <f t="shared" si="119"/>
        <v>0.90000000000000024</v>
      </c>
      <c r="E235" s="13" cm="1">
        <f t="array" ref="E235">((B235-INDEX($AT$4:$AW$53,MATCH(B235,$AT$4:$AT$53,1),1))/(INDEX($AT$4:$AW$53,MATCH(B235,$AT$4:$AT$53,1)+1,1)-INDEX($AT$4:$AW$53,MATCH(B235,$AT$4:$AT$53,1),1)))*(INDEX($AT$4:$AW$53,MATCH(B235,$AT$4:$AT$53,1)+1,4)-INDEX($AT$4:$AW$53,MATCH(B235,$AT$4:$AT$53,1),4))+INDEX($AT$4:$AW$53,MATCH(B235,$AT$4:$AT$53,1),4)</f>
        <v>11.67320088757757</v>
      </c>
      <c r="F235" s="13" cm="1">
        <f t="array" ref="F235">C235+((B235-INDEX($AT$4:$AW$53,MATCH(B235,$AT$4:$AT$53,1),1))/(INDEX($AT$4:$AW$53,MATCH(B235,$AT$4:$AT$53,1)+1,1)-INDEX($AT$4:$AW$53,MATCH(B235,$AT$4:$AT$53,1),1)))*(INDEX($AT$4:$AW$53,MATCH(B235,$AT$4:$AT$53,1)+1,3)-INDEX($AT$4:$AW$53,MATCH(B235,$AT$4:$AT$53,1),3))+INDEX($AT$4:$AW$53,MATCH(B235,$AT$4:$AT$53,1),3)</f>
        <v>216.7</v>
      </c>
      <c r="G235" s="4">
        <f t="shared" si="93"/>
        <v>0.18769346480993121</v>
      </c>
      <c r="H235" s="6">
        <f t="shared" si="110"/>
        <v>50000</v>
      </c>
      <c r="I235" s="13">
        <f t="shared" si="94"/>
        <v>265.56872669800566</v>
      </c>
      <c r="J235" s="13">
        <f t="shared" si="111"/>
        <v>516.22311370465138</v>
      </c>
      <c r="K235" s="13">
        <f t="shared" si="95"/>
        <v>202.04773015763425</v>
      </c>
      <c r="L235" s="13">
        <f t="shared" si="112"/>
        <v>220.04175525910787</v>
      </c>
      <c r="M235" s="13">
        <f t="shared" si="113"/>
        <v>8.0697201105166254</v>
      </c>
      <c r="N235" s="13">
        <f t="shared" si="114"/>
        <v>6.6187049032564849</v>
      </c>
      <c r="O235" s="4">
        <f t="shared" si="96"/>
        <v>1.1619999999999999</v>
      </c>
      <c r="P235" s="4">
        <f t="shared" si="97"/>
        <v>1.691303112850931</v>
      </c>
      <c r="Q235" s="4">
        <f t="shared" si="98"/>
        <v>0.87386916536526105</v>
      </c>
      <c r="R235" s="4">
        <f t="shared" si="99"/>
        <v>0.19484748085955286</v>
      </c>
      <c r="S235" s="4">
        <f t="shared" si="100"/>
        <v>0.15319093245487037</v>
      </c>
      <c r="T235" s="1"/>
      <c r="U235" s="1"/>
      <c r="V235" s="1">
        <v>1</v>
      </c>
      <c r="W235" s="1">
        <v>1</v>
      </c>
      <c r="Y235" s="1">
        <f t="shared" si="115"/>
        <v>-21.168250407633053</v>
      </c>
      <c r="Z235" s="1">
        <f t="shared" si="116"/>
        <v>-3.6754203461314967</v>
      </c>
      <c r="AB235" s="130">
        <v>1</v>
      </c>
      <c r="AC235" s="128">
        <f t="shared" si="101"/>
        <v>0.50359216913646399</v>
      </c>
      <c r="AD235" s="4">
        <f t="shared" si="102"/>
        <v>0.19484748085955286</v>
      </c>
      <c r="AE235" s="4">
        <f t="shared" si="103"/>
        <v>0.32474580143258813</v>
      </c>
      <c r="AF235" s="32">
        <f t="shared" si="104"/>
        <v>0.77376075806365596</v>
      </c>
      <c r="AG235" s="4">
        <f t="shared" si="105"/>
        <v>1.0146260430759064</v>
      </c>
      <c r="AH235" s="42">
        <f t="shared" si="106"/>
        <v>1.5982528182811073</v>
      </c>
      <c r="AJ235" s="23">
        <v>4</v>
      </c>
      <c r="AK235" s="24">
        <v>0.8</v>
      </c>
      <c r="AL235" s="5">
        <f t="shared" si="107"/>
        <v>4.9400000000000062E-2</v>
      </c>
      <c r="AM235" s="5">
        <f t="shared" si="117"/>
        <v>0.1194718394324346</v>
      </c>
      <c r="AN235" s="25">
        <f t="shared" si="118"/>
        <v>-8.0000000000000002E-3</v>
      </c>
      <c r="AO235" s="30">
        <f t="shared" si="108"/>
        <v>1.7500000000000009E-2</v>
      </c>
      <c r="AP235" s="5">
        <f t="shared" si="109"/>
        <v>0.18</v>
      </c>
      <c r="AQ235" s="25">
        <v>0</v>
      </c>
    </row>
    <row r="236" spans="2:43">
      <c r="B236" s="38">
        <v>50000</v>
      </c>
      <c r="C236" s="3">
        <v>0</v>
      </c>
      <c r="D236" s="3">
        <f t="shared" si="119"/>
        <v>0.95000000000000029</v>
      </c>
      <c r="E236" s="13" cm="1">
        <f t="array" ref="E236">((B236-INDEX($AT$4:$AW$53,MATCH(B236,$AT$4:$AT$53,1),1))/(INDEX($AT$4:$AW$53,MATCH(B236,$AT$4:$AT$53,1)+1,1)-INDEX($AT$4:$AW$53,MATCH(B236,$AT$4:$AT$53,1),1)))*(INDEX($AT$4:$AW$53,MATCH(B236,$AT$4:$AT$53,1)+1,4)-INDEX($AT$4:$AW$53,MATCH(B236,$AT$4:$AT$53,1),4))+INDEX($AT$4:$AW$53,MATCH(B236,$AT$4:$AT$53,1),4)</f>
        <v>11.67320088757757</v>
      </c>
      <c r="F236" s="13" cm="1">
        <f t="array" ref="F236">C236+((B236-INDEX($AT$4:$AW$53,MATCH(B236,$AT$4:$AT$53,1),1))/(INDEX($AT$4:$AW$53,MATCH(B236,$AT$4:$AT$53,1)+1,1)-INDEX($AT$4:$AW$53,MATCH(B236,$AT$4:$AT$53,1),1)))*(INDEX($AT$4:$AW$53,MATCH(B236,$AT$4:$AT$53,1)+1,3)-INDEX($AT$4:$AW$53,MATCH(B236,$AT$4:$AT$53,1),3))+INDEX($AT$4:$AW$53,MATCH(B236,$AT$4:$AT$53,1),3)</f>
        <v>216.7</v>
      </c>
      <c r="G236" s="4">
        <f t="shared" si="93"/>
        <v>0.18769346480993121</v>
      </c>
      <c r="H236" s="6">
        <f t="shared" si="110"/>
        <v>50000</v>
      </c>
      <c r="I236" s="13">
        <f t="shared" si="94"/>
        <v>280.32254484789485</v>
      </c>
      <c r="J236" s="13">
        <f t="shared" si="111"/>
        <v>544.90217557713197</v>
      </c>
      <c r="K236" s="13">
        <f t="shared" si="95"/>
        <v>213.27260405528057</v>
      </c>
      <c r="L236" s="13">
        <f t="shared" si="112"/>
        <v>234.4086568490944</v>
      </c>
      <c r="M236" s="13">
        <f t="shared" si="113"/>
        <v>9.191921162050317</v>
      </c>
      <c r="N236" s="13">
        <f t="shared" si="114"/>
        <v>7.3745446607271319</v>
      </c>
      <c r="O236" s="4">
        <f t="shared" si="96"/>
        <v>1.1805000000000001</v>
      </c>
      <c r="P236" s="4">
        <f t="shared" si="97"/>
        <v>1.7874379315987108</v>
      </c>
      <c r="Q236" s="4">
        <f t="shared" si="98"/>
        <v>0.88778188443519013</v>
      </c>
      <c r="R236" s="4">
        <f t="shared" si="99"/>
        <v>0.2059227441364706</v>
      </c>
      <c r="S236" s="4">
        <f t="shared" si="100"/>
        <v>0.15319093245487037</v>
      </c>
      <c r="T236" s="1"/>
      <c r="U236" s="1"/>
      <c r="V236" s="1">
        <v>1</v>
      </c>
      <c r="W236" s="1">
        <v>1</v>
      </c>
      <c r="Y236" s="1">
        <f t="shared" si="115"/>
        <v>-33.54080638527158</v>
      </c>
      <c r="Z236" s="1">
        <f t="shared" si="116"/>
        <v>-2.6808986198808786</v>
      </c>
      <c r="AB236" s="130">
        <v>1</v>
      </c>
      <c r="AC236" s="128">
        <f t="shared" si="101"/>
        <v>0.50177243958633722</v>
      </c>
      <c r="AD236" s="4">
        <f t="shared" si="102"/>
        <v>0.2059227441364706</v>
      </c>
      <c r="AE236" s="4">
        <f t="shared" si="103"/>
        <v>0.34320457356078438</v>
      </c>
      <c r="AF236" s="32">
        <f t="shared" si="104"/>
        <v>0.79717520521156171</v>
      </c>
      <c r="AG236" s="4">
        <f t="shared" si="105"/>
        <v>1.0276340692691872</v>
      </c>
      <c r="AH236" s="42">
        <f t="shared" si="106"/>
        <v>1.6099600418550601</v>
      </c>
      <c r="AJ236" s="23">
        <v>4</v>
      </c>
      <c r="AK236" s="24">
        <v>0.8</v>
      </c>
      <c r="AL236" s="5">
        <f t="shared" si="107"/>
        <v>6.3700000000000062E-2</v>
      </c>
      <c r="AM236" s="5">
        <f t="shared" si="117"/>
        <v>0.1194718394324346</v>
      </c>
      <c r="AN236" s="25">
        <f t="shared" si="118"/>
        <v>-8.0000000000000002E-3</v>
      </c>
      <c r="AO236" s="30">
        <f t="shared" si="108"/>
        <v>1.925000000000001E-2</v>
      </c>
      <c r="AP236" s="5">
        <f t="shared" si="109"/>
        <v>0.18</v>
      </c>
      <c r="AQ236" s="25">
        <v>0</v>
      </c>
    </row>
    <row r="237" spans="2:43" ht="15" thickBot="1">
      <c r="B237" s="39">
        <v>50000</v>
      </c>
      <c r="C237" s="48">
        <v>0</v>
      </c>
      <c r="D237" s="48">
        <f t="shared" si="119"/>
        <v>1.0000000000000002</v>
      </c>
      <c r="E237" s="152" cm="1">
        <f t="array" ref="E237">((B237-INDEX($AT$4:$AW$53,MATCH(B237,$AT$4:$AT$53,1),1))/(INDEX($AT$4:$AW$53,MATCH(B237,$AT$4:$AT$53,1)+1,1)-INDEX($AT$4:$AW$53,MATCH(B237,$AT$4:$AT$53,1),1)))*(INDEX($AT$4:$AW$53,MATCH(B237,$AT$4:$AT$53,1)+1,4)-INDEX($AT$4:$AW$53,MATCH(B237,$AT$4:$AT$53,1),4))+INDEX($AT$4:$AW$53,MATCH(B237,$AT$4:$AT$53,1),4)</f>
        <v>11.67320088757757</v>
      </c>
      <c r="F237" s="152" cm="1">
        <f t="array" ref="F237">C237+((B237-INDEX($AT$4:$AW$53,MATCH(B237,$AT$4:$AT$53,1),1))/(INDEX($AT$4:$AW$53,MATCH(B237,$AT$4:$AT$53,1)+1,1)-INDEX($AT$4:$AW$53,MATCH(B237,$AT$4:$AT$53,1),1)))*(INDEX($AT$4:$AW$53,MATCH(B237,$AT$4:$AT$53,1)+1,3)-INDEX($AT$4:$AW$53,MATCH(B237,$AT$4:$AT$53,1),3))+INDEX($AT$4:$AW$53,MATCH(B237,$AT$4:$AT$53,1),3)</f>
        <v>216.7</v>
      </c>
      <c r="G237" s="43">
        <f t="shared" si="93"/>
        <v>0.18769346480993121</v>
      </c>
      <c r="H237" s="153">
        <f t="shared" si="110"/>
        <v>50000</v>
      </c>
      <c r="I237" s="152">
        <f t="shared" si="94"/>
        <v>295.07636299778403</v>
      </c>
      <c r="J237" s="152">
        <f t="shared" si="111"/>
        <v>573.58123744961256</v>
      </c>
      <c r="K237" s="152">
        <f t="shared" si="95"/>
        <v>224.49747795292691</v>
      </c>
      <c r="L237" s="152">
        <f t="shared" si="112"/>
        <v>249.11371286260763</v>
      </c>
      <c r="M237" s="152">
        <f t="shared" si="113"/>
        <v>10.423341448322612</v>
      </c>
      <c r="N237" s="152">
        <f t="shared" si="114"/>
        <v>8.1712406213042996</v>
      </c>
      <c r="O237" s="43">
        <f t="shared" si="96"/>
        <v>1.2</v>
      </c>
      <c r="P237" s="43">
        <f t="shared" si="97"/>
        <v>1.8929291587378541</v>
      </c>
      <c r="Q237" s="43">
        <f t="shared" si="98"/>
        <v>0.9024466423737636</v>
      </c>
      <c r="R237" s="43">
        <f t="shared" si="99"/>
        <v>0.21807591745275284</v>
      </c>
      <c r="S237" s="43">
        <f t="shared" si="100"/>
        <v>0.15319093245487037</v>
      </c>
      <c r="T237" s="98"/>
      <c r="U237" s="98"/>
      <c r="V237" s="98">
        <v>1</v>
      </c>
      <c r="W237" s="98">
        <v>1</v>
      </c>
      <c r="X237" s="104"/>
      <c r="Y237" s="98">
        <f t="shared" si="115"/>
        <v>-49.740919815859399</v>
      </c>
      <c r="Z237" s="1">
        <f t="shared" si="116"/>
        <v>-1.7496164921241026</v>
      </c>
      <c r="AB237" s="130">
        <v>1</v>
      </c>
      <c r="AC237" s="128">
        <f t="shared" si="101"/>
        <v>0.5</v>
      </c>
      <c r="AD237" s="4">
        <f t="shared" si="102"/>
        <v>0.21807591745275284</v>
      </c>
      <c r="AE237" s="4">
        <f t="shared" si="103"/>
        <v>0.36345986242125478</v>
      </c>
      <c r="AF237" s="32">
        <f t="shared" si="104"/>
        <v>0.82058965235946713</v>
      </c>
      <c r="AG237" s="4">
        <f t="shared" si="105"/>
        <v>1.0406420954624682</v>
      </c>
      <c r="AH237" s="42">
        <f t="shared" si="106"/>
        <v>1.6216672654290127</v>
      </c>
      <c r="AJ237" s="23">
        <v>4</v>
      </c>
      <c r="AK237" s="24">
        <v>0.8</v>
      </c>
      <c r="AL237" s="5">
        <f t="shared" si="107"/>
        <v>7.8000000000000042E-2</v>
      </c>
      <c r="AM237" s="5">
        <f t="shared" si="117"/>
        <v>0.1194718394324346</v>
      </c>
      <c r="AN237" s="25">
        <f t="shared" si="118"/>
        <v>-8.0000000000000002E-3</v>
      </c>
      <c r="AO237" s="30">
        <f t="shared" si="108"/>
        <v>2.1000000000000008E-2</v>
      </c>
      <c r="AP237" s="5">
        <f t="shared" si="109"/>
        <v>0.18</v>
      </c>
      <c r="AQ237" s="25">
        <v>0</v>
      </c>
    </row>
    <row r="238" spans="2:43">
      <c r="B238" s="146">
        <v>55000</v>
      </c>
      <c r="C238" s="147">
        <v>0</v>
      </c>
      <c r="D238" s="147">
        <v>0.01</v>
      </c>
      <c r="E238" s="148" cm="1">
        <f t="array" ref="E238">((B238-INDEX($AT$4:$AW$53,MATCH(B238,$AT$4:$AT$53,1),1))/(INDEX($AT$4:$AW$53,MATCH(B238,$AT$4:$AT$53,1)+1,1)-INDEX($AT$4:$AW$53,MATCH(B238,$AT$4:$AT$53,1),1)))*(INDEX($AT$4:$AW$53,MATCH(B238,$AT$4:$AT$53,1)+1,4)-INDEX($AT$4:$AW$53,MATCH(B238,$AT$4:$AT$53,1),4))+INDEX($AT$4:$AW$53,MATCH(B238,$AT$4:$AT$53,1),4)</f>
        <v>9.1907847746308864</v>
      </c>
      <c r="F238" s="148" cm="1">
        <f t="array" ref="F238">C238+((B238-INDEX($AT$4:$AW$53,MATCH(B238,$AT$4:$AT$53,1),1))/(INDEX($AT$4:$AW$53,MATCH(B238,$AT$4:$AT$53,1)+1,1)-INDEX($AT$4:$AW$53,MATCH(B238,$AT$4:$AT$53,1),1)))*(INDEX($AT$4:$AW$53,MATCH(B238,$AT$4:$AT$53,1)+1,3)-INDEX($AT$4:$AW$53,MATCH(B238,$AT$4:$AT$53,1),3))+INDEX($AT$4:$AW$53,MATCH(B238,$AT$4:$AT$53,1),3)</f>
        <v>216.7</v>
      </c>
      <c r="G238" s="149">
        <f t="shared" si="93"/>
        <v>0.14777868172461628</v>
      </c>
      <c r="H238" s="150">
        <f t="shared" si="110"/>
        <v>55000</v>
      </c>
      <c r="I238" s="148">
        <f t="shared" si="94"/>
        <v>2.9507636299778399</v>
      </c>
      <c r="J238" s="148">
        <f t="shared" si="111"/>
        <v>5.735812374496124</v>
      </c>
      <c r="K238" s="148">
        <f t="shared" si="95"/>
        <v>1.9920158273283191</v>
      </c>
      <c r="L238" s="148">
        <f t="shared" si="112"/>
        <v>1.9920384689802704</v>
      </c>
      <c r="M238" s="148">
        <f t="shared" si="113"/>
        <v>6.4337101825612047E-4</v>
      </c>
      <c r="N238" s="148">
        <f t="shared" si="114"/>
        <v>6.4335493422416196E-4</v>
      </c>
      <c r="O238" s="149">
        <f t="shared" si="96"/>
        <v>1.0000199999999999</v>
      </c>
      <c r="P238" s="149">
        <f t="shared" si="97"/>
        <v>1.0000700017500173</v>
      </c>
      <c r="Q238" s="149">
        <f t="shared" si="98"/>
        <v>0.75205390942217587</v>
      </c>
      <c r="R238" s="149">
        <f t="shared" si="99"/>
        <v>9.0712342912895552E-2</v>
      </c>
      <c r="S238" s="149">
        <f t="shared" si="100"/>
        <v>0.12061343783743525</v>
      </c>
      <c r="T238" s="151"/>
      <c r="U238" s="151"/>
      <c r="V238" s="151">
        <v>1</v>
      </c>
      <c r="W238" s="151">
        <v>1</v>
      </c>
      <c r="X238" s="125"/>
      <c r="Y238" s="151">
        <f t="shared" si="115"/>
        <v>-1574.5962228163255</v>
      </c>
      <c r="Z238" s="1">
        <f t="shared" si="116"/>
        <v>-1574.5962228163255</v>
      </c>
      <c r="AB238" s="130">
        <v>1</v>
      </c>
      <c r="AC238" s="128">
        <f t="shared" si="101"/>
        <v>0.56299999999999994</v>
      </c>
      <c r="AD238" s="4">
        <f t="shared" si="102"/>
        <v>9.0712342912895552E-2</v>
      </c>
      <c r="AE238" s="4">
        <f t="shared" si="103"/>
        <v>0.15118723818815927</v>
      </c>
      <c r="AF238" s="32">
        <f t="shared" si="104"/>
        <v>0.3569835988309375</v>
      </c>
      <c r="AG238" s="4">
        <f t="shared" si="105"/>
        <v>0.78308317683550721</v>
      </c>
      <c r="AH238" s="42">
        <f t="shared" si="106"/>
        <v>1.389864238664748</v>
      </c>
      <c r="AJ238" s="23">
        <v>4</v>
      </c>
      <c r="AK238" s="24">
        <v>0.8</v>
      </c>
      <c r="AL238" s="5">
        <f t="shared" si="107"/>
        <v>2.0799999999999999E-2</v>
      </c>
      <c r="AM238" s="5">
        <f t="shared" si="117"/>
        <v>0.1194718394324346</v>
      </c>
      <c r="AN238" s="25">
        <f t="shared" si="118"/>
        <v>-8.0000000000000002E-3</v>
      </c>
      <c r="AO238" s="30">
        <f t="shared" si="108"/>
        <v>1.4E-2</v>
      </c>
      <c r="AP238" s="5">
        <f t="shared" si="109"/>
        <v>0.18</v>
      </c>
      <c r="AQ238" s="25">
        <v>0</v>
      </c>
    </row>
    <row r="239" spans="2:43">
      <c r="B239" s="38">
        <v>55000</v>
      </c>
      <c r="C239" s="3">
        <v>0</v>
      </c>
      <c r="D239" s="3">
        <v>0.05</v>
      </c>
      <c r="E239" s="13" cm="1">
        <f t="array" ref="E239">((B239-INDEX($AT$4:$AW$53,MATCH(B239,$AT$4:$AT$53,1),1))/(INDEX($AT$4:$AW$53,MATCH(B239,$AT$4:$AT$53,1)+1,1)-INDEX($AT$4:$AW$53,MATCH(B239,$AT$4:$AT$53,1),1)))*(INDEX($AT$4:$AW$53,MATCH(B239,$AT$4:$AT$53,1)+1,4)-INDEX($AT$4:$AW$53,MATCH(B239,$AT$4:$AT$53,1),4))+INDEX($AT$4:$AW$53,MATCH(B239,$AT$4:$AT$53,1),4)</f>
        <v>9.1907847746308864</v>
      </c>
      <c r="F239" s="13" cm="1">
        <f t="array" ref="F239">C239+((B239-INDEX($AT$4:$AW$53,MATCH(B239,$AT$4:$AT$53,1),1))/(INDEX($AT$4:$AW$53,MATCH(B239,$AT$4:$AT$53,1)+1,1)-INDEX($AT$4:$AW$53,MATCH(B239,$AT$4:$AT$53,1),1)))*(INDEX($AT$4:$AW$53,MATCH(B239,$AT$4:$AT$53,1)+1,3)-INDEX($AT$4:$AW$53,MATCH(B239,$AT$4:$AT$53,1),3))+INDEX($AT$4:$AW$53,MATCH(B239,$AT$4:$AT$53,1),3)</f>
        <v>216.7</v>
      </c>
      <c r="G239" s="4">
        <f t="shared" si="93"/>
        <v>0.14777868172461628</v>
      </c>
      <c r="H239" s="6">
        <f t="shared" si="110"/>
        <v>55000</v>
      </c>
      <c r="I239" s="13">
        <f t="shared" si="94"/>
        <v>14.753818149889199</v>
      </c>
      <c r="J239" s="13">
        <f t="shared" si="111"/>
        <v>28.67906187248062</v>
      </c>
      <c r="K239" s="13">
        <f t="shared" si="95"/>
        <v>9.9600791366415944</v>
      </c>
      <c r="L239" s="13">
        <f t="shared" si="112"/>
        <v>9.9629093853437816</v>
      </c>
      <c r="M239" s="13">
        <f t="shared" si="113"/>
        <v>1.6093928289711967E-2</v>
      </c>
      <c r="N239" s="13">
        <f t="shared" si="114"/>
        <v>1.6083873355604048E-2</v>
      </c>
      <c r="O239" s="4">
        <f t="shared" si="96"/>
        <v>1.0004999999999999</v>
      </c>
      <c r="P239" s="4">
        <f t="shared" si="97"/>
        <v>1.0017510940234544</v>
      </c>
      <c r="Q239" s="4">
        <f t="shared" si="98"/>
        <v>0.75241488807912549</v>
      </c>
      <c r="R239" s="4">
        <f t="shared" si="99"/>
        <v>9.0864828057444835E-2</v>
      </c>
      <c r="S239" s="4">
        <f t="shared" si="100"/>
        <v>0.12061343783743525</v>
      </c>
      <c r="T239" s="1"/>
      <c r="U239" s="1"/>
      <c r="V239" s="1">
        <v>1</v>
      </c>
      <c r="W239" s="1">
        <v>1</v>
      </c>
      <c r="Y239" s="1">
        <f t="shared" si="115"/>
        <v>-314.29282240942348</v>
      </c>
      <c r="Z239" s="1">
        <f t="shared" si="116"/>
        <v>-314.29282240942348</v>
      </c>
      <c r="AB239" s="130">
        <v>1</v>
      </c>
      <c r="AC239" s="128">
        <f t="shared" si="101"/>
        <v>0.55434752415750155</v>
      </c>
      <c r="AD239" s="4">
        <f t="shared" si="102"/>
        <v>9.0864828057444835E-2</v>
      </c>
      <c r="AE239" s="4">
        <f t="shared" si="103"/>
        <v>0.1514413800957414</v>
      </c>
      <c r="AF239" s="32">
        <f t="shared" si="104"/>
        <v>0.37571515654926191</v>
      </c>
      <c r="AG239" s="4">
        <f t="shared" si="105"/>
        <v>0.79348959779013195</v>
      </c>
      <c r="AH239" s="42">
        <f t="shared" si="106"/>
        <v>1.3992300175239103</v>
      </c>
      <c r="AJ239" s="23">
        <v>4</v>
      </c>
      <c r="AK239" s="24">
        <v>0.8</v>
      </c>
      <c r="AL239" s="5">
        <f t="shared" si="107"/>
        <v>2.0799999999999999E-2</v>
      </c>
      <c r="AM239" s="5">
        <f t="shared" si="117"/>
        <v>0.1194718394324346</v>
      </c>
      <c r="AN239" s="25">
        <f t="shared" si="118"/>
        <v>-8.0000000000000002E-3</v>
      </c>
      <c r="AO239" s="30">
        <f t="shared" si="108"/>
        <v>1.4E-2</v>
      </c>
      <c r="AP239" s="5">
        <f t="shared" si="109"/>
        <v>0.18</v>
      </c>
      <c r="AQ239" s="25">
        <v>0</v>
      </c>
    </row>
    <row r="240" spans="2:43">
      <c r="B240" s="38">
        <v>55000</v>
      </c>
      <c r="C240" s="3">
        <v>0</v>
      </c>
      <c r="D240" s="3">
        <f t="shared" ref="D240:D258" si="120">D239+0.05</f>
        <v>0.1</v>
      </c>
      <c r="E240" s="13" cm="1">
        <f t="array" ref="E240">((B240-INDEX($AT$4:$AW$53,MATCH(B240,$AT$4:$AT$53,1),1))/(INDEX($AT$4:$AW$53,MATCH(B240,$AT$4:$AT$53,1)+1,1)-INDEX($AT$4:$AW$53,MATCH(B240,$AT$4:$AT$53,1),1)))*(INDEX($AT$4:$AW$53,MATCH(B240,$AT$4:$AT$53,1)+1,4)-INDEX($AT$4:$AW$53,MATCH(B240,$AT$4:$AT$53,1),4))+INDEX($AT$4:$AW$53,MATCH(B240,$AT$4:$AT$53,1),4)</f>
        <v>9.1907847746308864</v>
      </c>
      <c r="F240" s="13" cm="1">
        <f t="array" ref="F240">C240+((B240-INDEX($AT$4:$AW$53,MATCH(B240,$AT$4:$AT$53,1),1))/(INDEX($AT$4:$AW$53,MATCH(B240,$AT$4:$AT$53,1)+1,1)-INDEX($AT$4:$AW$53,MATCH(B240,$AT$4:$AT$53,1),1)))*(INDEX($AT$4:$AW$53,MATCH(B240,$AT$4:$AT$53,1)+1,3)-INDEX($AT$4:$AW$53,MATCH(B240,$AT$4:$AT$53,1),3))+INDEX($AT$4:$AW$53,MATCH(B240,$AT$4:$AT$53,1),3)</f>
        <v>216.7</v>
      </c>
      <c r="G240" s="4">
        <f t="shared" si="93"/>
        <v>0.14777868172461628</v>
      </c>
      <c r="H240" s="6">
        <f t="shared" si="110"/>
        <v>55000</v>
      </c>
      <c r="I240" s="13">
        <f t="shared" si="94"/>
        <v>29.507636299778397</v>
      </c>
      <c r="J240" s="13">
        <f t="shared" si="111"/>
        <v>57.35812374496124</v>
      </c>
      <c r="K240" s="13">
        <f t="shared" si="95"/>
        <v>19.920158273283189</v>
      </c>
      <c r="L240" s="13">
        <f t="shared" si="112"/>
        <v>19.942801418047356</v>
      </c>
      <c r="M240" s="13">
        <f t="shared" si="113"/>
        <v>6.4496493034906954E-2</v>
      </c>
      <c r="N240" s="13">
        <f t="shared" si="114"/>
        <v>6.4335493422416193E-2</v>
      </c>
      <c r="O240" s="4">
        <f t="shared" si="96"/>
        <v>1.002</v>
      </c>
      <c r="P240" s="4">
        <f t="shared" si="97"/>
        <v>1.0070175175043741</v>
      </c>
      <c r="Q240" s="4">
        <f t="shared" si="98"/>
        <v>0.75354294638209274</v>
      </c>
      <c r="R240" s="4">
        <f t="shared" si="99"/>
        <v>9.1342524230602448E-2</v>
      </c>
      <c r="S240" s="4">
        <f t="shared" si="100"/>
        <v>0.12061343783743525</v>
      </c>
      <c r="T240" s="1"/>
      <c r="U240" s="1"/>
      <c r="V240" s="1">
        <v>1</v>
      </c>
      <c r="W240" s="1">
        <v>1</v>
      </c>
      <c r="Y240" s="1">
        <f t="shared" si="115"/>
        <v>-156.17224664399035</v>
      </c>
      <c r="Z240" s="1">
        <f t="shared" si="116"/>
        <v>-156.17224664399035</v>
      </c>
      <c r="AB240" s="130">
        <v>1</v>
      </c>
      <c r="AC240" s="128">
        <f t="shared" si="101"/>
        <v>0.5478640563788213</v>
      </c>
      <c r="AD240" s="4">
        <f t="shared" si="102"/>
        <v>9.1342524230602448E-2</v>
      </c>
      <c r="AE240" s="4">
        <f t="shared" si="103"/>
        <v>0.15223754038433743</v>
      </c>
      <c r="AF240" s="32">
        <f t="shared" si="104"/>
        <v>0.39912960369716743</v>
      </c>
      <c r="AG240" s="4">
        <f t="shared" si="105"/>
        <v>0.80649762398341274</v>
      </c>
      <c r="AH240" s="42">
        <f t="shared" si="106"/>
        <v>1.4109372410978629</v>
      </c>
      <c r="AJ240" s="23">
        <v>4</v>
      </c>
      <c r="AK240" s="24">
        <v>0.8</v>
      </c>
      <c r="AL240" s="5">
        <f t="shared" si="107"/>
        <v>2.0799999999999999E-2</v>
      </c>
      <c r="AM240" s="5">
        <f t="shared" si="117"/>
        <v>0.1194718394324346</v>
      </c>
      <c r="AN240" s="25">
        <f t="shared" si="118"/>
        <v>-8.0000000000000002E-3</v>
      </c>
      <c r="AO240" s="30">
        <f t="shared" si="108"/>
        <v>1.4E-2</v>
      </c>
      <c r="AP240" s="5">
        <f t="shared" si="109"/>
        <v>0.18</v>
      </c>
      <c r="AQ240" s="25">
        <v>0</v>
      </c>
    </row>
    <row r="241" spans="2:43">
      <c r="B241" s="38">
        <v>55000</v>
      </c>
      <c r="C241" s="3">
        <v>0</v>
      </c>
      <c r="D241" s="3">
        <f t="shared" si="120"/>
        <v>0.15000000000000002</v>
      </c>
      <c r="E241" s="13" cm="1">
        <f t="array" ref="E241">((B241-INDEX($AT$4:$AW$53,MATCH(B241,$AT$4:$AT$53,1),1))/(INDEX($AT$4:$AW$53,MATCH(B241,$AT$4:$AT$53,1)+1,1)-INDEX($AT$4:$AW$53,MATCH(B241,$AT$4:$AT$53,1),1)))*(INDEX($AT$4:$AW$53,MATCH(B241,$AT$4:$AT$53,1)+1,4)-INDEX($AT$4:$AW$53,MATCH(B241,$AT$4:$AT$53,1),4))+INDEX($AT$4:$AW$53,MATCH(B241,$AT$4:$AT$53,1),4)</f>
        <v>9.1907847746308864</v>
      </c>
      <c r="F241" s="13" cm="1">
        <f t="array" ref="F241">C241+((B241-INDEX($AT$4:$AW$53,MATCH(B241,$AT$4:$AT$53,1),1))/(INDEX($AT$4:$AW$53,MATCH(B241,$AT$4:$AT$53,1)+1,1)-INDEX($AT$4:$AW$53,MATCH(B241,$AT$4:$AT$53,1),1)))*(INDEX($AT$4:$AW$53,MATCH(B241,$AT$4:$AT$53,1)+1,3)-INDEX($AT$4:$AW$53,MATCH(B241,$AT$4:$AT$53,1),3))+INDEX($AT$4:$AW$53,MATCH(B241,$AT$4:$AT$53,1),3)</f>
        <v>216.7</v>
      </c>
      <c r="G241" s="4">
        <f t="shared" si="93"/>
        <v>0.14777868172461628</v>
      </c>
      <c r="H241" s="6">
        <f t="shared" si="110"/>
        <v>55000</v>
      </c>
      <c r="I241" s="13">
        <f t="shared" si="94"/>
        <v>44.261454449667603</v>
      </c>
      <c r="J241" s="13">
        <f t="shared" si="111"/>
        <v>86.037185617441878</v>
      </c>
      <c r="K241" s="13">
        <f t="shared" si="95"/>
        <v>29.880237409924792</v>
      </c>
      <c r="L241" s="13">
        <f t="shared" si="112"/>
        <v>29.956664393865097</v>
      </c>
      <c r="M241" s="13">
        <f t="shared" si="113"/>
        <v>0.14557093937282778</v>
      </c>
      <c r="N241" s="13">
        <f t="shared" si="114"/>
        <v>0.14475486020043649</v>
      </c>
      <c r="O241" s="4">
        <f t="shared" si="96"/>
        <v>1.0044999999999999</v>
      </c>
      <c r="P241" s="4">
        <f t="shared" si="97"/>
        <v>1.0158387931980133</v>
      </c>
      <c r="Q241" s="4">
        <f t="shared" si="98"/>
        <v>0.7554230435537046</v>
      </c>
      <c r="R241" s="4">
        <f t="shared" si="99"/>
        <v>9.2142666804872583E-2</v>
      </c>
      <c r="S241" s="4">
        <f t="shared" si="100"/>
        <v>0.12061343783743525</v>
      </c>
      <c r="T241" s="1"/>
      <c r="U241" s="1"/>
      <c r="V241" s="1">
        <v>1</v>
      </c>
      <c r="W241" s="1">
        <v>1</v>
      </c>
      <c r="Y241" s="1">
        <f t="shared" si="115"/>
        <v>-103.04272632953256</v>
      </c>
      <c r="Z241" s="1">
        <f t="shared" si="116"/>
        <v>-103.04272632953256</v>
      </c>
      <c r="AB241" s="130">
        <v>1</v>
      </c>
      <c r="AC241" s="128">
        <f t="shared" si="101"/>
        <v>0.54288911657654815</v>
      </c>
      <c r="AD241" s="4">
        <f t="shared" si="102"/>
        <v>9.2142666804872583E-2</v>
      </c>
      <c r="AE241" s="4">
        <f t="shared" si="103"/>
        <v>0.15357111134145432</v>
      </c>
      <c r="AF241" s="32">
        <f t="shared" si="104"/>
        <v>0.42254405084507296</v>
      </c>
      <c r="AG241" s="4">
        <f t="shared" si="105"/>
        <v>0.81950565017669363</v>
      </c>
      <c r="AH241" s="42">
        <f t="shared" si="106"/>
        <v>1.4226444646718157</v>
      </c>
      <c r="AJ241" s="23">
        <v>4</v>
      </c>
      <c r="AK241" s="24">
        <v>0.8</v>
      </c>
      <c r="AL241" s="5">
        <f t="shared" si="107"/>
        <v>2.0799999999999999E-2</v>
      </c>
      <c r="AM241" s="5">
        <f t="shared" si="117"/>
        <v>0.1194718394324346</v>
      </c>
      <c r="AN241" s="25">
        <f t="shared" si="118"/>
        <v>-8.0000000000000002E-3</v>
      </c>
      <c r="AO241" s="30">
        <f t="shared" si="108"/>
        <v>1.4E-2</v>
      </c>
      <c r="AP241" s="5">
        <f t="shared" si="109"/>
        <v>0.18</v>
      </c>
      <c r="AQ241" s="25">
        <v>0</v>
      </c>
    </row>
    <row r="242" spans="2:43">
      <c r="B242" s="38">
        <v>55000</v>
      </c>
      <c r="C242" s="3">
        <v>0</v>
      </c>
      <c r="D242" s="3">
        <f t="shared" si="120"/>
        <v>0.2</v>
      </c>
      <c r="E242" s="13" cm="1">
        <f t="array" ref="E242">((B242-INDEX($AT$4:$AW$53,MATCH(B242,$AT$4:$AT$53,1),1))/(INDEX($AT$4:$AW$53,MATCH(B242,$AT$4:$AT$53,1)+1,1)-INDEX($AT$4:$AW$53,MATCH(B242,$AT$4:$AT$53,1),1)))*(INDEX($AT$4:$AW$53,MATCH(B242,$AT$4:$AT$53,1)+1,4)-INDEX($AT$4:$AW$53,MATCH(B242,$AT$4:$AT$53,1),4))+INDEX($AT$4:$AW$53,MATCH(B242,$AT$4:$AT$53,1),4)</f>
        <v>9.1907847746308864</v>
      </c>
      <c r="F242" s="13" cm="1">
        <f t="array" ref="F242">C242+((B242-INDEX($AT$4:$AW$53,MATCH(B242,$AT$4:$AT$53,1),1))/(INDEX($AT$4:$AW$53,MATCH(B242,$AT$4:$AT$53,1)+1,1)-INDEX($AT$4:$AW$53,MATCH(B242,$AT$4:$AT$53,1),1)))*(INDEX($AT$4:$AW$53,MATCH(B242,$AT$4:$AT$53,1)+1,3)-INDEX($AT$4:$AW$53,MATCH(B242,$AT$4:$AT$53,1),3))+INDEX($AT$4:$AW$53,MATCH(B242,$AT$4:$AT$53,1),3)</f>
        <v>216.7</v>
      </c>
      <c r="G242" s="4">
        <f t="shared" si="93"/>
        <v>0.14777868172461628</v>
      </c>
      <c r="H242" s="6">
        <f t="shared" si="110"/>
        <v>55000</v>
      </c>
      <c r="I242" s="13">
        <f t="shared" si="94"/>
        <v>59.015272599556795</v>
      </c>
      <c r="J242" s="13">
        <f t="shared" si="111"/>
        <v>114.71624748992248</v>
      </c>
      <c r="K242" s="13">
        <f t="shared" si="95"/>
        <v>39.840316546566378</v>
      </c>
      <c r="L242" s="13">
        <f t="shared" si="112"/>
        <v>40.021497308990419</v>
      </c>
      <c r="M242" s="13">
        <f t="shared" si="113"/>
        <v>0.2599256973909701</v>
      </c>
      <c r="N242" s="13">
        <f t="shared" si="114"/>
        <v>0.25734197368966477</v>
      </c>
      <c r="O242" s="4">
        <f t="shared" si="96"/>
        <v>1.008</v>
      </c>
      <c r="P242" s="4">
        <f t="shared" si="97"/>
        <v>1.0282811211191059</v>
      </c>
      <c r="Q242" s="4">
        <f t="shared" si="98"/>
        <v>0.75805517959396151</v>
      </c>
      <c r="R242" s="4">
        <f t="shared" si="99"/>
        <v>9.3271260518350427E-2</v>
      </c>
      <c r="S242" s="4">
        <f t="shared" si="100"/>
        <v>0.12061343783743525</v>
      </c>
      <c r="T242" s="1"/>
      <c r="U242" s="1"/>
      <c r="V242" s="1">
        <v>1</v>
      </c>
      <c r="W242" s="1">
        <v>1</v>
      </c>
      <c r="Y242" s="1">
        <f t="shared" si="115"/>
        <v>-76.172371902510534</v>
      </c>
      <c r="Z242" s="1">
        <f t="shared" si="116"/>
        <v>-76.172371902510534</v>
      </c>
      <c r="AB242" s="130">
        <v>1</v>
      </c>
      <c r="AC242" s="128">
        <f t="shared" si="101"/>
        <v>0.53869504831500292</v>
      </c>
      <c r="AD242" s="4">
        <f t="shared" si="102"/>
        <v>9.3271260518350427E-2</v>
      </c>
      <c r="AE242" s="4">
        <f t="shared" si="103"/>
        <v>0.15545210086391739</v>
      </c>
      <c r="AF242" s="32">
        <f t="shared" si="104"/>
        <v>0.44595849799297849</v>
      </c>
      <c r="AG242" s="4">
        <f t="shared" si="105"/>
        <v>0.83251367636997442</v>
      </c>
      <c r="AH242" s="42">
        <f t="shared" si="106"/>
        <v>1.4343516882457685</v>
      </c>
      <c r="AJ242" s="23">
        <v>4</v>
      </c>
      <c r="AK242" s="24">
        <v>0.8</v>
      </c>
      <c r="AL242" s="5">
        <f t="shared" si="107"/>
        <v>2.0799999999999999E-2</v>
      </c>
      <c r="AM242" s="5">
        <f t="shared" si="117"/>
        <v>0.1194718394324346</v>
      </c>
      <c r="AN242" s="25">
        <f t="shared" si="118"/>
        <v>-8.0000000000000002E-3</v>
      </c>
      <c r="AO242" s="30">
        <f t="shared" si="108"/>
        <v>1.4E-2</v>
      </c>
      <c r="AP242" s="5">
        <f t="shared" si="109"/>
        <v>0.18</v>
      </c>
      <c r="AQ242" s="25">
        <v>0</v>
      </c>
    </row>
    <row r="243" spans="2:43">
      <c r="B243" s="38">
        <v>55000</v>
      </c>
      <c r="C243" s="3">
        <v>0</v>
      </c>
      <c r="D243" s="3">
        <f t="shared" si="120"/>
        <v>0.25</v>
      </c>
      <c r="E243" s="13" cm="1">
        <f t="array" ref="E243">((B243-INDEX($AT$4:$AW$53,MATCH(B243,$AT$4:$AT$53,1),1))/(INDEX($AT$4:$AW$53,MATCH(B243,$AT$4:$AT$53,1)+1,1)-INDEX($AT$4:$AW$53,MATCH(B243,$AT$4:$AT$53,1),1)))*(INDEX($AT$4:$AW$53,MATCH(B243,$AT$4:$AT$53,1)+1,4)-INDEX($AT$4:$AW$53,MATCH(B243,$AT$4:$AT$53,1),4))+INDEX($AT$4:$AW$53,MATCH(B243,$AT$4:$AT$53,1),4)</f>
        <v>9.1907847746308864</v>
      </c>
      <c r="F243" s="13" cm="1">
        <f t="array" ref="F243">C243+((B243-INDEX($AT$4:$AW$53,MATCH(B243,$AT$4:$AT$53,1),1))/(INDEX($AT$4:$AW$53,MATCH(B243,$AT$4:$AT$53,1)+1,1)-INDEX($AT$4:$AW$53,MATCH(B243,$AT$4:$AT$53,1),1)))*(INDEX($AT$4:$AW$53,MATCH(B243,$AT$4:$AT$53,1)+1,3)-INDEX($AT$4:$AW$53,MATCH(B243,$AT$4:$AT$53,1),3))+INDEX($AT$4:$AW$53,MATCH(B243,$AT$4:$AT$53,1),3)</f>
        <v>216.7</v>
      </c>
      <c r="G243" s="4">
        <f t="shared" si="93"/>
        <v>0.14777868172461628</v>
      </c>
      <c r="H243" s="6">
        <f t="shared" si="110"/>
        <v>55000</v>
      </c>
      <c r="I243" s="13">
        <f t="shared" si="94"/>
        <v>73.769090749445994</v>
      </c>
      <c r="J243" s="13">
        <f t="shared" si="111"/>
        <v>143.39530936240311</v>
      </c>
      <c r="K243" s="13">
        <f t="shared" si="95"/>
        <v>49.800395683207981</v>
      </c>
      <c r="L243" s="13">
        <f t="shared" si="112"/>
        <v>50.154313722215178</v>
      </c>
      <c r="M243" s="13">
        <f t="shared" si="113"/>
        <v>0.40841892546721886</v>
      </c>
      <c r="N243" s="13">
        <f t="shared" si="114"/>
        <v>0.4020968338901012</v>
      </c>
      <c r="O243" s="4">
        <f t="shared" si="96"/>
        <v>1.0125</v>
      </c>
      <c r="P243" s="4">
        <f t="shared" si="97"/>
        <v>1.0444378728783388</v>
      </c>
      <c r="Q243" s="4">
        <f t="shared" si="98"/>
        <v>0.76143935450286304</v>
      </c>
      <c r="R243" s="4">
        <f t="shared" si="99"/>
        <v>9.4736774735732596E-2</v>
      </c>
      <c r="S243" s="4">
        <f t="shared" si="100"/>
        <v>0.12061343783743525</v>
      </c>
      <c r="T243" s="1"/>
      <c r="U243" s="1"/>
      <c r="V243" s="1">
        <v>1</v>
      </c>
      <c r="W243" s="1">
        <v>1</v>
      </c>
      <c r="Y243" s="1">
        <f t="shared" si="115"/>
        <v>-59.818154663900451</v>
      </c>
      <c r="Z243" s="1">
        <f t="shared" si="116"/>
        <v>-59.818154663900451</v>
      </c>
      <c r="AB243" s="130">
        <v>1</v>
      </c>
      <c r="AC243" s="128">
        <f t="shared" si="101"/>
        <v>0.53500000000000003</v>
      </c>
      <c r="AD243" s="4">
        <f t="shared" si="102"/>
        <v>9.4736774735732596E-2</v>
      </c>
      <c r="AE243" s="4">
        <f t="shared" si="103"/>
        <v>0.15789462455955433</v>
      </c>
      <c r="AF243" s="32">
        <f t="shared" si="104"/>
        <v>0.46937294514088396</v>
      </c>
      <c r="AG243" s="4">
        <f t="shared" si="105"/>
        <v>0.84552170256325532</v>
      </c>
      <c r="AH243" s="42">
        <f t="shared" si="106"/>
        <v>1.4460589118197211</v>
      </c>
      <c r="AJ243" s="23">
        <v>4</v>
      </c>
      <c r="AK243" s="24">
        <v>0.8</v>
      </c>
      <c r="AL243" s="5">
        <f t="shared" si="107"/>
        <v>2.0799999999999999E-2</v>
      </c>
      <c r="AM243" s="5">
        <f t="shared" si="117"/>
        <v>0.1194718394324346</v>
      </c>
      <c r="AN243" s="25">
        <f t="shared" si="118"/>
        <v>-8.0000000000000002E-3</v>
      </c>
      <c r="AO243" s="30">
        <f t="shared" si="108"/>
        <v>1.4E-2</v>
      </c>
      <c r="AP243" s="5">
        <f t="shared" si="109"/>
        <v>0.18</v>
      </c>
      <c r="AQ243" s="25">
        <v>0</v>
      </c>
    </row>
    <row r="244" spans="2:43">
      <c r="B244" s="38">
        <v>55000</v>
      </c>
      <c r="C244" s="3">
        <v>0</v>
      </c>
      <c r="D244" s="3">
        <f t="shared" si="120"/>
        <v>0.3</v>
      </c>
      <c r="E244" s="13" cm="1">
        <f t="array" ref="E244">((B244-INDEX($AT$4:$AW$53,MATCH(B244,$AT$4:$AT$53,1),1))/(INDEX($AT$4:$AW$53,MATCH(B244,$AT$4:$AT$53,1)+1,1)-INDEX($AT$4:$AW$53,MATCH(B244,$AT$4:$AT$53,1),1)))*(INDEX($AT$4:$AW$53,MATCH(B244,$AT$4:$AT$53,1)+1,4)-INDEX($AT$4:$AW$53,MATCH(B244,$AT$4:$AT$53,1),4))+INDEX($AT$4:$AW$53,MATCH(B244,$AT$4:$AT$53,1),4)</f>
        <v>9.1907847746308864</v>
      </c>
      <c r="F244" s="13" cm="1">
        <f t="array" ref="F244">C244+((B244-INDEX($AT$4:$AW$53,MATCH(B244,$AT$4:$AT$53,1),1))/(INDEX($AT$4:$AW$53,MATCH(B244,$AT$4:$AT$53,1)+1,1)-INDEX($AT$4:$AW$53,MATCH(B244,$AT$4:$AT$53,1),1)))*(INDEX($AT$4:$AW$53,MATCH(B244,$AT$4:$AT$53,1)+1,3)-INDEX($AT$4:$AW$53,MATCH(B244,$AT$4:$AT$53,1),3))+INDEX($AT$4:$AW$53,MATCH(B244,$AT$4:$AT$53,1),3)</f>
        <v>216.7</v>
      </c>
      <c r="G244" s="4">
        <f t="shared" si="93"/>
        <v>0.14777868172461628</v>
      </c>
      <c r="H244" s="6">
        <f t="shared" si="110"/>
        <v>55000</v>
      </c>
      <c r="I244" s="13">
        <f t="shared" si="94"/>
        <v>88.522908899335192</v>
      </c>
      <c r="J244" s="13">
        <f t="shared" si="111"/>
        <v>172.07437123488373</v>
      </c>
      <c r="K244" s="13">
        <f t="shared" si="95"/>
        <v>59.76047481984957</v>
      </c>
      <c r="L244" s="13">
        <f t="shared" si="112"/>
        <v>60.37214383753922</v>
      </c>
      <c r="M244" s="13">
        <f t="shared" si="113"/>
        <v>0.59216489299953579</v>
      </c>
      <c r="N244" s="13">
        <f t="shared" si="114"/>
        <v>0.57901944080174572</v>
      </c>
      <c r="O244" s="4">
        <f t="shared" si="96"/>
        <v>1.018</v>
      </c>
      <c r="P244" s="4">
        <f t="shared" si="97"/>
        <v>1.0644302861529382</v>
      </c>
      <c r="Q244" s="4">
        <f t="shared" si="98"/>
        <v>0.76557556828040951</v>
      </c>
      <c r="R244" s="4">
        <f t="shared" si="99"/>
        <v>9.6550206440961475E-2</v>
      </c>
      <c r="S244" s="4">
        <f t="shared" si="100"/>
        <v>0.12061343783743525</v>
      </c>
      <c r="T244" s="1"/>
      <c r="U244" s="1"/>
      <c r="V244" s="1">
        <v>1</v>
      </c>
      <c r="W244" s="1">
        <v>1</v>
      </c>
      <c r="Y244" s="1">
        <f t="shared" si="115"/>
        <v>-48.734935708102654</v>
      </c>
      <c r="Z244" s="1">
        <f t="shared" si="116"/>
        <v>-48.734935708102654</v>
      </c>
      <c r="AB244" s="130">
        <v>1</v>
      </c>
      <c r="AC244" s="128">
        <f t="shared" si="101"/>
        <v>0.53165942097463836</v>
      </c>
      <c r="AD244" s="4">
        <f t="shared" si="102"/>
        <v>9.6550206440961475E-2</v>
      </c>
      <c r="AE244" s="4">
        <f t="shared" si="103"/>
        <v>0.16091701073493581</v>
      </c>
      <c r="AF244" s="32">
        <f t="shared" si="104"/>
        <v>0.49278739228878948</v>
      </c>
      <c r="AG244" s="4">
        <f t="shared" si="105"/>
        <v>0.8585297287565361</v>
      </c>
      <c r="AH244" s="42">
        <f t="shared" si="106"/>
        <v>1.4577661353936739</v>
      </c>
      <c r="AJ244" s="23">
        <v>4</v>
      </c>
      <c r="AK244" s="24">
        <v>0.8</v>
      </c>
      <c r="AL244" s="5">
        <f t="shared" si="107"/>
        <v>2.0799999999999999E-2</v>
      </c>
      <c r="AM244" s="5">
        <f t="shared" si="117"/>
        <v>0.1194718394324346</v>
      </c>
      <c r="AN244" s="25">
        <f t="shared" si="118"/>
        <v>-8.0000000000000002E-3</v>
      </c>
      <c r="AO244" s="30">
        <f t="shared" si="108"/>
        <v>1.4E-2</v>
      </c>
      <c r="AP244" s="5">
        <f t="shared" si="109"/>
        <v>0.18</v>
      </c>
      <c r="AQ244" s="25">
        <v>0</v>
      </c>
    </row>
    <row r="245" spans="2:43">
      <c r="B245" s="38">
        <v>55000</v>
      </c>
      <c r="C245" s="3">
        <v>0</v>
      </c>
      <c r="D245" s="3">
        <f t="shared" si="120"/>
        <v>0.35</v>
      </c>
      <c r="E245" s="13" cm="1">
        <f t="array" ref="E245">((B245-INDEX($AT$4:$AW$53,MATCH(B245,$AT$4:$AT$53,1),1))/(INDEX($AT$4:$AW$53,MATCH(B245,$AT$4:$AT$53,1)+1,1)-INDEX($AT$4:$AW$53,MATCH(B245,$AT$4:$AT$53,1),1)))*(INDEX($AT$4:$AW$53,MATCH(B245,$AT$4:$AT$53,1)+1,4)-INDEX($AT$4:$AW$53,MATCH(B245,$AT$4:$AT$53,1),4))+INDEX($AT$4:$AW$53,MATCH(B245,$AT$4:$AT$53,1),4)</f>
        <v>9.1907847746308864</v>
      </c>
      <c r="F245" s="13" cm="1">
        <f t="array" ref="F245">C245+((B245-INDEX($AT$4:$AW$53,MATCH(B245,$AT$4:$AT$53,1),1))/(INDEX($AT$4:$AW$53,MATCH(B245,$AT$4:$AT$53,1)+1,1)-INDEX($AT$4:$AW$53,MATCH(B245,$AT$4:$AT$53,1),1)))*(INDEX($AT$4:$AW$53,MATCH(B245,$AT$4:$AT$53,1)+1,3)-INDEX($AT$4:$AW$53,MATCH(B245,$AT$4:$AT$53,1),3))+INDEX($AT$4:$AW$53,MATCH(B245,$AT$4:$AT$53,1),3)</f>
        <v>216.7</v>
      </c>
      <c r="G245" s="4">
        <f t="shared" si="93"/>
        <v>0.14777868172461628</v>
      </c>
      <c r="H245" s="6">
        <f t="shared" si="110"/>
        <v>55000</v>
      </c>
      <c r="I245" s="13">
        <f t="shared" si="94"/>
        <v>103.27672704922439</v>
      </c>
      <c r="J245" s="13">
        <f t="shared" si="111"/>
        <v>200.75343310736434</v>
      </c>
      <c r="K245" s="13">
        <f t="shared" si="95"/>
        <v>69.720553956491159</v>
      </c>
      <c r="L245" s="13">
        <f t="shared" si="112"/>
        <v>70.692034225325173</v>
      </c>
      <c r="M245" s="13">
        <f t="shared" si="113"/>
        <v>0.81254222446094382</v>
      </c>
      <c r="N245" s="13">
        <f t="shared" si="114"/>
        <v>0.78810979442459839</v>
      </c>
      <c r="O245" s="4">
        <f t="shared" si="96"/>
        <v>1.0245</v>
      </c>
      <c r="P245" s="4">
        <f t="shared" si="97"/>
        <v>1.0884083616780784</v>
      </c>
      <c r="Q245" s="4">
        <f t="shared" si="98"/>
        <v>0.77046382092660071</v>
      </c>
      <c r="R245" s="4">
        <f t="shared" si="99"/>
        <v>9.8725161599721986E-2</v>
      </c>
      <c r="S245" s="4">
        <f t="shared" si="100"/>
        <v>0.12061343783743525</v>
      </c>
      <c r="T245" s="1"/>
      <c r="U245" s="1"/>
      <c r="V245" s="1">
        <v>1</v>
      </c>
      <c r="W245" s="1">
        <v>1</v>
      </c>
      <c r="Y245" s="1">
        <f t="shared" si="115"/>
        <v>-40.676688532692715</v>
      </c>
      <c r="Z245" s="1">
        <f t="shared" si="116"/>
        <v>-40.676688532692715</v>
      </c>
      <c r="AB245" s="130">
        <v>1</v>
      </c>
      <c r="AC245" s="128">
        <f t="shared" si="101"/>
        <v>0.52858744151830273</v>
      </c>
      <c r="AD245" s="4">
        <f t="shared" si="102"/>
        <v>9.8725161599721986E-2</v>
      </c>
      <c r="AE245" s="4">
        <f t="shared" si="103"/>
        <v>0.16454193599953665</v>
      </c>
      <c r="AF245" s="32">
        <f t="shared" si="104"/>
        <v>0.51620183943669506</v>
      </c>
      <c r="AG245" s="4">
        <f t="shared" si="105"/>
        <v>0.87153775494981711</v>
      </c>
      <c r="AH245" s="42">
        <f t="shared" si="106"/>
        <v>1.4694733589676268</v>
      </c>
      <c r="AJ245" s="23">
        <v>4</v>
      </c>
      <c r="AK245" s="24">
        <v>0.8</v>
      </c>
      <c r="AL245" s="5">
        <f t="shared" si="107"/>
        <v>2.0799999999999999E-2</v>
      </c>
      <c r="AM245" s="5">
        <f t="shared" si="117"/>
        <v>0.1194718394324346</v>
      </c>
      <c r="AN245" s="25">
        <f t="shared" si="118"/>
        <v>-8.0000000000000002E-3</v>
      </c>
      <c r="AO245" s="30">
        <f t="shared" si="108"/>
        <v>1.4E-2</v>
      </c>
      <c r="AP245" s="5">
        <f t="shared" si="109"/>
        <v>0.18</v>
      </c>
      <c r="AQ245" s="25">
        <v>0</v>
      </c>
    </row>
    <row r="246" spans="2:43">
      <c r="B246" s="38">
        <v>55000</v>
      </c>
      <c r="C246" s="3">
        <v>0</v>
      </c>
      <c r="D246" s="3">
        <f t="shared" si="120"/>
        <v>0.39999999999999997</v>
      </c>
      <c r="E246" s="13" cm="1">
        <f t="array" ref="E246">((B246-INDEX($AT$4:$AW$53,MATCH(B246,$AT$4:$AT$53,1),1))/(INDEX($AT$4:$AW$53,MATCH(B246,$AT$4:$AT$53,1)+1,1)-INDEX($AT$4:$AW$53,MATCH(B246,$AT$4:$AT$53,1),1)))*(INDEX($AT$4:$AW$53,MATCH(B246,$AT$4:$AT$53,1)+1,4)-INDEX($AT$4:$AW$53,MATCH(B246,$AT$4:$AT$53,1),4))+INDEX($AT$4:$AW$53,MATCH(B246,$AT$4:$AT$53,1),4)</f>
        <v>9.1907847746308864</v>
      </c>
      <c r="F246" s="13" cm="1">
        <f t="array" ref="F246">C246+((B246-INDEX($AT$4:$AW$53,MATCH(B246,$AT$4:$AT$53,1),1))/(INDEX($AT$4:$AW$53,MATCH(B246,$AT$4:$AT$53,1)+1,1)-INDEX($AT$4:$AW$53,MATCH(B246,$AT$4:$AT$53,1),1)))*(INDEX($AT$4:$AW$53,MATCH(B246,$AT$4:$AT$53,1)+1,3)-INDEX($AT$4:$AW$53,MATCH(B246,$AT$4:$AT$53,1),3))+INDEX($AT$4:$AW$53,MATCH(B246,$AT$4:$AT$53,1),3)</f>
        <v>216.7</v>
      </c>
      <c r="G246" s="4">
        <f t="shared" si="93"/>
        <v>0.14777868172461628</v>
      </c>
      <c r="H246" s="6">
        <f t="shared" si="110"/>
        <v>55000</v>
      </c>
      <c r="I246" s="13">
        <f t="shared" si="94"/>
        <v>118.03054519911358</v>
      </c>
      <c r="J246" s="13">
        <f t="shared" si="111"/>
        <v>229.43249497984493</v>
      </c>
      <c r="K246" s="13">
        <f t="shared" si="95"/>
        <v>79.680633093132755</v>
      </c>
      <c r="L246" s="13">
        <f t="shared" si="112"/>
        <v>81.13104461036562</v>
      </c>
      <c r="M246" s="13">
        <f t="shared" si="113"/>
        <v>1.0712040328175807</v>
      </c>
      <c r="N246" s="13">
        <f t="shared" si="114"/>
        <v>1.0293678947586589</v>
      </c>
      <c r="O246" s="4">
        <f t="shared" si="96"/>
        <v>1.032</v>
      </c>
      <c r="P246" s="4">
        <f t="shared" si="97"/>
        <v>1.1165519658097534</v>
      </c>
      <c r="Q246" s="4">
        <f t="shared" si="98"/>
        <v>0.77610411244143684</v>
      </c>
      <c r="R246" s="4">
        <f t="shared" si="99"/>
        <v>0.10127795516850202</v>
      </c>
      <c r="S246" s="4">
        <f t="shared" si="100"/>
        <v>0.12061343783743525</v>
      </c>
      <c r="T246" s="1"/>
      <c r="U246" s="1"/>
      <c r="V246" s="1">
        <v>1</v>
      </c>
      <c r="W246" s="1">
        <v>1</v>
      </c>
      <c r="Y246" s="1">
        <f t="shared" si="115"/>
        <v>-34.521742470627842</v>
      </c>
      <c r="Z246" s="1">
        <f t="shared" si="116"/>
        <v>-34.521742470627842</v>
      </c>
      <c r="AB246" s="130">
        <v>1</v>
      </c>
      <c r="AC246" s="128">
        <f t="shared" si="101"/>
        <v>0.52572811275764275</v>
      </c>
      <c r="AD246" s="4">
        <f t="shared" si="102"/>
        <v>0.10127795516850202</v>
      </c>
      <c r="AE246" s="4">
        <f t="shared" si="103"/>
        <v>0.16879659194750338</v>
      </c>
      <c r="AF246" s="32">
        <f t="shared" si="104"/>
        <v>0.53961628658460059</v>
      </c>
      <c r="AG246" s="4">
        <f t="shared" si="105"/>
        <v>0.8845457811430979</v>
      </c>
      <c r="AH246" s="42">
        <f t="shared" si="106"/>
        <v>1.4811805825415796</v>
      </c>
      <c r="AJ246" s="23">
        <v>4</v>
      </c>
      <c r="AK246" s="24">
        <v>0.8</v>
      </c>
      <c r="AL246" s="5">
        <f t="shared" si="107"/>
        <v>2.0799999999999999E-2</v>
      </c>
      <c r="AM246" s="5">
        <f t="shared" si="117"/>
        <v>0.1194718394324346</v>
      </c>
      <c r="AN246" s="25">
        <f t="shared" si="118"/>
        <v>-8.0000000000000002E-3</v>
      </c>
      <c r="AO246" s="30">
        <f t="shared" si="108"/>
        <v>1.4E-2</v>
      </c>
      <c r="AP246" s="5">
        <f t="shared" si="109"/>
        <v>0.18</v>
      </c>
      <c r="AQ246" s="25">
        <v>0</v>
      </c>
    </row>
    <row r="247" spans="2:43">
      <c r="B247" s="38">
        <v>55000</v>
      </c>
      <c r="C247" s="3">
        <v>0</v>
      </c>
      <c r="D247" s="3">
        <f t="shared" si="120"/>
        <v>0.44999999999999996</v>
      </c>
      <c r="E247" s="13" cm="1">
        <f t="array" ref="E247">((B247-INDEX($AT$4:$AW$53,MATCH(B247,$AT$4:$AT$53,1),1))/(INDEX($AT$4:$AW$53,MATCH(B247,$AT$4:$AT$53,1)+1,1)-INDEX($AT$4:$AW$53,MATCH(B247,$AT$4:$AT$53,1),1)))*(INDEX($AT$4:$AW$53,MATCH(B247,$AT$4:$AT$53,1)+1,4)-INDEX($AT$4:$AW$53,MATCH(B247,$AT$4:$AT$53,1),4))+INDEX($AT$4:$AW$53,MATCH(B247,$AT$4:$AT$53,1),4)</f>
        <v>9.1907847746308864</v>
      </c>
      <c r="F247" s="13" cm="1">
        <f t="array" ref="F247">C247+((B247-INDEX($AT$4:$AW$53,MATCH(B247,$AT$4:$AT$53,1),1))/(INDEX($AT$4:$AW$53,MATCH(B247,$AT$4:$AT$53,1)+1,1)-INDEX($AT$4:$AW$53,MATCH(B247,$AT$4:$AT$53,1),1)))*(INDEX($AT$4:$AW$53,MATCH(B247,$AT$4:$AT$53,1)+1,3)-INDEX($AT$4:$AW$53,MATCH(B247,$AT$4:$AT$53,1),3))+INDEX($AT$4:$AW$53,MATCH(B247,$AT$4:$AT$53,1),3)</f>
        <v>216.7</v>
      </c>
      <c r="G247" s="4">
        <f t="shared" si="93"/>
        <v>0.14777868172461628</v>
      </c>
      <c r="H247" s="6">
        <f t="shared" si="110"/>
        <v>55000</v>
      </c>
      <c r="I247" s="13">
        <f t="shared" si="94"/>
        <v>132.78436334900277</v>
      </c>
      <c r="J247" s="13">
        <f t="shared" si="111"/>
        <v>258.11155685232558</v>
      </c>
      <c r="K247" s="13">
        <f t="shared" si="95"/>
        <v>89.640712229774351</v>
      </c>
      <c r="L247" s="13">
        <f t="shared" si="112"/>
        <v>91.706241169550125</v>
      </c>
      <c r="M247" s="13">
        <f t="shared" si="113"/>
        <v>1.3700899763283192</v>
      </c>
      <c r="N247" s="13">
        <f t="shared" si="114"/>
        <v>1.3027937418039275</v>
      </c>
      <c r="O247" s="4">
        <f t="shared" si="96"/>
        <v>1.0405</v>
      </c>
      <c r="P247" s="4">
        <f t="shared" si="97"/>
        <v>1.1490721423604813</v>
      </c>
      <c r="Q247" s="4">
        <f t="shared" si="98"/>
        <v>0.78249644282491759</v>
      </c>
      <c r="R247" s="4">
        <f t="shared" si="99"/>
        <v>0.10422773008595318</v>
      </c>
      <c r="S247" s="4">
        <f t="shared" si="100"/>
        <v>0.12061343783743525</v>
      </c>
      <c r="T247" s="1"/>
      <c r="U247" s="1"/>
      <c r="V247" s="1">
        <v>1</v>
      </c>
      <c r="W247" s="1">
        <v>1</v>
      </c>
      <c r="Y247" s="1">
        <f t="shared" si="115"/>
        <v>-29.647804813834863</v>
      </c>
      <c r="Z247" s="1">
        <f t="shared" si="116"/>
        <v>-29.647804813834863</v>
      </c>
      <c r="AB247" s="130">
        <v>1</v>
      </c>
      <c r="AC247" s="128">
        <f t="shared" si="101"/>
        <v>0.52304257247250441</v>
      </c>
      <c r="AD247" s="4">
        <f t="shared" si="102"/>
        <v>0.10422773008595318</v>
      </c>
      <c r="AE247" s="4">
        <f t="shared" si="103"/>
        <v>0.17371288347658864</v>
      </c>
      <c r="AF247" s="32">
        <f t="shared" si="104"/>
        <v>0.56303073373250612</v>
      </c>
      <c r="AG247" s="4">
        <f t="shared" si="105"/>
        <v>0.89755380733637857</v>
      </c>
      <c r="AH247" s="42">
        <f t="shared" si="106"/>
        <v>1.4928878061155324</v>
      </c>
      <c r="AJ247" s="23">
        <v>4</v>
      </c>
      <c r="AK247" s="24">
        <v>0.8</v>
      </c>
      <c r="AL247" s="5">
        <f t="shared" si="107"/>
        <v>2.0799999999999999E-2</v>
      </c>
      <c r="AM247" s="5">
        <f t="shared" si="117"/>
        <v>0.1194718394324346</v>
      </c>
      <c r="AN247" s="25">
        <f t="shared" si="118"/>
        <v>-8.0000000000000002E-3</v>
      </c>
      <c r="AO247" s="30">
        <f t="shared" si="108"/>
        <v>1.4E-2</v>
      </c>
      <c r="AP247" s="5">
        <f t="shared" si="109"/>
        <v>0.18</v>
      </c>
      <c r="AQ247" s="25">
        <v>0</v>
      </c>
    </row>
    <row r="248" spans="2:43">
      <c r="B248" s="38">
        <v>55000</v>
      </c>
      <c r="C248" s="3">
        <v>0</v>
      </c>
      <c r="D248" s="3">
        <f t="shared" si="120"/>
        <v>0.49999999999999994</v>
      </c>
      <c r="E248" s="13" cm="1">
        <f t="array" ref="E248">((B248-INDEX($AT$4:$AW$53,MATCH(B248,$AT$4:$AT$53,1),1))/(INDEX($AT$4:$AW$53,MATCH(B248,$AT$4:$AT$53,1)+1,1)-INDEX($AT$4:$AW$53,MATCH(B248,$AT$4:$AT$53,1),1)))*(INDEX($AT$4:$AW$53,MATCH(B248,$AT$4:$AT$53,1)+1,4)-INDEX($AT$4:$AW$53,MATCH(B248,$AT$4:$AT$53,1),4))+INDEX($AT$4:$AW$53,MATCH(B248,$AT$4:$AT$53,1),4)</f>
        <v>9.1907847746308864</v>
      </c>
      <c r="F248" s="13" cm="1">
        <f t="array" ref="F248">C248+((B248-INDEX($AT$4:$AW$53,MATCH(B248,$AT$4:$AT$53,1),1))/(INDEX($AT$4:$AW$53,MATCH(B248,$AT$4:$AT$53,1)+1,1)-INDEX($AT$4:$AW$53,MATCH(B248,$AT$4:$AT$53,1),1)))*(INDEX($AT$4:$AW$53,MATCH(B248,$AT$4:$AT$53,1)+1,3)-INDEX($AT$4:$AW$53,MATCH(B248,$AT$4:$AT$53,1),3))+INDEX($AT$4:$AW$53,MATCH(B248,$AT$4:$AT$53,1),3)</f>
        <v>216.7</v>
      </c>
      <c r="G248" s="4">
        <f t="shared" si="93"/>
        <v>0.14777868172461628</v>
      </c>
      <c r="H248" s="6">
        <f t="shared" si="110"/>
        <v>55000</v>
      </c>
      <c r="I248" s="13">
        <f t="shared" si="94"/>
        <v>147.53818149889196</v>
      </c>
      <c r="J248" s="13">
        <f t="shared" si="111"/>
        <v>286.79061872480617</v>
      </c>
      <c r="K248" s="13">
        <f t="shared" si="95"/>
        <v>99.600791366415933</v>
      </c>
      <c r="L248" s="13">
        <f t="shared" si="112"/>
        <v>102.43468580070521</v>
      </c>
      <c r="M248" s="13">
        <f t="shared" si="113"/>
        <v>1.7114402785823075</v>
      </c>
      <c r="N248" s="13">
        <f t="shared" si="114"/>
        <v>1.6083873355604041</v>
      </c>
      <c r="O248" s="4">
        <f t="shared" si="96"/>
        <v>1.05</v>
      </c>
      <c r="P248" s="4">
        <f t="shared" si="97"/>
        <v>1.1862126380443982</v>
      </c>
      <c r="Q248" s="4">
        <f t="shared" si="98"/>
        <v>0.78964081207704329</v>
      </c>
      <c r="R248" s="4">
        <f t="shared" si="99"/>
        <v>0.10759659563990322</v>
      </c>
      <c r="S248" s="4">
        <f t="shared" si="100"/>
        <v>0.12061343783743525</v>
      </c>
      <c r="T248" s="1"/>
      <c r="U248" s="1"/>
      <c r="V248" s="1">
        <v>1</v>
      </c>
      <c r="W248" s="1">
        <v>1</v>
      </c>
      <c r="Y248" s="1">
        <f t="shared" si="115"/>
        <v>-25.681912552206143</v>
      </c>
      <c r="Z248" s="1">
        <f t="shared" si="116"/>
        <v>-25.681912552206143</v>
      </c>
      <c r="AB248" s="130">
        <v>1</v>
      </c>
      <c r="AC248" s="128">
        <f t="shared" si="101"/>
        <v>0.52050252531694174</v>
      </c>
      <c r="AD248" s="4">
        <f t="shared" si="102"/>
        <v>0.10759659563990322</v>
      </c>
      <c r="AE248" s="4">
        <f t="shared" si="103"/>
        <v>0.17932765939983869</v>
      </c>
      <c r="AF248" s="32">
        <f t="shared" si="104"/>
        <v>0.58644518088041164</v>
      </c>
      <c r="AG248" s="4">
        <f t="shared" si="105"/>
        <v>0.91056183352965958</v>
      </c>
      <c r="AH248" s="42">
        <f t="shared" si="106"/>
        <v>1.5045950296894852</v>
      </c>
      <c r="AJ248" s="23">
        <v>4</v>
      </c>
      <c r="AK248" s="24">
        <v>0.8</v>
      </c>
      <c r="AL248" s="5">
        <f t="shared" si="107"/>
        <v>2.0799999999999999E-2</v>
      </c>
      <c r="AM248" s="5">
        <f t="shared" si="117"/>
        <v>0.1194718394324346</v>
      </c>
      <c r="AN248" s="25">
        <f t="shared" si="118"/>
        <v>-8.0000000000000002E-3</v>
      </c>
      <c r="AO248" s="30">
        <f t="shared" si="108"/>
        <v>1.4E-2</v>
      </c>
      <c r="AP248" s="5">
        <f t="shared" si="109"/>
        <v>0.18</v>
      </c>
      <c r="AQ248" s="25">
        <v>0</v>
      </c>
    </row>
    <row r="249" spans="2:43">
      <c r="B249" s="38">
        <v>55000</v>
      </c>
      <c r="C249" s="3">
        <v>0</v>
      </c>
      <c r="D249" s="3">
        <f t="shared" si="120"/>
        <v>0.54999999999999993</v>
      </c>
      <c r="E249" s="13" cm="1">
        <f t="array" ref="E249">((B249-INDEX($AT$4:$AW$53,MATCH(B249,$AT$4:$AT$53,1),1))/(INDEX($AT$4:$AW$53,MATCH(B249,$AT$4:$AT$53,1)+1,1)-INDEX($AT$4:$AW$53,MATCH(B249,$AT$4:$AT$53,1),1)))*(INDEX($AT$4:$AW$53,MATCH(B249,$AT$4:$AT$53,1)+1,4)-INDEX($AT$4:$AW$53,MATCH(B249,$AT$4:$AT$53,1),4))+INDEX($AT$4:$AW$53,MATCH(B249,$AT$4:$AT$53,1),4)</f>
        <v>9.1907847746308864</v>
      </c>
      <c r="F249" s="13" cm="1">
        <f t="array" ref="F249">C249+((B249-INDEX($AT$4:$AW$53,MATCH(B249,$AT$4:$AT$53,1),1))/(INDEX($AT$4:$AW$53,MATCH(B249,$AT$4:$AT$53,1)+1,1)-INDEX($AT$4:$AW$53,MATCH(B249,$AT$4:$AT$53,1),1)))*(INDEX($AT$4:$AW$53,MATCH(B249,$AT$4:$AT$53,1)+1,3)-INDEX($AT$4:$AW$53,MATCH(B249,$AT$4:$AT$53,1),3))+INDEX($AT$4:$AW$53,MATCH(B249,$AT$4:$AT$53,1),3)</f>
        <v>216.7</v>
      </c>
      <c r="G249" s="4">
        <f t="shared" si="93"/>
        <v>0.14777868172461628</v>
      </c>
      <c r="H249" s="6">
        <f t="shared" si="110"/>
        <v>55000</v>
      </c>
      <c r="I249" s="13">
        <f t="shared" si="94"/>
        <v>162.29199964878117</v>
      </c>
      <c r="J249" s="13">
        <f t="shared" si="111"/>
        <v>315.46968059728681</v>
      </c>
      <c r="K249" s="13">
        <f t="shared" si="95"/>
        <v>109.56087050305754</v>
      </c>
      <c r="L249" s="13">
        <f t="shared" si="112"/>
        <v>113.33342084860901</v>
      </c>
      <c r="M249" s="13">
        <f t="shared" si="113"/>
        <v>2.0978117573038872</v>
      </c>
      <c r="N249" s="13">
        <f t="shared" si="114"/>
        <v>1.9461486760280895</v>
      </c>
      <c r="O249" s="4">
        <f t="shared" si="96"/>
        <v>1.0605</v>
      </c>
      <c r="P249" s="4">
        <f t="shared" si="97"/>
        <v>1.2282516464855568</v>
      </c>
      <c r="Q249" s="4">
        <f t="shared" si="98"/>
        <v>0.7975372201978137</v>
      </c>
      <c r="R249" s="4">
        <f t="shared" si="99"/>
        <v>0.1114097856593612</v>
      </c>
      <c r="S249" s="4">
        <f t="shared" si="100"/>
        <v>0.12061343783743525</v>
      </c>
      <c r="T249" s="1"/>
      <c r="U249" s="1"/>
      <c r="V249" s="1">
        <v>1</v>
      </c>
      <c r="W249" s="1">
        <v>1</v>
      </c>
      <c r="Y249" s="1">
        <f t="shared" si="115"/>
        <v>-22.386717916070037</v>
      </c>
      <c r="Z249" s="1">
        <f t="shared" si="116"/>
        <v>-22.386717916070037</v>
      </c>
      <c r="AB249" s="130">
        <v>1</v>
      </c>
      <c r="AC249" s="128">
        <f t="shared" si="101"/>
        <v>0.51808661059033034</v>
      </c>
      <c r="AD249" s="4">
        <f t="shared" si="102"/>
        <v>0.1114097856593612</v>
      </c>
      <c r="AE249" s="4">
        <f t="shared" si="103"/>
        <v>0.18568297609893533</v>
      </c>
      <c r="AF249" s="32">
        <f t="shared" si="104"/>
        <v>0.60985962802831717</v>
      </c>
      <c r="AG249" s="4">
        <f t="shared" si="105"/>
        <v>0.92356985972294037</v>
      </c>
      <c r="AH249" s="42">
        <f t="shared" si="106"/>
        <v>1.516302253263438</v>
      </c>
      <c r="AJ249" s="23">
        <v>4</v>
      </c>
      <c r="AK249" s="24">
        <v>0.8</v>
      </c>
      <c r="AL249" s="5">
        <f t="shared" si="107"/>
        <v>2.0799999999999999E-2</v>
      </c>
      <c r="AM249" s="5">
        <f t="shared" si="117"/>
        <v>0.1194718394324346</v>
      </c>
      <c r="AN249" s="25">
        <f t="shared" si="118"/>
        <v>-8.0000000000000002E-3</v>
      </c>
      <c r="AO249" s="30">
        <f t="shared" si="108"/>
        <v>1.4E-2</v>
      </c>
      <c r="AP249" s="5">
        <f t="shared" si="109"/>
        <v>0.18</v>
      </c>
      <c r="AQ249" s="25">
        <v>0</v>
      </c>
    </row>
    <row r="250" spans="2:43">
      <c r="B250" s="38">
        <v>55000</v>
      </c>
      <c r="C250" s="3">
        <v>0</v>
      </c>
      <c r="D250" s="3">
        <f t="shared" si="120"/>
        <v>0.6</v>
      </c>
      <c r="E250" s="13" cm="1">
        <f t="array" ref="E250">((B250-INDEX($AT$4:$AW$53,MATCH(B250,$AT$4:$AT$53,1),1))/(INDEX($AT$4:$AW$53,MATCH(B250,$AT$4:$AT$53,1)+1,1)-INDEX($AT$4:$AW$53,MATCH(B250,$AT$4:$AT$53,1),1)))*(INDEX($AT$4:$AW$53,MATCH(B250,$AT$4:$AT$53,1)+1,4)-INDEX($AT$4:$AW$53,MATCH(B250,$AT$4:$AT$53,1),4))+INDEX($AT$4:$AW$53,MATCH(B250,$AT$4:$AT$53,1),4)</f>
        <v>9.1907847746308864</v>
      </c>
      <c r="F250" s="13" cm="1">
        <f t="array" ref="F250">C250+((B250-INDEX($AT$4:$AW$53,MATCH(B250,$AT$4:$AT$53,1),1))/(INDEX($AT$4:$AW$53,MATCH(B250,$AT$4:$AT$53,1)+1,1)-INDEX($AT$4:$AW$53,MATCH(B250,$AT$4:$AT$53,1),1)))*(INDEX($AT$4:$AW$53,MATCH(B250,$AT$4:$AT$53,1)+1,3)-INDEX($AT$4:$AW$53,MATCH(B250,$AT$4:$AT$53,1),3))+INDEX($AT$4:$AW$53,MATCH(B250,$AT$4:$AT$53,1),3)</f>
        <v>216.7</v>
      </c>
      <c r="G250" s="4">
        <f t="shared" si="93"/>
        <v>0.14777868172461628</v>
      </c>
      <c r="H250" s="6">
        <f t="shared" si="110"/>
        <v>55000</v>
      </c>
      <c r="I250" s="13">
        <f t="shared" si="94"/>
        <v>177.04581779867038</v>
      </c>
      <c r="J250" s="13">
        <f t="shared" si="111"/>
        <v>344.14874246976746</v>
      </c>
      <c r="K250" s="13">
        <f t="shared" si="95"/>
        <v>119.52094963969914</v>
      </c>
      <c r="L250" s="13">
        <f t="shared" si="112"/>
        <v>124.4194488053902</v>
      </c>
      <c r="M250" s="13">
        <f t="shared" si="113"/>
        <v>2.5320959129453677</v>
      </c>
      <c r="N250" s="13">
        <f t="shared" si="114"/>
        <v>2.3160777632069829</v>
      </c>
      <c r="O250" s="4">
        <f t="shared" si="96"/>
        <v>1.0720000000000001</v>
      </c>
      <c r="P250" s="4">
        <f t="shared" si="97"/>
        <v>1.2755037763406945</v>
      </c>
      <c r="Q250" s="4">
        <f t="shared" si="98"/>
        <v>0.80618566718722895</v>
      </c>
      <c r="R250" s="4">
        <f t="shared" si="99"/>
        <v>0.11569583703504814</v>
      </c>
      <c r="S250" s="4">
        <f t="shared" si="100"/>
        <v>0.12061343783743525</v>
      </c>
      <c r="T250" s="1"/>
      <c r="U250" s="1"/>
      <c r="V250" s="1">
        <v>1</v>
      </c>
      <c r="W250" s="1">
        <v>1</v>
      </c>
      <c r="Y250" s="1">
        <f t="shared" si="115"/>
        <v>-19.603575206711753</v>
      </c>
      <c r="Z250" s="1">
        <f t="shared" si="116"/>
        <v>-19.603575206711753</v>
      </c>
      <c r="AB250" s="130">
        <v>1</v>
      </c>
      <c r="AC250" s="128">
        <f t="shared" si="101"/>
        <v>0.51577823315309623</v>
      </c>
      <c r="AD250" s="4">
        <f t="shared" si="102"/>
        <v>0.11569583703504814</v>
      </c>
      <c r="AE250" s="4">
        <f t="shared" si="103"/>
        <v>0.19282639505841356</v>
      </c>
      <c r="AF250" s="32">
        <f t="shared" si="104"/>
        <v>0.63327407517622269</v>
      </c>
      <c r="AG250" s="4">
        <f t="shared" si="105"/>
        <v>0.93657788591622126</v>
      </c>
      <c r="AH250" s="42">
        <f t="shared" si="106"/>
        <v>1.5280094768373906</v>
      </c>
      <c r="AJ250" s="23">
        <v>4</v>
      </c>
      <c r="AK250" s="24">
        <v>0.8</v>
      </c>
      <c r="AL250" s="5">
        <f t="shared" si="107"/>
        <v>2.0799999999999999E-2</v>
      </c>
      <c r="AM250" s="5">
        <f t="shared" si="117"/>
        <v>0.1194718394324346</v>
      </c>
      <c r="AN250" s="25">
        <f t="shared" si="118"/>
        <v>-8.0000000000000002E-3</v>
      </c>
      <c r="AO250" s="30">
        <f t="shared" si="108"/>
        <v>1.4E-2</v>
      </c>
      <c r="AP250" s="5">
        <f t="shared" si="109"/>
        <v>0.18</v>
      </c>
      <c r="AQ250" s="25">
        <v>0</v>
      </c>
    </row>
    <row r="251" spans="2:43">
      <c r="B251" s="38">
        <v>55000</v>
      </c>
      <c r="C251" s="3">
        <v>0</v>
      </c>
      <c r="D251" s="3">
        <f t="shared" si="120"/>
        <v>0.65</v>
      </c>
      <c r="E251" s="13" cm="1">
        <f t="array" ref="E251">((B251-INDEX($AT$4:$AW$53,MATCH(B251,$AT$4:$AT$53,1),1))/(INDEX($AT$4:$AW$53,MATCH(B251,$AT$4:$AT$53,1)+1,1)-INDEX($AT$4:$AW$53,MATCH(B251,$AT$4:$AT$53,1),1)))*(INDEX($AT$4:$AW$53,MATCH(B251,$AT$4:$AT$53,1)+1,4)-INDEX($AT$4:$AW$53,MATCH(B251,$AT$4:$AT$53,1),4))+INDEX($AT$4:$AW$53,MATCH(B251,$AT$4:$AT$53,1),4)</f>
        <v>9.1907847746308864</v>
      </c>
      <c r="F251" s="13" cm="1">
        <f t="array" ref="F251">C251+((B251-INDEX($AT$4:$AW$53,MATCH(B251,$AT$4:$AT$53,1),1))/(INDEX($AT$4:$AW$53,MATCH(B251,$AT$4:$AT$53,1)+1,1)-INDEX($AT$4:$AW$53,MATCH(B251,$AT$4:$AT$53,1),1)))*(INDEX($AT$4:$AW$53,MATCH(B251,$AT$4:$AT$53,1)+1,3)-INDEX($AT$4:$AW$53,MATCH(B251,$AT$4:$AT$53,1),3))+INDEX($AT$4:$AW$53,MATCH(B251,$AT$4:$AT$53,1),3)</f>
        <v>216.7</v>
      </c>
      <c r="G251" s="4">
        <f t="shared" si="93"/>
        <v>0.14777868172461628</v>
      </c>
      <c r="H251" s="6">
        <f t="shared" si="110"/>
        <v>55000</v>
      </c>
      <c r="I251" s="13">
        <f t="shared" si="94"/>
        <v>191.7996359485596</v>
      </c>
      <c r="J251" s="13">
        <f t="shared" si="111"/>
        <v>372.8278043422481</v>
      </c>
      <c r="K251" s="13">
        <f t="shared" si="95"/>
        <v>129.48102877634074</v>
      </c>
      <c r="L251" s="13">
        <f t="shared" si="112"/>
        <v>135.70970654160877</v>
      </c>
      <c r="M251" s="13">
        <f t="shared" si="113"/>
        <v>3.0175391333804633</v>
      </c>
      <c r="N251" s="13">
        <f t="shared" si="114"/>
        <v>2.7181745970970845</v>
      </c>
      <c r="O251" s="4">
        <f t="shared" si="96"/>
        <v>1.0845</v>
      </c>
      <c r="P251" s="4">
        <f t="shared" si="97"/>
        <v>1.328322249663566</v>
      </c>
      <c r="Q251" s="4">
        <f t="shared" si="98"/>
        <v>0.81558615304528892</v>
      </c>
      <c r="R251" s="4">
        <f t="shared" si="99"/>
        <v>0.12048678912421761</v>
      </c>
      <c r="S251" s="4">
        <f t="shared" si="100"/>
        <v>0.12061343783743525</v>
      </c>
      <c r="T251" s="1"/>
      <c r="U251" s="1"/>
      <c r="V251" s="1">
        <v>1</v>
      </c>
      <c r="W251" s="1">
        <v>1</v>
      </c>
      <c r="Y251" s="1">
        <f t="shared" si="115"/>
        <v>-17.22183893222055</v>
      </c>
      <c r="Z251" s="1">
        <f t="shared" si="116"/>
        <v>-17.22183893222055</v>
      </c>
      <c r="AB251" s="130">
        <v>1</v>
      </c>
      <c r="AC251" s="128">
        <f t="shared" si="101"/>
        <v>0.51356419576191015</v>
      </c>
      <c r="AD251" s="4">
        <f t="shared" si="102"/>
        <v>0.12048678912421761</v>
      </c>
      <c r="AE251" s="4">
        <f t="shared" si="103"/>
        <v>0.20081131520702936</v>
      </c>
      <c r="AF251" s="32">
        <f t="shared" si="104"/>
        <v>0.65668852232412822</v>
      </c>
      <c r="AG251" s="4">
        <f t="shared" si="105"/>
        <v>0.94958591210950205</v>
      </c>
      <c r="AH251" s="42">
        <f t="shared" si="106"/>
        <v>1.5397167004113435</v>
      </c>
      <c r="AJ251" s="23">
        <v>4</v>
      </c>
      <c r="AK251" s="24">
        <v>0.8</v>
      </c>
      <c r="AL251" s="5">
        <f t="shared" si="107"/>
        <v>2.0799999999999999E-2</v>
      </c>
      <c r="AM251" s="5">
        <f t="shared" si="117"/>
        <v>0.1194718394324346</v>
      </c>
      <c r="AN251" s="25">
        <f t="shared" si="118"/>
        <v>-8.0000000000000002E-3</v>
      </c>
      <c r="AO251" s="30">
        <f t="shared" si="108"/>
        <v>1.4E-2</v>
      </c>
      <c r="AP251" s="5">
        <f t="shared" si="109"/>
        <v>0.18</v>
      </c>
      <c r="AQ251" s="25">
        <v>0</v>
      </c>
    </row>
    <row r="252" spans="2:43">
      <c r="B252" s="38">
        <v>55000</v>
      </c>
      <c r="C252" s="3">
        <v>0</v>
      </c>
      <c r="D252" s="3">
        <f t="shared" si="120"/>
        <v>0.70000000000000007</v>
      </c>
      <c r="E252" s="13" cm="1">
        <f t="array" ref="E252">((B252-INDEX($AT$4:$AW$53,MATCH(B252,$AT$4:$AT$53,1),1))/(INDEX($AT$4:$AW$53,MATCH(B252,$AT$4:$AT$53,1)+1,1)-INDEX($AT$4:$AW$53,MATCH(B252,$AT$4:$AT$53,1),1)))*(INDEX($AT$4:$AW$53,MATCH(B252,$AT$4:$AT$53,1)+1,4)-INDEX($AT$4:$AW$53,MATCH(B252,$AT$4:$AT$53,1),4))+INDEX($AT$4:$AW$53,MATCH(B252,$AT$4:$AT$53,1),4)</f>
        <v>9.1907847746308864</v>
      </c>
      <c r="F252" s="13" cm="1">
        <f t="array" ref="F252">C252+((B252-INDEX($AT$4:$AW$53,MATCH(B252,$AT$4:$AT$53,1),1))/(INDEX($AT$4:$AW$53,MATCH(B252,$AT$4:$AT$53,1)+1,1)-INDEX($AT$4:$AW$53,MATCH(B252,$AT$4:$AT$53,1),1)))*(INDEX($AT$4:$AW$53,MATCH(B252,$AT$4:$AT$53,1)+1,3)-INDEX($AT$4:$AW$53,MATCH(B252,$AT$4:$AT$53,1),3))+INDEX($AT$4:$AW$53,MATCH(B252,$AT$4:$AT$53,1),3)</f>
        <v>216.7</v>
      </c>
      <c r="G252" s="4">
        <f t="shared" si="93"/>
        <v>0.14777868172461628</v>
      </c>
      <c r="H252" s="6">
        <f t="shared" si="110"/>
        <v>55000</v>
      </c>
      <c r="I252" s="13">
        <f t="shared" si="94"/>
        <v>206.55345409844881</v>
      </c>
      <c r="J252" s="13">
        <f t="shared" si="111"/>
        <v>401.50686621472875</v>
      </c>
      <c r="K252" s="13">
        <f t="shared" si="95"/>
        <v>139.44110791298235</v>
      </c>
      <c r="L252" s="13">
        <f t="shared" si="112"/>
        <v>147.22103367282602</v>
      </c>
      <c r="M252" s="13">
        <f t="shared" si="113"/>
        <v>3.5577650760926054</v>
      </c>
      <c r="N252" s="13">
        <f t="shared" si="114"/>
        <v>3.1524391776983949</v>
      </c>
      <c r="O252" s="4">
        <f t="shared" si="96"/>
        <v>1.0980000000000001</v>
      </c>
      <c r="P252" s="4">
        <f t="shared" si="97"/>
        <v>1.3871013371908156</v>
      </c>
      <c r="Q252" s="4">
        <f t="shared" si="98"/>
        <v>0.82573867777199383</v>
      </c>
      <c r="R252" s="4">
        <f t="shared" si="99"/>
        <v>0.12581840464567967</v>
      </c>
      <c r="S252" s="4">
        <f t="shared" si="100"/>
        <v>0.12061343783743525</v>
      </c>
      <c r="T252" s="1"/>
      <c r="U252" s="1"/>
      <c r="V252" s="1">
        <v>1</v>
      </c>
      <c r="W252" s="1">
        <v>1</v>
      </c>
      <c r="Y252" s="1">
        <f t="shared" si="115"/>
        <v>-15.161262721443256</v>
      </c>
      <c r="Z252" s="1">
        <f t="shared" si="116"/>
        <v>-15.161262721443256</v>
      </c>
      <c r="AB252" s="130">
        <v>1</v>
      </c>
      <c r="AC252" s="128">
        <f t="shared" si="101"/>
        <v>0.51143379814261469</v>
      </c>
      <c r="AD252" s="4">
        <f t="shared" si="102"/>
        <v>0.12581840464567967</v>
      </c>
      <c r="AE252" s="4">
        <f t="shared" si="103"/>
        <v>0.2096973410761328</v>
      </c>
      <c r="AF252" s="32">
        <f t="shared" si="104"/>
        <v>0.68010296947203386</v>
      </c>
      <c r="AG252" s="4">
        <f t="shared" si="105"/>
        <v>0.96259393830278306</v>
      </c>
      <c r="AH252" s="42">
        <f t="shared" si="106"/>
        <v>1.5514239239852963</v>
      </c>
      <c r="AJ252" s="23">
        <v>4</v>
      </c>
      <c r="AK252" s="24">
        <v>0.8</v>
      </c>
      <c r="AL252" s="5">
        <f t="shared" si="107"/>
        <v>2.0799999999999999E-2</v>
      </c>
      <c r="AM252" s="5">
        <f t="shared" si="117"/>
        <v>0.1194718394324346</v>
      </c>
      <c r="AN252" s="25">
        <f t="shared" si="118"/>
        <v>-8.0000000000000002E-3</v>
      </c>
      <c r="AO252" s="30">
        <f t="shared" si="108"/>
        <v>1.4E-2</v>
      </c>
      <c r="AP252" s="5">
        <f t="shared" si="109"/>
        <v>0.18</v>
      </c>
      <c r="AQ252" s="25">
        <v>0</v>
      </c>
    </row>
    <row r="253" spans="2:43">
      <c r="B253" s="38">
        <v>55000</v>
      </c>
      <c r="C253" s="3">
        <v>0</v>
      </c>
      <c r="D253" s="3">
        <f t="shared" si="120"/>
        <v>0.75000000000000011</v>
      </c>
      <c r="E253" s="13" cm="1">
        <f t="array" ref="E253">((B253-INDEX($AT$4:$AW$53,MATCH(B253,$AT$4:$AT$53,1),1))/(INDEX($AT$4:$AW$53,MATCH(B253,$AT$4:$AT$53,1)+1,1)-INDEX($AT$4:$AW$53,MATCH(B253,$AT$4:$AT$53,1),1)))*(INDEX($AT$4:$AW$53,MATCH(B253,$AT$4:$AT$53,1)+1,4)-INDEX($AT$4:$AW$53,MATCH(B253,$AT$4:$AT$53,1),4))+INDEX($AT$4:$AW$53,MATCH(B253,$AT$4:$AT$53,1),4)</f>
        <v>9.1907847746308864</v>
      </c>
      <c r="F253" s="13" cm="1">
        <f t="array" ref="F253">C253+((B253-INDEX($AT$4:$AW$53,MATCH(B253,$AT$4:$AT$53,1),1))/(INDEX($AT$4:$AW$53,MATCH(B253,$AT$4:$AT$53,1)+1,1)-INDEX($AT$4:$AW$53,MATCH(B253,$AT$4:$AT$53,1),1)))*(INDEX($AT$4:$AW$53,MATCH(B253,$AT$4:$AT$53,1)+1,3)-INDEX($AT$4:$AW$53,MATCH(B253,$AT$4:$AT$53,1),3))+INDEX($AT$4:$AW$53,MATCH(B253,$AT$4:$AT$53,1),3)</f>
        <v>216.7</v>
      </c>
      <c r="G253" s="4">
        <f t="shared" si="93"/>
        <v>0.14777868172461628</v>
      </c>
      <c r="H253" s="6">
        <f t="shared" si="110"/>
        <v>55000</v>
      </c>
      <c r="I253" s="13">
        <f t="shared" si="94"/>
        <v>221.30727224833802</v>
      </c>
      <c r="J253" s="13">
        <f t="shared" si="111"/>
        <v>430.18592808720939</v>
      </c>
      <c r="K253" s="13">
        <f t="shared" si="95"/>
        <v>149.40118704962396</v>
      </c>
      <c r="L253" s="13">
        <f t="shared" si="112"/>
        <v>158.97013472583038</v>
      </c>
      <c r="M253" s="13">
        <f t="shared" si="113"/>
        <v>4.1567992941114866</v>
      </c>
      <c r="N253" s="13">
        <f t="shared" si="114"/>
        <v>3.6188715050109121</v>
      </c>
      <c r="O253" s="4">
        <f t="shared" si="96"/>
        <v>1.1125</v>
      </c>
      <c r="P253" s="4">
        <f t="shared" si="97"/>
        <v>1.4522790377580601</v>
      </c>
      <c r="Q253" s="4">
        <f t="shared" si="98"/>
        <v>0.83664324136734336</v>
      </c>
      <c r="R253" s="4">
        <f t="shared" si="99"/>
        <v>0.13173041271889832</v>
      </c>
      <c r="S253" s="4">
        <f t="shared" si="100"/>
        <v>0.12061343783743525</v>
      </c>
      <c r="T253" s="1"/>
      <c r="U253" s="1"/>
      <c r="V253" s="1">
        <v>1</v>
      </c>
      <c r="W253" s="1">
        <v>1</v>
      </c>
      <c r="Y253" s="1">
        <f t="shared" si="115"/>
        <v>-13.361380250326155</v>
      </c>
      <c r="Z253" s="1">
        <f t="shared" si="116"/>
        <v>-13.361380250326155</v>
      </c>
      <c r="AB253" s="130">
        <v>1</v>
      </c>
      <c r="AC253" s="128">
        <f t="shared" si="101"/>
        <v>0.50937822173508929</v>
      </c>
      <c r="AD253" s="4">
        <f t="shared" si="102"/>
        <v>0.13173041271889832</v>
      </c>
      <c r="AE253" s="4">
        <f t="shared" si="103"/>
        <v>0.21955068786483053</v>
      </c>
      <c r="AF253" s="32">
        <f t="shared" si="104"/>
        <v>0.70351741661993938</v>
      </c>
      <c r="AG253" s="4">
        <f t="shared" si="105"/>
        <v>0.97560196449606384</v>
      </c>
      <c r="AH253" s="42">
        <f t="shared" si="106"/>
        <v>1.5631311475592491</v>
      </c>
      <c r="AJ253" s="23">
        <v>4</v>
      </c>
      <c r="AK253" s="24">
        <v>0.8</v>
      </c>
      <c r="AL253" s="5">
        <f t="shared" si="107"/>
        <v>2.0799999999999999E-2</v>
      </c>
      <c r="AM253" s="5">
        <f t="shared" si="117"/>
        <v>0.1194718394324346</v>
      </c>
      <c r="AN253" s="25">
        <f t="shared" si="118"/>
        <v>-8.0000000000000002E-3</v>
      </c>
      <c r="AO253" s="30">
        <f t="shared" si="108"/>
        <v>1.4E-2</v>
      </c>
      <c r="AP253" s="5">
        <f t="shared" si="109"/>
        <v>0.18</v>
      </c>
      <c r="AQ253" s="25">
        <v>0</v>
      </c>
    </row>
    <row r="254" spans="2:43">
      <c r="B254" s="38">
        <v>55000</v>
      </c>
      <c r="C254" s="3">
        <v>0</v>
      </c>
      <c r="D254" s="3">
        <f t="shared" si="120"/>
        <v>0.80000000000000016</v>
      </c>
      <c r="E254" s="13" cm="1">
        <f t="array" ref="E254">((B254-INDEX($AT$4:$AW$53,MATCH(B254,$AT$4:$AT$53,1),1))/(INDEX($AT$4:$AW$53,MATCH(B254,$AT$4:$AT$53,1)+1,1)-INDEX($AT$4:$AW$53,MATCH(B254,$AT$4:$AT$53,1),1)))*(INDEX($AT$4:$AW$53,MATCH(B254,$AT$4:$AT$53,1)+1,4)-INDEX($AT$4:$AW$53,MATCH(B254,$AT$4:$AT$53,1),4))+INDEX($AT$4:$AW$53,MATCH(B254,$AT$4:$AT$53,1),4)</f>
        <v>9.1907847746308864</v>
      </c>
      <c r="F254" s="13" cm="1">
        <f t="array" ref="F254">C254+((B254-INDEX($AT$4:$AW$53,MATCH(B254,$AT$4:$AT$53,1),1))/(INDEX($AT$4:$AW$53,MATCH(B254,$AT$4:$AT$53,1)+1,1)-INDEX($AT$4:$AW$53,MATCH(B254,$AT$4:$AT$53,1),1)))*(INDEX($AT$4:$AW$53,MATCH(B254,$AT$4:$AT$53,1)+1,3)-INDEX($AT$4:$AW$53,MATCH(B254,$AT$4:$AT$53,1),3))+INDEX($AT$4:$AW$53,MATCH(B254,$AT$4:$AT$53,1),3)</f>
        <v>216.7</v>
      </c>
      <c r="G254" s="4">
        <f t="shared" si="93"/>
        <v>0.14777868172461628</v>
      </c>
      <c r="H254" s="6">
        <f t="shared" si="110"/>
        <v>55000</v>
      </c>
      <c r="I254" s="13">
        <f t="shared" si="94"/>
        <v>236.06109039822724</v>
      </c>
      <c r="J254" s="13">
        <f t="shared" si="111"/>
        <v>458.86498995969004</v>
      </c>
      <c r="K254" s="13">
        <f t="shared" si="95"/>
        <v>159.36126618626557</v>
      </c>
      <c r="L254" s="13">
        <f t="shared" si="112"/>
        <v>170.97353484045698</v>
      </c>
      <c r="M254" s="13">
        <f t="shared" si="113"/>
        <v>4.8190961765814411</v>
      </c>
      <c r="N254" s="13">
        <f t="shared" si="114"/>
        <v>4.1174715790346381</v>
      </c>
      <c r="O254" s="4">
        <f t="shared" si="96"/>
        <v>1.1280000000000001</v>
      </c>
      <c r="P254" s="4">
        <f t="shared" si="97"/>
        <v>1.5243400095586486</v>
      </c>
      <c r="Q254" s="4">
        <f t="shared" si="98"/>
        <v>0.84829984383133794</v>
      </c>
      <c r="R254" s="4">
        <f t="shared" si="99"/>
        <v>0.1382667747467291</v>
      </c>
      <c r="S254" s="4">
        <f t="shared" si="100"/>
        <v>0.12061343783743525</v>
      </c>
      <c r="T254" s="1"/>
      <c r="U254" s="1"/>
      <c r="V254" s="1">
        <v>1</v>
      </c>
      <c r="W254" s="1">
        <v>1</v>
      </c>
      <c r="Y254" s="1">
        <f t="shared" si="115"/>
        <v>-11.774808289772373</v>
      </c>
      <c r="Z254" s="1">
        <f t="shared" si="116"/>
        <v>-11.774808289772373</v>
      </c>
      <c r="AB254" s="130">
        <v>1</v>
      </c>
      <c r="AC254" s="128">
        <f t="shared" si="101"/>
        <v>0.50739009663000589</v>
      </c>
      <c r="AD254" s="4">
        <f t="shared" si="102"/>
        <v>0.1382667747467291</v>
      </c>
      <c r="AE254" s="4">
        <f t="shared" si="103"/>
        <v>0.23044462457788184</v>
      </c>
      <c r="AF254" s="32">
        <f t="shared" si="104"/>
        <v>0.72693186376784491</v>
      </c>
      <c r="AG254" s="4">
        <f t="shared" si="105"/>
        <v>0.98860999068934474</v>
      </c>
      <c r="AH254" s="42">
        <f t="shared" si="106"/>
        <v>1.5748383711332017</v>
      </c>
      <c r="AJ254" s="23">
        <v>4</v>
      </c>
      <c r="AK254" s="24">
        <v>0.8</v>
      </c>
      <c r="AL254" s="5">
        <f t="shared" si="107"/>
        <v>2.0799999999999999E-2</v>
      </c>
      <c r="AM254" s="5">
        <f t="shared" si="117"/>
        <v>0.1194718394324346</v>
      </c>
      <c r="AN254" s="25">
        <f t="shared" si="118"/>
        <v>-8.0000000000000002E-3</v>
      </c>
      <c r="AO254" s="30">
        <f t="shared" si="108"/>
        <v>1.4000000000000004E-2</v>
      </c>
      <c r="AP254" s="5">
        <f t="shared" si="109"/>
        <v>0.18</v>
      </c>
      <c r="AQ254" s="25">
        <v>0</v>
      </c>
    </row>
    <row r="255" spans="2:43">
      <c r="B255" s="38">
        <v>55000</v>
      </c>
      <c r="C255" s="3">
        <v>0</v>
      </c>
      <c r="D255" s="3">
        <f t="shared" si="120"/>
        <v>0.8500000000000002</v>
      </c>
      <c r="E255" s="13" cm="1">
        <f t="array" ref="E255">((B255-INDEX($AT$4:$AW$53,MATCH(B255,$AT$4:$AT$53,1),1))/(INDEX($AT$4:$AW$53,MATCH(B255,$AT$4:$AT$53,1)+1,1)-INDEX($AT$4:$AW$53,MATCH(B255,$AT$4:$AT$53,1),1)))*(INDEX($AT$4:$AW$53,MATCH(B255,$AT$4:$AT$53,1)+1,4)-INDEX($AT$4:$AW$53,MATCH(B255,$AT$4:$AT$53,1),4))+INDEX($AT$4:$AW$53,MATCH(B255,$AT$4:$AT$53,1),4)</f>
        <v>9.1907847746308864</v>
      </c>
      <c r="F255" s="13" cm="1">
        <f t="array" ref="F255">C255+((B255-INDEX($AT$4:$AW$53,MATCH(B255,$AT$4:$AT$53,1),1))/(INDEX($AT$4:$AW$53,MATCH(B255,$AT$4:$AT$53,1)+1,1)-INDEX($AT$4:$AW$53,MATCH(B255,$AT$4:$AT$53,1),1)))*(INDEX($AT$4:$AW$53,MATCH(B255,$AT$4:$AT$53,1)+1,3)-INDEX($AT$4:$AW$53,MATCH(B255,$AT$4:$AT$53,1),3))+INDEX($AT$4:$AW$53,MATCH(B255,$AT$4:$AT$53,1),3)</f>
        <v>216.7</v>
      </c>
      <c r="G255" s="4">
        <f t="shared" si="93"/>
        <v>0.14777868172461628</v>
      </c>
      <c r="H255" s="6">
        <f t="shared" si="110"/>
        <v>55000</v>
      </c>
      <c r="I255" s="13">
        <f t="shared" si="94"/>
        <v>250.81490854811645</v>
      </c>
      <c r="J255" s="13">
        <f t="shared" si="111"/>
        <v>487.54405183217068</v>
      </c>
      <c r="K255" s="13">
        <f t="shared" si="95"/>
        <v>169.32134532290715</v>
      </c>
      <c r="L255" s="13">
        <f t="shared" si="112"/>
        <v>183.24752882856203</v>
      </c>
      <c r="M255" s="13">
        <f t="shared" si="113"/>
        <v>5.5495682792402352</v>
      </c>
      <c r="N255" s="13">
        <f t="shared" si="114"/>
        <v>4.6482393997695723</v>
      </c>
      <c r="O255" s="4">
        <f t="shared" si="96"/>
        <v>1.1445000000000001</v>
      </c>
      <c r="P255" s="4">
        <f t="shared" si="97"/>
        <v>1.6038187614357571</v>
      </c>
      <c r="Q255" s="4">
        <f t="shared" si="98"/>
        <v>0.86070848516397713</v>
      </c>
      <c r="R255" s="4">
        <f t="shared" si="99"/>
        <v>0.14547597388473843</v>
      </c>
      <c r="S255" s="4">
        <f t="shared" si="100"/>
        <v>0.12061343783743525</v>
      </c>
      <c r="T255" s="1"/>
      <c r="U255" s="1"/>
      <c r="V255" s="1">
        <v>1</v>
      </c>
      <c r="W255" s="1">
        <v>1</v>
      </c>
      <c r="Y255" s="1">
        <f t="shared" si="115"/>
        <v>-16.164106582837242</v>
      </c>
      <c r="Z255" s="1">
        <f t="shared" si="116"/>
        <v>-10.362851433834505</v>
      </c>
      <c r="AB255" s="130">
        <v>1</v>
      </c>
      <c r="AC255" s="128">
        <f t="shared" si="101"/>
        <v>0.5054631887989498</v>
      </c>
      <c r="AD255" s="4">
        <f t="shared" si="102"/>
        <v>0.14547597388473843</v>
      </c>
      <c r="AE255" s="4">
        <f t="shared" si="103"/>
        <v>0.24245995647456406</v>
      </c>
      <c r="AF255" s="32">
        <f t="shared" si="104"/>
        <v>0.75034631091575044</v>
      </c>
      <c r="AG255" s="4">
        <f t="shared" si="105"/>
        <v>1.0016180168826254</v>
      </c>
      <c r="AH255" s="42">
        <f t="shared" si="106"/>
        <v>1.5865455947071545</v>
      </c>
      <c r="AJ255" s="23">
        <v>4</v>
      </c>
      <c r="AK255" s="24">
        <v>0.8</v>
      </c>
      <c r="AL255" s="5">
        <f t="shared" si="107"/>
        <v>3.5100000000000048E-2</v>
      </c>
      <c r="AM255" s="5">
        <f t="shared" si="117"/>
        <v>0.1194718394324346</v>
      </c>
      <c r="AN255" s="25">
        <f t="shared" si="118"/>
        <v>-8.0000000000000002E-3</v>
      </c>
      <c r="AO255" s="30">
        <f t="shared" si="108"/>
        <v>1.5750000000000007E-2</v>
      </c>
      <c r="AP255" s="5">
        <f t="shared" si="109"/>
        <v>0.18</v>
      </c>
      <c r="AQ255" s="25">
        <v>0</v>
      </c>
    </row>
    <row r="256" spans="2:43">
      <c r="B256" s="38">
        <v>55000</v>
      </c>
      <c r="C256" s="3">
        <v>0</v>
      </c>
      <c r="D256" s="3">
        <f t="shared" si="120"/>
        <v>0.90000000000000024</v>
      </c>
      <c r="E256" s="13" cm="1">
        <f t="array" ref="E256">((B256-INDEX($AT$4:$AW$53,MATCH(B256,$AT$4:$AT$53,1),1))/(INDEX($AT$4:$AW$53,MATCH(B256,$AT$4:$AT$53,1)+1,1)-INDEX($AT$4:$AW$53,MATCH(B256,$AT$4:$AT$53,1),1)))*(INDEX($AT$4:$AW$53,MATCH(B256,$AT$4:$AT$53,1)+1,4)-INDEX($AT$4:$AW$53,MATCH(B256,$AT$4:$AT$53,1),4))+INDEX($AT$4:$AW$53,MATCH(B256,$AT$4:$AT$53,1),4)</f>
        <v>9.1907847746308864</v>
      </c>
      <c r="F256" s="13" cm="1">
        <f t="array" ref="F256">C256+((B256-INDEX($AT$4:$AW$53,MATCH(B256,$AT$4:$AT$53,1),1))/(INDEX($AT$4:$AW$53,MATCH(B256,$AT$4:$AT$53,1)+1,1)-INDEX($AT$4:$AW$53,MATCH(B256,$AT$4:$AT$53,1),1)))*(INDEX($AT$4:$AW$53,MATCH(B256,$AT$4:$AT$53,1)+1,3)-INDEX($AT$4:$AW$53,MATCH(B256,$AT$4:$AT$53,1),3))+INDEX($AT$4:$AW$53,MATCH(B256,$AT$4:$AT$53,1),3)</f>
        <v>216.7</v>
      </c>
      <c r="G256" s="4">
        <f t="shared" si="93"/>
        <v>0.14777868172461628</v>
      </c>
      <c r="H256" s="6">
        <f t="shared" si="110"/>
        <v>55000</v>
      </c>
      <c r="I256" s="13">
        <f t="shared" si="94"/>
        <v>265.56872669800566</v>
      </c>
      <c r="J256" s="13">
        <f t="shared" si="111"/>
        <v>516.22311370465138</v>
      </c>
      <c r="K256" s="13">
        <f t="shared" si="95"/>
        <v>179.28142445954879</v>
      </c>
      <c r="L256" s="13">
        <f t="shared" si="112"/>
        <v>195.80812351282589</v>
      </c>
      <c r="M256" s="13">
        <f t="shared" si="113"/>
        <v>6.3536181242452745</v>
      </c>
      <c r="N256" s="13">
        <f t="shared" si="114"/>
        <v>5.2111749672157144</v>
      </c>
      <c r="O256" s="4">
        <f t="shared" si="96"/>
        <v>1.1619999999999999</v>
      </c>
      <c r="P256" s="4">
        <f t="shared" si="97"/>
        <v>1.691303112850931</v>
      </c>
      <c r="Q256" s="4">
        <f t="shared" si="98"/>
        <v>0.87386916536526105</v>
      </c>
      <c r="R256" s="4">
        <f t="shared" si="99"/>
        <v>0.15341132888108719</v>
      </c>
      <c r="S256" s="4">
        <f t="shared" si="100"/>
        <v>0.12061343783743525</v>
      </c>
      <c r="T256" s="1"/>
      <c r="U256" s="1"/>
      <c r="V256" s="1">
        <v>1</v>
      </c>
      <c r="W256" s="1">
        <v>1</v>
      </c>
      <c r="Y256" s="1">
        <f t="shared" si="115"/>
        <v>-22.86532276362599</v>
      </c>
      <c r="Z256" s="1">
        <f t="shared" si="116"/>
        <v>-9.092507771163568</v>
      </c>
      <c r="AB256" s="130">
        <v>1</v>
      </c>
      <c r="AC256" s="128">
        <f t="shared" si="101"/>
        <v>0.50359216913646399</v>
      </c>
      <c r="AD256" s="4">
        <f t="shared" si="102"/>
        <v>0.15341132888108719</v>
      </c>
      <c r="AE256" s="4">
        <f t="shared" si="103"/>
        <v>0.25568554813514532</v>
      </c>
      <c r="AF256" s="32">
        <f t="shared" si="104"/>
        <v>0.77376075806365596</v>
      </c>
      <c r="AG256" s="4">
        <f t="shared" si="105"/>
        <v>1.0146260430759064</v>
      </c>
      <c r="AH256" s="42">
        <f t="shared" si="106"/>
        <v>1.5982528182811073</v>
      </c>
      <c r="AJ256" s="23">
        <v>4</v>
      </c>
      <c r="AK256" s="24">
        <v>0.8</v>
      </c>
      <c r="AL256" s="5">
        <f t="shared" si="107"/>
        <v>4.9400000000000062E-2</v>
      </c>
      <c r="AM256" s="5">
        <f t="shared" si="117"/>
        <v>0.1194718394324346</v>
      </c>
      <c r="AN256" s="25">
        <f t="shared" si="118"/>
        <v>-8.0000000000000002E-3</v>
      </c>
      <c r="AO256" s="30">
        <f t="shared" si="108"/>
        <v>1.7500000000000009E-2</v>
      </c>
      <c r="AP256" s="5">
        <f t="shared" si="109"/>
        <v>0.18</v>
      </c>
      <c r="AQ256" s="25">
        <v>0</v>
      </c>
    </row>
    <row r="257" spans="2:43">
      <c r="B257" s="38">
        <v>55000</v>
      </c>
      <c r="C257" s="3">
        <v>0</v>
      </c>
      <c r="D257" s="3">
        <f t="shared" si="120"/>
        <v>0.95000000000000029</v>
      </c>
      <c r="E257" s="13" cm="1">
        <f t="array" ref="E257">((B257-INDEX($AT$4:$AW$53,MATCH(B257,$AT$4:$AT$53,1),1))/(INDEX($AT$4:$AW$53,MATCH(B257,$AT$4:$AT$53,1)+1,1)-INDEX($AT$4:$AW$53,MATCH(B257,$AT$4:$AT$53,1),1)))*(INDEX($AT$4:$AW$53,MATCH(B257,$AT$4:$AT$53,1)+1,4)-INDEX($AT$4:$AW$53,MATCH(B257,$AT$4:$AT$53,1),4))+INDEX($AT$4:$AW$53,MATCH(B257,$AT$4:$AT$53,1),4)</f>
        <v>9.1907847746308864</v>
      </c>
      <c r="F257" s="13" cm="1">
        <f t="array" ref="F257">C257+((B257-INDEX($AT$4:$AW$53,MATCH(B257,$AT$4:$AT$53,1),1))/(INDEX($AT$4:$AW$53,MATCH(B257,$AT$4:$AT$53,1)+1,1)-INDEX($AT$4:$AW$53,MATCH(B257,$AT$4:$AT$53,1),1)))*(INDEX($AT$4:$AW$53,MATCH(B257,$AT$4:$AT$53,1)+1,3)-INDEX($AT$4:$AW$53,MATCH(B257,$AT$4:$AT$53,1),3))+INDEX($AT$4:$AW$53,MATCH(B257,$AT$4:$AT$53,1),3)</f>
        <v>216.7</v>
      </c>
      <c r="G257" s="4">
        <f t="shared" si="93"/>
        <v>0.14777868172461628</v>
      </c>
      <c r="H257" s="6">
        <f t="shared" si="110"/>
        <v>55000</v>
      </c>
      <c r="I257" s="13">
        <f t="shared" si="94"/>
        <v>280.32254484789485</v>
      </c>
      <c r="J257" s="13">
        <f t="shared" si="111"/>
        <v>544.90217557713197</v>
      </c>
      <c r="K257" s="13">
        <f t="shared" si="95"/>
        <v>189.24150359619037</v>
      </c>
      <c r="L257" s="13">
        <f t="shared" si="112"/>
        <v>208.67097338551389</v>
      </c>
      <c r="M257" s="13">
        <f t="shared" si="113"/>
        <v>7.2371725527042683</v>
      </c>
      <c r="N257" s="13">
        <f t="shared" si="114"/>
        <v>5.8062782813730642</v>
      </c>
      <c r="O257" s="4">
        <f t="shared" si="96"/>
        <v>1.1805000000000001</v>
      </c>
      <c r="P257" s="4">
        <f t="shared" si="97"/>
        <v>1.7874379315987108</v>
      </c>
      <c r="Q257" s="4">
        <f t="shared" si="98"/>
        <v>0.88778188443519013</v>
      </c>
      <c r="R257" s="4">
        <f t="shared" si="99"/>
        <v>0.1621313331096487</v>
      </c>
      <c r="S257" s="4">
        <f t="shared" si="100"/>
        <v>0.12061343783743525</v>
      </c>
      <c r="T257" s="1"/>
      <c r="U257" s="1"/>
      <c r="V257" s="1">
        <v>1</v>
      </c>
      <c r="W257" s="1">
        <v>1</v>
      </c>
      <c r="Y257" s="1">
        <f t="shared" si="115"/>
        <v>-32.231611258285369</v>
      </c>
      <c r="Z257" s="1">
        <f t="shared" si="116"/>
        <v>-7.9343535336712634</v>
      </c>
      <c r="AB257" s="130">
        <v>1</v>
      </c>
      <c r="AC257" s="128">
        <f t="shared" si="101"/>
        <v>0.50177243958633722</v>
      </c>
      <c r="AD257" s="4">
        <f t="shared" si="102"/>
        <v>0.1621313331096487</v>
      </c>
      <c r="AE257" s="4">
        <f t="shared" si="103"/>
        <v>0.27021888851608117</v>
      </c>
      <c r="AF257" s="32">
        <f t="shared" si="104"/>
        <v>0.79717520521156171</v>
      </c>
      <c r="AG257" s="4">
        <f t="shared" si="105"/>
        <v>1.0276340692691872</v>
      </c>
      <c r="AH257" s="42">
        <f t="shared" si="106"/>
        <v>1.6099600418550601</v>
      </c>
      <c r="AJ257" s="23">
        <v>4</v>
      </c>
      <c r="AK257" s="24">
        <v>0.8</v>
      </c>
      <c r="AL257" s="5">
        <f t="shared" si="107"/>
        <v>6.3700000000000062E-2</v>
      </c>
      <c r="AM257" s="5">
        <f t="shared" si="117"/>
        <v>0.1194718394324346</v>
      </c>
      <c r="AN257" s="25">
        <f t="shared" si="118"/>
        <v>-8.0000000000000002E-3</v>
      </c>
      <c r="AO257" s="30">
        <f t="shared" si="108"/>
        <v>1.925000000000001E-2</v>
      </c>
      <c r="AP257" s="5">
        <f t="shared" si="109"/>
        <v>0.18</v>
      </c>
      <c r="AQ257" s="25">
        <v>0</v>
      </c>
    </row>
    <row r="258" spans="2:43" ht="15" thickBot="1">
      <c r="B258" s="39">
        <v>55000</v>
      </c>
      <c r="C258" s="48">
        <v>0</v>
      </c>
      <c r="D258" s="48">
        <f t="shared" si="120"/>
        <v>1.0000000000000002</v>
      </c>
      <c r="E258" s="152" cm="1">
        <f t="array" ref="E258">((B258-INDEX($AT$4:$AW$53,MATCH(B258,$AT$4:$AT$53,1),1))/(INDEX($AT$4:$AW$53,MATCH(B258,$AT$4:$AT$53,1)+1,1)-INDEX($AT$4:$AW$53,MATCH(B258,$AT$4:$AT$53,1),1)))*(INDEX($AT$4:$AW$53,MATCH(B258,$AT$4:$AT$53,1)+1,4)-INDEX($AT$4:$AW$53,MATCH(B258,$AT$4:$AT$53,1),4))+INDEX($AT$4:$AW$53,MATCH(B258,$AT$4:$AT$53,1),4)</f>
        <v>9.1907847746308864</v>
      </c>
      <c r="F258" s="152" cm="1">
        <f t="array" ref="F258">C258+((B258-INDEX($AT$4:$AW$53,MATCH(B258,$AT$4:$AT$53,1),1))/(INDEX($AT$4:$AW$53,MATCH(B258,$AT$4:$AT$53,1)+1,1)-INDEX($AT$4:$AW$53,MATCH(B258,$AT$4:$AT$53,1),1)))*(INDEX($AT$4:$AW$53,MATCH(B258,$AT$4:$AT$53,1)+1,3)-INDEX($AT$4:$AW$53,MATCH(B258,$AT$4:$AT$53,1),3))+INDEX($AT$4:$AW$53,MATCH(B258,$AT$4:$AT$53,1),3)</f>
        <v>216.7</v>
      </c>
      <c r="G258" s="43">
        <f t="shared" si="93"/>
        <v>0.14777868172461628</v>
      </c>
      <c r="H258" s="153">
        <f t="shared" si="110"/>
        <v>55000</v>
      </c>
      <c r="I258" s="152">
        <f t="shared" si="94"/>
        <v>295.07636299778403</v>
      </c>
      <c r="J258" s="152">
        <f t="shared" si="111"/>
        <v>573.58123744961256</v>
      </c>
      <c r="K258" s="152">
        <f t="shared" si="95"/>
        <v>199.20158273283195</v>
      </c>
      <c r="L258" s="152">
        <f t="shared" si="112"/>
        <v>221.85130976225381</v>
      </c>
      <c r="M258" s="152">
        <f t="shared" si="113"/>
        <v>8.2067197169518344</v>
      </c>
      <c r="N258" s="152">
        <f t="shared" si="114"/>
        <v>6.4335493422416219</v>
      </c>
      <c r="O258" s="43">
        <f t="shared" si="96"/>
        <v>1.2</v>
      </c>
      <c r="P258" s="43">
        <f t="shared" si="97"/>
        <v>1.8929291587378541</v>
      </c>
      <c r="Q258" s="43">
        <f t="shared" si="98"/>
        <v>0.9024466423737636</v>
      </c>
      <c r="R258" s="43">
        <f t="shared" si="99"/>
        <v>0.17170001965539325</v>
      </c>
      <c r="S258" s="43">
        <f t="shared" si="100"/>
        <v>0.12061343783743525</v>
      </c>
      <c r="T258" s="98"/>
      <c r="U258" s="98"/>
      <c r="V258" s="98">
        <v>1</v>
      </c>
      <c r="W258" s="98">
        <v>1</v>
      </c>
      <c r="X258" s="104"/>
      <c r="Y258" s="98">
        <f t="shared" si="115"/>
        <v>-44.646493725235466</v>
      </c>
      <c r="Z258" s="1">
        <f t="shared" si="116"/>
        <v>-6.8609930600437181</v>
      </c>
      <c r="AB258" s="130">
        <v>1</v>
      </c>
      <c r="AC258" s="128">
        <f t="shared" si="101"/>
        <v>0.5</v>
      </c>
      <c r="AD258" s="4">
        <f t="shared" si="102"/>
        <v>0.17170001965539325</v>
      </c>
      <c r="AE258" s="4">
        <f t="shared" si="103"/>
        <v>0.28616669942565542</v>
      </c>
      <c r="AF258" s="32">
        <f t="shared" si="104"/>
        <v>0.82058965235946713</v>
      </c>
      <c r="AG258" s="4">
        <f t="shared" si="105"/>
        <v>1.0406420954624682</v>
      </c>
      <c r="AH258" s="42">
        <f t="shared" si="106"/>
        <v>1.6216672654290127</v>
      </c>
      <c r="AJ258" s="23">
        <v>4</v>
      </c>
      <c r="AK258" s="24">
        <v>0.8</v>
      </c>
      <c r="AL258" s="5">
        <f t="shared" si="107"/>
        <v>7.8000000000000042E-2</v>
      </c>
      <c r="AM258" s="5">
        <f t="shared" si="117"/>
        <v>0.1194718394324346</v>
      </c>
      <c r="AN258" s="25">
        <f t="shared" si="118"/>
        <v>-8.0000000000000002E-3</v>
      </c>
      <c r="AO258" s="30">
        <f t="shared" si="108"/>
        <v>2.1000000000000008E-2</v>
      </c>
      <c r="AP258" s="5">
        <f t="shared" si="109"/>
        <v>0.18</v>
      </c>
      <c r="AQ258" s="25">
        <v>0</v>
      </c>
    </row>
    <row r="259" spans="2:43">
      <c r="B259" s="146">
        <v>60000</v>
      </c>
      <c r="C259" s="147">
        <v>0</v>
      </c>
      <c r="D259" s="147">
        <v>0.01</v>
      </c>
      <c r="E259" s="148" cm="1">
        <f t="array" ref="E259">((B259-INDEX($AT$4:$AW$53,MATCH(B259,$AT$4:$AT$53,1),1))/(INDEX($AT$4:$AW$53,MATCH(B259,$AT$4:$AT$53,1)+1,1)-INDEX($AT$4:$AW$53,MATCH(B259,$AT$4:$AT$53,1),1)))*(INDEX($AT$4:$AW$53,MATCH(B259,$AT$4:$AT$53,1)+1,4)-INDEX($AT$4:$AW$53,MATCH(B259,$AT$4:$AT$53,1),4))+INDEX($AT$4:$AW$53,MATCH(B259,$AT$4:$AT$53,1),4)</f>
        <v>7.2366806671462198</v>
      </c>
      <c r="F259" s="148" cm="1">
        <f t="array" ref="F259">C259+((B259-INDEX($AT$4:$AW$53,MATCH(B259,$AT$4:$AT$53,1),1))/(INDEX($AT$4:$AW$53,MATCH(B259,$AT$4:$AT$53,1)+1,1)-INDEX($AT$4:$AW$53,MATCH(B259,$AT$4:$AT$53,1),1)))*(INDEX($AT$4:$AW$53,MATCH(B259,$AT$4:$AT$53,1)+1,3)-INDEX($AT$4:$AW$53,MATCH(B259,$AT$4:$AT$53,1),3))+INDEX($AT$4:$AW$53,MATCH(B259,$AT$4:$AT$53,1),3)</f>
        <v>216.7</v>
      </c>
      <c r="G259" s="149">
        <f t="shared" si="93"/>
        <v>0.11635863044087381</v>
      </c>
      <c r="H259" s="150">
        <f t="shared" si="110"/>
        <v>60000</v>
      </c>
      <c r="I259" s="148">
        <f t="shared" si="94"/>
        <v>2.9507636299778399</v>
      </c>
      <c r="J259" s="148">
        <f t="shared" si="111"/>
        <v>5.735812374496124</v>
      </c>
      <c r="K259" s="148">
        <f t="shared" si="95"/>
        <v>1.767608947040689</v>
      </c>
      <c r="L259" s="148">
        <f t="shared" si="112"/>
        <v>1.767629464139294</v>
      </c>
      <c r="M259" s="148">
        <f t="shared" si="113"/>
        <v>5.0658031101628431E-4</v>
      </c>
      <c r="N259" s="148">
        <f t="shared" si="114"/>
        <v>5.0656764670023533E-4</v>
      </c>
      <c r="O259" s="149">
        <f t="shared" si="96"/>
        <v>1.0000199999999999</v>
      </c>
      <c r="P259" s="149">
        <f t="shared" si="97"/>
        <v>1.0000700017500173</v>
      </c>
      <c r="Q259" s="149">
        <f t="shared" si="98"/>
        <v>0.75205390942217587</v>
      </c>
      <c r="R259" s="149">
        <f t="shared" si="99"/>
        <v>7.1425484800959643E-2</v>
      </c>
      <c r="S259" s="149">
        <f t="shared" si="100"/>
        <v>9.4969140851333275E-2</v>
      </c>
      <c r="T259" s="151"/>
      <c r="U259" s="151"/>
      <c r="V259" s="151">
        <v>1</v>
      </c>
      <c r="W259" s="151">
        <v>1</v>
      </c>
      <c r="X259" s="125"/>
      <c r="Y259" s="151">
        <f t="shared" si="115"/>
        <v>-1999.838834741671</v>
      </c>
      <c r="Z259" s="1">
        <f t="shared" si="116"/>
        <v>-1999.838834741671</v>
      </c>
      <c r="AB259" s="130">
        <v>1</v>
      </c>
      <c r="AC259" s="128">
        <f t="shared" si="101"/>
        <v>0.56299999999999994</v>
      </c>
      <c r="AD259" s="4">
        <f t="shared" si="102"/>
        <v>7.1425484800959643E-2</v>
      </c>
      <c r="AE259" s="4">
        <f t="shared" si="103"/>
        <v>0.11904247466826608</v>
      </c>
      <c r="AF259" s="32">
        <f t="shared" si="104"/>
        <v>0.3569835988309375</v>
      </c>
      <c r="AG259" s="4">
        <f t="shared" si="105"/>
        <v>0.78308317683550721</v>
      </c>
      <c r="AH259" s="42">
        <f t="shared" si="106"/>
        <v>1.389864238664748</v>
      </c>
      <c r="AJ259" s="23">
        <v>4</v>
      </c>
      <c r="AK259" s="24">
        <v>0.8</v>
      </c>
      <c r="AL259" s="5">
        <f t="shared" si="107"/>
        <v>2.0799999999999999E-2</v>
      </c>
      <c r="AM259" s="5">
        <f t="shared" si="117"/>
        <v>0.1194718394324346</v>
      </c>
      <c r="AN259" s="25">
        <f t="shared" si="118"/>
        <v>-8.0000000000000002E-3</v>
      </c>
      <c r="AO259" s="30">
        <f t="shared" si="108"/>
        <v>1.4E-2</v>
      </c>
      <c r="AP259" s="5">
        <f t="shared" si="109"/>
        <v>0.18</v>
      </c>
      <c r="AQ259" s="25">
        <v>0</v>
      </c>
    </row>
    <row r="260" spans="2:43">
      <c r="B260" s="38">
        <v>60000</v>
      </c>
      <c r="C260" s="3">
        <v>0</v>
      </c>
      <c r="D260" s="3">
        <v>0.05</v>
      </c>
      <c r="E260" s="13" cm="1">
        <f t="array" ref="E260">((B260-INDEX($AT$4:$AW$53,MATCH(B260,$AT$4:$AT$53,1),1))/(INDEX($AT$4:$AW$53,MATCH(B260,$AT$4:$AT$53,1)+1,1)-INDEX($AT$4:$AW$53,MATCH(B260,$AT$4:$AT$53,1),1)))*(INDEX($AT$4:$AW$53,MATCH(B260,$AT$4:$AT$53,1)+1,4)-INDEX($AT$4:$AW$53,MATCH(B260,$AT$4:$AT$53,1),4))+INDEX($AT$4:$AW$53,MATCH(B260,$AT$4:$AT$53,1),4)</f>
        <v>7.2366806671462198</v>
      </c>
      <c r="F260" s="13" cm="1">
        <f t="array" ref="F260">C260+((B260-INDEX($AT$4:$AW$53,MATCH(B260,$AT$4:$AT$53,1),1))/(INDEX($AT$4:$AW$53,MATCH(B260,$AT$4:$AT$53,1)+1,1)-INDEX($AT$4:$AW$53,MATCH(B260,$AT$4:$AT$53,1),1)))*(INDEX($AT$4:$AW$53,MATCH(B260,$AT$4:$AT$53,1)+1,3)-INDEX($AT$4:$AW$53,MATCH(B260,$AT$4:$AT$53,1),3))+INDEX($AT$4:$AW$53,MATCH(B260,$AT$4:$AT$53,1),3)</f>
        <v>216.7</v>
      </c>
      <c r="G260" s="4">
        <f t="shared" si="93"/>
        <v>0.11635863044087381</v>
      </c>
      <c r="H260" s="6">
        <f t="shared" si="110"/>
        <v>60000</v>
      </c>
      <c r="I260" s="13">
        <f t="shared" si="94"/>
        <v>14.753818149889199</v>
      </c>
      <c r="J260" s="13">
        <f t="shared" si="111"/>
        <v>28.67906187248062</v>
      </c>
      <c r="K260" s="13">
        <f t="shared" si="95"/>
        <v>8.8380447352034448</v>
      </c>
      <c r="L260" s="13">
        <f t="shared" si="112"/>
        <v>8.8406094545139418</v>
      </c>
      <c r="M260" s="13">
        <f t="shared" si="113"/>
        <v>1.2672108265887844E-2</v>
      </c>
      <c r="N260" s="13">
        <f t="shared" si="114"/>
        <v>1.2664191167505884E-2</v>
      </c>
      <c r="O260" s="4">
        <f t="shared" si="96"/>
        <v>1.0004999999999999</v>
      </c>
      <c r="P260" s="4">
        <f t="shared" si="97"/>
        <v>1.0017510940234544</v>
      </c>
      <c r="Q260" s="4">
        <f t="shared" si="98"/>
        <v>0.75241488807912549</v>
      </c>
      <c r="R260" s="4">
        <f t="shared" si="99"/>
        <v>7.154554922686511E-2</v>
      </c>
      <c r="S260" s="4">
        <f t="shared" si="100"/>
        <v>9.4969140851333275E-2</v>
      </c>
      <c r="T260" s="1"/>
      <c r="U260" s="1"/>
      <c r="V260" s="1">
        <v>1</v>
      </c>
      <c r="W260" s="1">
        <v>1</v>
      </c>
      <c r="Y260" s="1">
        <f t="shared" si="115"/>
        <v>-399.45044058056237</v>
      </c>
      <c r="Z260" s="1">
        <f t="shared" si="116"/>
        <v>-399.45044058056237</v>
      </c>
      <c r="AB260" s="130">
        <v>1</v>
      </c>
      <c r="AC260" s="128">
        <f t="shared" si="101"/>
        <v>0.55434752415750155</v>
      </c>
      <c r="AD260" s="4">
        <f t="shared" si="102"/>
        <v>7.154554922686511E-2</v>
      </c>
      <c r="AE260" s="4">
        <f t="shared" si="103"/>
        <v>0.11924258204477518</v>
      </c>
      <c r="AF260" s="32">
        <f t="shared" si="104"/>
        <v>0.37571515654926191</v>
      </c>
      <c r="AG260" s="4">
        <f t="shared" si="105"/>
        <v>0.79348959779013195</v>
      </c>
      <c r="AH260" s="42">
        <f t="shared" si="106"/>
        <v>1.3992300175239103</v>
      </c>
      <c r="AJ260" s="23">
        <v>4</v>
      </c>
      <c r="AK260" s="24">
        <v>0.8</v>
      </c>
      <c r="AL260" s="5">
        <f t="shared" si="107"/>
        <v>2.0799999999999999E-2</v>
      </c>
      <c r="AM260" s="5">
        <f t="shared" si="117"/>
        <v>0.1194718394324346</v>
      </c>
      <c r="AN260" s="25">
        <f t="shared" si="118"/>
        <v>-8.0000000000000002E-3</v>
      </c>
      <c r="AO260" s="30">
        <f t="shared" si="108"/>
        <v>1.4E-2</v>
      </c>
      <c r="AP260" s="5">
        <f t="shared" si="109"/>
        <v>0.18</v>
      </c>
      <c r="AQ260" s="25">
        <v>0</v>
      </c>
    </row>
    <row r="261" spans="2:43">
      <c r="B261" s="38">
        <v>60000</v>
      </c>
      <c r="C261" s="3">
        <v>0</v>
      </c>
      <c r="D261" s="3">
        <f t="shared" ref="D261:D279" si="121">D260+0.05</f>
        <v>0.1</v>
      </c>
      <c r="E261" s="13" cm="1">
        <f t="array" ref="E261">((B261-INDEX($AT$4:$AW$53,MATCH(B261,$AT$4:$AT$53,1),1))/(INDEX($AT$4:$AW$53,MATCH(B261,$AT$4:$AT$53,1)+1,1)-INDEX($AT$4:$AW$53,MATCH(B261,$AT$4:$AT$53,1),1)))*(INDEX($AT$4:$AW$53,MATCH(B261,$AT$4:$AT$53,1)+1,4)-INDEX($AT$4:$AW$53,MATCH(B261,$AT$4:$AT$53,1),4))+INDEX($AT$4:$AW$53,MATCH(B261,$AT$4:$AT$53,1),4)</f>
        <v>7.2366806671462198</v>
      </c>
      <c r="F261" s="13" cm="1">
        <f t="array" ref="F261">C261+((B261-INDEX($AT$4:$AW$53,MATCH(B261,$AT$4:$AT$53,1),1))/(INDEX($AT$4:$AW$53,MATCH(B261,$AT$4:$AT$53,1)+1,1)-INDEX($AT$4:$AW$53,MATCH(B261,$AT$4:$AT$53,1),1)))*(INDEX($AT$4:$AW$53,MATCH(B261,$AT$4:$AT$53,1)+1,3)-INDEX($AT$4:$AW$53,MATCH(B261,$AT$4:$AT$53,1),3))+INDEX($AT$4:$AW$53,MATCH(B261,$AT$4:$AT$53,1),3)</f>
        <v>216.7</v>
      </c>
      <c r="G261" s="4">
        <f t="shared" si="93"/>
        <v>0.11635863044087381</v>
      </c>
      <c r="H261" s="6">
        <f t="shared" si="110"/>
        <v>60000</v>
      </c>
      <c r="I261" s="13">
        <f t="shared" si="94"/>
        <v>29.507636299778397</v>
      </c>
      <c r="J261" s="13">
        <f t="shared" si="111"/>
        <v>57.35812374496124</v>
      </c>
      <c r="K261" s="13">
        <f t="shared" si="95"/>
        <v>17.67608947040689</v>
      </c>
      <c r="L261" s="13">
        <f t="shared" si="112"/>
        <v>17.696609274824898</v>
      </c>
      <c r="M261" s="13">
        <f t="shared" si="113"/>
        <v>5.0783533255264031E-2</v>
      </c>
      <c r="N261" s="13">
        <f t="shared" si="114"/>
        <v>5.0656764670023537E-2</v>
      </c>
      <c r="O261" s="4">
        <f t="shared" si="96"/>
        <v>1.002</v>
      </c>
      <c r="P261" s="4">
        <f t="shared" si="97"/>
        <v>1.0070175175043741</v>
      </c>
      <c r="Q261" s="4">
        <f t="shared" si="98"/>
        <v>0.75354294638209274</v>
      </c>
      <c r="R261" s="4">
        <f t="shared" si="99"/>
        <v>7.1921679747362285E-2</v>
      </c>
      <c r="S261" s="4">
        <f t="shared" si="100"/>
        <v>9.4969140851333275E-2</v>
      </c>
      <c r="T261" s="1"/>
      <c r="U261" s="1"/>
      <c r="V261" s="1">
        <v>1</v>
      </c>
      <c r="W261" s="1">
        <v>1</v>
      </c>
      <c r="Y261" s="1">
        <f t="shared" si="115"/>
        <v>-198.92053559965728</v>
      </c>
      <c r="Z261" s="1">
        <f t="shared" si="116"/>
        <v>-198.92053559965728</v>
      </c>
      <c r="AB261" s="130">
        <v>1</v>
      </c>
      <c r="AC261" s="128">
        <f t="shared" si="101"/>
        <v>0.5478640563788213</v>
      </c>
      <c r="AD261" s="4">
        <f t="shared" si="102"/>
        <v>7.1921679747362285E-2</v>
      </c>
      <c r="AE261" s="4">
        <f t="shared" si="103"/>
        <v>0.11986946624560381</v>
      </c>
      <c r="AF261" s="32">
        <f t="shared" si="104"/>
        <v>0.39912960369716743</v>
      </c>
      <c r="AG261" s="4">
        <f t="shared" si="105"/>
        <v>0.80649762398341274</v>
      </c>
      <c r="AH261" s="42">
        <f t="shared" si="106"/>
        <v>1.4109372410978629</v>
      </c>
      <c r="AJ261" s="23">
        <v>4</v>
      </c>
      <c r="AK261" s="24">
        <v>0.8</v>
      </c>
      <c r="AL261" s="5">
        <f t="shared" si="107"/>
        <v>2.0799999999999999E-2</v>
      </c>
      <c r="AM261" s="5">
        <f t="shared" si="117"/>
        <v>0.1194718394324346</v>
      </c>
      <c r="AN261" s="25">
        <f t="shared" si="118"/>
        <v>-8.0000000000000002E-3</v>
      </c>
      <c r="AO261" s="30">
        <f t="shared" si="108"/>
        <v>1.4E-2</v>
      </c>
      <c r="AP261" s="5">
        <f t="shared" si="109"/>
        <v>0.18</v>
      </c>
      <c r="AQ261" s="25">
        <v>0</v>
      </c>
    </row>
    <row r="262" spans="2:43">
      <c r="B262" s="38">
        <v>60000</v>
      </c>
      <c r="C262" s="3">
        <v>0</v>
      </c>
      <c r="D262" s="3">
        <f t="shared" si="121"/>
        <v>0.15000000000000002</v>
      </c>
      <c r="E262" s="13" cm="1">
        <f t="array" ref="E262">((B262-INDEX($AT$4:$AW$53,MATCH(B262,$AT$4:$AT$53,1),1))/(INDEX($AT$4:$AW$53,MATCH(B262,$AT$4:$AT$53,1)+1,1)-INDEX($AT$4:$AW$53,MATCH(B262,$AT$4:$AT$53,1),1)))*(INDEX($AT$4:$AW$53,MATCH(B262,$AT$4:$AT$53,1)+1,4)-INDEX($AT$4:$AW$53,MATCH(B262,$AT$4:$AT$53,1),4))+INDEX($AT$4:$AW$53,MATCH(B262,$AT$4:$AT$53,1),4)</f>
        <v>7.2366806671462198</v>
      </c>
      <c r="F262" s="13" cm="1">
        <f t="array" ref="F262">C262+((B262-INDEX($AT$4:$AW$53,MATCH(B262,$AT$4:$AT$53,1),1))/(INDEX($AT$4:$AW$53,MATCH(B262,$AT$4:$AT$53,1)+1,1)-INDEX($AT$4:$AW$53,MATCH(B262,$AT$4:$AT$53,1),1)))*(INDEX($AT$4:$AW$53,MATCH(B262,$AT$4:$AT$53,1)+1,3)-INDEX($AT$4:$AW$53,MATCH(B262,$AT$4:$AT$53,1),3))+INDEX($AT$4:$AW$53,MATCH(B262,$AT$4:$AT$53,1),3)</f>
        <v>216.7</v>
      </c>
      <c r="G262" s="4">
        <f t="shared" si="93"/>
        <v>0.11635863044087381</v>
      </c>
      <c r="H262" s="6">
        <f t="shared" si="110"/>
        <v>60000</v>
      </c>
      <c r="I262" s="13">
        <f t="shared" si="94"/>
        <v>44.261454449667603</v>
      </c>
      <c r="J262" s="13">
        <f t="shared" si="111"/>
        <v>86.037185617441878</v>
      </c>
      <c r="K262" s="13">
        <f t="shared" si="95"/>
        <v>26.51413420561034</v>
      </c>
      <c r="L262" s="13">
        <f t="shared" si="112"/>
        <v>26.583399973171794</v>
      </c>
      <c r="M262" s="13">
        <f t="shared" si="113"/>
        <v>0.11462028852698983</v>
      </c>
      <c r="N262" s="13">
        <f t="shared" si="114"/>
        <v>0.11397772050755299</v>
      </c>
      <c r="O262" s="4">
        <f t="shared" si="96"/>
        <v>1.0044999999999999</v>
      </c>
      <c r="P262" s="4">
        <f t="shared" si="97"/>
        <v>1.0158387931980133</v>
      </c>
      <c r="Q262" s="4">
        <f t="shared" si="98"/>
        <v>0.7554230435537046</v>
      </c>
      <c r="R262" s="4">
        <f t="shared" si="99"/>
        <v>7.2551699537855507E-2</v>
      </c>
      <c r="S262" s="4">
        <f t="shared" si="100"/>
        <v>9.4969140851333275E-2</v>
      </c>
      <c r="T262" s="1"/>
      <c r="U262" s="1"/>
      <c r="V262" s="1">
        <v>1</v>
      </c>
      <c r="W262" s="1">
        <v>1</v>
      </c>
      <c r="Y262" s="1">
        <f t="shared" si="115"/>
        <v>-131.727706595532</v>
      </c>
      <c r="Z262" s="1">
        <f t="shared" si="116"/>
        <v>-131.727706595532</v>
      </c>
      <c r="AB262" s="130">
        <v>1</v>
      </c>
      <c r="AC262" s="128">
        <f t="shared" si="101"/>
        <v>0.54288911657654815</v>
      </c>
      <c r="AD262" s="4">
        <f t="shared" si="102"/>
        <v>7.2551699537855507E-2</v>
      </c>
      <c r="AE262" s="4">
        <f t="shared" si="103"/>
        <v>0.12091949922975918</v>
      </c>
      <c r="AF262" s="32">
        <f t="shared" si="104"/>
        <v>0.42254405084507296</v>
      </c>
      <c r="AG262" s="4">
        <f t="shared" si="105"/>
        <v>0.81950565017669363</v>
      </c>
      <c r="AH262" s="42">
        <f t="shared" si="106"/>
        <v>1.4226444646718157</v>
      </c>
      <c r="AJ262" s="23">
        <v>4</v>
      </c>
      <c r="AK262" s="24">
        <v>0.8</v>
      </c>
      <c r="AL262" s="5">
        <f t="shared" si="107"/>
        <v>2.0799999999999999E-2</v>
      </c>
      <c r="AM262" s="5">
        <f t="shared" si="117"/>
        <v>0.1194718394324346</v>
      </c>
      <c r="AN262" s="25">
        <f t="shared" si="118"/>
        <v>-8.0000000000000002E-3</v>
      </c>
      <c r="AO262" s="30">
        <f t="shared" si="108"/>
        <v>1.4E-2</v>
      </c>
      <c r="AP262" s="5">
        <f t="shared" si="109"/>
        <v>0.18</v>
      </c>
      <c r="AQ262" s="25">
        <v>0</v>
      </c>
    </row>
    <row r="263" spans="2:43">
      <c r="B263" s="38">
        <v>60000</v>
      </c>
      <c r="C263" s="3">
        <v>0</v>
      </c>
      <c r="D263" s="3">
        <f t="shared" si="121"/>
        <v>0.2</v>
      </c>
      <c r="E263" s="13" cm="1">
        <f t="array" ref="E263">((B263-INDEX($AT$4:$AW$53,MATCH(B263,$AT$4:$AT$53,1),1))/(INDEX($AT$4:$AW$53,MATCH(B263,$AT$4:$AT$53,1)+1,1)-INDEX($AT$4:$AW$53,MATCH(B263,$AT$4:$AT$53,1),1)))*(INDEX($AT$4:$AW$53,MATCH(B263,$AT$4:$AT$53,1)+1,4)-INDEX($AT$4:$AW$53,MATCH(B263,$AT$4:$AT$53,1),4))+INDEX($AT$4:$AW$53,MATCH(B263,$AT$4:$AT$53,1),4)</f>
        <v>7.2366806671462198</v>
      </c>
      <c r="F263" s="13" cm="1">
        <f t="array" ref="F263">C263+((B263-INDEX($AT$4:$AW$53,MATCH(B263,$AT$4:$AT$53,1),1))/(INDEX($AT$4:$AW$53,MATCH(B263,$AT$4:$AT$53,1)+1,1)-INDEX($AT$4:$AW$53,MATCH(B263,$AT$4:$AT$53,1),1)))*(INDEX($AT$4:$AW$53,MATCH(B263,$AT$4:$AT$53,1)+1,3)-INDEX($AT$4:$AW$53,MATCH(B263,$AT$4:$AT$53,1),3))+INDEX($AT$4:$AW$53,MATCH(B263,$AT$4:$AT$53,1),3)</f>
        <v>216.7</v>
      </c>
      <c r="G263" s="4">
        <f t="shared" ref="G263:G279" si="122">E263*1000/($D$3*F263)</f>
        <v>0.11635863044087381</v>
      </c>
      <c r="H263" s="6">
        <f t="shared" si="110"/>
        <v>60000</v>
      </c>
      <c r="I263" s="13">
        <f t="shared" ref="I263:I279" si="123">D263*SQRT($E$3*$D$3*F263)</f>
        <v>59.015272599556795</v>
      </c>
      <c r="J263" s="13">
        <f t="shared" si="111"/>
        <v>114.71624748992248</v>
      </c>
      <c r="K263" s="13">
        <f t="shared" ref="K263:K279" si="124">J263*SQRT(S263)</f>
        <v>35.352178940813779</v>
      </c>
      <c r="L263" s="13">
        <f t="shared" si="112"/>
        <v>35.516401875167524</v>
      </c>
      <c r="M263" s="13">
        <f t="shared" si="113"/>
        <v>0.204661442447854</v>
      </c>
      <c r="N263" s="13">
        <f t="shared" si="114"/>
        <v>0.20262705868009415</v>
      </c>
      <c r="O263" s="4">
        <f t="shared" ref="O263:O279" si="125">(1+($E$3-1)/2*D263^2)</f>
        <v>1.008</v>
      </c>
      <c r="P263" s="4">
        <f t="shared" ref="P263:P279" si="126">O263^($E$3/($E$3-1))</f>
        <v>1.0282811211191059</v>
      </c>
      <c r="Q263" s="4">
        <f t="shared" ref="Q263:Q279" si="127">F263*O263/$C$3</f>
        <v>0.75805517959396151</v>
      </c>
      <c r="R263" s="4">
        <f t="shared" ref="R263:R279" si="128">E263*P263/$B$3</f>
        <v>7.344033663552009E-2</v>
      </c>
      <c r="S263" s="4">
        <f t="shared" ref="S263:S279" si="129">G263/($B$3*1000/($D$3*$C$3))</f>
        <v>9.4969140851333275E-2</v>
      </c>
      <c r="T263" s="1"/>
      <c r="U263" s="1"/>
      <c r="V263" s="1">
        <v>1</v>
      </c>
      <c r="W263" s="1">
        <v>1</v>
      </c>
      <c r="Y263" s="1">
        <f t="shared" si="115"/>
        <v>-97.878124362111279</v>
      </c>
      <c r="Z263" s="1">
        <f t="shared" si="116"/>
        <v>-97.878124362111279</v>
      </c>
      <c r="AB263" s="130">
        <v>1</v>
      </c>
      <c r="AC263" s="128">
        <f t="shared" ref="AC263:AC279" si="130">1-(0.43+0.014*MIN(MAX(AB263,5),15)*SQRT(D263))</f>
        <v>0.53869504831500292</v>
      </c>
      <c r="AD263" s="4">
        <f t="shared" ref="AD263:AD279" si="131">R263</f>
        <v>7.344033663552009E-2</v>
      </c>
      <c r="AE263" s="4">
        <f t="shared" ref="AE263:AE279" si="132">R263/0.6</f>
        <v>0.12240056105920015</v>
      </c>
      <c r="AF263" s="32">
        <f t="shared" ref="AF263:AF279" si="133">(0.45+0.54*D263-MIN(MAX(AB263,5),15)/100+(MIN(MAX(AB263,5),15)^2)/4000)*SQRT(F263/$C$3)</f>
        <v>0.44595849799297849</v>
      </c>
      <c r="AG263" s="4">
        <f t="shared" ref="AG263:AG279" si="134">(0.9+0.3*D263)*SQRT(F263/$C$3)</f>
        <v>0.83251367636997442</v>
      </c>
      <c r="AH263" s="42">
        <f t="shared" ref="AH263:AH279" si="135">(1.6+0.27*D263)*SQRT(F263/$C$3)</f>
        <v>1.4343516882457685</v>
      </c>
      <c r="AJ263" s="23">
        <v>4</v>
      </c>
      <c r="AK263" s="24">
        <v>0.8</v>
      </c>
      <c r="AL263" s="5">
        <f t="shared" ref="AL263:AL279" si="136">IF(D263&gt;0.8, 0.02+(D263-0.8)*0.286,0.02)+0.02*0.2^2</f>
        <v>2.0799999999999999E-2</v>
      </c>
      <c r="AM263" s="5">
        <f t="shared" si="117"/>
        <v>0.1194718394324346</v>
      </c>
      <c r="AN263" s="25">
        <f t="shared" si="118"/>
        <v>-8.0000000000000002E-3</v>
      </c>
      <c r="AO263" s="30">
        <f t="shared" ref="AO263:AO279" si="137">IF(D263&lt;0.8,0.014, IF(D263&gt;1.2, 0.028,0.014+(D263-0.8)*0.035))</f>
        <v>1.4E-2</v>
      </c>
      <c r="AP263" s="5">
        <f t="shared" ref="AP263:AP279" si="138">IF(D263&gt;1,0.18+(D263-1)*0.18,0.18)</f>
        <v>0.18</v>
      </c>
      <c r="AQ263" s="25">
        <v>0</v>
      </c>
    </row>
    <row r="264" spans="2:43">
      <c r="B264" s="38">
        <v>60000</v>
      </c>
      <c r="C264" s="3">
        <v>0</v>
      </c>
      <c r="D264" s="3">
        <f t="shared" si="121"/>
        <v>0.25</v>
      </c>
      <c r="E264" s="13" cm="1">
        <f t="array" ref="E264">((B264-INDEX($AT$4:$AW$53,MATCH(B264,$AT$4:$AT$53,1),1))/(INDEX($AT$4:$AW$53,MATCH(B264,$AT$4:$AT$53,1)+1,1)-INDEX($AT$4:$AW$53,MATCH(B264,$AT$4:$AT$53,1),1)))*(INDEX($AT$4:$AW$53,MATCH(B264,$AT$4:$AT$53,1)+1,4)-INDEX($AT$4:$AW$53,MATCH(B264,$AT$4:$AT$53,1),4))+INDEX($AT$4:$AW$53,MATCH(B264,$AT$4:$AT$53,1),4)</f>
        <v>7.2366806671462198</v>
      </c>
      <c r="F264" s="13" cm="1">
        <f t="array" ref="F264">C264+((B264-INDEX($AT$4:$AW$53,MATCH(B264,$AT$4:$AT$53,1),1))/(INDEX($AT$4:$AW$53,MATCH(B264,$AT$4:$AT$53,1)+1,1)-INDEX($AT$4:$AW$53,MATCH(B264,$AT$4:$AT$53,1),1)))*(INDEX($AT$4:$AW$53,MATCH(B264,$AT$4:$AT$53,1)+1,3)-INDEX($AT$4:$AW$53,MATCH(B264,$AT$4:$AT$53,1),3))+INDEX($AT$4:$AW$53,MATCH(B264,$AT$4:$AT$53,1),3)</f>
        <v>216.7</v>
      </c>
      <c r="G264" s="4">
        <f t="shared" si="122"/>
        <v>0.11635863044087381</v>
      </c>
      <c r="H264" s="6">
        <f t="shared" ref="H264:H279" si="139">B264+(120*C264)</f>
        <v>60000</v>
      </c>
      <c r="I264" s="13">
        <f t="shared" si="123"/>
        <v>73.769090749445994</v>
      </c>
      <c r="J264" s="13">
        <f t="shared" ref="J264:J279" si="140">I264*1.94384</f>
        <v>143.39530936240311</v>
      </c>
      <c r="K264" s="13">
        <f t="shared" si="124"/>
        <v>44.190223676017226</v>
      </c>
      <c r="L264" s="13">
        <f t="shared" ref="L264:L279" si="141">SQRT($E$3*$D$3*$C$3)*SQRT(5*(((((P264-1)*E264)/$B$3)+1)^(2/7)-1))*1.94384</f>
        <v>44.511063828675752</v>
      </c>
      <c r="M264" s="13">
        <f t="shared" ref="M264:M279" si="142">(P264-1)*E264</f>
        <v>0.32158269554777558</v>
      </c>
      <c r="N264" s="13">
        <f t="shared" ref="N264:N279" si="143">(0.5*G264*I264^2)/1000</f>
        <v>0.31660477918764707</v>
      </c>
      <c r="O264" s="4">
        <f t="shared" si="125"/>
        <v>1.0125</v>
      </c>
      <c r="P264" s="4">
        <f t="shared" si="126"/>
        <v>1.0444378728783388</v>
      </c>
      <c r="Q264" s="4">
        <f t="shared" si="127"/>
        <v>0.76143935450286304</v>
      </c>
      <c r="R264" s="4">
        <f t="shared" si="128"/>
        <v>7.4594259686099132E-2</v>
      </c>
      <c r="S264" s="4">
        <f t="shared" si="129"/>
        <v>9.4969140851333275E-2</v>
      </c>
      <c r="T264" s="1"/>
      <c r="U264" s="1"/>
      <c r="V264" s="1">
        <v>1</v>
      </c>
      <c r="W264" s="1">
        <v>1</v>
      </c>
      <c r="Y264" s="1">
        <f t="shared" ref="Y264:Y279" si="144">I264*((AD264/W264)*$H$3-AM264*V264^2*W264/(N264*1000)*$J$3*1000-AN264*V264-(AL264/((W264/(N264*1000))*$J$3*1000)))</f>
        <v>-77.375660176827921</v>
      </c>
      <c r="Z264" s="1">
        <f t="shared" ref="Z264:Z279" si="145">I264*((AD264/W264)*$H$3-AM264*V264^2*W264/(N264*1000)*$J$3*1000-AN264*V264-($AL$7/((W264/(N264*1000))*$J$3*1000)))</f>
        <v>-77.375660176827921</v>
      </c>
      <c r="AB264" s="130">
        <v>1</v>
      </c>
      <c r="AC264" s="128">
        <f t="shared" si="130"/>
        <v>0.53500000000000003</v>
      </c>
      <c r="AD264" s="4">
        <f t="shared" si="131"/>
        <v>7.4594259686099132E-2</v>
      </c>
      <c r="AE264" s="4">
        <f t="shared" si="132"/>
        <v>0.12432376614349856</v>
      </c>
      <c r="AF264" s="32">
        <f t="shared" si="133"/>
        <v>0.46937294514088396</v>
      </c>
      <c r="AG264" s="4">
        <f t="shared" si="134"/>
        <v>0.84552170256325532</v>
      </c>
      <c r="AH264" s="42">
        <f t="shared" si="135"/>
        <v>1.4460589118197211</v>
      </c>
      <c r="AJ264" s="23">
        <v>4</v>
      </c>
      <c r="AK264" s="24">
        <v>0.8</v>
      </c>
      <c r="AL264" s="5">
        <f t="shared" si="136"/>
        <v>2.0799999999999999E-2</v>
      </c>
      <c r="AM264" s="5">
        <f t="shared" ref="AM264:AM279" si="146">1/(PI()*AJ264*AK264)+0.02</f>
        <v>0.1194718394324346</v>
      </c>
      <c r="AN264" s="25">
        <f t="shared" si="118"/>
        <v>-8.0000000000000002E-3</v>
      </c>
      <c r="AO264" s="30">
        <f t="shared" si="137"/>
        <v>1.4E-2</v>
      </c>
      <c r="AP264" s="5">
        <f t="shared" si="138"/>
        <v>0.18</v>
      </c>
      <c r="AQ264" s="25">
        <v>0</v>
      </c>
    </row>
    <row r="265" spans="2:43">
      <c r="B265" s="38">
        <v>60000</v>
      </c>
      <c r="C265" s="3">
        <v>0</v>
      </c>
      <c r="D265" s="3">
        <f t="shared" si="121"/>
        <v>0.3</v>
      </c>
      <c r="E265" s="13" cm="1">
        <f t="array" ref="E265">((B265-INDEX($AT$4:$AW$53,MATCH(B265,$AT$4:$AT$53,1),1))/(INDEX($AT$4:$AW$53,MATCH(B265,$AT$4:$AT$53,1)+1,1)-INDEX($AT$4:$AW$53,MATCH(B265,$AT$4:$AT$53,1),1)))*(INDEX($AT$4:$AW$53,MATCH(B265,$AT$4:$AT$53,1)+1,4)-INDEX($AT$4:$AW$53,MATCH(B265,$AT$4:$AT$53,1),4))+INDEX($AT$4:$AW$53,MATCH(B265,$AT$4:$AT$53,1),4)</f>
        <v>7.2366806671462198</v>
      </c>
      <c r="F265" s="13" cm="1">
        <f t="array" ref="F265">C265+((B265-INDEX($AT$4:$AW$53,MATCH(B265,$AT$4:$AT$53,1),1))/(INDEX($AT$4:$AW$53,MATCH(B265,$AT$4:$AT$53,1)+1,1)-INDEX($AT$4:$AW$53,MATCH(B265,$AT$4:$AT$53,1),1)))*(INDEX($AT$4:$AW$53,MATCH(B265,$AT$4:$AT$53,1)+1,3)-INDEX($AT$4:$AW$53,MATCH(B265,$AT$4:$AT$53,1),3))+INDEX($AT$4:$AW$53,MATCH(B265,$AT$4:$AT$53,1),3)</f>
        <v>216.7</v>
      </c>
      <c r="G265" s="4">
        <f t="shared" si="122"/>
        <v>0.11635863044087381</v>
      </c>
      <c r="H265" s="6">
        <f t="shared" si="139"/>
        <v>60000</v>
      </c>
      <c r="I265" s="13">
        <f t="shared" si="123"/>
        <v>88.522908899335192</v>
      </c>
      <c r="J265" s="13">
        <f t="shared" si="140"/>
        <v>172.07437123488373</v>
      </c>
      <c r="K265" s="13">
        <f t="shared" si="124"/>
        <v>53.028268411220672</v>
      </c>
      <c r="L265" s="13">
        <f t="shared" si="141"/>
        <v>53.58287047837355</v>
      </c>
      <c r="M265" s="13">
        <f t="shared" si="142"/>
        <v>0.46626140618166684</v>
      </c>
      <c r="N265" s="13">
        <f t="shared" si="143"/>
        <v>0.45591088203021179</v>
      </c>
      <c r="O265" s="4">
        <f t="shared" si="125"/>
        <v>1.018</v>
      </c>
      <c r="P265" s="4">
        <f t="shared" si="126"/>
        <v>1.0644302861529382</v>
      </c>
      <c r="Q265" s="4">
        <f t="shared" si="127"/>
        <v>0.76557556828040951</v>
      </c>
      <c r="R265" s="4">
        <f t="shared" si="128"/>
        <v>7.6022127543329751E-2</v>
      </c>
      <c r="S265" s="4">
        <f t="shared" si="129"/>
        <v>9.4969140851333275E-2</v>
      </c>
      <c r="T265" s="1"/>
      <c r="U265" s="1"/>
      <c r="V265" s="1">
        <v>1</v>
      </c>
      <c r="W265" s="1">
        <v>1</v>
      </c>
      <c r="Y265" s="1">
        <f t="shared" si="144"/>
        <v>-63.556935650876078</v>
      </c>
      <c r="Z265" s="1">
        <f t="shared" si="145"/>
        <v>-63.556935650876078</v>
      </c>
      <c r="AB265" s="130">
        <v>1</v>
      </c>
      <c r="AC265" s="128">
        <f t="shared" si="130"/>
        <v>0.53165942097463836</v>
      </c>
      <c r="AD265" s="4">
        <f t="shared" si="131"/>
        <v>7.6022127543329751E-2</v>
      </c>
      <c r="AE265" s="4">
        <f t="shared" si="132"/>
        <v>0.12670354590554958</v>
      </c>
      <c r="AF265" s="32">
        <f t="shared" si="133"/>
        <v>0.49278739228878948</v>
      </c>
      <c r="AG265" s="4">
        <f t="shared" si="134"/>
        <v>0.8585297287565361</v>
      </c>
      <c r="AH265" s="42">
        <f t="shared" si="135"/>
        <v>1.4577661353936739</v>
      </c>
      <c r="AJ265" s="23">
        <v>4</v>
      </c>
      <c r="AK265" s="24">
        <v>0.8</v>
      </c>
      <c r="AL265" s="5">
        <f t="shared" si="136"/>
        <v>2.0799999999999999E-2</v>
      </c>
      <c r="AM265" s="5">
        <f t="shared" si="146"/>
        <v>0.1194718394324346</v>
      </c>
      <c r="AN265" s="25">
        <f t="shared" ref="AN265:AN279" si="147">AN264</f>
        <v>-8.0000000000000002E-3</v>
      </c>
      <c r="AO265" s="30">
        <f t="shared" si="137"/>
        <v>1.4E-2</v>
      </c>
      <c r="AP265" s="5">
        <f t="shared" si="138"/>
        <v>0.18</v>
      </c>
      <c r="AQ265" s="25">
        <v>0</v>
      </c>
    </row>
    <row r="266" spans="2:43">
      <c r="B266" s="38">
        <v>60000</v>
      </c>
      <c r="C266" s="3">
        <v>0</v>
      </c>
      <c r="D266" s="3">
        <f t="shared" si="121"/>
        <v>0.35</v>
      </c>
      <c r="E266" s="13" cm="1">
        <f t="array" ref="E266">((B266-INDEX($AT$4:$AW$53,MATCH(B266,$AT$4:$AT$53,1),1))/(INDEX($AT$4:$AW$53,MATCH(B266,$AT$4:$AT$53,1)+1,1)-INDEX($AT$4:$AW$53,MATCH(B266,$AT$4:$AT$53,1),1)))*(INDEX($AT$4:$AW$53,MATCH(B266,$AT$4:$AT$53,1)+1,4)-INDEX($AT$4:$AW$53,MATCH(B266,$AT$4:$AT$53,1),4))+INDEX($AT$4:$AW$53,MATCH(B266,$AT$4:$AT$53,1),4)</f>
        <v>7.2366806671462198</v>
      </c>
      <c r="F266" s="13" cm="1">
        <f t="array" ref="F266">C266+((B266-INDEX($AT$4:$AW$53,MATCH(B266,$AT$4:$AT$53,1),1))/(INDEX($AT$4:$AW$53,MATCH(B266,$AT$4:$AT$53,1)+1,1)-INDEX($AT$4:$AW$53,MATCH(B266,$AT$4:$AT$53,1),1)))*(INDEX($AT$4:$AW$53,MATCH(B266,$AT$4:$AT$53,1)+1,3)-INDEX($AT$4:$AW$53,MATCH(B266,$AT$4:$AT$53,1),3))+INDEX($AT$4:$AW$53,MATCH(B266,$AT$4:$AT$53,1),3)</f>
        <v>216.7</v>
      </c>
      <c r="G266" s="4">
        <f t="shared" si="122"/>
        <v>0.11635863044087381</v>
      </c>
      <c r="H266" s="6">
        <f t="shared" si="139"/>
        <v>60000</v>
      </c>
      <c r="I266" s="13">
        <f t="shared" si="123"/>
        <v>103.27672704922439</v>
      </c>
      <c r="J266" s="13">
        <f t="shared" si="140"/>
        <v>200.75343310736434</v>
      </c>
      <c r="K266" s="13">
        <f t="shared" si="124"/>
        <v>61.866313146424119</v>
      </c>
      <c r="L266" s="13">
        <f t="shared" si="141"/>
        <v>62.747347633685784</v>
      </c>
      <c r="M266" s="13">
        <f t="shared" si="142"/>
        <v>0.63978308176982079</v>
      </c>
      <c r="N266" s="13">
        <f t="shared" si="143"/>
        <v>0.6205453672077883</v>
      </c>
      <c r="O266" s="4">
        <f t="shared" si="125"/>
        <v>1.0245</v>
      </c>
      <c r="P266" s="4">
        <f t="shared" si="126"/>
        <v>1.0884083616780784</v>
      </c>
      <c r="Q266" s="4">
        <f t="shared" si="127"/>
        <v>0.77046382092660071</v>
      </c>
      <c r="R266" s="4">
        <f t="shared" si="128"/>
        <v>7.7734653332504719E-2</v>
      </c>
      <c r="S266" s="4">
        <f t="shared" si="129"/>
        <v>9.4969140851333275E-2</v>
      </c>
      <c r="T266" s="1"/>
      <c r="U266" s="1"/>
      <c r="V266" s="1">
        <v>1</v>
      </c>
      <c r="W266" s="1">
        <v>1</v>
      </c>
      <c r="Y266" s="1">
        <f t="shared" si="144"/>
        <v>-53.567705480553045</v>
      </c>
      <c r="Z266" s="1">
        <f t="shared" si="145"/>
        <v>-53.567705480553045</v>
      </c>
      <c r="AB266" s="130">
        <v>1</v>
      </c>
      <c r="AC266" s="128">
        <f t="shared" si="130"/>
        <v>0.52858744151830273</v>
      </c>
      <c r="AD266" s="4">
        <f t="shared" si="131"/>
        <v>7.7734653332504719E-2</v>
      </c>
      <c r="AE266" s="4">
        <f t="shared" si="132"/>
        <v>0.12955775555417454</v>
      </c>
      <c r="AF266" s="32">
        <f t="shared" si="133"/>
        <v>0.51620183943669506</v>
      </c>
      <c r="AG266" s="4">
        <f t="shared" si="134"/>
        <v>0.87153775494981711</v>
      </c>
      <c r="AH266" s="42">
        <f t="shared" si="135"/>
        <v>1.4694733589676268</v>
      </c>
      <c r="AJ266" s="23">
        <v>4</v>
      </c>
      <c r="AK266" s="24">
        <v>0.8</v>
      </c>
      <c r="AL266" s="5">
        <f t="shared" si="136"/>
        <v>2.0799999999999999E-2</v>
      </c>
      <c r="AM266" s="5">
        <f t="shared" si="146"/>
        <v>0.1194718394324346</v>
      </c>
      <c r="AN266" s="25">
        <f t="shared" si="147"/>
        <v>-8.0000000000000002E-3</v>
      </c>
      <c r="AO266" s="30">
        <f t="shared" si="137"/>
        <v>1.4E-2</v>
      </c>
      <c r="AP266" s="5">
        <f t="shared" si="138"/>
        <v>0.18</v>
      </c>
      <c r="AQ266" s="25">
        <v>0</v>
      </c>
    </row>
    <row r="267" spans="2:43">
      <c r="B267" s="38">
        <v>60000</v>
      </c>
      <c r="C267" s="3">
        <v>0</v>
      </c>
      <c r="D267" s="3">
        <f t="shared" si="121"/>
        <v>0.39999999999999997</v>
      </c>
      <c r="E267" s="13" cm="1">
        <f t="array" ref="E267">((B267-INDEX($AT$4:$AW$53,MATCH(B267,$AT$4:$AT$53,1),1))/(INDEX($AT$4:$AW$53,MATCH(B267,$AT$4:$AT$53,1)+1,1)-INDEX($AT$4:$AW$53,MATCH(B267,$AT$4:$AT$53,1),1)))*(INDEX($AT$4:$AW$53,MATCH(B267,$AT$4:$AT$53,1)+1,4)-INDEX($AT$4:$AW$53,MATCH(B267,$AT$4:$AT$53,1),4))+INDEX($AT$4:$AW$53,MATCH(B267,$AT$4:$AT$53,1),4)</f>
        <v>7.2366806671462198</v>
      </c>
      <c r="F267" s="13" cm="1">
        <f t="array" ref="F267">C267+((B267-INDEX($AT$4:$AW$53,MATCH(B267,$AT$4:$AT$53,1),1))/(INDEX($AT$4:$AW$53,MATCH(B267,$AT$4:$AT$53,1)+1,1)-INDEX($AT$4:$AW$53,MATCH(B267,$AT$4:$AT$53,1),1)))*(INDEX($AT$4:$AW$53,MATCH(B267,$AT$4:$AT$53,1)+1,3)-INDEX($AT$4:$AW$53,MATCH(B267,$AT$4:$AT$53,1),3))+INDEX($AT$4:$AW$53,MATCH(B267,$AT$4:$AT$53,1),3)</f>
        <v>216.7</v>
      </c>
      <c r="G267" s="4">
        <f t="shared" si="122"/>
        <v>0.11635863044087381</v>
      </c>
      <c r="H267" s="6">
        <f t="shared" si="139"/>
        <v>60000</v>
      </c>
      <c r="I267" s="13">
        <f t="shared" si="123"/>
        <v>118.03054519911358</v>
      </c>
      <c r="J267" s="13">
        <f t="shared" si="140"/>
        <v>229.43249497984493</v>
      </c>
      <c r="K267" s="13">
        <f t="shared" si="124"/>
        <v>70.704357881627544</v>
      </c>
      <c r="L267" s="13">
        <f t="shared" si="141"/>
        <v>72.020065262749767</v>
      </c>
      <c r="M267" s="13">
        <f t="shared" si="142"/>
        <v>0.84344935769332929</v>
      </c>
      <c r="N267" s="13">
        <f t="shared" si="143"/>
        <v>0.81050823472037636</v>
      </c>
      <c r="O267" s="4">
        <f t="shared" si="125"/>
        <v>1.032</v>
      </c>
      <c r="P267" s="4">
        <f t="shared" si="126"/>
        <v>1.1165519658097534</v>
      </c>
      <c r="Q267" s="4">
        <f t="shared" si="127"/>
        <v>0.77610411244143684</v>
      </c>
      <c r="R267" s="4">
        <f t="shared" si="128"/>
        <v>7.9744683196047855E-2</v>
      </c>
      <c r="S267" s="4">
        <f t="shared" si="129"/>
        <v>9.4969140851333275E-2</v>
      </c>
      <c r="T267" s="1"/>
      <c r="U267" s="1"/>
      <c r="V267" s="1">
        <v>1</v>
      </c>
      <c r="W267" s="1">
        <v>1</v>
      </c>
      <c r="Y267" s="1">
        <f t="shared" si="144"/>
        <v>-45.981904143854536</v>
      </c>
      <c r="Z267" s="1">
        <f t="shared" si="145"/>
        <v>-45.981904143854536</v>
      </c>
      <c r="AB267" s="130">
        <v>1</v>
      </c>
      <c r="AC267" s="128">
        <f t="shared" si="130"/>
        <v>0.52572811275764275</v>
      </c>
      <c r="AD267" s="4">
        <f t="shared" si="131"/>
        <v>7.9744683196047855E-2</v>
      </c>
      <c r="AE267" s="4">
        <f t="shared" si="132"/>
        <v>0.13290780532674643</v>
      </c>
      <c r="AF267" s="32">
        <f t="shared" si="133"/>
        <v>0.53961628658460059</v>
      </c>
      <c r="AG267" s="4">
        <f t="shared" si="134"/>
        <v>0.8845457811430979</v>
      </c>
      <c r="AH267" s="42">
        <f t="shared" si="135"/>
        <v>1.4811805825415796</v>
      </c>
      <c r="AJ267" s="23">
        <v>4</v>
      </c>
      <c r="AK267" s="24">
        <v>0.8</v>
      </c>
      <c r="AL267" s="5">
        <f t="shared" si="136"/>
        <v>2.0799999999999999E-2</v>
      </c>
      <c r="AM267" s="5">
        <f t="shared" si="146"/>
        <v>0.1194718394324346</v>
      </c>
      <c r="AN267" s="25">
        <f t="shared" si="147"/>
        <v>-8.0000000000000002E-3</v>
      </c>
      <c r="AO267" s="30">
        <f t="shared" si="137"/>
        <v>1.4E-2</v>
      </c>
      <c r="AP267" s="5">
        <f t="shared" si="138"/>
        <v>0.18</v>
      </c>
      <c r="AQ267" s="25">
        <v>0</v>
      </c>
    </row>
    <row r="268" spans="2:43">
      <c r="B268" s="38">
        <v>60000</v>
      </c>
      <c r="C268" s="3">
        <v>0</v>
      </c>
      <c r="D268" s="3">
        <f t="shared" si="121"/>
        <v>0.44999999999999996</v>
      </c>
      <c r="E268" s="13" cm="1">
        <f t="array" ref="E268">((B268-INDEX($AT$4:$AW$53,MATCH(B268,$AT$4:$AT$53,1),1))/(INDEX($AT$4:$AW$53,MATCH(B268,$AT$4:$AT$53,1)+1,1)-INDEX($AT$4:$AW$53,MATCH(B268,$AT$4:$AT$53,1),1)))*(INDEX($AT$4:$AW$53,MATCH(B268,$AT$4:$AT$53,1)+1,4)-INDEX($AT$4:$AW$53,MATCH(B268,$AT$4:$AT$53,1),4))+INDEX($AT$4:$AW$53,MATCH(B268,$AT$4:$AT$53,1),4)</f>
        <v>7.2366806671462198</v>
      </c>
      <c r="F268" s="13" cm="1">
        <f t="array" ref="F268">C268+((B268-INDEX($AT$4:$AW$53,MATCH(B268,$AT$4:$AT$53,1),1))/(INDEX($AT$4:$AW$53,MATCH(B268,$AT$4:$AT$53,1)+1,1)-INDEX($AT$4:$AW$53,MATCH(B268,$AT$4:$AT$53,1),1)))*(INDEX($AT$4:$AW$53,MATCH(B268,$AT$4:$AT$53,1)+1,3)-INDEX($AT$4:$AW$53,MATCH(B268,$AT$4:$AT$53,1),3))+INDEX($AT$4:$AW$53,MATCH(B268,$AT$4:$AT$53,1),3)</f>
        <v>216.7</v>
      </c>
      <c r="G268" s="4">
        <f t="shared" si="122"/>
        <v>0.11635863044087381</v>
      </c>
      <c r="H268" s="6">
        <f t="shared" si="139"/>
        <v>60000</v>
      </c>
      <c r="I268" s="13">
        <f t="shared" si="123"/>
        <v>132.78436334900277</v>
      </c>
      <c r="J268" s="13">
        <f t="shared" si="140"/>
        <v>258.11155685232558</v>
      </c>
      <c r="K268" s="13">
        <f t="shared" si="124"/>
        <v>79.542402616830998</v>
      </c>
      <c r="L268" s="13">
        <f t="shared" si="141"/>
        <v>81.416637652603811</v>
      </c>
      <c r="M268" s="13">
        <f t="shared" si="142"/>
        <v>1.078787490630164</v>
      </c>
      <c r="N268" s="13">
        <f t="shared" si="143"/>
        <v>1.0257994845679763</v>
      </c>
      <c r="O268" s="4">
        <f t="shared" si="125"/>
        <v>1.0405</v>
      </c>
      <c r="P268" s="4">
        <f t="shared" si="126"/>
        <v>1.1490721423604813</v>
      </c>
      <c r="Q268" s="4">
        <f t="shared" si="127"/>
        <v>0.78249644282491759</v>
      </c>
      <c r="R268" s="4">
        <f t="shared" si="128"/>
        <v>8.2067289985456524E-2</v>
      </c>
      <c r="S268" s="4">
        <f t="shared" si="129"/>
        <v>9.4969140851333275E-2</v>
      </c>
      <c r="T268" s="1"/>
      <c r="U268" s="1"/>
      <c r="V268" s="1">
        <v>1</v>
      </c>
      <c r="W268" s="1">
        <v>1</v>
      </c>
      <c r="Y268" s="1">
        <f t="shared" si="144"/>
        <v>-40.007948327533029</v>
      </c>
      <c r="Z268" s="1">
        <f t="shared" si="145"/>
        <v>-40.007948327533029</v>
      </c>
      <c r="AB268" s="130">
        <v>1</v>
      </c>
      <c r="AC268" s="128">
        <f t="shared" si="130"/>
        <v>0.52304257247250441</v>
      </c>
      <c r="AD268" s="4">
        <f t="shared" si="131"/>
        <v>8.2067289985456524E-2</v>
      </c>
      <c r="AE268" s="4">
        <f t="shared" si="132"/>
        <v>0.13677881664242755</v>
      </c>
      <c r="AF268" s="32">
        <f t="shared" si="133"/>
        <v>0.56303073373250612</v>
      </c>
      <c r="AG268" s="4">
        <f t="shared" si="134"/>
        <v>0.89755380733637857</v>
      </c>
      <c r="AH268" s="42">
        <f t="shared" si="135"/>
        <v>1.4928878061155324</v>
      </c>
      <c r="AJ268" s="23">
        <v>4</v>
      </c>
      <c r="AK268" s="24">
        <v>0.8</v>
      </c>
      <c r="AL268" s="5">
        <f t="shared" si="136"/>
        <v>2.0799999999999999E-2</v>
      </c>
      <c r="AM268" s="5">
        <f t="shared" si="146"/>
        <v>0.1194718394324346</v>
      </c>
      <c r="AN268" s="25">
        <f t="shared" si="147"/>
        <v>-8.0000000000000002E-3</v>
      </c>
      <c r="AO268" s="30">
        <f t="shared" si="137"/>
        <v>1.4E-2</v>
      </c>
      <c r="AP268" s="5">
        <f t="shared" si="138"/>
        <v>0.18</v>
      </c>
      <c r="AQ268" s="25">
        <v>0</v>
      </c>
    </row>
    <row r="269" spans="2:43">
      <c r="B269" s="38">
        <v>60000</v>
      </c>
      <c r="C269" s="3">
        <v>0</v>
      </c>
      <c r="D269" s="3">
        <f t="shared" si="121"/>
        <v>0.49999999999999994</v>
      </c>
      <c r="E269" s="13" cm="1">
        <f t="array" ref="E269">((B269-INDEX($AT$4:$AW$53,MATCH(B269,$AT$4:$AT$53,1),1))/(INDEX($AT$4:$AW$53,MATCH(B269,$AT$4:$AT$53,1)+1,1)-INDEX($AT$4:$AW$53,MATCH(B269,$AT$4:$AT$53,1),1)))*(INDEX($AT$4:$AW$53,MATCH(B269,$AT$4:$AT$53,1)+1,4)-INDEX($AT$4:$AW$53,MATCH(B269,$AT$4:$AT$53,1),4))+INDEX($AT$4:$AW$53,MATCH(B269,$AT$4:$AT$53,1),4)</f>
        <v>7.2366806671462198</v>
      </c>
      <c r="F269" s="13" cm="1">
        <f t="array" ref="F269">C269+((B269-INDEX($AT$4:$AW$53,MATCH(B269,$AT$4:$AT$53,1),1))/(INDEX($AT$4:$AW$53,MATCH(B269,$AT$4:$AT$53,1)+1,1)-INDEX($AT$4:$AW$53,MATCH(B269,$AT$4:$AT$53,1),1)))*(INDEX($AT$4:$AW$53,MATCH(B269,$AT$4:$AT$53,1)+1,3)-INDEX($AT$4:$AW$53,MATCH(B269,$AT$4:$AT$53,1),3))+INDEX($AT$4:$AW$53,MATCH(B269,$AT$4:$AT$53,1),3)</f>
        <v>216.7</v>
      </c>
      <c r="G269" s="4">
        <f t="shared" si="122"/>
        <v>0.11635863044087381</v>
      </c>
      <c r="H269" s="6">
        <f t="shared" si="139"/>
        <v>60000</v>
      </c>
      <c r="I269" s="13">
        <f t="shared" si="123"/>
        <v>147.53818149889196</v>
      </c>
      <c r="J269" s="13">
        <f t="shared" si="140"/>
        <v>286.79061872480617</v>
      </c>
      <c r="K269" s="13">
        <f t="shared" si="124"/>
        <v>88.380447352034437</v>
      </c>
      <c r="L269" s="13">
        <f t="shared" si="141"/>
        <v>90.95272028561935</v>
      </c>
      <c r="M269" s="13">
        <f t="shared" si="142"/>
        <v>1.3475613977141934</v>
      </c>
      <c r="N269" s="13">
        <f t="shared" si="143"/>
        <v>1.2664191167505878</v>
      </c>
      <c r="O269" s="4">
        <f t="shared" si="125"/>
        <v>1.05</v>
      </c>
      <c r="P269" s="4">
        <f t="shared" si="126"/>
        <v>1.1862126380443982</v>
      </c>
      <c r="Q269" s="4">
        <f t="shared" si="127"/>
        <v>0.78964081207704329</v>
      </c>
      <c r="R269" s="4">
        <f t="shared" si="128"/>
        <v>8.4719882209330508E-2</v>
      </c>
      <c r="S269" s="4">
        <f t="shared" si="129"/>
        <v>9.4969140851333275E-2</v>
      </c>
      <c r="T269" s="1"/>
      <c r="U269" s="1"/>
      <c r="V269" s="1">
        <v>1</v>
      </c>
      <c r="W269" s="1">
        <v>1</v>
      </c>
      <c r="Y269" s="1">
        <f t="shared" si="144"/>
        <v>-35.171212930051631</v>
      </c>
      <c r="Z269" s="1">
        <f t="shared" si="145"/>
        <v>-35.171212930051631</v>
      </c>
      <c r="AB269" s="130">
        <v>1</v>
      </c>
      <c r="AC269" s="128">
        <f t="shared" si="130"/>
        <v>0.52050252531694174</v>
      </c>
      <c r="AD269" s="4">
        <f t="shared" si="131"/>
        <v>8.4719882209330508E-2</v>
      </c>
      <c r="AE269" s="4">
        <f t="shared" si="132"/>
        <v>0.14119980368221752</v>
      </c>
      <c r="AF269" s="32">
        <f t="shared" si="133"/>
        <v>0.58644518088041164</v>
      </c>
      <c r="AG269" s="4">
        <f t="shared" si="134"/>
        <v>0.91056183352965958</v>
      </c>
      <c r="AH269" s="42">
        <f t="shared" si="135"/>
        <v>1.5045950296894852</v>
      </c>
      <c r="AJ269" s="23">
        <v>4</v>
      </c>
      <c r="AK269" s="24">
        <v>0.8</v>
      </c>
      <c r="AL269" s="5">
        <f t="shared" si="136"/>
        <v>2.0799999999999999E-2</v>
      </c>
      <c r="AM269" s="5">
        <f t="shared" si="146"/>
        <v>0.1194718394324346</v>
      </c>
      <c r="AN269" s="25">
        <f t="shared" si="147"/>
        <v>-8.0000000000000002E-3</v>
      </c>
      <c r="AO269" s="30">
        <f t="shared" si="137"/>
        <v>1.4E-2</v>
      </c>
      <c r="AP269" s="5">
        <f t="shared" si="138"/>
        <v>0.18</v>
      </c>
      <c r="AQ269" s="25">
        <v>0</v>
      </c>
    </row>
    <row r="270" spans="2:43">
      <c r="B270" s="38">
        <v>60000</v>
      </c>
      <c r="C270" s="3">
        <v>0</v>
      </c>
      <c r="D270" s="3">
        <f t="shared" si="121"/>
        <v>0.54999999999999993</v>
      </c>
      <c r="E270" s="13" cm="1">
        <f t="array" ref="E270">((B270-INDEX($AT$4:$AW$53,MATCH(B270,$AT$4:$AT$53,1),1))/(INDEX($AT$4:$AW$53,MATCH(B270,$AT$4:$AT$53,1)+1,1)-INDEX($AT$4:$AW$53,MATCH(B270,$AT$4:$AT$53,1),1)))*(INDEX($AT$4:$AW$53,MATCH(B270,$AT$4:$AT$53,1)+1,4)-INDEX($AT$4:$AW$53,MATCH(B270,$AT$4:$AT$53,1),4))+INDEX($AT$4:$AW$53,MATCH(B270,$AT$4:$AT$53,1),4)</f>
        <v>7.2366806671462198</v>
      </c>
      <c r="F270" s="13" cm="1">
        <f t="array" ref="F270">C270+((B270-INDEX($AT$4:$AW$53,MATCH(B270,$AT$4:$AT$53,1),1))/(INDEX($AT$4:$AW$53,MATCH(B270,$AT$4:$AT$53,1)+1,1)-INDEX($AT$4:$AW$53,MATCH(B270,$AT$4:$AT$53,1),1)))*(INDEX($AT$4:$AW$53,MATCH(B270,$AT$4:$AT$53,1)+1,3)-INDEX($AT$4:$AW$53,MATCH(B270,$AT$4:$AT$53,1),3))+INDEX($AT$4:$AW$53,MATCH(B270,$AT$4:$AT$53,1),3)</f>
        <v>216.7</v>
      </c>
      <c r="G270" s="4">
        <f t="shared" si="122"/>
        <v>0.11635863044087381</v>
      </c>
      <c r="H270" s="6">
        <f t="shared" si="139"/>
        <v>60000</v>
      </c>
      <c r="I270" s="13">
        <f t="shared" si="123"/>
        <v>162.29199964878117</v>
      </c>
      <c r="J270" s="13">
        <f t="shared" si="140"/>
        <v>315.46968059728681</v>
      </c>
      <c r="K270" s="13">
        <f t="shared" si="124"/>
        <v>97.218492087237891</v>
      </c>
      <c r="L270" s="13">
        <f t="shared" si="141"/>
        <v>100.6440029949495</v>
      </c>
      <c r="M270" s="13">
        <f t="shared" si="142"/>
        <v>1.6517842773663227</v>
      </c>
      <c r="N270" s="13">
        <f t="shared" si="143"/>
        <v>1.5323671312682114</v>
      </c>
      <c r="O270" s="4">
        <f t="shared" si="125"/>
        <v>1.0605</v>
      </c>
      <c r="P270" s="4">
        <f t="shared" si="126"/>
        <v>1.2282516464855568</v>
      </c>
      <c r="Q270" s="4">
        <f t="shared" si="127"/>
        <v>0.7975372201978137</v>
      </c>
      <c r="R270" s="4">
        <f t="shared" si="128"/>
        <v>8.772232859129081E-2</v>
      </c>
      <c r="S270" s="4">
        <f t="shared" si="129"/>
        <v>9.4969140851333275E-2</v>
      </c>
      <c r="T270" s="1"/>
      <c r="U270" s="1"/>
      <c r="V270" s="1">
        <v>1</v>
      </c>
      <c r="W270" s="1">
        <v>1</v>
      </c>
      <c r="Y270" s="1">
        <f t="shared" si="144"/>
        <v>-31.169657754813475</v>
      </c>
      <c r="Z270" s="1">
        <f t="shared" si="145"/>
        <v>-31.169657754813475</v>
      </c>
      <c r="AB270" s="130">
        <v>1</v>
      </c>
      <c r="AC270" s="128">
        <f t="shared" si="130"/>
        <v>0.51808661059033034</v>
      </c>
      <c r="AD270" s="4">
        <f t="shared" si="131"/>
        <v>8.772232859129081E-2</v>
      </c>
      <c r="AE270" s="4">
        <f t="shared" si="132"/>
        <v>0.1462038809854847</v>
      </c>
      <c r="AF270" s="32">
        <f t="shared" si="133"/>
        <v>0.60985962802831717</v>
      </c>
      <c r="AG270" s="4">
        <f t="shared" si="134"/>
        <v>0.92356985972294037</v>
      </c>
      <c r="AH270" s="42">
        <f t="shared" si="135"/>
        <v>1.516302253263438</v>
      </c>
      <c r="AJ270" s="23">
        <v>4</v>
      </c>
      <c r="AK270" s="24">
        <v>0.8</v>
      </c>
      <c r="AL270" s="5">
        <f t="shared" si="136"/>
        <v>2.0799999999999999E-2</v>
      </c>
      <c r="AM270" s="5">
        <f t="shared" si="146"/>
        <v>0.1194718394324346</v>
      </c>
      <c r="AN270" s="25">
        <f t="shared" si="147"/>
        <v>-8.0000000000000002E-3</v>
      </c>
      <c r="AO270" s="30">
        <f t="shared" si="137"/>
        <v>1.4E-2</v>
      </c>
      <c r="AP270" s="5">
        <f t="shared" si="138"/>
        <v>0.18</v>
      </c>
      <c r="AQ270" s="25">
        <v>0</v>
      </c>
    </row>
    <row r="271" spans="2:43">
      <c r="B271" s="38">
        <v>60000</v>
      </c>
      <c r="C271" s="3">
        <v>0</v>
      </c>
      <c r="D271" s="3">
        <f t="shared" si="121"/>
        <v>0.6</v>
      </c>
      <c r="E271" s="13" cm="1">
        <f t="array" ref="E271">((B271-INDEX($AT$4:$AW$53,MATCH(B271,$AT$4:$AT$53,1),1))/(INDEX($AT$4:$AW$53,MATCH(B271,$AT$4:$AT$53,1)+1,1)-INDEX($AT$4:$AW$53,MATCH(B271,$AT$4:$AT$53,1),1)))*(INDEX($AT$4:$AW$53,MATCH(B271,$AT$4:$AT$53,1)+1,4)-INDEX($AT$4:$AW$53,MATCH(B271,$AT$4:$AT$53,1),4))+INDEX($AT$4:$AW$53,MATCH(B271,$AT$4:$AT$53,1),4)</f>
        <v>7.2366806671462198</v>
      </c>
      <c r="F271" s="13" cm="1">
        <f t="array" ref="F271">C271+((B271-INDEX($AT$4:$AW$53,MATCH(B271,$AT$4:$AT$53,1),1))/(INDEX($AT$4:$AW$53,MATCH(B271,$AT$4:$AT$53,1)+1,1)-INDEX($AT$4:$AW$53,MATCH(B271,$AT$4:$AT$53,1),1)))*(INDEX($AT$4:$AW$53,MATCH(B271,$AT$4:$AT$53,1)+1,3)-INDEX($AT$4:$AW$53,MATCH(B271,$AT$4:$AT$53,1),3))+INDEX($AT$4:$AW$53,MATCH(B271,$AT$4:$AT$53,1),3)</f>
        <v>216.7</v>
      </c>
      <c r="G271" s="4">
        <f t="shared" si="122"/>
        <v>0.11635863044087381</v>
      </c>
      <c r="H271" s="6">
        <f t="shared" si="139"/>
        <v>60000</v>
      </c>
      <c r="I271" s="13">
        <f t="shared" si="123"/>
        <v>177.04581779867038</v>
      </c>
      <c r="J271" s="13">
        <f t="shared" si="140"/>
        <v>344.14874246976746</v>
      </c>
      <c r="K271" s="13">
        <f t="shared" si="124"/>
        <v>106.05653682244134</v>
      </c>
      <c r="L271" s="13">
        <f t="shared" si="141"/>
        <v>110.50619897859396</v>
      </c>
      <c r="M271" s="13">
        <f t="shared" si="142"/>
        <v>1.9937328519704796</v>
      </c>
      <c r="N271" s="13">
        <f t="shared" si="143"/>
        <v>1.8236435281208472</v>
      </c>
      <c r="O271" s="4">
        <f t="shared" si="125"/>
        <v>1.0720000000000001</v>
      </c>
      <c r="P271" s="4">
        <f t="shared" si="126"/>
        <v>1.2755037763406945</v>
      </c>
      <c r="Q271" s="4">
        <f t="shared" si="127"/>
        <v>0.80618566718722895</v>
      </c>
      <c r="R271" s="4">
        <f t="shared" si="128"/>
        <v>9.1097098634263018E-2</v>
      </c>
      <c r="S271" s="4">
        <f t="shared" si="129"/>
        <v>9.4969140851333275E-2</v>
      </c>
      <c r="T271" s="1"/>
      <c r="U271" s="1"/>
      <c r="V271" s="1">
        <v>1</v>
      </c>
      <c r="W271" s="1">
        <v>1</v>
      </c>
      <c r="Y271" s="1">
        <f t="shared" si="144"/>
        <v>-27.801596809929958</v>
      </c>
      <c r="Z271" s="1">
        <f t="shared" si="145"/>
        <v>-27.801596809929958</v>
      </c>
      <c r="AB271" s="130">
        <v>1</v>
      </c>
      <c r="AC271" s="128">
        <f t="shared" si="130"/>
        <v>0.51577823315309623</v>
      </c>
      <c r="AD271" s="4">
        <f t="shared" si="131"/>
        <v>9.1097098634263018E-2</v>
      </c>
      <c r="AE271" s="4">
        <f t="shared" si="132"/>
        <v>0.15182849772377172</v>
      </c>
      <c r="AF271" s="32">
        <f t="shared" si="133"/>
        <v>0.63327407517622269</v>
      </c>
      <c r="AG271" s="4">
        <f t="shared" si="134"/>
        <v>0.93657788591622126</v>
      </c>
      <c r="AH271" s="42">
        <f t="shared" si="135"/>
        <v>1.5280094768373906</v>
      </c>
      <c r="AJ271" s="23">
        <v>4</v>
      </c>
      <c r="AK271" s="24">
        <v>0.8</v>
      </c>
      <c r="AL271" s="5">
        <f t="shared" si="136"/>
        <v>2.0799999999999999E-2</v>
      </c>
      <c r="AM271" s="5">
        <f t="shared" si="146"/>
        <v>0.1194718394324346</v>
      </c>
      <c r="AN271" s="25">
        <f t="shared" si="147"/>
        <v>-8.0000000000000002E-3</v>
      </c>
      <c r="AO271" s="30">
        <f t="shared" si="137"/>
        <v>1.4E-2</v>
      </c>
      <c r="AP271" s="5">
        <f t="shared" si="138"/>
        <v>0.18</v>
      </c>
      <c r="AQ271" s="25">
        <v>0</v>
      </c>
    </row>
    <row r="272" spans="2:43">
      <c r="B272" s="38">
        <v>60000</v>
      </c>
      <c r="C272" s="3">
        <v>0</v>
      </c>
      <c r="D272" s="3">
        <f t="shared" si="121"/>
        <v>0.65</v>
      </c>
      <c r="E272" s="13" cm="1">
        <f t="array" ref="E272">((B272-INDEX($AT$4:$AW$53,MATCH(B272,$AT$4:$AT$53,1),1))/(INDEX($AT$4:$AW$53,MATCH(B272,$AT$4:$AT$53,1)+1,1)-INDEX($AT$4:$AW$53,MATCH(B272,$AT$4:$AT$53,1),1)))*(INDEX($AT$4:$AW$53,MATCH(B272,$AT$4:$AT$53,1)+1,4)-INDEX($AT$4:$AW$53,MATCH(B272,$AT$4:$AT$53,1),4))+INDEX($AT$4:$AW$53,MATCH(B272,$AT$4:$AT$53,1),4)</f>
        <v>7.2366806671462198</v>
      </c>
      <c r="F272" s="13" cm="1">
        <f t="array" ref="F272">C272+((B272-INDEX($AT$4:$AW$53,MATCH(B272,$AT$4:$AT$53,1),1))/(INDEX($AT$4:$AW$53,MATCH(B272,$AT$4:$AT$53,1)+1,1)-INDEX($AT$4:$AW$53,MATCH(B272,$AT$4:$AT$53,1),1)))*(INDEX($AT$4:$AW$53,MATCH(B272,$AT$4:$AT$53,1)+1,3)-INDEX($AT$4:$AW$53,MATCH(B272,$AT$4:$AT$53,1),3))+INDEX($AT$4:$AW$53,MATCH(B272,$AT$4:$AT$53,1),3)</f>
        <v>216.7</v>
      </c>
      <c r="G272" s="4">
        <f t="shared" si="122"/>
        <v>0.11635863044087381</v>
      </c>
      <c r="H272" s="6">
        <f t="shared" si="139"/>
        <v>60000</v>
      </c>
      <c r="I272" s="13">
        <f t="shared" si="123"/>
        <v>191.7996359485596</v>
      </c>
      <c r="J272" s="13">
        <f t="shared" si="140"/>
        <v>372.8278043422481</v>
      </c>
      <c r="K272" s="13">
        <f t="shared" si="124"/>
        <v>114.8945815576448</v>
      </c>
      <c r="L272" s="13">
        <f t="shared" si="141"/>
        <v>120.55502927281509</v>
      </c>
      <c r="M272" s="13">
        <f t="shared" si="142"/>
        <v>2.3759632767342831</v>
      </c>
      <c r="N272" s="13">
        <f t="shared" si="143"/>
        <v>2.1402483073084944</v>
      </c>
      <c r="O272" s="4">
        <f t="shared" si="125"/>
        <v>1.0845</v>
      </c>
      <c r="P272" s="4">
        <f t="shared" si="126"/>
        <v>1.328322249663566</v>
      </c>
      <c r="Q272" s="4">
        <f t="shared" si="127"/>
        <v>0.81558615304528892</v>
      </c>
      <c r="R272" s="4">
        <f t="shared" si="128"/>
        <v>9.486941962872443E-2</v>
      </c>
      <c r="S272" s="4">
        <f t="shared" si="129"/>
        <v>9.4969140851333275E-2</v>
      </c>
      <c r="T272" s="1"/>
      <c r="U272" s="1"/>
      <c r="V272" s="1">
        <v>1</v>
      </c>
      <c r="W272" s="1">
        <v>1</v>
      </c>
      <c r="Y272" s="1">
        <f t="shared" si="144"/>
        <v>-24.926760515565668</v>
      </c>
      <c r="Z272" s="1">
        <f t="shared" si="145"/>
        <v>-24.926760515565668</v>
      </c>
      <c r="AB272" s="130">
        <v>1</v>
      </c>
      <c r="AC272" s="128">
        <f t="shared" si="130"/>
        <v>0.51356419576191015</v>
      </c>
      <c r="AD272" s="4">
        <f t="shared" si="131"/>
        <v>9.486941962872443E-2</v>
      </c>
      <c r="AE272" s="4">
        <f t="shared" si="132"/>
        <v>0.1581156993812074</v>
      </c>
      <c r="AF272" s="32">
        <f t="shared" si="133"/>
        <v>0.65668852232412822</v>
      </c>
      <c r="AG272" s="4">
        <f t="shared" si="134"/>
        <v>0.94958591210950205</v>
      </c>
      <c r="AH272" s="42">
        <f t="shared" si="135"/>
        <v>1.5397167004113435</v>
      </c>
      <c r="AJ272" s="23">
        <v>4</v>
      </c>
      <c r="AK272" s="24">
        <v>0.8</v>
      </c>
      <c r="AL272" s="5">
        <f t="shared" si="136"/>
        <v>2.0799999999999999E-2</v>
      </c>
      <c r="AM272" s="5">
        <f t="shared" si="146"/>
        <v>0.1194718394324346</v>
      </c>
      <c r="AN272" s="25">
        <f t="shared" si="147"/>
        <v>-8.0000000000000002E-3</v>
      </c>
      <c r="AO272" s="30">
        <f t="shared" si="137"/>
        <v>1.4E-2</v>
      </c>
      <c r="AP272" s="5">
        <f t="shared" si="138"/>
        <v>0.18</v>
      </c>
      <c r="AQ272" s="25">
        <v>0</v>
      </c>
    </row>
    <row r="273" spans="2:43">
      <c r="B273" s="38">
        <v>60000</v>
      </c>
      <c r="C273" s="3">
        <v>0</v>
      </c>
      <c r="D273" s="3">
        <f t="shared" si="121"/>
        <v>0.70000000000000007</v>
      </c>
      <c r="E273" s="13" cm="1">
        <f t="array" ref="E273">((B273-INDEX($AT$4:$AW$53,MATCH(B273,$AT$4:$AT$53,1),1))/(INDEX($AT$4:$AW$53,MATCH(B273,$AT$4:$AT$53,1)+1,1)-INDEX($AT$4:$AW$53,MATCH(B273,$AT$4:$AT$53,1),1)))*(INDEX($AT$4:$AW$53,MATCH(B273,$AT$4:$AT$53,1)+1,4)-INDEX($AT$4:$AW$53,MATCH(B273,$AT$4:$AT$53,1),4))+INDEX($AT$4:$AW$53,MATCH(B273,$AT$4:$AT$53,1),4)</f>
        <v>7.2366806671462198</v>
      </c>
      <c r="F273" s="13" cm="1">
        <f t="array" ref="F273">C273+((B273-INDEX($AT$4:$AW$53,MATCH(B273,$AT$4:$AT$53,1),1))/(INDEX($AT$4:$AW$53,MATCH(B273,$AT$4:$AT$53,1)+1,1)-INDEX($AT$4:$AW$53,MATCH(B273,$AT$4:$AT$53,1),1)))*(INDEX($AT$4:$AW$53,MATCH(B273,$AT$4:$AT$53,1)+1,3)-INDEX($AT$4:$AW$53,MATCH(B273,$AT$4:$AT$53,1),3))+INDEX($AT$4:$AW$53,MATCH(B273,$AT$4:$AT$53,1),3)</f>
        <v>216.7</v>
      </c>
      <c r="G273" s="4">
        <f t="shared" si="122"/>
        <v>0.11635863044087381</v>
      </c>
      <c r="H273" s="6">
        <f t="shared" si="139"/>
        <v>60000</v>
      </c>
      <c r="I273" s="13">
        <f t="shared" si="123"/>
        <v>206.55345409844881</v>
      </c>
      <c r="J273" s="13">
        <f t="shared" si="140"/>
        <v>401.50686621472875</v>
      </c>
      <c r="K273" s="13">
        <f t="shared" si="124"/>
        <v>123.73262629284825</v>
      </c>
      <c r="L273" s="13">
        <f t="shared" si="141"/>
        <v>130.80620231243779</v>
      </c>
      <c r="M273" s="13">
        <f t="shared" si="142"/>
        <v>2.8013287630752255</v>
      </c>
      <c r="N273" s="13">
        <f t="shared" si="143"/>
        <v>2.4821814688311536</v>
      </c>
      <c r="O273" s="4">
        <f t="shared" si="125"/>
        <v>1.0980000000000001</v>
      </c>
      <c r="P273" s="4">
        <f t="shared" si="126"/>
        <v>1.3871013371908156</v>
      </c>
      <c r="Q273" s="4">
        <f t="shared" si="127"/>
        <v>0.82573867777199383</v>
      </c>
      <c r="R273" s="4">
        <f t="shared" si="128"/>
        <v>9.9067450582002906E-2</v>
      </c>
      <c r="S273" s="4">
        <f t="shared" si="129"/>
        <v>9.4969140851333275E-2</v>
      </c>
      <c r="T273" s="1"/>
      <c r="U273" s="1"/>
      <c r="V273" s="1">
        <v>1</v>
      </c>
      <c r="W273" s="1">
        <v>1</v>
      </c>
      <c r="Y273" s="1">
        <f t="shared" si="144"/>
        <v>-22.444000526921304</v>
      </c>
      <c r="Z273" s="1">
        <f t="shared" si="145"/>
        <v>-22.444000526921304</v>
      </c>
      <c r="AB273" s="130">
        <v>1</v>
      </c>
      <c r="AC273" s="128">
        <f t="shared" si="130"/>
        <v>0.51143379814261469</v>
      </c>
      <c r="AD273" s="4">
        <f t="shared" si="131"/>
        <v>9.9067450582002906E-2</v>
      </c>
      <c r="AE273" s="4">
        <f t="shared" si="132"/>
        <v>0.1651124176366715</v>
      </c>
      <c r="AF273" s="32">
        <f t="shared" si="133"/>
        <v>0.68010296947203386</v>
      </c>
      <c r="AG273" s="4">
        <f t="shared" si="134"/>
        <v>0.96259393830278306</v>
      </c>
      <c r="AH273" s="42">
        <f t="shared" si="135"/>
        <v>1.5514239239852963</v>
      </c>
      <c r="AJ273" s="23">
        <v>4</v>
      </c>
      <c r="AK273" s="24">
        <v>0.8</v>
      </c>
      <c r="AL273" s="5">
        <f t="shared" si="136"/>
        <v>2.0799999999999999E-2</v>
      </c>
      <c r="AM273" s="5">
        <f t="shared" si="146"/>
        <v>0.1194718394324346</v>
      </c>
      <c r="AN273" s="25">
        <f t="shared" si="147"/>
        <v>-8.0000000000000002E-3</v>
      </c>
      <c r="AO273" s="30">
        <f t="shared" si="137"/>
        <v>1.4E-2</v>
      </c>
      <c r="AP273" s="5">
        <f t="shared" si="138"/>
        <v>0.18</v>
      </c>
      <c r="AQ273" s="25">
        <v>0</v>
      </c>
    </row>
    <row r="274" spans="2:43">
      <c r="B274" s="38">
        <v>60000</v>
      </c>
      <c r="C274" s="3">
        <v>0</v>
      </c>
      <c r="D274" s="3">
        <f t="shared" si="121"/>
        <v>0.75000000000000011</v>
      </c>
      <c r="E274" s="13" cm="1">
        <f t="array" ref="E274">((B274-INDEX($AT$4:$AW$53,MATCH(B274,$AT$4:$AT$53,1),1))/(INDEX($AT$4:$AW$53,MATCH(B274,$AT$4:$AT$53,1)+1,1)-INDEX($AT$4:$AW$53,MATCH(B274,$AT$4:$AT$53,1),1)))*(INDEX($AT$4:$AW$53,MATCH(B274,$AT$4:$AT$53,1)+1,4)-INDEX($AT$4:$AW$53,MATCH(B274,$AT$4:$AT$53,1),4))+INDEX($AT$4:$AW$53,MATCH(B274,$AT$4:$AT$53,1),4)</f>
        <v>7.2366806671462198</v>
      </c>
      <c r="F274" s="13" cm="1">
        <f t="array" ref="F274">C274+((B274-INDEX($AT$4:$AW$53,MATCH(B274,$AT$4:$AT$53,1),1))/(INDEX($AT$4:$AW$53,MATCH(B274,$AT$4:$AT$53,1)+1,1)-INDEX($AT$4:$AW$53,MATCH(B274,$AT$4:$AT$53,1),1)))*(INDEX($AT$4:$AW$53,MATCH(B274,$AT$4:$AT$53,1)+1,3)-INDEX($AT$4:$AW$53,MATCH(B274,$AT$4:$AT$53,1),3))+INDEX($AT$4:$AW$53,MATCH(B274,$AT$4:$AT$53,1),3)</f>
        <v>216.7</v>
      </c>
      <c r="G274" s="4">
        <f t="shared" si="122"/>
        <v>0.11635863044087381</v>
      </c>
      <c r="H274" s="6">
        <f t="shared" si="139"/>
        <v>60000</v>
      </c>
      <c r="I274" s="13">
        <f t="shared" si="123"/>
        <v>221.30727224833802</v>
      </c>
      <c r="J274" s="13">
        <f t="shared" si="140"/>
        <v>430.18592808720939</v>
      </c>
      <c r="K274" s="13">
        <f t="shared" si="124"/>
        <v>132.57067102805169</v>
      </c>
      <c r="L274" s="13">
        <f t="shared" si="141"/>
        <v>141.27538823884925</v>
      </c>
      <c r="M274" s="13">
        <f t="shared" si="142"/>
        <v>3.2729989686992487</v>
      </c>
      <c r="N274" s="13">
        <f t="shared" si="143"/>
        <v>2.8494430126888246</v>
      </c>
      <c r="O274" s="4">
        <f t="shared" si="125"/>
        <v>1.1125</v>
      </c>
      <c r="P274" s="4">
        <f t="shared" si="126"/>
        <v>1.4522790377580601</v>
      </c>
      <c r="Q274" s="4">
        <f t="shared" si="127"/>
        <v>0.83664324136734336</v>
      </c>
      <c r="R274" s="4">
        <f t="shared" si="128"/>
        <v>0.10372247358347365</v>
      </c>
      <c r="S274" s="4">
        <f t="shared" si="129"/>
        <v>9.4969140851333275E-2</v>
      </c>
      <c r="T274" s="1"/>
      <c r="U274" s="1"/>
      <c r="V274" s="1">
        <v>1</v>
      </c>
      <c r="W274" s="1">
        <v>1</v>
      </c>
      <c r="Y274" s="1">
        <f t="shared" si="144"/>
        <v>-20.277866627427777</v>
      </c>
      <c r="Z274" s="1">
        <f t="shared" si="145"/>
        <v>-20.277866627427777</v>
      </c>
      <c r="AB274" s="130">
        <v>1</v>
      </c>
      <c r="AC274" s="128">
        <f t="shared" si="130"/>
        <v>0.50937822173508929</v>
      </c>
      <c r="AD274" s="4">
        <f t="shared" si="131"/>
        <v>0.10372247358347365</v>
      </c>
      <c r="AE274" s="4">
        <f t="shared" si="132"/>
        <v>0.17287078930578942</v>
      </c>
      <c r="AF274" s="32">
        <f t="shared" si="133"/>
        <v>0.70351741661993938</v>
      </c>
      <c r="AG274" s="4">
        <f t="shared" si="134"/>
        <v>0.97560196449606384</v>
      </c>
      <c r="AH274" s="42">
        <f t="shared" si="135"/>
        <v>1.5631311475592491</v>
      </c>
      <c r="AJ274" s="23">
        <v>4</v>
      </c>
      <c r="AK274" s="24">
        <v>0.8</v>
      </c>
      <c r="AL274" s="5">
        <f t="shared" si="136"/>
        <v>2.0799999999999999E-2</v>
      </c>
      <c r="AM274" s="5">
        <f t="shared" si="146"/>
        <v>0.1194718394324346</v>
      </c>
      <c r="AN274" s="25">
        <f t="shared" si="147"/>
        <v>-8.0000000000000002E-3</v>
      </c>
      <c r="AO274" s="30">
        <f t="shared" si="137"/>
        <v>1.4E-2</v>
      </c>
      <c r="AP274" s="5">
        <f t="shared" si="138"/>
        <v>0.18</v>
      </c>
      <c r="AQ274" s="25">
        <v>0</v>
      </c>
    </row>
    <row r="275" spans="2:43">
      <c r="B275" s="38">
        <v>60000</v>
      </c>
      <c r="C275" s="3">
        <v>0</v>
      </c>
      <c r="D275" s="3">
        <f t="shared" si="121"/>
        <v>0.80000000000000016</v>
      </c>
      <c r="E275" s="13" cm="1">
        <f t="array" ref="E275">((B275-INDEX($AT$4:$AW$53,MATCH(B275,$AT$4:$AT$53,1),1))/(INDEX($AT$4:$AW$53,MATCH(B275,$AT$4:$AT$53,1)+1,1)-INDEX($AT$4:$AW$53,MATCH(B275,$AT$4:$AT$53,1),1)))*(INDEX($AT$4:$AW$53,MATCH(B275,$AT$4:$AT$53,1)+1,4)-INDEX($AT$4:$AW$53,MATCH(B275,$AT$4:$AT$53,1),4))+INDEX($AT$4:$AW$53,MATCH(B275,$AT$4:$AT$53,1),4)</f>
        <v>7.2366806671462198</v>
      </c>
      <c r="F275" s="13" cm="1">
        <f t="array" ref="F275">C275+((B275-INDEX($AT$4:$AW$53,MATCH(B275,$AT$4:$AT$53,1),1))/(INDEX($AT$4:$AW$53,MATCH(B275,$AT$4:$AT$53,1)+1,1)-INDEX($AT$4:$AW$53,MATCH(B275,$AT$4:$AT$53,1),1)))*(INDEX($AT$4:$AW$53,MATCH(B275,$AT$4:$AT$53,1)+1,3)-INDEX($AT$4:$AW$53,MATCH(B275,$AT$4:$AT$53,1),3))+INDEX($AT$4:$AW$53,MATCH(B275,$AT$4:$AT$53,1),3)</f>
        <v>216.7</v>
      </c>
      <c r="G275" s="4">
        <f t="shared" si="122"/>
        <v>0.11635863044087381</v>
      </c>
      <c r="H275" s="6">
        <f t="shared" si="139"/>
        <v>60000</v>
      </c>
      <c r="I275" s="13">
        <f t="shared" si="123"/>
        <v>236.06109039822724</v>
      </c>
      <c r="J275" s="13">
        <f t="shared" si="140"/>
        <v>458.86498995969004</v>
      </c>
      <c r="K275" s="13">
        <f t="shared" si="124"/>
        <v>141.40871576325515</v>
      </c>
      <c r="L275" s="13">
        <f t="shared" si="141"/>
        <v>151.97818765757117</v>
      </c>
      <c r="M275" s="13">
        <f t="shared" si="142"/>
        <v>3.7944812101843364</v>
      </c>
      <c r="N275" s="13">
        <f t="shared" si="143"/>
        <v>3.2420329388815077</v>
      </c>
      <c r="O275" s="4">
        <f t="shared" si="125"/>
        <v>1.1280000000000001</v>
      </c>
      <c r="P275" s="4">
        <f t="shared" si="126"/>
        <v>1.5243400095586486</v>
      </c>
      <c r="Q275" s="4">
        <f t="shared" si="127"/>
        <v>0.84829984383133794</v>
      </c>
      <c r="R275" s="4">
        <f t="shared" si="128"/>
        <v>0.10886910315648217</v>
      </c>
      <c r="S275" s="4">
        <f t="shared" si="129"/>
        <v>9.4969140851333275E-2</v>
      </c>
      <c r="T275" s="1"/>
      <c r="U275" s="1"/>
      <c r="V275" s="1">
        <v>1</v>
      </c>
      <c r="W275" s="1">
        <v>1</v>
      </c>
      <c r="Y275" s="1">
        <f t="shared" si="144"/>
        <v>-18.37017001943488</v>
      </c>
      <c r="Z275" s="1">
        <f t="shared" si="145"/>
        <v>-18.37017001943488</v>
      </c>
      <c r="AB275" s="130">
        <v>1</v>
      </c>
      <c r="AC275" s="128">
        <f t="shared" si="130"/>
        <v>0.50739009663000589</v>
      </c>
      <c r="AD275" s="4">
        <f t="shared" si="131"/>
        <v>0.10886910315648217</v>
      </c>
      <c r="AE275" s="4">
        <f t="shared" si="132"/>
        <v>0.18144850526080361</v>
      </c>
      <c r="AF275" s="32">
        <f t="shared" si="133"/>
        <v>0.72693186376784491</v>
      </c>
      <c r="AG275" s="4">
        <f t="shared" si="134"/>
        <v>0.98860999068934474</v>
      </c>
      <c r="AH275" s="42">
        <f t="shared" si="135"/>
        <v>1.5748383711332017</v>
      </c>
      <c r="AJ275" s="23">
        <v>4</v>
      </c>
      <c r="AK275" s="24">
        <v>0.8</v>
      </c>
      <c r="AL275" s="5">
        <f t="shared" si="136"/>
        <v>2.0799999999999999E-2</v>
      </c>
      <c r="AM275" s="5">
        <f t="shared" si="146"/>
        <v>0.1194718394324346</v>
      </c>
      <c r="AN275" s="25">
        <f t="shared" si="147"/>
        <v>-8.0000000000000002E-3</v>
      </c>
      <c r="AO275" s="30">
        <f t="shared" si="137"/>
        <v>1.4000000000000004E-2</v>
      </c>
      <c r="AP275" s="5">
        <f t="shared" si="138"/>
        <v>0.18</v>
      </c>
      <c r="AQ275" s="25">
        <v>0</v>
      </c>
    </row>
    <row r="276" spans="2:43">
      <c r="B276" s="38">
        <v>60000</v>
      </c>
      <c r="C276" s="3">
        <v>0</v>
      </c>
      <c r="D276" s="3">
        <f t="shared" si="121"/>
        <v>0.8500000000000002</v>
      </c>
      <c r="E276" s="13" cm="1">
        <f t="array" ref="E276">((B276-INDEX($AT$4:$AW$53,MATCH(B276,$AT$4:$AT$53,1),1))/(INDEX($AT$4:$AW$53,MATCH(B276,$AT$4:$AT$53,1)+1,1)-INDEX($AT$4:$AW$53,MATCH(B276,$AT$4:$AT$53,1),1)))*(INDEX($AT$4:$AW$53,MATCH(B276,$AT$4:$AT$53,1)+1,4)-INDEX($AT$4:$AW$53,MATCH(B276,$AT$4:$AT$53,1),4))+INDEX($AT$4:$AW$53,MATCH(B276,$AT$4:$AT$53,1),4)</f>
        <v>7.2366806671462198</v>
      </c>
      <c r="F276" s="13" cm="1">
        <f t="array" ref="F276">C276+((B276-INDEX($AT$4:$AW$53,MATCH(B276,$AT$4:$AT$53,1),1))/(INDEX($AT$4:$AW$53,MATCH(B276,$AT$4:$AT$53,1)+1,1)-INDEX($AT$4:$AW$53,MATCH(B276,$AT$4:$AT$53,1),1)))*(INDEX($AT$4:$AW$53,MATCH(B276,$AT$4:$AT$53,1)+1,3)-INDEX($AT$4:$AW$53,MATCH(B276,$AT$4:$AT$53,1),3))+INDEX($AT$4:$AW$53,MATCH(B276,$AT$4:$AT$53,1),3)</f>
        <v>216.7</v>
      </c>
      <c r="G276" s="4">
        <f t="shared" si="122"/>
        <v>0.11635863044087381</v>
      </c>
      <c r="H276" s="6">
        <f t="shared" si="139"/>
        <v>60000</v>
      </c>
      <c r="I276" s="13">
        <f t="shared" si="123"/>
        <v>250.81490854811645</v>
      </c>
      <c r="J276" s="13">
        <f t="shared" si="140"/>
        <v>487.54405183217068</v>
      </c>
      <c r="K276" s="13">
        <f t="shared" si="124"/>
        <v>150.2467604984586</v>
      </c>
      <c r="L276" s="13">
        <f t="shared" si="141"/>
        <v>162.93009459722265</v>
      </c>
      <c r="M276" s="13">
        <f t="shared" si="142"/>
        <v>4.3696435573423189</v>
      </c>
      <c r="N276" s="13">
        <f t="shared" si="143"/>
        <v>3.6599512474092024</v>
      </c>
      <c r="O276" s="4">
        <f t="shared" si="125"/>
        <v>1.1445000000000001</v>
      </c>
      <c r="P276" s="4">
        <f t="shared" si="126"/>
        <v>1.6038187614357571</v>
      </c>
      <c r="Q276" s="4">
        <f t="shared" si="127"/>
        <v>0.86070848516397713</v>
      </c>
      <c r="R276" s="4">
        <f t="shared" si="128"/>
        <v>0.11454551418197423</v>
      </c>
      <c r="S276" s="4">
        <f t="shared" si="129"/>
        <v>9.4969140851333275E-2</v>
      </c>
      <c r="T276" s="1"/>
      <c r="U276" s="1"/>
      <c r="V276" s="1">
        <v>1</v>
      </c>
      <c r="W276" s="1">
        <v>1</v>
      </c>
      <c r="Y276" s="1">
        <f t="shared" si="144"/>
        <v>-21.24229337401842</v>
      </c>
      <c r="Z276" s="1">
        <f t="shared" si="145"/>
        <v>-16.674475498677449</v>
      </c>
      <c r="AB276" s="130">
        <v>1</v>
      </c>
      <c r="AC276" s="128">
        <f t="shared" si="130"/>
        <v>0.5054631887989498</v>
      </c>
      <c r="AD276" s="4">
        <f t="shared" si="131"/>
        <v>0.11454551418197423</v>
      </c>
      <c r="AE276" s="4">
        <f t="shared" si="132"/>
        <v>0.1909091903032904</v>
      </c>
      <c r="AF276" s="32">
        <f t="shared" si="133"/>
        <v>0.75034631091575044</v>
      </c>
      <c r="AG276" s="4">
        <f t="shared" si="134"/>
        <v>1.0016180168826254</v>
      </c>
      <c r="AH276" s="42">
        <f t="shared" si="135"/>
        <v>1.5865455947071545</v>
      </c>
      <c r="AJ276" s="23">
        <v>4</v>
      </c>
      <c r="AK276" s="24">
        <v>0.8</v>
      </c>
      <c r="AL276" s="5">
        <f t="shared" si="136"/>
        <v>3.5100000000000048E-2</v>
      </c>
      <c r="AM276" s="5">
        <f t="shared" si="146"/>
        <v>0.1194718394324346</v>
      </c>
      <c r="AN276" s="25">
        <f t="shared" si="147"/>
        <v>-8.0000000000000002E-3</v>
      </c>
      <c r="AO276" s="30">
        <f t="shared" si="137"/>
        <v>1.5750000000000007E-2</v>
      </c>
      <c r="AP276" s="5">
        <f t="shared" si="138"/>
        <v>0.18</v>
      </c>
      <c r="AQ276" s="25">
        <v>0</v>
      </c>
    </row>
    <row r="277" spans="2:43">
      <c r="B277" s="38">
        <v>60000</v>
      </c>
      <c r="C277" s="3">
        <v>0</v>
      </c>
      <c r="D277" s="3">
        <f t="shared" si="121"/>
        <v>0.90000000000000024</v>
      </c>
      <c r="E277" s="13" cm="1">
        <f t="array" ref="E277">((B277-INDEX($AT$4:$AW$53,MATCH(B277,$AT$4:$AT$53,1),1))/(INDEX($AT$4:$AW$53,MATCH(B277,$AT$4:$AT$53,1)+1,1)-INDEX($AT$4:$AW$53,MATCH(B277,$AT$4:$AT$53,1),1)))*(INDEX($AT$4:$AW$53,MATCH(B277,$AT$4:$AT$53,1)+1,4)-INDEX($AT$4:$AW$53,MATCH(B277,$AT$4:$AT$53,1),4))+INDEX($AT$4:$AW$53,MATCH(B277,$AT$4:$AT$53,1),4)</f>
        <v>7.2366806671462198</v>
      </c>
      <c r="F277" s="13" cm="1">
        <f t="array" ref="F277">C277+((B277-INDEX($AT$4:$AW$53,MATCH(B277,$AT$4:$AT$53,1),1))/(INDEX($AT$4:$AW$53,MATCH(B277,$AT$4:$AT$53,1)+1,1)-INDEX($AT$4:$AW$53,MATCH(B277,$AT$4:$AT$53,1),1)))*(INDEX($AT$4:$AW$53,MATCH(B277,$AT$4:$AT$53,1)+1,3)-INDEX($AT$4:$AW$53,MATCH(B277,$AT$4:$AT$53,1),3))+INDEX($AT$4:$AW$53,MATCH(B277,$AT$4:$AT$53,1),3)</f>
        <v>216.7</v>
      </c>
      <c r="G277" s="4">
        <f t="shared" si="122"/>
        <v>0.11635863044087381</v>
      </c>
      <c r="H277" s="6">
        <f t="shared" si="139"/>
        <v>60000</v>
      </c>
      <c r="I277" s="13">
        <f t="shared" si="123"/>
        <v>265.56872669800566</v>
      </c>
      <c r="J277" s="13">
        <f t="shared" si="140"/>
        <v>516.22311370465138</v>
      </c>
      <c r="K277" s="13">
        <f t="shared" si="124"/>
        <v>159.08480523366208</v>
      </c>
      <c r="L277" s="13">
        <f t="shared" si="141"/>
        <v>174.14645348196731</v>
      </c>
      <c r="M277" s="13">
        <f t="shared" si="142"/>
        <v>5.0027398719063338</v>
      </c>
      <c r="N277" s="13">
        <f t="shared" si="143"/>
        <v>4.1031979382719079</v>
      </c>
      <c r="O277" s="4">
        <f t="shared" si="125"/>
        <v>1.1619999999999999</v>
      </c>
      <c r="P277" s="4">
        <f t="shared" si="126"/>
        <v>1.691303112850931</v>
      </c>
      <c r="Q277" s="4">
        <f t="shared" si="127"/>
        <v>0.87386916536526105</v>
      </c>
      <c r="R277" s="4">
        <f t="shared" si="128"/>
        <v>0.12079368901112809</v>
      </c>
      <c r="S277" s="4">
        <f t="shared" si="129"/>
        <v>9.4969140851333275E-2</v>
      </c>
      <c r="T277" s="1"/>
      <c r="U277" s="1"/>
      <c r="V277" s="1">
        <v>1</v>
      </c>
      <c r="W277" s="1">
        <v>1</v>
      </c>
      <c r="Y277" s="1">
        <f t="shared" si="144"/>
        <v>-25.996878898720514</v>
      </c>
      <c r="Z277" s="1">
        <f t="shared" si="145"/>
        <v>-15.152379061965583</v>
      </c>
      <c r="AB277" s="130">
        <v>1</v>
      </c>
      <c r="AC277" s="128">
        <f t="shared" si="130"/>
        <v>0.50359216913646399</v>
      </c>
      <c r="AD277" s="4">
        <f t="shared" si="131"/>
        <v>0.12079368901112809</v>
      </c>
      <c r="AE277" s="4">
        <f t="shared" si="132"/>
        <v>0.20132281501854682</v>
      </c>
      <c r="AF277" s="32">
        <f t="shared" si="133"/>
        <v>0.77376075806365596</v>
      </c>
      <c r="AG277" s="4">
        <f t="shared" si="134"/>
        <v>1.0146260430759064</v>
      </c>
      <c r="AH277" s="42">
        <f t="shared" si="135"/>
        <v>1.5982528182811073</v>
      </c>
      <c r="AJ277" s="23">
        <v>4</v>
      </c>
      <c r="AK277" s="24">
        <v>0.8</v>
      </c>
      <c r="AL277" s="5">
        <f t="shared" si="136"/>
        <v>4.9400000000000062E-2</v>
      </c>
      <c r="AM277" s="5">
        <f t="shared" si="146"/>
        <v>0.1194718394324346</v>
      </c>
      <c r="AN277" s="25">
        <f t="shared" si="147"/>
        <v>-8.0000000000000002E-3</v>
      </c>
      <c r="AO277" s="30">
        <f t="shared" si="137"/>
        <v>1.7500000000000009E-2</v>
      </c>
      <c r="AP277" s="5">
        <f t="shared" si="138"/>
        <v>0.18</v>
      </c>
      <c r="AQ277" s="25">
        <v>0</v>
      </c>
    </row>
    <row r="278" spans="2:43">
      <c r="B278" s="38">
        <v>60000</v>
      </c>
      <c r="C278" s="3">
        <v>0</v>
      </c>
      <c r="D278" s="3">
        <f t="shared" si="121"/>
        <v>0.95000000000000029</v>
      </c>
      <c r="E278" s="13" cm="1">
        <f t="array" ref="E278">((B278-INDEX($AT$4:$AW$53,MATCH(B278,$AT$4:$AT$53,1),1))/(INDEX($AT$4:$AW$53,MATCH(B278,$AT$4:$AT$53,1)+1,1)-INDEX($AT$4:$AW$53,MATCH(B278,$AT$4:$AT$53,1),1)))*(INDEX($AT$4:$AW$53,MATCH(B278,$AT$4:$AT$53,1)+1,4)-INDEX($AT$4:$AW$53,MATCH(B278,$AT$4:$AT$53,1),4))+INDEX($AT$4:$AW$53,MATCH(B278,$AT$4:$AT$53,1),4)</f>
        <v>7.2366806671462198</v>
      </c>
      <c r="F278" s="13" cm="1">
        <f t="array" ref="F278">C278+((B278-INDEX($AT$4:$AW$53,MATCH(B278,$AT$4:$AT$53,1),1))/(INDEX($AT$4:$AW$53,MATCH(B278,$AT$4:$AT$53,1)+1,1)-INDEX($AT$4:$AW$53,MATCH(B278,$AT$4:$AT$53,1),1)))*(INDEX($AT$4:$AW$53,MATCH(B278,$AT$4:$AT$53,1)+1,3)-INDEX($AT$4:$AW$53,MATCH(B278,$AT$4:$AT$53,1),3))+INDEX($AT$4:$AW$53,MATCH(B278,$AT$4:$AT$53,1),3)</f>
        <v>216.7</v>
      </c>
      <c r="G278" s="4">
        <f t="shared" si="122"/>
        <v>0.11635863044087381</v>
      </c>
      <c r="H278" s="6">
        <f t="shared" si="139"/>
        <v>60000</v>
      </c>
      <c r="I278" s="13">
        <f t="shared" si="123"/>
        <v>280.32254484789485</v>
      </c>
      <c r="J278" s="13">
        <f t="shared" si="140"/>
        <v>544.90217557713197</v>
      </c>
      <c r="K278" s="13">
        <f t="shared" si="124"/>
        <v>167.92284996886551</v>
      </c>
      <c r="L278" s="13">
        <f t="shared" si="141"/>
        <v>185.64241000126637</v>
      </c>
      <c r="M278" s="13">
        <f t="shared" si="142"/>
        <v>5.6984368561779979</v>
      </c>
      <c r="N278" s="13">
        <f t="shared" si="143"/>
        <v>4.5717730114696256</v>
      </c>
      <c r="O278" s="4">
        <f t="shared" si="125"/>
        <v>1.1805000000000001</v>
      </c>
      <c r="P278" s="4">
        <f t="shared" si="126"/>
        <v>1.7874379315987108</v>
      </c>
      <c r="Q278" s="4">
        <f t="shared" si="127"/>
        <v>0.88778188443519013</v>
      </c>
      <c r="R278" s="4">
        <f t="shared" si="128"/>
        <v>0.12765968441474679</v>
      </c>
      <c r="S278" s="4">
        <f t="shared" si="129"/>
        <v>9.4969140851333275E-2</v>
      </c>
      <c r="T278" s="1"/>
      <c r="U278" s="1"/>
      <c r="V278" s="1">
        <v>1</v>
      </c>
      <c r="W278" s="1">
        <v>1</v>
      </c>
      <c r="Y278" s="1">
        <f t="shared" si="144"/>
        <v>-32.902190558023527</v>
      </c>
      <c r="Z278" s="1">
        <f t="shared" si="145"/>
        <v>-13.770908567205097</v>
      </c>
      <c r="AB278" s="130">
        <v>1</v>
      </c>
      <c r="AC278" s="128">
        <f t="shared" si="130"/>
        <v>0.50177243958633722</v>
      </c>
      <c r="AD278" s="4">
        <f t="shared" si="131"/>
        <v>0.12765968441474679</v>
      </c>
      <c r="AE278" s="4">
        <f t="shared" si="132"/>
        <v>0.21276614069124467</v>
      </c>
      <c r="AF278" s="32">
        <f t="shared" si="133"/>
        <v>0.79717520521156171</v>
      </c>
      <c r="AG278" s="4">
        <f t="shared" si="134"/>
        <v>1.0276340692691872</v>
      </c>
      <c r="AH278" s="42">
        <f t="shared" si="135"/>
        <v>1.6099600418550601</v>
      </c>
      <c r="AJ278" s="23">
        <v>4</v>
      </c>
      <c r="AK278" s="24">
        <v>0.8</v>
      </c>
      <c r="AL278" s="5">
        <f t="shared" si="136"/>
        <v>6.3700000000000062E-2</v>
      </c>
      <c r="AM278" s="5">
        <f t="shared" si="146"/>
        <v>0.1194718394324346</v>
      </c>
      <c r="AN278" s="25">
        <f t="shared" si="147"/>
        <v>-8.0000000000000002E-3</v>
      </c>
      <c r="AO278" s="30">
        <f t="shared" si="137"/>
        <v>1.925000000000001E-2</v>
      </c>
      <c r="AP278" s="5">
        <f t="shared" si="138"/>
        <v>0.18</v>
      </c>
      <c r="AQ278" s="25">
        <v>0</v>
      </c>
    </row>
    <row r="279" spans="2:43" ht="15" thickBot="1">
      <c r="B279" s="39">
        <v>60000</v>
      </c>
      <c r="C279" s="48">
        <v>0</v>
      </c>
      <c r="D279" s="48">
        <f t="shared" si="121"/>
        <v>1.0000000000000002</v>
      </c>
      <c r="E279" s="152" cm="1">
        <f t="array" ref="E279">((B279-INDEX($AT$4:$AW$53,MATCH(B279,$AT$4:$AT$53,1),1))/(INDEX($AT$4:$AW$53,MATCH(B279,$AT$4:$AT$53,1)+1,1)-INDEX($AT$4:$AW$53,MATCH(B279,$AT$4:$AT$53,1),1)))*(INDEX($AT$4:$AW$53,MATCH(B279,$AT$4:$AT$53,1)+1,4)-INDEX($AT$4:$AW$53,MATCH(B279,$AT$4:$AT$53,1),4))+INDEX($AT$4:$AW$53,MATCH(B279,$AT$4:$AT$53,1),4)</f>
        <v>7.2366806671462198</v>
      </c>
      <c r="F279" s="152" cm="1">
        <f t="array" ref="F279">C279+((B279-INDEX($AT$4:$AW$53,MATCH(B279,$AT$4:$AT$53,1),1))/(INDEX($AT$4:$AW$53,MATCH(B279,$AT$4:$AT$53,1)+1,1)-INDEX($AT$4:$AW$53,MATCH(B279,$AT$4:$AT$53,1),1)))*(INDEX($AT$4:$AW$53,MATCH(B279,$AT$4:$AT$53,1)+1,3)-INDEX($AT$4:$AW$53,MATCH(B279,$AT$4:$AT$53,1),3))+INDEX($AT$4:$AW$53,MATCH(B279,$AT$4:$AT$53,1),3)</f>
        <v>216.7</v>
      </c>
      <c r="G279" s="43">
        <f t="shared" si="122"/>
        <v>0.11635863044087381</v>
      </c>
      <c r="H279" s="153">
        <f t="shared" si="139"/>
        <v>60000</v>
      </c>
      <c r="I279" s="152">
        <f t="shared" si="123"/>
        <v>295.07636299778403</v>
      </c>
      <c r="J279" s="152">
        <f t="shared" si="140"/>
        <v>573.58123744961256</v>
      </c>
      <c r="K279" s="152">
        <f t="shared" si="124"/>
        <v>176.76089470406896</v>
      </c>
      <c r="L279" s="152">
        <f t="shared" si="141"/>
        <v>197.43285584536278</v>
      </c>
      <c r="M279" s="152">
        <f t="shared" si="142"/>
        <v>6.4618431801693665</v>
      </c>
      <c r="N279" s="152">
        <f t="shared" si="143"/>
        <v>5.0656764670023557</v>
      </c>
      <c r="O279" s="43">
        <f t="shared" si="125"/>
        <v>1.2</v>
      </c>
      <c r="P279" s="43">
        <f t="shared" si="126"/>
        <v>1.8929291587378541</v>
      </c>
      <c r="Q279" s="43">
        <f t="shared" si="127"/>
        <v>0.9024466423737636</v>
      </c>
      <c r="R279" s="43">
        <f t="shared" si="128"/>
        <v>0.13519391904579903</v>
      </c>
      <c r="S279" s="43">
        <f t="shared" si="129"/>
        <v>9.4969140851333275E-2</v>
      </c>
      <c r="T279" s="98"/>
      <c r="U279" s="98"/>
      <c r="V279" s="98">
        <v>1</v>
      </c>
      <c r="W279" s="98">
        <v>1</v>
      </c>
      <c r="X279" s="104"/>
      <c r="Y279" s="98">
        <f t="shared" si="144"/>
        <v>-42.252363866893361</v>
      </c>
      <c r="Z279" s="1">
        <f t="shared" si="145"/>
        <v>-12.500649637113062</v>
      </c>
      <c r="AB279" s="130">
        <v>1</v>
      </c>
      <c r="AC279" s="128">
        <f t="shared" si="130"/>
        <v>0.5</v>
      </c>
      <c r="AD279" s="4">
        <f t="shared" si="131"/>
        <v>0.13519391904579903</v>
      </c>
      <c r="AE279" s="4">
        <f t="shared" si="132"/>
        <v>0.22532319840966505</v>
      </c>
      <c r="AF279" s="32">
        <f t="shared" si="133"/>
        <v>0.82058965235946713</v>
      </c>
      <c r="AG279" s="4">
        <f t="shared" si="134"/>
        <v>1.0406420954624682</v>
      </c>
      <c r="AH279" s="42">
        <f t="shared" si="135"/>
        <v>1.6216672654290127</v>
      </c>
      <c r="AJ279" s="23">
        <v>4</v>
      </c>
      <c r="AK279" s="24">
        <v>0.8</v>
      </c>
      <c r="AL279" s="5">
        <f t="shared" si="136"/>
        <v>7.8000000000000042E-2</v>
      </c>
      <c r="AM279" s="5">
        <f t="shared" si="146"/>
        <v>0.1194718394324346</v>
      </c>
      <c r="AN279" s="25">
        <f t="shared" si="147"/>
        <v>-8.0000000000000002E-3</v>
      </c>
      <c r="AO279" s="30">
        <f t="shared" si="137"/>
        <v>2.1000000000000008E-2</v>
      </c>
      <c r="AP279" s="5">
        <f t="shared" si="138"/>
        <v>0.18</v>
      </c>
      <c r="AQ279" s="25">
        <v>0</v>
      </c>
    </row>
    <row r="286" spans="2:43">
      <c r="E286" s="2" t="s">
        <v>91</v>
      </c>
      <c r="F286" s="2">
        <v>0</v>
      </c>
      <c r="G286" s="2">
        <v>5000</v>
      </c>
      <c r="H286" s="2">
        <v>10000</v>
      </c>
      <c r="I286" s="2">
        <v>15000</v>
      </c>
      <c r="J286" s="2">
        <v>20000</v>
      </c>
      <c r="K286" s="2">
        <v>25000</v>
      </c>
      <c r="L286" s="2">
        <v>30000</v>
      </c>
      <c r="M286" s="2">
        <v>35000</v>
      </c>
      <c r="N286" s="2">
        <v>40000</v>
      </c>
      <c r="O286" s="2">
        <v>45000</v>
      </c>
      <c r="P286" s="2">
        <v>50000</v>
      </c>
      <c r="Q286" s="2">
        <v>55000</v>
      </c>
      <c r="R286" s="2">
        <v>60000</v>
      </c>
      <c r="U286" s="2" t="s">
        <v>101</v>
      </c>
      <c r="V286" s="2">
        <v>0</v>
      </c>
      <c r="W286" s="2">
        <v>5000</v>
      </c>
      <c r="X286" s="2">
        <v>10000</v>
      </c>
      <c r="Y286" s="2">
        <v>15000</v>
      </c>
      <c r="Z286" s="2">
        <v>20000</v>
      </c>
      <c r="AA286" s="2">
        <v>25000</v>
      </c>
      <c r="AB286" s="2">
        <v>30000</v>
      </c>
      <c r="AC286" s="2">
        <v>35000</v>
      </c>
      <c r="AD286" s="2">
        <v>40000</v>
      </c>
      <c r="AE286" s="2">
        <v>45000</v>
      </c>
      <c r="AF286" s="2">
        <v>50000</v>
      </c>
      <c r="AG286" s="2">
        <v>55000</v>
      </c>
      <c r="AH286" s="2">
        <v>60000</v>
      </c>
    </row>
    <row r="287" spans="2:43">
      <c r="E287" s="2">
        <v>0.01</v>
      </c>
      <c r="F287" s="5">
        <f>Y7</f>
        <v>-163.32223050554671</v>
      </c>
      <c r="G287" s="5">
        <f>Y28</f>
        <v>-193.36384508008092</v>
      </c>
      <c r="H287" s="5">
        <f>Y49</f>
        <v>-230.14483716625855</v>
      </c>
      <c r="I287" s="5">
        <f>Y70</f>
        <v>-275.48283190588677</v>
      </c>
      <c r="J287" s="5">
        <f>Y91</f>
        <v>-331.90273001232856</v>
      </c>
      <c r="K287" s="5">
        <f>Y112</f>
        <v>-402.82145303524737</v>
      </c>
      <c r="L287" s="5">
        <f>Y133</f>
        <v>-492.66972305043686</v>
      </c>
      <c r="M287" s="5">
        <f>Y154</f>
        <v>-607.80700065408962</v>
      </c>
      <c r="N287" s="5">
        <f>Y175</f>
        <v>-768.14433044202826</v>
      </c>
      <c r="O287" s="5">
        <f>Y196</f>
        <v>-975.80285679793099</v>
      </c>
      <c r="P287" s="5">
        <f>Y217</f>
        <v>-1239.6868042058659</v>
      </c>
      <c r="Q287" s="5">
        <f>Y238</f>
        <v>-1574.5962228163255</v>
      </c>
      <c r="R287" s="5">
        <f>Y259</f>
        <v>-1999.838834741671</v>
      </c>
      <c r="U287" s="2">
        <v>0.01</v>
      </c>
      <c r="V287" s="55">
        <f>K7</f>
        <v>6.6141614676239975</v>
      </c>
      <c r="W287" s="55">
        <f>K28</f>
        <v>6.0335701984426349</v>
      </c>
      <c r="X287" s="55">
        <f>K49</f>
        <v>5.4858426427680298</v>
      </c>
      <c r="Y287" s="55">
        <f>K70</f>
        <v>4.970267823647057</v>
      </c>
      <c r="Z287" s="55">
        <f>K91</f>
        <v>4.4863093018400475</v>
      </c>
      <c r="AA287" s="55">
        <f>K112</f>
        <v>4.032549570572292</v>
      </c>
      <c r="AB287" s="55">
        <f>K133</f>
        <v>3.6085836119168362</v>
      </c>
      <c r="AC287" s="55">
        <f>K154</f>
        <v>3.2137571993095921</v>
      </c>
      <c r="AD287" s="55">
        <f>K175</f>
        <v>2.8517096622898057</v>
      </c>
      <c r="AE287" s="55">
        <f>K196</f>
        <v>2.5302922014108762</v>
      </c>
      <c r="AF287" s="55">
        <f>K217</f>
        <v>2.2449747795292683</v>
      </c>
      <c r="AG287" s="55">
        <f>K238</f>
        <v>1.9920158273283191</v>
      </c>
      <c r="AH287" s="55">
        <f>K259</f>
        <v>1.767608947040689</v>
      </c>
    </row>
    <row r="288" spans="2:43">
      <c r="E288" s="2">
        <v>0.05</v>
      </c>
      <c r="F288" s="5">
        <f t="shared" ref="F288:F307" si="148">Y8</f>
        <v>-26.010644530726303</v>
      </c>
      <c r="G288" s="5">
        <f t="shared" ref="G288:G307" si="149">Y29</f>
        <v>-33.210270553518768</v>
      </c>
      <c r="H288" s="5">
        <f t="shared" ref="H288:H307" si="150">Y50</f>
        <v>-41.572126853642644</v>
      </c>
      <c r="I288" s="5">
        <f t="shared" ref="I288:I307" si="151">Y71</f>
        <v>-51.48434175096191</v>
      </c>
      <c r="J288" s="5">
        <f t="shared" ref="J288:J307" si="152">Y92</f>
        <v>-63.471802695302287</v>
      </c>
      <c r="K288" s="5">
        <f t="shared" ref="K288:K307" si="153">Y113</f>
        <v>-78.238425335614451</v>
      </c>
      <c r="L288" s="5">
        <f t="shared" ref="L288:L307" si="154">Y134</f>
        <v>-96.687389621464945</v>
      </c>
      <c r="M288" s="5">
        <f t="shared" ref="M288:M307" si="155">Y155</f>
        <v>-120.10514304645864</v>
      </c>
      <c r="N288" s="5">
        <f t="shared" ref="N288:N307" si="156">Y176</f>
        <v>-152.46398741530709</v>
      </c>
      <c r="O288" s="5">
        <f t="shared" ref="O288:O307" si="157">Y197</f>
        <v>-194.21937961937422</v>
      </c>
      <c r="P288" s="5">
        <f t="shared" ref="P288:P307" si="158">Y218</f>
        <v>-247.17234774114965</v>
      </c>
      <c r="Q288" s="5">
        <f t="shared" ref="Q288:Q307" si="159">Y239</f>
        <v>-314.29282240942348</v>
      </c>
      <c r="R288" s="5">
        <f t="shared" ref="R288:R307" si="160">Y260</f>
        <v>-399.45044058056237</v>
      </c>
      <c r="U288" s="2">
        <v>0.05</v>
      </c>
      <c r="V288" s="55">
        <f t="shared" ref="V288:V307" si="161">K8</f>
        <v>33.070807338119984</v>
      </c>
      <c r="W288" s="55">
        <f t="shared" ref="W288:W307" si="162">K29</f>
        <v>30.167850992213175</v>
      </c>
      <c r="X288" s="55">
        <f t="shared" ref="X288:X307" si="163">K50</f>
        <v>27.429213213840153</v>
      </c>
      <c r="Y288" s="55">
        <f t="shared" ref="Y288:Y307" si="164">K71</f>
        <v>24.851339118235284</v>
      </c>
      <c r="Z288" s="55">
        <f t="shared" ref="Z288:Z307" si="165">K92</f>
        <v>22.431546509200238</v>
      </c>
      <c r="AA288" s="55">
        <f t="shared" ref="AA288:AA307" si="166">K113</f>
        <v>20.162747852861457</v>
      </c>
      <c r="AB288" s="55">
        <f t="shared" ref="AB288:AB307" si="167">K134</f>
        <v>18.042918059584181</v>
      </c>
      <c r="AC288" s="55">
        <f t="shared" ref="AC288:AC307" si="168">K155</f>
        <v>16.068785996547962</v>
      </c>
      <c r="AD288" s="55">
        <f t="shared" ref="AD288:AD307" si="169">K176</f>
        <v>14.258548311449029</v>
      </c>
      <c r="AE288" s="55">
        <f t="shared" ref="AE288:AE307" si="170">K197</f>
        <v>12.651461007054381</v>
      </c>
      <c r="AF288" s="55">
        <f t="shared" ref="AF288:AF307" si="171">K218</f>
        <v>11.224873897646342</v>
      </c>
      <c r="AG288" s="55">
        <f t="shared" ref="AG288:AG307" si="172">K239</f>
        <v>9.9600791366415944</v>
      </c>
      <c r="AH288" s="55">
        <f t="shared" ref="AH288:AH307" si="173">K260</f>
        <v>8.8380447352034448</v>
      </c>
    </row>
    <row r="289" spans="5:34">
      <c r="E289" s="2">
        <f t="shared" ref="E289:E307" si="174">E288+0.05</f>
        <v>0.1</v>
      </c>
      <c r="F289" s="5">
        <f t="shared" si="148"/>
        <v>-2.6674915019331333</v>
      </c>
      <c r="G289" s="5">
        <f t="shared" si="149"/>
        <v>-8.1180095511396502</v>
      </c>
      <c r="H289" s="5">
        <f t="shared" si="150"/>
        <v>-13.861243900588429</v>
      </c>
      <c r="I289" s="5">
        <f t="shared" si="151"/>
        <v>-20.129480102637725</v>
      </c>
      <c r="J289" s="5">
        <f t="shared" si="152"/>
        <v>-27.216087503127227</v>
      </c>
      <c r="K289" s="5">
        <f t="shared" si="153"/>
        <v>-35.504919422904926</v>
      </c>
      <c r="L289" s="5">
        <f t="shared" si="154"/>
        <v>-45.474030692829274</v>
      </c>
      <c r="M289" s="5">
        <f t="shared" si="155"/>
        <v>-57.789256471963732</v>
      </c>
      <c r="N289" s="5">
        <f t="shared" si="156"/>
        <v>-74.421339084168054</v>
      </c>
      <c r="O289" s="5">
        <f t="shared" si="157"/>
        <v>-95.646531947477811</v>
      </c>
      <c r="P289" s="5">
        <f t="shared" si="158"/>
        <v>-122.39670882573969</v>
      </c>
      <c r="Q289" s="5">
        <f t="shared" si="159"/>
        <v>-156.17224664399035</v>
      </c>
      <c r="R289" s="5">
        <f t="shared" si="160"/>
        <v>-198.92053559965728</v>
      </c>
      <c r="U289" s="2">
        <f t="shared" ref="U289:U307" si="175">U288+0.05</f>
        <v>0.1</v>
      </c>
      <c r="V289" s="55">
        <f t="shared" si="161"/>
        <v>66.141614676239968</v>
      </c>
      <c r="W289" s="55">
        <f t="shared" si="162"/>
        <v>60.33570198442635</v>
      </c>
      <c r="X289" s="55">
        <f t="shared" si="163"/>
        <v>54.858426427680307</v>
      </c>
      <c r="Y289" s="55">
        <f t="shared" si="164"/>
        <v>49.702678236470568</v>
      </c>
      <c r="Z289" s="55">
        <f t="shared" si="165"/>
        <v>44.863093018400477</v>
      </c>
      <c r="AA289" s="55">
        <f t="shared" si="166"/>
        <v>40.325495705722915</v>
      </c>
      <c r="AB289" s="55">
        <f t="shared" si="167"/>
        <v>36.085836119168363</v>
      </c>
      <c r="AC289" s="55">
        <f t="shared" si="168"/>
        <v>32.137571993095925</v>
      </c>
      <c r="AD289" s="55">
        <f t="shared" si="169"/>
        <v>28.517096622898059</v>
      </c>
      <c r="AE289" s="55">
        <f t="shared" si="170"/>
        <v>25.302922014108763</v>
      </c>
      <c r="AF289" s="55">
        <f t="shared" si="171"/>
        <v>22.449747795292684</v>
      </c>
      <c r="AG289" s="55">
        <f t="shared" si="172"/>
        <v>19.920158273283189</v>
      </c>
      <c r="AH289" s="55">
        <f t="shared" si="173"/>
        <v>17.67608947040689</v>
      </c>
    </row>
    <row r="290" spans="5:34">
      <c r="E290" s="2">
        <f t="shared" si="174"/>
        <v>0.15000000000000002</v>
      </c>
      <c r="F290" s="5">
        <f t="shared" si="148"/>
        <v>9.5772044900256823</v>
      </c>
      <c r="G290" s="5">
        <f t="shared" si="149"/>
        <v>3.9110557819720131</v>
      </c>
      <c r="H290" s="5">
        <f t="shared" si="150"/>
        <v>-1.6335212675801449</v>
      </c>
      <c r="I290" s="5">
        <f t="shared" si="151"/>
        <v>-7.2533586345581487</v>
      </c>
      <c r="J290" s="5">
        <f t="shared" si="152"/>
        <v>-13.177997389271477</v>
      </c>
      <c r="K290" s="5">
        <f t="shared" si="153"/>
        <v>-19.69836735534539</v>
      </c>
      <c r="L290" s="5">
        <f t="shared" si="154"/>
        <v>-27.162235668094713</v>
      </c>
      <c r="M290" s="5">
        <f t="shared" si="155"/>
        <v>-36.038323360579334</v>
      </c>
      <c r="N290" s="5">
        <f t="shared" si="156"/>
        <v>-47.623496940453528</v>
      </c>
      <c r="O290" s="5">
        <f t="shared" si="157"/>
        <v>-62.155242704750854</v>
      </c>
      <c r="P290" s="5">
        <f t="shared" si="158"/>
        <v>-80.289260451893199</v>
      </c>
      <c r="Q290" s="5">
        <f t="shared" si="159"/>
        <v>-103.04272632953256</v>
      </c>
      <c r="R290" s="5">
        <f t="shared" si="160"/>
        <v>-131.727706595532</v>
      </c>
      <c r="U290" s="2">
        <f t="shared" si="175"/>
        <v>0.15000000000000002</v>
      </c>
      <c r="V290" s="55">
        <f t="shared" si="161"/>
        <v>99.212422014359973</v>
      </c>
      <c r="W290" s="55">
        <f t="shared" si="162"/>
        <v>90.50355297663954</v>
      </c>
      <c r="X290" s="55">
        <f t="shared" si="163"/>
        <v>82.287639641520457</v>
      </c>
      <c r="Y290" s="55">
        <f t="shared" si="164"/>
        <v>74.554017354705863</v>
      </c>
      <c r="Z290" s="55">
        <f t="shared" si="165"/>
        <v>67.294639527600722</v>
      </c>
      <c r="AA290" s="55">
        <f t="shared" si="166"/>
        <v>60.488243558584394</v>
      </c>
      <c r="AB290" s="55">
        <f t="shared" si="167"/>
        <v>54.128754178752544</v>
      </c>
      <c r="AC290" s="55">
        <f t="shared" si="168"/>
        <v>48.206357989643891</v>
      </c>
      <c r="AD290" s="55">
        <f t="shared" si="169"/>
        <v>42.775644934347099</v>
      </c>
      <c r="AE290" s="55">
        <f t="shared" si="170"/>
        <v>37.954383021163153</v>
      </c>
      <c r="AF290" s="55">
        <f t="shared" si="171"/>
        <v>33.674621692939034</v>
      </c>
      <c r="AG290" s="55">
        <f t="shared" si="172"/>
        <v>29.880237409924792</v>
      </c>
      <c r="AH290" s="55">
        <f t="shared" si="173"/>
        <v>26.51413420561034</v>
      </c>
    </row>
    <row r="291" spans="5:34">
      <c r="E291" s="2">
        <f t="shared" si="174"/>
        <v>0.2</v>
      </c>
      <c r="F291" s="5">
        <f t="shared" si="148"/>
        <v>18.902333676146217</v>
      </c>
      <c r="G291" s="5">
        <f t="shared" si="149"/>
        <v>12.555791601470839</v>
      </c>
      <c r="H291" s="5">
        <f t="shared" si="150"/>
        <v>6.6271766715628013</v>
      </c>
      <c r="I291" s="5">
        <f t="shared" si="151"/>
        <v>0.92555922256622336</v>
      </c>
      <c r="J291" s="5">
        <f t="shared" si="152"/>
        <v>-4.7562528871511773</v>
      </c>
      <c r="K291" s="5">
        <f t="shared" si="153"/>
        <v>-10.672594811474713</v>
      </c>
      <c r="L291" s="5">
        <f t="shared" si="154"/>
        <v>-17.114277340157663</v>
      </c>
      <c r="M291" s="5">
        <f t="shared" si="155"/>
        <v>-24.458457743133621</v>
      </c>
      <c r="N291" s="5">
        <f t="shared" si="156"/>
        <v>-33.660223562224388</v>
      </c>
      <c r="O291" s="5">
        <f t="shared" si="157"/>
        <v>-44.952739677622226</v>
      </c>
      <c r="P291" s="5">
        <f t="shared" si="158"/>
        <v>-58.863341406570136</v>
      </c>
      <c r="Q291" s="5">
        <f t="shared" si="159"/>
        <v>-76.172371902510534</v>
      </c>
      <c r="R291" s="5">
        <f t="shared" si="160"/>
        <v>-97.878124362111279</v>
      </c>
      <c r="U291" s="2">
        <f t="shared" si="175"/>
        <v>0.2</v>
      </c>
      <c r="V291" s="55">
        <f t="shared" si="161"/>
        <v>132.28322935247994</v>
      </c>
      <c r="W291" s="55">
        <f t="shared" si="162"/>
        <v>120.6714039688527</v>
      </c>
      <c r="X291" s="55">
        <f t="shared" si="163"/>
        <v>109.71685285536061</v>
      </c>
      <c r="Y291" s="55">
        <f t="shared" si="164"/>
        <v>99.405356472941136</v>
      </c>
      <c r="Z291" s="55">
        <f t="shared" si="165"/>
        <v>89.726186036800954</v>
      </c>
      <c r="AA291" s="55">
        <f t="shared" si="166"/>
        <v>80.65099141144583</v>
      </c>
      <c r="AB291" s="55">
        <f t="shared" si="167"/>
        <v>72.171672238336726</v>
      </c>
      <c r="AC291" s="55">
        <f t="shared" si="168"/>
        <v>64.27514398619185</v>
      </c>
      <c r="AD291" s="55">
        <f t="shared" si="169"/>
        <v>57.034193245796118</v>
      </c>
      <c r="AE291" s="55">
        <f t="shared" si="170"/>
        <v>50.605844028217525</v>
      </c>
      <c r="AF291" s="55">
        <f t="shared" si="171"/>
        <v>44.899495590585367</v>
      </c>
      <c r="AG291" s="55">
        <f t="shared" si="172"/>
        <v>39.840316546566378</v>
      </c>
      <c r="AH291" s="55">
        <f t="shared" si="173"/>
        <v>35.352178940813779</v>
      </c>
    </row>
    <row r="292" spans="5:34">
      <c r="E292" s="2">
        <f t="shared" si="174"/>
        <v>0.25</v>
      </c>
      <c r="F292" s="5">
        <f t="shared" si="148"/>
        <v>26.901095958320461</v>
      </c>
      <c r="G292" s="5">
        <f t="shared" si="149"/>
        <v>19.717154138364204</v>
      </c>
      <c r="H292" s="5">
        <f t="shared" si="150"/>
        <v>13.195809230497558</v>
      </c>
      <c r="I292" s="5">
        <f t="shared" si="151"/>
        <v>7.1408105949569167</v>
      </c>
      <c r="J292" s="5">
        <f t="shared" si="152"/>
        <v>1.3512079268002193</v>
      </c>
      <c r="K292" s="5">
        <f t="shared" si="153"/>
        <v>-4.4127721753419298</v>
      </c>
      <c r="L292" s="5">
        <f t="shared" si="154"/>
        <v>-10.413903256145886</v>
      </c>
      <c r="M292" s="5">
        <f t="shared" si="155"/>
        <v>-16.97964438929635</v>
      </c>
      <c r="N292" s="5">
        <f t="shared" si="156"/>
        <v>-24.856335316953164</v>
      </c>
      <c r="O292" s="5">
        <f t="shared" si="157"/>
        <v>-34.285872215594068</v>
      </c>
      <c r="P292" s="5">
        <f t="shared" si="158"/>
        <v>-45.725873278049541</v>
      </c>
      <c r="Q292" s="5">
        <f t="shared" si="159"/>
        <v>-59.818154663900451</v>
      </c>
      <c r="R292" s="5">
        <f t="shared" si="160"/>
        <v>-77.375660176827921</v>
      </c>
      <c r="U292" s="2">
        <f t="shared" si="175"/>
        <v>0.25</v>
      </c>
      <c r="V292" s="55">
        <f t="shared" si="161"/>
        <v>165.35403669059994</v>
      </c>
      <c r="W292" s="55">
        <f t="shared" si="162"/>
        <v>150.83925496106588</v>
      </c>
      <c r="X292" s="55">
        <f t="shared" si="163"/>
        <v>137.14606606920077</v>
      </c>
      <c r="Y292" s="55">
        <f t="shared" si="164"/>
        <v>124.2566955911764</v>
      </c>
      <c r="Z292" s="55">
        <f t="shared" si="165"/>
        <v>112.15773254600118</v>
      </c>
      <c r="AA292" s="55">
        <f t="shared" si="166"/>
        <v>100.81373926430729</v>
      </c>
      <c r="AB292" s="55">
        <f t="shared" si="167"/>
        <v>90.214590297920893</v>
      </c>
      <c r="AC292" s="55">
        <f t="shared" si="168"/>
        <v>80.343929982739809</v>
      </c>
      <c r="AD292" s="55">
        <f t="shared" si="169"/>
        <v>71.292741557245151</v>
      </c>
      <c r="AE292" s="55">
        <f t="shared" si="170"/>
        <v>63.257305035271912</v>
      </c>
      <c r="AF292" s="55">
        <f t="shared" si="171"/>
        <v>56.124369488231714</v>
      </c>
      <c r="AG292" s="55">
        <f t="shared" si="172"/>
        <v>49.800395683207981</v>
      </c>
      <c r="AH292" s="55">
        <f t="shared" si="173"/>
        <v>44.190223676017226</v>
      </c>
    </row>
    <row r="293" spans="5:34">
      <c r="E293" s="2">
        <f t="shared" si="174"/>
        <v>0.3</v>
      </c>
      <c r="F293" s="5">
        <f t="shared" si="148"/>
        <v>34.072301237221794</v>
      </c>
      <c r="G293" s="5">
        <f t="shared" si="149"/>
        <v>26.002418493738016</v>
      </c>
      <c r="H293" s="5">
        <f t="shared" si="150"/>
        <v>18.809280797653503</v>
      </c>
      <c r="I293" s="5">
        <f t="shared" si="151"/>
        <v>12.286324081261604</v>
      </c>
      <c r="J293" s="5">
        <f t="shared" si="152"/>
        <v>6.2312888092929439</v>
      </c>
      <c r="K293" s="5">
        <f t="shared" si="153"/>
        <v>0.40846383417898302</v>
      </c>
      <c r="L293" s="5">
        <f t="shared" si="154"/>
        <v>-5.4309180422102932</v>
      </c>
      <c r="M293" s="5">
        <f t="shared" si="155"/>
        <v>-11.585182856028428</v>
      </c>
      <c r="N293" s="5">
        <f t="shared" si="156"/>
        <v>-18.658637639054241</v>
      </c>
      <c r="O293" s="5">
        <f t="shared" si="157"/>
        <v>-26.907683955314585</v>
      </c>
      <c r="P293" s="5">
        <f t="shared" si="158"/>
        <v>-36.749052584531306</v>
      </c>
      <c r="Q293" s="5">
        <f t="shared" si="159"/>
        <v>-48.734935708102654</v>
      </c>
      <c r="R293" s="5">
        <f t="shared" si="160"/>
        <v>-63.556935650876078</v>
      </c>
      <c r="U293" s="2">
        <f t="shared" si="175"/>
        <v>0.3</v>
      </c>
      <c r="V293" s="55">
        <f t="shared" si="161"/>
        <v>198.42484402871992</v>
      </c>
      <c r="W293" s="55">
        <f t="shared" si="162"/>
        <v>181.00710595327902</v>
      </c>
      <c r="X293" s="55">
        <f t="shared" si="163"/>
        <v>164.57527928304089</v>
      </c>
      <c r="Y293" s="55">
        <f t="shared" si="164"/>
        <v>149.10803470941167</v>
      </c>
      <c r="Z293" s="55">
        <f t="shared" si="165"/>
        <v>134.58927905520142</v>
      </c>
      <c r="AA293" s="55">
        <f t="shared" si="166"/>
        <v>120.97648711716874</v>
      </c>
      <c r="AB293" s="55">
        <f t="shared" si="167"/>
        <v>108.25750835750507</v>
      </c>
      <c r="AC293" s="55">
        <f t="shared" si="168"/>
        <v>96.412715979287768</v>
      </c>
      <c r="AD293" s="55">
        <f t="shared" si="169"/>
        <v>85.551289868694184</v>
      </c>
      <c r="AE293" s="55">
        <f t="shared" si="170"/>
        <v>75.908766042326292</v>
      </c>
      <c r="AF293" s="55">
        <f t="shared" si="171"/>
        <v>67.349243385878054</v>
      </c>
      <c r="AG293" s="55">
        <f t="shared" si="172"/>
        <v>59.76047481984957</v>
      </c>
      <c r="AH293" s="55">
        <f t="shared" si="173"/>
        <v>53.028268411220672</v>
      </c>
    </row>
    <row r="294" spans="5:34">
      <c r="E294" s="2">
        <f t="shared" si="174"/>
        <v>0.35</v>
      </c>
      <c r="F294" s="5">
        <f t="shared" si="148"/>
        <v>40.605695666479264</v>
      </c>
      <c r="G294" s="5">
        <f t="shared" si="149"/>
        <v>31.652196007691717</v>
      </c>
      <c r="H294" s="5">
        <f t="shared" si="150"/>
        <v>23.767454239968448</v>
      </c>
      <c r="I294" s="5">
        <f t="shared" si="151"/>
        <v>16.73236129261079</v>
      </c>
      <c r="J294" s="5">
        <f t="shared" si="152"/>
        <v>10.339537657481793</v>
      </c>
      <c r="K294" s="5">
        <f t="shared" si="153"/>
        <v>4.3518534093220991</v>
      </c>
      <c r="L294" s="5">
        <f t="shared" si="154"/>
        <v>-1.4730398800640341</v>
      </c>
      <c r="M294" s="5">
        <f t="shared" si="155"/>
        <v>-7.4157178791669178</v>
      </c>
      <c r="N294" s="5">
        <f t="shared" si="156"/>
        <v>-13.976777988360984</v>
      </c>
      <c r="O294" s="5">
        <f t="shared" si="157"/>
        <v>-21.429671868602288</v>
      </c>
      <c r="P294" s="5">
        <f t="shared" si="158"/>
        <v>-30.166221394603518</v>
      </c>
      <c r="Q294" s="5">
        <f t="shared" si="159"/>
        <v>-40.676688532692715</v>
      </c>
      <c r="R294" s="5">
        <f t="shared" si="160"/>
        <v>-53.567705480553045</v>
      </c>
      <c r="U294" s="2">
        <f t="shared" si="175"/>
        <v>0.35</v>
      </c>
      <c r="V294" s="55">
        <f t="shared" si="161"/>
        <v>231.49565136683987</v>
      </c>
      <c r="W294" s="55">
        <f t="shared" si="162"/>
        <v>211.17495694549223</v>
      </c>
      <c r="X294" s="55">
        <f t="shared" si="163"/>
        <v>192.00449249688103</v>
      </c>
      <c r="Y294" s="55">
        <f t="shared" si="164"/>
        <v>173.95937382764697</v>
      </c>
      <c r="Z294" s="55">
        <f t="shared" si="165"/>
        <v>157.02082556440166</v>
      </c>
      <c r="AA294" s="55">
        <f t="shared" si="166"/>
        <v>141.1392349700302</v>
      </c>
      <c r="AB294" s="55">
        <f t="shared" si="167"/>
        <v>126.30042641708924</v>
      </c>
      <c r="AC294" s="55">
        <f t="shared" si="168"/>
        <v>112.48150197583571</v>
      </c>
      <c r="AD294" s="55">
        <f t="shared" si="169"/>
        <v>99.809838180143203</v>
      </c>
      <c r="AE294" s="55">
        <f t="shared" si="170"/>
        <v>88.560227049380671</v>
      </c>
      <c r="AF294" s="55">
        <f t="shared" si="171"/>
        <v>78.574117283524402</v>
      </c>
      <c r="AG294" s="55">
        <f t="shared" si="172"/>
        <v>69.720553956491159</v>
      </c>
      <c r="AH294" s="55">
        <f t="shared" si="173"/>
        <v>61.866313146424119</v>
      </c>
    </row>
    <row r="295" spans="5:34">
      <c r="E295" s="2">
        <f t="shared" si="174"/>
        <v>0.39999999999999997</v>
      </c>
      <c r="F295" s="5">
        <f t="shared" si="148"/>
        <v>46.579084214419318</v>
      </c>
      <c r="G295" s="5">
        <f t="shared" si="149"/>
        <v>36.772835416617944</v>
      </c>
      <c r="H295" s="5">
        <f t="shared" si="150"/>
        <v>28.20892940089951</v>
      </c>
      <c r="I295" s="5">
        <f t="shared" si="151"/>
        <v>20.654925252248663</v>
      </c>
      <c r="J295" s="5">
        <f t="shared" si="152"/>
        <v>13.896435085427644</v>
      </c>
      <c r="K295" s="5">
        <f t="shared" si="153"/>
        <v>7.6919920793348204</v>
      </c>
      <c r="L295" s="5">
        <f t="shared" si="154"/>
        <v>1.8013451700993917</v>
      </c>
      <c r="M295" s="5">
        <f t="shared" si="155"/>
        <v>-4.0450841953840948</v>
      </c>
      <c r="N295" s="5">
        <f t="shared" si="156"/>
        <v>-10.268331576098296</v>
      </c>
      <c r="O295" s="5">
        <f t="shared" si="157"/>
        <v>-17.159750635156609</v>
      </c>
      <c r="P295" s="5">
        <f t="shared" si="158"/>
        <v>-25.095755956543805</v>
      </c>
      <c r="Q295" s="5">
        <f t="shared" si="159"/>
        <v>-34.521742470627842</v>
      </c>
      <c r="R295" s="5">
        <f t="shared" si="160"/>
        <v>-45.981904143854536</v>
      </c>
      <c r="U295" s="2">
        <f t="shared" si="175"/>
        <v>0.39999999999999997</v>
      </c>
      <c r="V295" s="55">
        <f t="shared" si="161"/>
        <v>264.56645870495987</v>
      </c>
      <c r="W295" s="55">
        <f t="shared" si="162"/>
        <v>241.34280793770535</v>
      </c>
      <c r="X295" s="55">
        <f t="shared" si="163"/>
        <v>219.43370571072117</v>
      </c>
      <c r="Y295" s="55">
        <f t="shared" si="164"/>
        <v>198.81071294588222</v>
      </c>
      <c r="Z295" s="55">
        <f t="shared" si="165"/>
        <v>179.45237207360188</v>
      </c>
      <c r="AA295" s="55">
        <f t="shared" si="166"/>
        <v>161.30198282289166</v>
      </c>
      <c r="AB295" s="55">
        <f t="shared" si="167"/>
        <v>144.34334447667342</v>
      </c>
      <c r="AC295" s="55">
        <f t="shared" si="168"/>
        <v>128.55028797238367</v>
      </c>
      <c r="AD295" s="55">
        <f t="shared" si="169"/>
        <v>114.06838649159222</v>
      </c>
      <c r="AE295" s="55">
        <f t="shared" si="170"/>
        <v>101.21168805643504</v>
      </c>
      <c r="AF295" s="55">
        <f t="shared" si="171"/>
        <v>89.798991181170734</v>
      </c>
      <c r="AG295" s="55">
        <f t="shared" si="172"/>
        <v>79.680633093132755</v>
      </c>
      <c r="AH295" s="55">
        <f t="shared" si="173"/>
        <v>70.704357881627544</v>
      </c>
    </row>
    <row r="296" spans="5:34">
      <c r="E296" s="2">
        <f t="shared" si="174"/>
        <v>0.44999999999999996</v>
      </c>
      <c r="F296" s="5">
        <f t="shared" si="148"/>
        <v>52.024788504807631</v>
      </c>
      <c r="G296" s="5">
        <f t="shared" si="149"/>
        <v>41.414503457430648</v>
      </c>
      <c r="H296" s="5">
        <f t="shared" si="150"/>
        <v>32.203467407181655</v>
      </c>
      <c r="I296" s="5">
        <f t="shared" si="151"/>
        <v>24.145964455989553</v>
      </c>
      <c r="J296" s="5">
        <f t="shared" si="152"/>
        <v>17.019811233848369</v>
      </c>
      <c r="K296" s="5">
        <f t="shared" si="153"/>
        <v>10.577744037807118</v>
      </c>
      <c r="L296" s="5">
        <f t="shared" si="154"/>
        <v>4.5791307358267268</v>
      </c>
      <c r="M296" s="5">
        <f t="shared" si="155"/>
        <v>-1.2387670778522619</v>
      </c>
      <c r="N296" s="5">
        <f t="shared" si="156"/>
        <v>-7.2337089841031306</v>
      </c>
      <c r="O296" s="5">
        <f t="shared" si="157"/>
        <v>-13.714812206806709</v>
      </c>
      <c r="P296" s="5">
        <f t="shared" si="158"/>
        <v>-21.048954612935937</v>
      </c>
      <c r="Q296" s="5">
        <f t="shared" si="159"/>
        <v>-29.647804813834863</v>
      </c>
      <c r="R296" s="5">
        <f t="shared" si="160"/>
        <v>-40.007948327533029</v>
      </c>
      <c r="U296" s="2">
        <f t="shared" si="175"/>
        <v>0.44999999999999996</v>
      </c>
      <c r="V296" s="55">
        <f t="shared" si="161"/>
        <v>297.63726604307982</v>
      </c>
      <c r="W296" s="55">
        <f t="shared" si="162"/>
        <v>271.51065892991852</v>
      </c>
      <c r="X296" s="55">
        <f t="shared" si="163"/>
        <v>246.86291892456131</v>
      </c>
      <c r="Y296" s="55">
        <f t="shared" si="164"/>
        <v>223.66205206411752</v>
      </c>
      <c r="Z296" s="55">
        <f t="shared" si="165"/>
        <v>201.88391858280215</v>
      </c>
      <c r="AA296" s="55">
        <f t="shared" si="166"/>
        <v>181.46473067575315</v>
      </c>
      <c r="AB296" s="55">
        <f t="shared" si="167"/>
        <v>162.38626253625762</v>
      </c>
      <c r="AC296" s="55">
        <f t="shared" si="168"/>
        <v>144.61907396893162</v>
      </c>
      <c r="AD296" s="55">
        <f t="shared" si="169"/>
        <v>128.32693480304127</v>
      </c>
      <c r="AE296" s="55">
        <f t="shared" si="170"/>
        <v>113.86314906348943</v>
      </c>
      <c r="AF296" s="55">
        <f t="shared" si="171"/>
        <v>101.02386507881708</v>
      </c>
      <c r="AG296" s="55">
        <f t="shared" si="172"/>
        <v>89.640712229774351</v>
      </c>
      <c r="AH296" s="55">
        <f t="shared" si="173"/>
        <v>79.542402616830998</v>
      </c>
    </row>
    <row r="297" spans="5:34">
      <c r="E297" s="2">
        <f t="shared" si="174"/>
        <v>0.49999999999999994</v>
      </c>
      <c r="F297" s="5">
        <f t="shared" si="148"/>
        <v>56.956955991181175</v>
      </c>
      <c r="G297" s="5">
        <f t="shared" si="149"/>
        <v>45.603010805077872</v>
      </c>
      <c r="H297" s="5">
        <f t="shared" si="150"/>
        <v>35.789442411278849</v>
      </c>
      <c r="I297" s="5">
        <f t="shared" si="151"/>
        <v>27.257842771243485</v>
      </c>
      <c r="J297" s="5">
        <f t="shared" si="152"/>
        <v>19.778122735676511</v>
      </c>
      <c r="K297" s="5">
        <f t="shared" si="153"/>
        <v>13.096653110381789</v>
      </c>
      <c r="L297" s="5">
        <f t="shared" si="154"/>
        <v>6.9710617257452148</v>
      </c>
      <c r="M297" s="5">
        <f t="shared" si="155"/>
        <v>1.1428628575697859</v>
      </c>
      <c r="N297" s="5">
        <f t="shared" si="156"/>
        <v>-4.6940021708332527</v>
      </c>
      <c r="O297" s="5">
        <f t="shared" si="157"/>
        <v>-10.865657488314888</v>
      </c>
      <c r="P297" s="5">
        <f t="shared" si="158"/>
        <v>-17.733120430639818</v>
      </c>
      <c r="Q297" s="5">
        <f t="shared" si="159"/>
        <v>-25.681912552206143</v>
      </c>
      <c r="R297" s="5">
        <f t="shared" si="160"/>
        <v>-35.171212930051631</v>
      </c>
      <c r="U297" s="2">
        <f t="shared" si="175"/>
        <v>0.49999999999999994</v>
      </c>
      <c r="V297" s="55">
        <f t="shared" si="161"/>
        <v>330.70807338119982</v>
      </c>
      <c r="W297" s="55">
        <f t="shared" si="162"/>
        <v>301.6785099221317</v>
      </c>
      <c r="X297" s="55">
        <f t="shared" si="163"/>
        <v>274.29213213840148</v>
      </c>
      <c r="Y297" s="55">
        <f t="shared" si="164"/>
        <v>248.51339118235276</v>
      </c>
      <c r="Z297" s="55">
        <f t="shared" si="165"/>
        <v>224.31546509200234</v>
      </c>
      <c r="AA297" s="55">
        <f t="shared" si="166"/>
        <v>201.62747852861455</v>
      </c>
      <c r="AB297" s="55">
        <f t="shared" si="167"/>
        <v>180.42918059584176</v>
      </c>
      <c r="AC297" s="55">
        <f t="shared" si="168"/>
        <v>160.68785996547959</v>
      </c>
      <c r="AD297" s="55">
        <f t="shared" si="169"/>
        <v>142.58548311449027</v>
      </c>
      <c r="AE297" s="55">
        <f t="shared" si="170"/>
        <v>126.51461007054381</v>
      </c>
      <c r="AF297" s="55">
        <f t="shared" si="171"/>
        <v>112.24873897646341</v>
      </c>
      <c r="AG297" s="55">
        <f t="shared" si="172"/>
        <v>99.600791366415933</v>
      </c>
      <c r="AH297" s="55">
        <f t="shared" si="173"/>
        <v>88.380447352034437</v>
      </c>
    </row>
    <row r="298" spans="5:34">
      <c r="E298" s="2">
        <f t="shared" si="174"/>
        <v>0.54999999999999993</v>
      </c>
      <c r="F298" s="5">
        <f t="shared" si="148"/>
        <v>61.384687135916828</v>
      </c>
      <c r="G298" s="5">
        <f t="shared" si="149"/>
        <v>49.354862192808241</v>
      </c>
      <c r="H298" s="5">
        <f>Y60</f>
        <v>38.991339083890395</v>
      </c>
      <c r="I298" s="5">
        <f t="shared" si="151"/>
        <v>30.023934820706955</v>
      </c>
      <c r="J298" s="5">
        <f t="shared" si="152"/>
        <v>22.2149745812617</v>
      </c>
      <c r="K298" s="5">
        <f t="shared" si="153"/>
        <v>15.304462003621177</v>
      </c>
      <c r="L298" s="5">
        <f t="shared" si="154"/>
        <v>9.0476380424329346</v>
      </c>
      <c r="M298" s="5">
        <f t="shared" si="155"/>
        <v>3.1886807452969781</v>
      </c>
      <c r="N298" s="5">
        <f t="shared" si="156"/>
        <v>-2.5353448407853083</v>
      </c>
      <c r="O298" s="5">
        <f t="shared" si="157"/>
        <v>-8.4664201310551803</v>
      </c>
      <c r="P298" s="5">
        <f t="shared" si="158"/>
        <v>-14.961981980315493</v>
      </c>
      <c r="Q298" s="5">
        <f t="shared" si="159"/>
        <v>-22.386717916070037</v>
      </c>
      <c r="R298" s="5">
        <f t="shared" si="160"/>
        <v>-31.169657754813475</v>
      </c>
      <c r="U298" s="2">
        <f t="shared" si="175"/>
        <v>0.54999999999999993</v>
      </c>
      <c r="V298" s="55">
        <f t="shared" si="161"/>
        <v>363.77888071931983</v>
      </c>
      <c r="W298" s="55">
        <f t="shared" si="162"/>
        <v>331.84636091434487</v>
      </c>
      <c r="X298" s="55">
        <f t="shared" si="163"/>
        <v>301.7213453522416</v>
      </c>
      <c r="Y298" s="55">
        <f t="shared" si="164"/>
        <v>273.36473030058806</v>
      </c>
      <c r="Z298" s="55">
        <f t="shared" si="165"/>
        <v>246.74701160120262</v>
      </c>
      <c r="AA298" s="55">
        <f t="shared" si="166"/>
        <v>221.790226381476</v>
      </c>
      <c r="AB298" s="55">
        <f t="shared" si="167"/>
        <v>198.47209865542595</v>
      </c>
      <c r="AC298" s="55">
        <f t="shared" si="168"/>
        <v>176.75664596202753</v>
      </c>
      <c r="AD298" s="55">
        <f t="shared" si="169"/>
        <v>156.84403142593931</v>
      </c>
      <c r="AE298" s="55">
        <f t="shared" si="170"/>
        <v>139.16607107759819</v>
      </c>
      <c r="AF298" s="55">
        <f t="shared" si="171"/>
        <v>123.47361287410976</v>
      </c>
      <c r="AG298" s="55">
        <f t="shared" si="172"/>
        <v>109.56087050305754</v>
      </c>
      <c r="AH298" s="55">
        <f t="shared" si="173"/>
        <v>97.218492087237891</v>
      </c>
    </row>
    <row r="299" spans="5:34">
      <c r="E299" s="2">
        <f t="shared" si="174"/>
        <v>0.6</v>
      </c>
      <c r="F299" s="5">
        <f t="shared" si="148"/>
        <v>65.319310167232643</v>
      </c>
      <c r="G299" s="5">
        <f t="shared" si="149"/>
        <v>52.685363008164572</v>
      </c>
      <c r="H299" s="5">
        <f t="shared" si="150"/>
        <v>41.828973507318381</v>
      </c>
      <c r="I299" s="5">
        <f t="shared" si="151"/>
        <v>32.469303996482253</v>
      </c>
      <c r="J299" s="5">
        <f t="shared" si="152"/>
        <v>24.361684938320451</v>
      </c>
      <c r="K299" s="5">
        <f t="shared" si="153"/>
        <v>17.240112535134852</v>
      </c>
      <c r="L299" s="5">
        <f t="shared" si="154"/>
        <v>10.857255061589614</v>
      </c>
      <c r="M299" s="5">
        <f t="shared" si="155"/>
        <v>4.959019364430584</v>
      </c>
      <c r="N299" s="5">
        <f t="shared" si="156"/>
        <v>-0.68097798474906657</v>
      </c>
      <c r="O299" s="5">
        <f t="shared" si="157"/>
        <v>-6.4191881722501503</v>
      </c>
      <c r="P299" s="5">
        <f t="shared" si="158"/>
        <v>-12.610832675974155</v>
      </c>
      <c r="Q299" s="5">
        <f t="shared" si="159"/>
        <v>-19.603575206711753</v>
      </c>
      <c r="R299" s="5">
        <f t="shared" si="160"/>
        <v>-27.801596809929958</v>
      </c>
      <c r="U299" s="2">
        <f t="shared" si="175"/>
        <v>0.6</v>
      </c>
      <c r="V299" s="55">
        <f t="shared" si="161"/>
        <v>396.84968805743983</v>
      </c>
      <c r="W299" s="55">
        <f t="shared" si="162"/>
        <v>362.01421190655805</v>
      </c>
      <c r="X299" s="55">
        <f t="shared" si="163"/>
        <v>329.15055856608177</v>
      </c>
      <c r="Y299" s="55">
        <f t="shared" si="164"/>
        <v>298.21606941882334</v>
      </c>
      <c r="Z299" s="55">
        <f t="shared" si="165"/>
        <v>269.17855811040283</v>
      </c>
      <c r="AA299" s="55">
        <f t="shared" si="166"/>
        <v>241.95297423433749</v>
      </c>
      <c r="AB299" s="55">
        <f t="shared" si="167"/>
        <v>216.51501671501015</v>
      </c>
      <c r="AC299" s="55">
        <f t="shared" si="168"/>
        <v>192.82543195857554</v>
      </c>
      <c r="AD299" s="55">
        <f t="shared" si="169"/>
        <v>171.10257973738837</v>
      </c>
      <c r="AE299" s="55">
        <f t="shared" si="170"/>
        <v>151.81753208465258</v>
      </c>
      <c r="AF299" s="55">
        <f t="shared" si="171"/>
        <v>134.69848677175611</v>
      </c>
      <c r="AG299" s="55">
        <f t="shared" si="172"/>
        <v>119.52094963969914</v>
      </c>
      <c r="AH299" s="55">
        <f t="shared" si="173"/>
        <v>106.05653682244134</v>
      </c>
    </row>
    <row r="300" spans="5:34">
      <c r="E300" s="2">
        <f t="shared" si="174"/>
        <v>0.65</v>
      </c>
      <c r="F300" s="5">
        <f t="shared" si="148"/>
        <v>68.779014135425655</v>
      </c>
      <c r="G300" s="5">
        <f t="shared" si="149"/>
        <v>55.613569772029123</v>
      </c>
      <c r="H300" s="5">
        <f t="shared" si="150"/>
        <v>44.322933547276435</v>
      </c>
      <c r="I300" s="5">
        <f t="shared" si="151"/>
        <v>34.616835002131978</v>
      </c>
      <c r="J300" s="5">
        <f t="shared" si="152"/>
        <v>26.24435672500692</v>
      </c>
      <c r="K300" s="5">
        <f t="shared" si="153"/>
        <v>18.934064880427215</v>
      </c>
      <c r="L300" s="5">
        <f t="shared" si="154"/>
        <v>12.436161454837302</v>
      </c>
      <c r="M300" s="5">
        <f t="shared" si="155"/>
        <v>6.4977767071738626</v>
      </c>
      <c r="N300" s="5">
        <f t="shared" si="156"/>
        <v>0.92390715640856558</v>
      </c>
      <c r="O300" s="5">
        <f t="shared" si="157"/>
        <v>-4.6548632927912523</v>
      </c>
      <c r="P300" s="5">
        <f t="shared" si="158"/>
        <v>-10.592303513773851</v>
      </c>
      <c r="Q300" s="5">
        <f t="shared" si="159"/>
        <v>-17.22183893222055</v>
      </c>
      <c r="R300" s="5">
        <f t="shared" si="160"/>
        <v>-24.926760515565668</v>
      </c>
      <c r="U300" s="2">
        <f t="shared" si="175"/>
        <v>0.65</v>
      </c>
      <c r="V300" s="55">
        <f t="shared" si="161"/>
        <v>429.92049539555984</v>
      </c>
      <c r="W300" s="55">
        <f t="shared" si="162"/>
        <v>392.18206289877128</v>
      </c>
      <c r="X300" s="55">
        <f t="shared" si="163"/>
        <v>356.57977177992194</v>
      </c>
      <c r="Y300" s="55">
        <f t="shared" si="164"/>
        <v>323.06740853705867</v>
      </c>
      <c r="Z300" s="55">
        <f t="shared" si="165"/>
        <v>291.61010461960313</v>
      </c>
      <c r="AA300" s="55">
        <f t="shared" si="166"/>
        <v>262.115722087199</v>
      </c>
      <c r="AB300" s="55">
        <f t="shared" si="167"/>
        <v>234.55793477459434</v>
      </c>
      <c r="AC300" s="55">
        <f t="shared" si="168"/>
        <v>208.89421795512348</v>
      </c>
      <c r="AD300" s="55">
        <f t="shared" si="169"/>
        <v>185.3611280488374</v>
      </c>
      <c r="AE300" s="55">
        <f t="shared" si="170"/>
        <v>164.46899309170698</v>
      </c>
      <c r="AF300" s="55">
        <f t="shared" si="171"/>
        <v>145.92336066940246</v>
      </c>
      <c r="AG300" s="55">
        <f t="shared" si="172"/>
        <v>129.48102877634074</v>
      </c>
      <c r="AH300" s="55">
        <f t="shared" si="173"/>
        <v>114.8945815576448</v>
      </c>
    </row>
    <row r="301" spans="5:34">
      <c r="E301" s="2">
        <f t="shared" si="174"/>
        <v>0.70000000000000007</v>
      </c>
      <c r="F301" s="5">
        <f t="shared" si="148"/>
        <v>71.792223088375906</v>
      </c>
      <c r="G301" s="5">
        <f t="shared" si="149"/>
        <v>58.165713233015445</v>
      </c>
      <c r="H301" s="5">
        <f t="shared" si="150"/>
        <v>46.498170105833431</v>
      </c>
      <c r="I301" s="5">
        <f t="shared" si="151"/>
        <v>36.491126799189786</v>
      </c>
      <c r="J301" s="5">
        <f t="shared" si="152"/>
        <v>27.888229039653101</v>
      </c>
      <c r="K301" s="5">
        <f t="shared" si="153"/>
        <v>20.413297293982719</v>
      </c>
      <c r="L301" s="5">
        <f t="shared" si="154"/>
        <v>13.81434212052727</v>
      </c>
      <c r="M301" s="5">
        <f t="shared" si="155"/>
        <v>7.8394841367023949</v>
      </c>
      <c r="N301" s="5">
        <f t="shared" si="156"/>
        <v>2.3209474060729889</v>
      </c>
      <c r="O301" s="5">
        <f t="shared" si="157"/>
        <v>-3.1221310194919525</v>
      </c>
      <c r="P301" s="5">
        <f t="shared" si="158"/>
        <v>-8.8424463192704383</v>
      </c>
      <c r="Q301" s="5">
        <f t="shared" si="159"/>
        <v>-15.161262721443256</v>
      </c>
      <c r="R301" s="5">
        <f t="shared" si="160"/>
        <v>-22.444000526921304</v>
      </c>
      <c r="U301" s="2">
        <f t="shared" si="175"/>
        <v>0.70000000000000007</v>
      </c>
      <c r="V301" s="55">
        <f t="shared" si="161"/>
        <v>462.99130273367985</v>
      </c>
      <c r="W301" s="55">
        <f t="shared" si="162"/>
        <v>422.34991389098451</v>
      </c>
      <c r="X301" s="55">
        <f t="shared" si="163"/>
        <v>384.00898499376217</v>
      </c>
      <c r="Y301" s="55">
        <f t="shared" si="164"/>
        <v>347.918747655294</v>
      </c>
      <c r="Z301" s="55">
        <f t="shared" si="165"/>
        <v>314.04165112880338</v>
      </c>
      <c r="AA301" s="55">
        <f t="shared" si="166"/>
        <v>282.2784699400604</v>
      </c>
      <c r="AB301" s="55">
        <f t="shared" si="167"/>
        <v>252.60085283417857</v>
      </c>
      <c r="AC301" s="55">
        <f t="shared" si="168"/>
        <v>224.96300395167145</v>
      </c>
      <c r="AD301" s="55">
        <f t="shared" si="169"/>
        <v>199.61967636028643</v>
      </c>
      <c r="AE301" s="55">
        <f t="shared" si="170"/>
        <v>177.12045409876137</v>
      </c>
      <c r="AF301" s="55">
        <f t="shared" si="171"/>
        <v>157.14823456704883</v>
      </c>
      <c r="AG301" s="55">
        <f t="shared" si="172"/>
        <v>139.44110791298235</v>
      </c>
      <c r="AH301" s="55">
        <f t="shared" si="173"/>
        <v>123.73262629284825</v>
      </c>
    </row>
    <row r="302" spans="5:34">
      <c r="E302" s="2">
        <f t="shared" si="174"/>
        <v>0.75000000000000011</v>
      </c>
      <c r="F302" s="5">
        <f t="shared" si="148"/>
        <v>74.400363288978525</v>
      </c>
      <c r="G302" s="5">
        <f t="shared" si="149"/>
        <v>60.377859554665221</v>
      </c>
      <c r="H302" s="5">
        <f t="shared" si="150"/>
        <v>48.386644962929722</v>
      </c>
      <c r="I302" s="5">
        <f t="shared" si="151"/>
        <v>38.121225566979042</v>
      </c>
      <c r="J302" s="5">
        <f t="shared" si="152"/>
        <v>29.32060538523946</v>
      </c>
      <c r="K302" s="5">
        <f t="shared" si="153"/>
        <v>21.70455721995771</v>
      </c>
      <c r="L302" s="5">
        <f t="shared" si="154"/>
        <v>15.01924493154131</v>
      </c>
      <c r="M302" s="5">
        <f t="shared" si="155"/>
        <v>9.0137001212521071</v>
      </c>
      <c r="N302" s="5">
        <f t="shared" si="156"/>
        <v>3.5439943701230301</v>
      </c>
      <c r="O302" s="5">
        <f t="shared" si="157"/>
        <v>-1.7807485853558551</v>
      </c>
      <c r="P302" s="5">
        <f t="shared" si="158"/>
        <v>-7.312309494042224</v>
      </c>
      <c r="Q302" s="5">
        <f t="shared" si="159"/>
        <v>-13.361380250326155</v>
      </c>
      <c r="R302" s="5">
        <f t="shared" si="160"/>
        <v>-20.277866627427777</v>
      </c>
      <c r="U302" s="2">
        <f t="shared" si="175"/>
        <v>0.75000000000000011</v>
      </c>
      <c r="V302" s="55">
        <f t="shared" si="161"/>
        <v>496.06211007179985</v>
      </c>
      <c r="W302" s="55">
        <f t="shared" si="162"/>
        <v>452.51776488319769</v>
      </c>
      <c r="X302" s="55">
        <f t="shared" si="163"/>
        <v>411.43819820760228</v>
      </c>
      <c r="Y302" s="55">
        <f t="shared" si="164"/>
        <v>372.77008677352927</v>
      </c>
      <c r="Z302" s="55">
        <f t="shared" si="165"/>
        <v>336.47319763800363</v>
      </c>
      <c r="AA302" s="55">
        <f t="shared" si="166"/>
        <v>302.44121779292192</v>
      </c>
      <c r="AB302" s="55">
        <f t="shared" si="167"/>
        <v>270.64377089376273</v>
      </c>
      <c r="AC302" s="55">
        <f t="shared" si="168"/>
        <v>241.03178994821945</v>
      </c>
      <c r="AD302" s="55">
        <f t="shared" si="169"/>
        <v>213.8782246717355</v>
      </c>
      <c r="AE302" s="55">
        <f t="shared" si="170"/>
        <v>189.77191510581576</v>
      </c>
      <c r="AF302" s="55">
        <f t="shared" si="171"/>
        <v>168.37310846469518</v>
      </c>
      <c r="AG302" s="55">
        <f t="shared" si="172"/>
        <v>149.40118704962396</v>
      </c>
      <c r="AH302" s="55">
        <f t="shared" si="173"/>
        <v>132.57067102805169</v>
      </c>
    </row>
    <row r="303" spans="5:34">
      <c r="E303" s="2">
        <f t="shared" si="174"/>
        <v>0.80000000000000016</v>
      </c>
      <c r="F303" s="5">
        <f t="shared" si="148"/>
        <v>76.660355894159423</v>
      </c>
      <c r="G303" s="5">
        <f t="shared" si="149"/>
        <v>62.298197615281232</v>
      </c>
      <c r="H303" s="5">
        <f t="shared" si="150"/>
        <v>50.02949234789434</v>
      </c>
      <c r="I303" s="5">
        <f t="shared" si="151"/>
        <v>39.542740933985364</v>
      </c>
      <c r="J303" s="5">
        <f t="shared" si="152"/>
        <v>30.573009917318174</v>
      </c>
      <c r="K303" s="5">
        <f t="shared" si="153"/>
        <v>22.836651435175312</v>
      </c>
      <c r="L303" s="5">
        <f t="shared" si="154"/>
        <v>16.078312367521193</v>
      </c>
      <c r="M303" s="5">
        <f t="shared" si="155"/>
        <v>10.047913366835862</v>
      </c>
      <c r="N303" s="5">
        <f t="shared" si="156"/>
        <v>4.6226041631031158</v>
      </c>
      <c r="O303" s="5">
        <f t="shared" si="157"/>
        <v>-0.59725298499474921</v>
      </c>
      <c r="P303" s="5">
        <f t="shared" si="158"/>
        <v>-5.962596611919075</v>
      </c>
      <c r="Q303" s="5">
        <f t="shared" si="159"/>
        <v>-11.774808289772373</v>
      </c>
      <c r="R303" s="5">
        <f t="shared" si="160"/>
        <v>-18.37017001943488</v>
      </c>
      <c r="U303" s="2">
        <f t="shared" si="175"/>
        <v>0.80000000000000016</v>
      </c>
      <c r="V303" s="55">
        <f t="shared" si="161"/>
        <v>529.13291740991986</v>
      </c>
      <c r="W303" s="55">
        <f t="shared" si="162"/>
        <v>482.6856158754108</v>
      </c>
      <c r="X303" s="55">
        <f t="shared" si="163"/>
        <v>438.86741142144245</v>
      </c>
      <c r="Y303" s="55">
        <f t="shared" si="164"/>
        <v>397.62142589176455</v>
      </c>
      <c r="Z303" s="55">
        <f t="shared" si="165"/>
        <v>358.90474414720387</v>
      </c>
      <c r="AA303" s="55">
        <f t="shared" si="166"/>
        <v>322.60396564578338</v>
      </c>
      <c r="AB303" s="55">
        <f t="shared" si="167"/>
        <v>288.68668895334696</v>
      </c>
      <c r="AC303" s="55">
        <f t="shared" si="168"/>
        <v>257.1005759447674</v>
      </c>
      <c r="AD303" s="55">
        <f t="shared" si="169"/>
        <v>228.13677298318453</v>
      </c>
      <c r="AE303" s="55">
        <f t="shared" si="170"/>
        <v>202.42337611287016</v>
      </c>
      <c r="AF303" s="55">
        <f t="shared" si="171"/>
        <v>179.59798236234153</v>
      </c>
      <c r="AG303" s="55">
        <f t="shared" si="172"/>
        <v>159.36126618626557</v>
      </c>
      <c r="AH303" s="55">
        <f t="shared" si="173"/>
        <v>141.40871576325515</v>
      </c>
    </row>
    <row r="304" spans="5:34">
      <c r="E304" s="2">
        <f t="shared" si="174"/>
        <v>0.8500000000000002</v>
      </c>
      <c r="F304" s="5">
        <f t="shared" si="148"/>
        <v>4.896369604605626</v>
      </c>
      <c r="G304" s="5">
        <f t="shared" si="149"/>
        <v>3.6817833616817408</v>
      </c>
      <c r="H304" s="5">
        <f t="shared" si="150"/>
        <v>2.5155708722243646</v>
      </c>
      <c r="I304" s="5">
        <f t="shared" si="151"/>
        <v>1.3588361235063307</v>
      </c>
      <c r="J304" s="5">
        <f t="shared" si="152"/>
        <v>0.16869805205796784</v>
      </c>
      <c r="K304" s="5">
        <f t="shared" si="153"/>
        <v>-1.1094895278699424</v>
      </c>
      <c r="L304" s="5">
        <f t="shared" si="154"/>
        <v>-2.5400338679296239</v>
      </c>
      <c r="M304" s="5">
        <f t="shared" si="155"/>
        <v>-4.2072284557616015</v>
      </c>
      <c r="N304" s="5">
        <f t="shared" si="156"/>
        <v>-6.3046236913140179</v>
      </c>
      <c r="O304" s="5">
        <f t="shared" si="157"/>
        <v>-8.9021248862734836</v>
      </c>
      <c r="P304" s="5">
        <f t="shared" si="158"/>
        <v>-12.128296322582369</v>
      </c>
      <c r="Q304" s="5">
        <f t="shared" si="159"/>
        <v>-16.164106582837242</v>
      </c>
      <c r="R304" s="5">
        <f t="shared" si="160"/>
        <v>-21.24229337401842</v>
      </c>
      <c r="U304" s="2">
        <f t="shared" si="175"/>
        <v>0.8500000000000002</v>
      </c>
      <c r="V304" s="55">
        <f t="shared" si="161"/>
        <v>562.20372474803992</v>
      </c>
      <c r="W304" s="55">
        <f t="shared" si="162"/>
        <v>512.85346686762409</v>
      </c>
      <c r="X304" s="55">
        <f t="shared" si="163"/>
        <v>466.29662463528268</v>
      </c>
      <c r="Y304" s="55">
        <f t="shared" si="164"/>
        <v>422.47276500999988</v>
      </c>
      <c r="Z304" s="55">
        <f t="shared" si="165"/>
        <v>381.33629065640412</v>
      </c>
      <c r="AA304" s="55">
        <f t="shared" si="166"/>
        <v>342.76671349864489</v>
      </c>
      <c r="AB304" s="55">
        <f t="shared" si="167"/>
        <v>306.72960701293113</v>
      </c>
      <c r="AC304" s="55">
        <f t="shared" si="168"/>
        <v>273.1693619413154</v>
      </c>
      <c r="AD304" s="55">
        <f t="shared" si="169"/>
        <v>242.39532129463356</v>
      </c>
      <c r="AE304" s="55">
        <f t="shared" si="170"/>
        <v>215.07483711992455</v>
      </c>
      <c r="AF304" s="55">
        <f t="shared" si="171"/>
        <v>190.82285625998787</v>
      </c>
      <c r="AG304" s="55">
        <f t="shared" si="172"/>
        <v>169.32134532290715</v>
      </c>
      <c r="AH304" s="55">
        <f t="shared" si="173"/>
        <v>150.2467604984586</v>
      </c>
    </row>
    <row r="305" spans="5:34">
      <c r="E305" s="2">
        <f t="shared" si="174"/>
        <v>0.90000000000000024</v>
      </c>
      <c r="F305" s="5">
        <f t="shared" si="148"/>
        <v>-94.636638440248873</v>
      </c>
      <c r="G305" s="5">
        <f t="shared" si="149"/>
        <v>-77.646802303373136</v>
      </c>
      <c r="H305" s="5">
        <f t="shared" si="150"/>
        <v>-63.444267232956882</v>
      </c>
      <c r="I305" s="5">
        <f t="shared" si="151"/>
        <v>-51.690919505045919</v>
      </c>
      <c r="J305" s="5">
        <f t="shared" si="152"/>
        <v>-42.122946823885947</v>
      </c>
      <c r="K305" s="5">
        <f t="shared" si="153"/>
        <v>-34.47898039908538</v>
      </c>
      <c r="L305" s="5">
        <f t="shared" si="154"/>
        <v>-28.560262624310386</v>
      </c>
      <c r="M305" s="5">
        <f t="shared" si="155"/>
        <v>-24.223744569075475</v>
      </c>
      <c r="N305" s="5">
        <f t="shared" si="156"/>
        <v>-21.768991596590958</v>
      </c>
      <c r="O305" s="5">
        <f t="shared" si="157"/>
        <v>-20.809324364406862</v>
      </c>
      <c r="P305" s="5">
        <f t="shared" si="158"/>
        <v>-21.168250407633053</v>
      </c>
      <c r="Q305" s="5">
        <f t="shared" si="159"/>
        <v>-22.86532276362599</v>
      </c>
      <c r="R305" s="5">
        <f t="shared" si="160"/>
        <v>-25.996878898720514</v>
      </c>
      <c r="U305" s="2">
        <f t="shared" si="175"/>
        <v>0.90000000000000024</v>
      </c>
      <c r="V305" s="55">
        <f t="shared" si="161"/>
        <v>595.27453208615987</v>
      </c>
      <c r="W305" s="55">
        <f t="shared" si="162"/>
        <v>543.02131785983727</v>
      </c>
      <c r="X305" s="55">
        <f t="shared" si="163"/>
        <v>493.7258378491228</v>
      </c>
      <c r="Y305" s="55">
        <f t="shared" si="164"/>
        <v>447.32410412823521</v>
      </c>
      <c r="Z305" s="55">
        <f t="shared" si="165"/>
        <v>403.76783716560448</v>
      </c>
      <c r="AA305" s="55">
        <f t="shared" si="166"/>
        <v>362.92946135150635</v>
      </c>
      <c r="AB305" s="55">
        <f t="shared" si="167"/>
        <v>324.77252507251535</v>
      </c>
      <c r="AC305" s="55">
        <f t="shared" si="168"/>
        <v>289.23814793786335</v>
      </c>
      <c r="AD305" s="55">
        <f t="shared" si="169"/>
        <v>256.65386960608265</v>
      </c>
      <c r="AE305" s="55">
        <f t="shared" si="170"/>
        <v>227.72629812697897</v>
      </c>
      <c r="AF305" s="55">
        <f t="shared" si="171"/>
        <v>202.04773015763425</v>
      </c>
      <c r="AG305" s="55">
        <f t="shared" si="172"/>
        <v>179.28142445954879</v>
      </c>
      <c r="AH305" s="55">
        <f t="shared" si="173"/>
        <v>159.08480523366208</v>
      </c>
    </row>
    <row r="306" spans="5:34">
      <c r="E306" s="2">
        <f t="shared" si="174"/>
        <v>0.95000000000000029</v>
      </c>
      <c r="F306" s="5">
        <f t="shared" si="148"/>
        <v>-226.68439959736142</v>
      </c>
      <c r="G306" s="5">
        <f t="shared" si="149"/>
        <v>-185.56746719427551</v>
      </c>
      <c r="H306" s="5">
        <f t="shared" si="150"/>
        <v>-150.99916304317924</v>
      </c>
      <c r="I306" s="5">
        <f t="shared" si="151"/>
        <v>-122.14204862995973</v>
      </c>
      <c r="J306" s="5">
        <f t="shared" si="152"/>
        <v>-98.326430936561337</v>
      </c>
      <c r="K306" s="5">
        <f t="shared" si="153"/>
        <v>-78.872936720475309</v>
      </c>
      <c r="L306" s="5">
        <f t="shared" si="154"/>
        <v>-63.235286005858391</v>
      </c>
      <c r="M306" s="5">
        <f t="shared" si="155"/>
        <v>-50.970830213911356</v>
      </c>
      <c r="N306" s="5">
        <f t="shared" si="156"/>
        <v>-42.525970274095911</v>
      </c>
      <c r="O306" s="5">
        <f t="shared" si="157"/>
        <v>-36.908833841957772</v>
      </c>
      <c r="P306" s="5">
        <f t="shared" si="158"/>
        <v>-33.54080638527158</v>
      </c>
      <c r="Q306" s="5">
        <f t="shared" si="159"/>
        <v>-32.231611258285369</v>
      </c>
      <c r="R306" s="5">
        <f t="shared" si="160"/>
        <v>-32.902190558023527</v>
      </c>
      <c r="U306" s="2">
        <f t="shared" si="175"/>
        <v>0.95000000000000029</v>
      </c>
      <c r="V306" s="55">
        <f t="shared" si="161"/>
        <v>628.34533942427993</v>
      </c>
      <c r="W306" s="55">
        <f t="shared" si="162"/>
        <v>573.18916885205056</v>
      </c>
      <c r="X306" s="55">
        <f t="shared" si="163"/>
        <v>521.15505106296303</v>
      </c>
      <c r="Y306" s="55">
        <f t="shared" si="164"/>
        <v>472.17544324647042</v>
      </c>
      <c r="Z306" s="55">
        <f t="shared" si="165"/>
        <v>426.19938367480466</v>
      </c>
      <c r="AA306" s="55">
        <f t="shared" si="166"/>
        <v>383.0922092043678</v>
      </c>
      <c r="AB306" s="55">
        <f t="shared" si="167"/>
        <v>342.81544313209952</v>
      </c>
      <c r="AC306" s="55">
        <f t="shared" si="168"/>
        <v>305.30693393441135</v>
      </c>
      <c r="AD306" s="55">
        <f t="shared" si="169"/>
        <v>270.91241791753163</v>
      </c>
      <c r="AE306" s="55">
        <f t="shared" si="170"/>
        <v>240.37775913403334</v>
      </c>
      <c r="AF306" s="55">
        <f t="shared" si="171"/>
        <v>213.27260405528057</v>
      </c>
      <c r="AG306" s="55">
        <f t="shared" si="172"/>
        <v>189.24150359619037</v>
      </c>
      <c r="AH306" s="55">
        <f t="shared" si="173"/>
        <v>167.92284996886551</v>
      </c>
    </row>
    <row r="307" spans="5:34">
      <c r="E307" s="2">
        <f t="shared" si="174"/>
        <v>1.0000000000000002</v>
      </c>
      <c r="F307" s="5">
        <f t="shared" si="148"/>
        <v>-396.32747567857365</v>
      </c>
      <c r="G307" s="5">
        <f t="shared" si="149"/>
        <v>-324.23407100996201</v>
      </c>
      <c r="H307" s="5">
        <f t="shared" si="150"/>
        <v>-263.52086704292725</v>
      </c>
      <c r="I307" s="5">
        <f t="shared" si="151"/>
        <v>-212.70962193482825</v>
      </c>
      <c r="J307" s="5">
        <f t="shared" si="152"/>
        <v>-170.61001243377632</v>
      </c>
      <c r="K307" s="5">
        <f t="shared" si="153"/>
        <v>-136.00665228125405</v>
      </c>
      <c r="L307" s="5">
        <f t="shared" si="154"/>
        <v>-107.90798246111729</v>
      </c>
      <c r="M307" s="5">
        <f t="shared" si="155"/>
        <v>-85.48806533899409</v>
      </c>
      <c r="N307" s="5">
        <f t="shared" si="156"/>
        <v>-69.386921038862496</v>
      </c>
      <c r="O307" s="5">
        <f t="shared" si="157"/>
        <v>-57.835594772119357</v>
      </c>
      <c r="P307" s="5">
        <f t="shared" si="158"/>
        <v>-49.740919815859399</v>
      </c>
      <c r="Q307" s="5">
        <f t="shared" si="159"/>
        <v>-44.646493725235466</v>
      </c>
      <c r="R307" s="5">
        <f t="shared" si="160"/>
        <v>-42.252363866893361</v>
      </c>
      <c r="U307" s="2">
        <f t="shared" si="175"/>
        <v>1.0000000000000002</v>
      </c>
      <c r="V307" s="55">
        <f t="shared" si="161"/>
        <v>661.41614676239988</v>
      </c>
      <c r="W307" s="55">
        <f t="shared" si="162"/>
        <v>603.35701984426362</v>
      </c>
      <c r="X307" s="55">
        <f t="shared" si="163"/>
        <v>548.58426427680308</v>
      </c>
      <c r="Y307" s="55">
        <f t="shared" si="164"/>
        <v>497.0267823647057</v>
      </c>
      <c r="Z307" s="55">
        <f t="shared" si="165"/>
        <v>448.63093018400485</v>
      </c>
      <c r="AA307" s="55">
        <f t="shared" si="166"/>
        <v>403.25495705722926</v>
      </c>
      <c r="AB307" s="55">
        <f t="shared" si="167"/>
        <v>360.85836119168363</v>
      </c>
      <c r="AC307" s="55">
        <f t="shared" si="168"/>
        <v>321.37571993095929</v>
      </c>
      <c r="AD307" s="55">
        <f t="shared" si="169"/>
        <v>285.17096622898066</v>
      </c>
      <c r="AE307" s="55">
        <f t="shared" si="170"/>
        <v>253.02922014108771</v>
      </c>
      <c r="AF307" s="55">
        <f t="shared" si="171"/>
        <v>224.49747795292691</v>
      </c>
      <c r="AG307" s="55">
        <f t="shared" si="172"/>
        <v>199.20158273283195</v>
      </c>
      <c r="AH307" s="55">
        <f t="shared" si="173"/>
        <v>176.76089470406896</v>
      </c>
    </row>
    <row r="309" spans="5:34" ht="15" thickBot="1"/>
    <row r="310" spans="5:34" ht="15" thickBot="1">
      <c r="E310" s="268" t="s">
        <v>102</v>
      </c>
      <c r="F310" s="269"/>
      <c r="G310" s="269"/>
      <c r="H310" s="269"/>
      <c r="I310" s="269"/>
      <c r="J310" s="269"/>
      <c r="K310" s="269"/>
      <c r="L310" s="269"/>
      <c r="M310" s="269"/>
      <c r="N310" s="269"/>
      <c r="O310" s="269"/>
      <c r="P310" s="269"/>
      <c r="Q310" s="269"/>
      <c r="R310" s="270"/>
      <c r="U310" s="268" t="s">
        <v>103</v>
      </c>
      <c r="V310" s="269"/>
      <c r="W310" s="269"/>
      <c r="X310" s="269"/>
      <c r="Y310" s="269"/>
      <c r="Z310" s="269"/>
      <c r="AA310" s="269"/>
      <c r="AB310" s="269"/>
      <c r="AC310" s="269"/>
      <c r="AD310" s="269"/>
      <c r="AE310" s="269"/>
      <c r="AF310" s="269"/>
      <c r="AG310" s="269"/>
      <c r="AH310" s="270"/>
    </row>
    <row r="311" spans="5:34">
      <c r="E311" s="61" t="s">
        <v>104</v>
      </c>
      <c r="F311" s="61">
        <v>0</v>
      </c>
      <c r="G311" s="61">
        <v>5000</v>
      </c>
      <c r="H311" s="61">
        <v>10000</v>
      </c>
      <c r="I311" s="61">
        <v>15000</v>
      </c>
      <c r="J311" s="61">
        <v>20000</v>
      </c>
      <c r="K311" s="61">
        <v>25000</v>
      </c>
      <c r="L311" s="61">
        <v>30000</v>
      </c>
      <c r="M311" s="61">
        <v>35000</v>
      </c>
      <c r="N311" s="61">
        <v>40000</v>
      </c>
      <c r="O311" s="61">
        <v>45000</v>
      </c>
      <c r="P311" s="61">
        <v>50000</v>
      </c>
      <c r="Q311" s="61">
        <v>55000</v>
      </c>
      <c r="R311" s="61">
        <v>60000</v>
      </c>
      <c r="U311" s="61" t="s">
        <v>104</v>
      </c>
      <c r="V311" s="2">
        <v>0</v>
      </c>
      <c r="W311" s="2">
        <v>5000</v>
      </c>
      <c r="X311" s="2">
        <v>10000</v>
      </c>
      <c r="Y311" s="2">
        <v>15000</v>
      </c>
      <c r="Z311" s="2">
        <v>20000</v>
      </c>
      <c r="AA311" s="2">
        <v>25000</v>
      </c>
      <c r="AB311" s="2">
        <v>30000</v>
      </c>
      <c r="AC311" s="2">
        <v>35000</v>
      </c>
      <c r="AD311" s="2">
        <v>40000</v>
      </c>
      <c r="AE311" s="2">
        <v>45000</v>
      </c>
      <c r="AF311" s="2">
        <v>50000</v>
      </c>
      <c r="AG311" s="2">
        <v>55000</v>
      </c>
      <c r="AH311" s="2">
        <v>60000</v>
      </c>
    </row>
    <row r="312" spans="5:34">
      <c r="E312" s="2">
        <v>0.01</v>
      </c>
      <c r="F312" s="4" t="str">
        <f>IF(V287&lt;$L$3,"STALL",F287)</f>
        <v>STALL</v>
      </c>
      <c r="G312" s="4" t="str">
        <f t="shared" ref="G312:R327" si="176">IF(W287&lt;$L$3,"STALL",G287)</f>
        <v>STALL</v>
      </c>
      <c r="H312" s="4" t="str">
        <f t="shared" si="176"/>
        <v>STALL</v>
      </c>
      <c r="I312" s="4" t="str">
        <f t="shared" si="176"/>
        <v>STALL</v>
      </c>
      <c r="J312" s="4" t="str">
        <f t="shared" si="176"/>
        <v>STALL</v>
      </c>
      <c r="K312" s="4" t="str">
        <f t="shared" si="176"/>
        <v>STALL</v>
      </c>
      <c r="L312" s="4" t="str">
        <f t="shared" si="176"/>
        <v>STALL</v>
      </c>
      <c r="M312" s="4" t="str">
        <f t="shared" si="176"/>
        <v>STALL</v>
      </c>
      <c r="N312" s="4" t="str">
        <f t="shared" si="176"/>
        <v>STALL</v>
      </c>
      <c r="O312" s="4" t="str">
        <f t="shared" si="176"/>
        <v>STALL</v>
      </c>
      <c r="P312" s="4" t="str">
        <f t="shared" si="176"/>
        <v>STALL</v>
      </c>
      <c r="Q312" s="4" t="str">
        <f t="shared" si="176"/>
        <v>STALL</v>
      </c>
      <c r="R312" s="4" t="str">
        <f t="shared" si="176"/>
        <v>STALL</v>
      </c>
      <c r="U312" s="2">
        <v>0.01</v>
      </c>
      <c r="V312" s="5" t="str">
        <f>IF(V287&lt;$L$3,"STALL",F287*196.850393700787)</f>
        <v>STALL</v>
      </c>
      <c r="W312" s="5" t="str">
        <f t="shared" ref="W312:AH327" si="177">IF(W287&lt;$L$3,"STALL",G287*196.850393700787)</f>
        <v>STALL</v>
      </c>
      <c r="X312" s="5" t="str">
        <f t="shared" si="177"/>
        <v>STALL</v>
      </c>
      <c r="Y312" s="5" t="str">
        <f t="shared" si="177"/>
        <v>STALL</v>
      </c>
      <c r="Z312" s="5" t="str">
        <f t="shared" si="177"/>
        <v>STALL</v>
      </c>
      <c r="AA312" s="5" t="str">
        <f t="shared" si="177"/>
        <v>STALL</v>
      </c>
      <c r="AB312" s="5" t="str">
        <f t="shared" si="177"/>
        <v>STALL</v>
      </c>
      <c r="AC312" s="5" t="str">
        <f t="shared" si="177"/>
        <v>STALL</v>
      </c>
      <c r="AD312" s="5" t="str">
        <f t="shared" si="177"/>
        <v>STALL</v>
      </c>
      <c r="AE312" s="5" t="str">
        <f t="shared" si="177"/>
        <v>STALL</v>
      </c>
      <c r="AF312" s="5" t="str">
        <f t="shared" si="177"/>
        <v>STALL</v>
      </c>
      <c r="AG312" s="5" t="str">
        <f t="shared" si="177"/>
        <v>STALL</v>
      </c>
      <c r="AH312" s="5" t="str">
        <f t="shared" si="177"/>
        <v>STALL</v>
      </c>
    </row>
    <row r="313" spans="5:34">
      <c r="E313" s="2">
        <v>0.05</v>
      </c>
      <c r="F313" s="4" t="str">
        <f t="shared" ref="F313:R328" si="178">IF(V288&lt;$L$3,"STALL",F288)</f>
        <v>STALL</v>
      </c>
      <c r="G313" s="4" t="str">
        <f t="shared" si="176"/>
        <v>STALL</v>
      </c>
      <c r="H313" s="4" t="str">
        <f t="shared" si="176"/>
        <v>STALL</v>
      </c>
      <c r="I313" s="4" t="str">
        <f t="shared" si="176"/>
        <v>STALL</v>
      </c>
      <c r="J313" s="4" t="str">
        <f t="shared" si="176"/>
        <v>STALL</v>
      </c>
      <c r="K313" s="4" t="str">
        <f t="shared" si="176"/>
        <v>STALL</v>
      </c>
      <c r="L313" s="4" t="str">
        <f t="shared" si="176"/>
        <v>STALL</v>
      </c>
      <c r="M313" s="4" t="str">
        <f t="shared" si="176"/>
        <v>STALL</v>
      </c>
      <c r="N313" s="4" t="str">
        <f t="shared" si="176"/>
        <v>STALL</v>
      </c>
      <c r="O313" s="4" t="str">
        <f t="shared" si="176"/>
        <v>STALL</v>
      </c>
      <c r="P313" s="4" t="str">
        <f t="shared" si="176"/>
        <v>STALL</v>
      </c>
      <c r="Q313" s="4" t="str">
        <f t="shared" si="176"/>
        <v>STALL</v>
      </c>
      <c r="R313" s="4" t="str">
        <f t="shared" si="176"/>
        <v>STALL</v>
      </c>
      <c r="U313" s="2">
        <v>0.05</v>
      </c>
      <c r="V313" s="5" t="str">
        <f t="shared" ref="V313:AH328" si="179">IF(V288&lt;$L$3,"STALL",F288*196.850393700787)</f>
        <v>STALL</v>
      </c>
      <c r="W313" s="5" t="str">
        <f t="shared" si="177"/>
        <v>STALL</v>
      </c>
      <c r="X313" s="5" t="str">
        <f t="shared" si="177"/>
        <v>STALL</v>
      </c>
      <c r="Y313" s="5" t="str">
        <f t="shared" si="177"/>
        <v>STALL</v>
      </c>
      <c r="Z313" s="5" t="str">
        <f t="shared" si="177"/>
        <v>STALL</v>
      </c>
      <c r="AA313" s="5" t="str">
        <f t="shared" si="177"/>
        <v>STALL</v>
      </c>
      <c r="AB313" s="5" t="str">
        <f t="shared" si="177"/>
        <v>STALL</v>
      </c>
      <c r="AC313" s="5" t="str">
        <f t="shared" si="177"/>
        <v>STALL</v>
      </c>
      <c r="AD313" s="5" t="str">
        <f t="shared" si="177"/>
        <v>STALL</v>
      </c>
      <c r="AE313" s="5" t="str">
        <f t="shared" si="177"/>
        <v>STALL</v>
      </c>
      <c r="AF313" s="5" t="str">
        <f t="shared" si="177"/>
        <v>STALL</v>
      </c>
      <c r="AG313" s="5" t="str">
        <f t="shared" si="177"/>
        <v>STALL</v>
      </c>
      <c r="AH313" s="5" t="str">
        <f t="shared" si="177"/>
        <v>STALL</v>
      </c>
    </row>
    <row r="314" spans="5:34">
      <c r="E314" s="2">
        <f t="shared" ref="E314:E332" si="180">E313+0.05</f>
        <v>0.1</v>
      </c>
      <c r="F314" s="4" t="str">
        <f t="shared" si="178"/>
        <v>STALL</v>
      </c>
      <c r="G314" s="4" t="str">
        <f t="shared" si="176"/>
        <v>STALL</v>
      </c>
      <c r="H314" s="4" t="str">
        <f t="shared" si="176"/>
        <v>STALL</v>
      </c>
      <c r="I314" s="4" t="str">
        <f t="shared" si="176"/>
        <v>STALL</v>
      </c>
      <c r="J314" s="4" t="str">
        <f t="shared" si="176"/>
        <v>STALL</v>
      </c>
      <c r="K314" s="4" t="str">
        <f t="shared" si="176"/>
        <v>STALL</v>
      </c>
      <c r="L314" s="4" t="str">
        <f t="shared" si="176"/>
        <v>STALL</v>
      </c>
      <c r="M314" s="4" t="str">
        <f t="shared" si="176"/>
        <v>STALL</v>
      </c>
      <c r="N314" s="4" t="str">
        <f t="shared" si="176"/>
        <v>STALL</v>
      </c>
      <c r="O314" s="4" t="str">
        <f t="shared" si="176"/>
        <v>STALL</v>
      </c>
      <c r="P314" s="4" t="str">
        <f t="shared" si="176"/>
        <v>STALL</v>
      </c>
      <c r="Q314" s="4" t="str">
        <f t="shared" si="176"/>
        <v>STALL</v>
      </c>
      <c r="R314" s="4" t="str">
        <f t="shared" si="176"/>
        <v>STALL</v>
      </c>
      <c r="U314" s="2">
        <f t="shared" ref="U314:U332" si="181">U313+0.05</f>
        <v>0.1</v>
      </c>
      <c r="V314" s="5" t="str">
        <f t="shared" si="179"/>
        <v>STALL</v>
      </c>
      <c r="W314" s="5" t="str">
        <f t="shared" si="177"/>
        <v>STALL</v>
      </c>
      <c r="X314" s="5" t="str">
        <f t="shared" si="177"/>
        <v>STALL</v>
      </c>
      <c r="Y314" s="5" t="str">
        <f t="shared" si="177"/>
        <v>STALL</v>
      </c>
      <c r="Z314" s="5" t="str">
        <f t="shared" si="177"/>
        <v>STALL</v>
      </c>
      <c r="AA314" s="5" t="str">
        <f t="shared" si="177"/>
        <v>STALL</v>
      </c>
      <c r="AB314" s="5" t="str">
        <f t="shared" si="177"/>
        <v>STALL</v>
      </c>
      <c r="AC314" s="5" t="str">
        <f t="shared" si="177"/>
        <v>STALL</v>
      </c>
      <c r="AD314" s="5" t="str">
        <f t="shared" si="177"/>
        <v>STALL</v>
      </c>
      <c r="AE314" s="5" t="str">
        <f t="shared" si="177"/>
        <v>STALL</v>
      </c>
      <c r="AF314" s="5" t="str">
        <f t="shared" si="177"/>
        <v>STALL</v>
      </c>
      <c r="AG314" s="5" t="str">
        <f t="shared" si="177"/>
        <v>STALL</v>
      </c>
      <c r="AH314" s="5" t="str">
        <f t="shared" si="177"/>
        <v>STALL</v>
      </c>
    </row>
    <row r="315" spans="5:34">
      <c r="E315" s="2">
        <f t="shared" si="180"/>
        <v>0.15000000000000002</v>
      </c>
      <c r="F315" s="4" t="str">
        <f t="shared" si="178"/>
        <v>STALL</v>
      </c>
      <c r="G315" s="4" t="str">
        <f t="shared" si="176"/>
        <v>STALL</v>
      </c>
      <c r="H315" s="4" t="str">
        <f t="shared" si="176"/>
        <v>STALL</v>
      </c>
      <c r="I315" s="4" t="str">
        <f t="shared" si="176"/>
        <v>STALL</v>
      </c>
      <c r="J315" s="4" t="str">
        <f t="shared" si="176"/>
        <v>STALL</v>
      </c>
      <c r="K315" s="4" t="str">
        <f t="shared" si="176"/>
        <v>STALL</v>
      </c>
      <c r="L315" s="4" t="str">
        <f t="shared" si="176"/>
        <v>STALL</v>
      </c>
      <c r="M315" s="4" t="str">
        <f t="shared" si="176"/>
        <v>STALL</v>
      </c>
      <c r="N315" s="4" t="str">
        <f t="shared" si="176"/>
        <v>STALL</v>
      </c>
      <c r="O315" s="4" t="str">
        <f t="shared" si="176"/>
        <v>STALL</v>
      </c>
      <c r="P315" s="4" t="str">
        <f t="shared" si="176"/>
        <v>STALL</v>
      </c>
      <c r="Q315" s="4" t="str">
        <f t="shared" si="176"/>
        <v>STALL</v>
      </c>
      <c r="R315" s="4" t="str">
        <f t="shared" si="176"/>
        <v>STALL</v>
      </c>
      <c r="U315" s="2">
        <f t="shared" si="181"/>
        <v>0.15000000000000002</v>
      </c>
      <c r="V315" s="5" t="str">
        <f t="shared" si="179"/>
        <v>STALL</v>
      </c>
      <c r="W315" s="5" t="str">
        <f t="shared" si="177"/>
        <v>STALL</v>
      </c>
      <c r="X315" s="5" t="str">
        <f t="shared" si="177"/>
        <v>STALL</v>
      </c>
      <c r="Y315" s="5" t="str">
        <f t="shared" si="177"/>
        <v>STALL</v>
      </c>
      <c r="Z315" s="5" t="str">
        <f t="shared" si="177"/>
        <v>STALL</v>
      </c>
      <c r="AA315" s="5" t="str">
        <f t="shared" si="177"/>
        <v>STALL</v>
      </c>
      <c r="AB315" s="5" t="str">
        <f t="shared" si="177"/>
        <v>STALL</v>
      </c>
      <c r="AC315" s="5" t="str">
        <f t="shared" si="177"/>
        <v>STALL</v>
      </c>
      <c r="AD315" s="5" t="str">
        <f t="shared" si="177"/>
        <v>STALL</v>
      </c>
      <c r="AE315" s="5" t="str">
        <f t="shared" si="177"/>
        <v>STALL</v>
      </c>
      <c r="AF315" s="5" t="str">
        <f t="shared" si="177"/>
        <v>STALL</v>
      </c>
      <c r="AG315" s="5" t="str">
        <f t="shared" si="177"/>
        <v>STALL</v>
      </c>
      <c r="AH315" s="5" t="str">
        <f t="shared" si="177"/>
        <v>STALL</v>
      </c>
    </row>
    <row r="316" spans="5:34">
      <c r="E316" s="2">
        <f t="shared" si="180"/>
        <v>0.2</v>
      </c>
      <c r="F316" s="4">
        <f t="shared" si="178"/>
        <v>18.902333676146217</v>
      </c>
      <c r="G316" s="4">
        <f t="shared" si="176"/>
        <v>12.555791601470839</v>
      </c>
      <c r="H316" s="4">
        <f t="shared" si="176"/>
        <v>6.6271766715628013</v>
      </c>
      <c r="I316" s="4" t="str">
        <f t="shared" si="176"/>
        <v>STALL</v>
      </c>
      <c r="J316" s="4" t="str">
        <f t="shared" si="176"/>
        <v>STALL</v>
      </c>
      <c r="K316" s="4" t="str">
        <f t="shared" si="176"/>
        <v>STALL</v>
      </c>
      <c r="L316" s="4" t="str">
        <f t="shared" si="176"/>
        <v>STALL</v>
      </c>
      <c r="M316" s="4" t="str">
        <f t="shared" si="176"/>
        <v>STALL</v>
      </c>
      <c r="N316" s="4" t="str">
        <f t="shared" si="176"/>
        <v>STALL</v>
      </c>
      <c r="O316" s="4" t="str">
        <f t="shared" si="176"/>
        <v>STALL</v>
      </c>
      <c r="P316" s="4" t="str">
        <f t="shared" si="176"/>
        <v>STALL</v>
      </c>
      <c r="Q316" s="4" t="str">
        <f t="shared" si="176"/>
        <v>STALL</v>
      </c>
      <c r="R316" s="4" t="str">
        <f t="shared" si="176"/>
        <v>STALL</v>
      </c>
      <c r="U316" s="2">
        <f t="shared" si="181"/>
        <v>0.2</v>
      </c>
      <c r="V316" s="5">
        <f t="shared" si="179"/>
        <v>3720.9318260130276</v>
      </c>
      <c r="W316" s="5">
        <f t="shared" si="177"/>
        <v>2471.6125199745698</v>
      </c>
      <c r="X316" s="5">
        <f t="shared" si="177"/>
        <v>1304.5623369218088</v>
      </c>
      <c r="Y316" s="5" t="str">
        <f t="shared" si="177"/>
        <v>STALL</v>
      </c>
      <c r="Z316" s="5" t="str">
        <f t="shared" si="177"/>
        <v>STALL</v>
      </c>
      <c r="AA316" s="5" t="str">
        <f t="shared" si="177"/>
        <v>STALL</v>
      </c>
      <c r="AB316" s="5" t="str">
        <f t="shared" si="177"/>
        <v>STALL</v>
      </c>
      <c r="AC316" s="5" t="str">
        <f t="shared" si="177"/>
        <v>STALL</v>
      </c>
      <c r="AD316" s="5" t="str">
        <f t="shared" si="177"/>
        <v>STALL</v>
      </c>
      <c r="AE316" s="5" t="str">
        <f t="shared" si="177"/>
        <v>STALL</v>
      </c>
      <c r="AF316" s="5" t="str">
        <f t="shared" si="177"/>
        <v>STALL</v>
      </c>
      <c r="AG316" s="5" t="str">
        <f t="shared" si="177"/>
        <v>STALL</v>
      </c>
      <c r="AH316" s="5" t="str">
        <f t="shared" si="177"/>
        <v>STALL</v>
      </c>
    </row>
    <row r="317" spans="5:34">
      <c r="E317" s="2">
        <f t="shared" si="180"/>
        <v>0.25</v>
      </c>
      <c r="F317" s="4">
        <f t="shared" si="178"/>
        <v>26.901095958320461</v>
      </c>
      <c r="G317" s="4">
        <f t="shared" si="176"/>
        <v>19.717154138364204</v>
      </c>
      <c r="H317" s="4">
        <f t="shared" si="176"/>
        <v>13.195809230497558</v>
      </c>
      <c r="I317" s="4">
        <f t="shared" si="176"/>
        <v>7.1408105949569167</v>
      </c>
      <c r="J317" s="4">
        <f t="shared" si="176"/>
        <v>1.3512079268002193</v>
      </c>
      <c r="K317" s="4">
        <f t="shared" si="176"/>
        <v>-4.4127721753419298</v>
      </c>
      <c r="L317" s="4" t="str">
        <f t="shared" si="176"/>
        <v>STALL</v>
      </c>
      <c r="M317" s="4" t="str">
        <f t="shared" si="176"/>
        <v>STALL</v>
      </c>
      <c r="N317" s="4" t="str">
        <f t="shared" si="176"/>
        <v>STALL</v>
      </c>
      <c r="O317" s="4" t="str">
        <f t="shared" si="176"/>
        <v>STALL</v>
      </c>
      <c r="P317" s="4" t="str">
        <f t="shared" si="176"/>
        <v>STALL</v>
      </c>
      <c r="Q317" s="4" t="str">
        <f t="shared" si="176"/>
        <v>STALL</v>
      </c>
      <c r="R317" s="4" t="str">
        <f t="shared" si="176"/>
        <v>STALL</v>
      </c>
      <c r="U317" s="2">
        <f t="shared" si="181"/>
        <v>0.25</v>
      </c>
      <c r="V317" s="5">
        <f t="shared" si="179"/>
        <v>5295.4913303780331</v>
      </c>
      <c r="W317" s="5">
        <f t="shared" si="177"/>
        <v>3881.3295547960956</v>
      </c>
      <c r="X317" s="5">
        <f t="shared" si="177"/>
        <v>2597.6002422239235</v>
      </c>
      <c r="Y317" s="5">
        <f t="shared" si="177"/>
        <v>1405.6713769600201</v>
      </c>
      <c r="Z317" s="5">
        <f t="shared" si="177"/>
        <v>265.98581236224737</v>
      </c>
      <c r="AA317" s="5">
        <f t="shared" si="177"/>
        <v>-868.65594002793716</v>
      </c>
      <c r="AB317" s="5" t="str">
        <f t="shared" si="177"/>
        <v>STALL</v>
      </c>
      <c r="AC317" s="5" t="str">
        <f t="shared" si="177"/>
        <v>STALL</v>
      </c>
      <c r="AD317" s="5" t="str">
        <f t="shared" si="177"/>
        <v>STALL</v>
      </c>
      <c r="AE317" s="5" t="str">
        <f t="shared" si="177"/>
        <v>STALL</v>
      </c>
      <c r="AF317" s="5" t="str">
        <f t="shared" si="177"/>
        <v>STALL</v>
      </c>
      <c r="AG317" s="5" t="str">
        <f t="shared" si="177"/>
        <v>STALL</v>
      </c>
      <c r="AH317" s="5" t="str">
        <f t="shared" si="177"/>
        <v>STALL</v>
      </c>
    </row>
    <row r="318" spans="5:34">
      <c r="E318" s="2">
        <f t="shared" si="180"/>
        <v>0.3</v>
      </c>
      <c r="F318" s="4">
        <f t="shared" si="178"/>
        <v>34.072301237221794</v>
      </c>
      <c r="G318" s="4">
        <f t="shared" si="176"/>
        <v>26.002418493738016</v>
      </c>
      <c r="H318" s="4">
        <f t="shared" si="176"/>
        <v>18.809280797653503</v>
      </c>
      <c r="I318" s="4">
        <f t="shared" si="176"/>
        <v>12.286324081261604</v>
      </c>
      <c r="J318" s="4">
        <f t="shared" si="176"/>
        <v>6.2312888092929439</v>
      </c>
      <c r="K318" s="4">
        <f t="shared" si="176"/>
        <v>0.40846383417898302</v>
      </c>
      <c r="L318" s="4">
        <f t="shared" si="176"/>
        <v>-5.4309180422102932</v>
      </c>
      <c r="M318" s="4" t="str">
        <f t="shared" si="176"/>
        <v>STALL</v>
      </c>
      <c r="N318" s="4" t="str">
        <f t="shared" si="176"/>
        <v>STALL</v>
      </c>
      <c r="O318" s="4" t="str">
        <f t="shared" si="176"/>
        <v>STALL</v>
      </c>
      <c r="P318" s="4" t="str">
        <f t="shared" si="176"/>
        <v>STALL</v>
      </c>
      <c r="Q318" s="4" t="str">
        <f t="shared" si="176"/>
        <v>STALL</v>
      </c>
      <c r="R318" s="4" t="str">
        <f t="shared" si="176"/>
        <v>STALL</v>
      </c>
      <c r="U318" s="2">
        <f t="shared" si="181"/>
        <v>0.3</v>
      </c>
      <c r="V318" s="5">
        <f t="shared" si="179"/>
        <v>6707.1459128389224</v>
      </c>
      <c r="W318" s="5">
        <f t="shared" si="177"/>
        <v>5118.5863176649536</v>
      </c>
      <c r="X318" s="5">
        <f t="shared" si="177"/>
        <v>3702.6143302467453</v>
      </c>
      <c r="Y318" s="5">
        <f t="shared" si="177"/>
        <v>2418.567732531807</v>
      </c>
      <c r="Z318" s="5">
        <f t="shared" si="177"/>
        <v>1226.6316553726242</v>
      </c>
      <c r="AA318" s="5">
        <f t="shared" si="177"/>
        <v>80.406266570665792</v>
      </c>
      <c r="AB318" s="5">
        <f t="shared" si="177"/>
        <v>-1069.0783547658036</v>
      </c>
      <c r="AC318" s="5" t="str">
        <f t="shared" si="177"/>
        <v>STALL</v>
      </c>
      <c r="AD318" s="5" t="str">
        <f t="shared" si="177"/>
        <v>STALL</v>
      </c>
      <c r="AE318" s="5" t="str">
        <f t="shared" si="177"/>
        <v>STALL</v>
      </c>
      <c r="AF318" s="5" t="str">
        <f t="shared" si="177"/>
        <v>STALL</v>
      </c>
      <c r="AG318" s="5" t="str">
        <f t="shared" si="177"/>
        <v>STALL</v>
      </c>
      <c r="AH318" s="5" t="str">
        <f t="shared" si="177"/>
        <v>STALL</v>
      </c>
    </row>
    <row r="319" spans="5:34">
      <c r="E319" s="2">
        <f t="shared" si="180"/>
        <v>0.35</v>
      </c>
      <c r="F319" s="4">
        <f t="shared" si="178"/>
        <v>40.605695666479264</v>
      </c>
      <c r="G319" s="4">
        <f t="shared" si="176"/>
        <v>31.652196007691717</v>
      </c>
      <c r="H319" s="4">
        <f t="shared" si="176"/>
        <v>23.767454239968448</v>
      </c>
      <c r="I319" s="4">
        <f t="shared" si="176"/>
        <v>16.73236129261079</v>
      </c>
      <c r="J319" s="4">
        <f t="shared" si="176"/>
        <v>10.339537657481793</v>
      </c>
      <c r="K319" s="4">
        <f t="shared" si="176"/>
        <v>4.3518534093220991</v>
      </c>
      <c r="L319" s="4">
        <f t="shared" si="176"/>
        <v>-1.4730398800640341</v>
      </c>
      <c r="M319" s="4">
        <f t="shared" si="176"/>
        <v>-7.4157178791669178</v>
      </c>
      <c r="N319" s="4" t="str">
        <f t="shared" si="176"/>
        <v>STALL</v>
      </c>
      <c r="O319" s="4" t="str">
        <f t="shared" si="176"/>
        <v>STALL</v>
      </c>
      <c r="P319" s="4" t="str">
        <f t="shared" si="176"/>
        <v>STALL</v>
      </c>
      <c r="Q319" s="4" t="str">
        <f t="shared" si="176"/>
        <v>STALL</v>
      </c>
      <c r="R319" s="4" t="str">
        <f t="shared" si="176"/>
        <v>STALL</v>
      </c>
      <c r="U319" s="2">
        <f t="shared" si="181"/>
        <v>0.35</v>
      </c>
      <c r="V319" s="5">
        <f t="shared" si="179"/>
        <v>7993.2471784407844</v>
      </c>
      <c r="W319" s="5">
        <f t="shared" si="177"/>
        <v>6230.7472456085934</v>
      </c>
      <c r="X319" s="5">
        <f t="shared" si="177"/>
        <v>4678.6327244032282</v>
      </c>
      <c r="Y319" s="5">
        <f t="shared" si="177"/>
        <v>3293.7719079942435</v>
      </c>
      <c r="Z319" s="5">
        <f t="shared" si="177"/>
        <v>2035.342058559404</v>
      </c>
      <c r="AA319" s="5">
        <f t="shared" si="177"/>
        <v>856.66405695316735</v>
      </c>
      <c r="AB319" s="5">
        <f t="shared" si="177"/>
        <v>-289.9684803275652</v>
      </c>
      <c r="AC319" s="5">
        <f t="shared" si="177"/>
        <v>-1459.786984087973</v>
      </c>
      <c r="AD319" s="5" t="str">
        <f t="shared" si="177"/>
        <v>STALL</v>
      </c>
      <c r="AE319" s="5" t="str">
        <f t="shared" si="177"/>
        <v>STALL</v>
      </c>
      <c r="AF319" s="5" t="str">
        <f t="shared" si="177"/>
        <v>STALL</v>
      </c>
      <c r="AG319" s="5" t="str">
        <f t="shared" si="177"/>
        <v>STALL</v>
      </c>
      <c r="AH319" s="5" t="str">
        <f t="shared" si="177"/>
        <v>STALL</v>
      </c>
    </row>
    <row r="320" spans="5:34">
      <c r="E320" s="2">
        <f t="shared" si="180"/>
        <v>0.39999999999999997</v>
      </c>
      <c r="F320" s="4">
        <f t="shared" si="178"/>
        <v>46.579084214419318</v>
      </c>
      <c r="G320" s="4">
        <f t="shared" si="176"/>
        <v>36.772835416617944</v>
      </c>
      <c r="H320" s="4">
        <f t="shared" si="176"/>
        <v>28.20892940089951</v>
      </c>
      <c r="I320" s="4">
        <f t="shared" si="176"/>
        <v>20.654925252248663</v>
      </c>
      <c r="J320" s="4">
        <f t="shared" si="176"/>
        <v>13.896435085427644</v>
      </c>
      <c r="K320" s="4">
        <f t="shared" si="176"/>
        <v>7.6919920793348204</v>
      </c>
      <c r="L320" s="4">
        <f t="shared" si="176"/>
        <v>1.8013451700993917</v>
      </c>
      <c r="M320" s="4">
        <f t="shared" si="176"/>
        <v>-4.0450841953840948</v>
      </c>
      <c r="N320" s="4">
        <f t="shared" si="176"/>
        <v>-10.268331576098296</v>
      </c>
      <c r="O320" s="4">
        <f t="shared" si="176"/>
        <v>-17.159750635156609</v>
      </c>
      <c r="P320" s="4" t="str">
        <f t="shared" si="176"/>
        <v>STALL</v>
      </c>
      <c r="Q320" s="4" t="str">
        <f t="shared" si="176"/>
        <v>STALL</v>
      </c>
      <c r="R320" s="4" t="str">
        <f t="shared" si="176"/>
        <v>STALL</v>
      </c>
      <c r="U320" s="2">
        <f t="shared" si="181"/>
        <v>0.39999999999999997</v>
      </c>
      <c r="V320" s="5">
        <f t="shared" si="179"/>
        <v>9169.111065830557</v>
      </c>
      <c r="W320" s="5">
        <f t="shared" si="177"/>
        <v>7238.7471292554865</v>
      </c>
      <c r="X320" s="5">
        <f t="shared" si="177"/>
        <v>5552.9388584447743</v>
      </c>
      <c r="Y320" s="5">
        <f t="shared" si="177"/>
        <v>4065.9301677654767</v>
      </c>
      <c r="Z320" s="5">
        <f t="shared" si="177"/>
        <v>2735.5187176038617</v>
      </c>
      <c r="AA320" s="5">
        <f t="shared" si="177"/>
        <v>1514.1716691603947</v>
      </c>
      <c r="AB320" s="5">
        <f t="shared" si="177"/>
        <v>354.5955059250764</v>
      </c>
      <c r="AC320" s="5">
        <f t="shared" si="177"/>
        <v>-796.27641641419029</v>
      </c>
      <c r="AD320" s="5">
        <f t="shared" si="177"/>
        <v>-2021.3251134051723</v>
      </c>
      <c r="AE320" s="5">
        <f t="shared" si="177"/>
        <v>-3377.9036683379086</v>
      </c>
      <c r="AF320" s="5" t="str">
        <f t="shared" si="177"/>
        <v>STALL</v>
      </c>
      <c r="AG320" s="5" t="str">
        <f t="shared" si="177"/>
        <v>STALL</v>
      </c>
      <c r="AH320" s="5" t="str">
        <f t="shared" si="177"/>
        <v>STALL</v>
      </c>
    </row>
    <row r="321" spans="5:34">
      <c r="E321" s="2">
        <f t="shared" si="180"/>
        <v>0.44999999999999996</v>
      </c>
      <c r="F321" s="4">
        <f t="shared" si="178"/>
        <v>52.024788504807631</v>
      </c>
      <c r="G321" s="4">
        <f t="shared" si="176"/>
        <v>41.414503457430648</v>
      </c>
      <c r="H321" s="4">
        <f t="shared" si="176"/>
        <v>32.203467407181655</v>
      </c>
      <c r="I321" s="4">
        <f t="shared" si="176"/>
        <v>24.145964455989553</v>
      </c>
      <c r="J321" s="4">
        <f t="shared" si="176"/>
        <v>17.019811233848369</v>
      </c>
      <c r="K321" s="4">
        <f t="shared" si="176"/>
        <v>10.577744037807118</v>
      </c>
      <c r="L321" s="4">
        <f t="shared" si="176"/>
        <v>4.5791307358267268</v>
      </c>
      <c r="M321" s="4">
        <f t="shared" si="176"/>
        <v>-1.2387670778522619</v>
      </c>
      <c r="N321" s="4">
        <f t="shared" si="176"/>
        <v>-7.2337089841031306</v>
      </c>
      <c r="O321" s="4">
        <f t="shared" si="176"/>
        <v>-13.714812206806709</v>
      </c>
      <c r="P321" s="4">
        <f t="shared" si="176"/>
        <v>-21.048954612935937</v>
      </c>
      <c r="Q321" s="4" t="str">
        <f t="shared" si="176"/>
        <v>STALL</v>
      </c>
      <c r="R321" s="4" t="str">
        <f t="shared" si="176"/>
        <v>STALL</v>
      </c>
      <c r="U321" s="2">
        <f t="shared" si="181"/>
        <v>0.44999999999999996</v>
      </c>
      <c r="V321" s="5">
        <f t="shared" si="179"/>
        <v>10241.100099371561</v>
      </c>
      <c r="W321" s="5">
        <f t="shared" si="177"/>
        <v>8152.4613105178278</v>
      </c>
      <c r="X321" s="5">
        <f t="shared" si="177"/>
        <v>6339.2652376341712</v>
      </c>
      <c r="Y321" s="5">
        <f t="shared" si="177"/>
        <v>4753.1426094467533</v>
      </c>
      <c r="Z321" s="5">
        <f t="shared" si="177"/>
        <v>3350.356542096129</v>
      </c>
      <c r="AA321" s="5">
        <f t="shared" si="177"/>
        <v>2082.2330783084835</v>
      </c>
      <c r="AB321" s="5">
        <f t="shared" si="177"/>
        <v>901.40368815486568</v>
      </c>
      <c r="AC321" s="5">
        <f t="shared" si="177"/>
        <v>-243.85178697879124</v>
      </c>
      <c r="AD321" s="5">
        <f t="shared" si="177"/>
        <v>-1423.9584614376213</v>
      </c>
      <c r="AE321" s="5">
        <f t="shared" si="177"/>
        <v>-2699.7661824422603</v>
      </c>
      <c r="AF321" s="5">
        <f t="shared" si="177"/>
        <v>-4143.4950025464359</v>
      </c>
      <c r="AG321" s="5" t="str">
        <f t="shared" si="177"/>
        <v>STALL</v>
      </c>
      <c r="AH321" s="5" t="str">
        <f t="shared" si="177"/>
        <v>STALL</v>
      </c>
    </row>
    <row r="322" spans="5:34">
      <c r="E322" s="2">
        <f t="shared" si="180"/>
        <v>0.49999999999999994</v>
      </c>
      <c r="F322" s="4">
        <f t="shared" si="178"/>
        <v>56.956955991181175</v>
      </c>
      <c r="G322" s="4">
        <f t="shared" si="176"/>
        <v>45.603010805077872</v>
      </c>
      <c r="H322" s="4">
        <f t="shared" si="176"/>
        <v>35.789442411278849</v>
      </c>
      <c r="I322" s="4">
        <f t="shared" si="176"/>
        <v>27.257842771243485</v>
      </c>
      <c r="J322" s="4">
        <f t="shared" si="176"/>
        <v>19.778122735676511</v>
      </c>
      <c r="K322" s="4">
        <f t="shared" si="176"/>
        <v>13.096653110381789</v>
      </c>
      <c r="L322" s="4">
        <f t="shared" si="176"/>
        <v>6.9710617257452148</v>
      </c>
      <c r="M322" s="4">
        <f t="shared" si="176"/>
        <v>1.1428628575697859</v>
      </c>
      <c r="N322" s="4">
        <f t="shared" si="176"/>
        <v>-4.6940021708332527</v>
      </c>
      <c r="O322" s="4">
        <f t="shared" si="176"/>
        <v>-10.865657488314888</v>
      </c>
      <c r="P322" s="4">
        <f t="shared" si="176"/>
        <v>-17.733120430639818</v>
      </c>
      <c r="Q322" s="4" t="str">
        <f t="shared" si="176"/>
        <v>STALL</v>
      </c>
      <c r="R322" s="4" t="str">
        <f t="shared" si="176"/>
        <v>STALL</v>
      </c>
      <c r="U322" s="2">
        <f t="shared" si="181"/>
        <v>0.49999999999999994</v>
      </c>
      <c r="V322" s="5">
        <f t="shared" si="179"/>
        <v>11211.999210862414</v>
      </c>
      <c r="W322" s="5">
        <f t="shared" si="177"/>
        <v>8976.9706309208232</v>
      </c>
      <c r="X322" s="5">
        <f t="shared" si="177"/>
        <v>7045.1658289918851</v>
      </c>
      <c r="Y322" s="5">
        <f t="shared" si="177"/>
        <v>5365.7170809534309</v>
      </c>
      <c r="Z322" s="5">
        <f t="shared" si="177"/>
        <v>3893.3312471804079</v>
      </c>
      <c r="AA322" s="5">
        <f t="shared" si="177"/>
        <v>2578.0813209412918</v>
      </c>
      <c r="AB322" s="5">
        <f t="shared" si="177"/>
        <v>1372.2562452254333</v>
      </c>
      <c r="AC322" s="5">
        <f t="shared" si="177"/>
        <v>224.97300345861882</v>
      </c>
      <c r="AD322" s="5">
        <f t="shared" si="177"/>
        <v>-924.01617536087463</v>
      </c>
      <c r="AE322" s="5">
        <f t="shared" si="177"/>
        <v>-2138.9089543926902</v>
      </c>
      <c r="AF322" s="5">
        <f t="shared" si="177"/>
        <v>-3490.7717383149179</v>
      </c>
      <c r="AG322" s="5" t="str">
        <f t="shared" si="177"/>
        <v>STALL</v>
      </c>
      <c r="AH322" s="5" t="str">
        <f t="shared" si="177"/>
        <v>STALL</v>
      </c>
    </row>
    <row r="323" spans="5:34">
      <c r="E323" s="2">
        <f t="shared" si="180"/>
        <v>0.54999999999999993</v>
      </c>
      <c r="F323" s="4">
        <f t="shared" si="178"/>
        <v>61.384687135916828</v>
      </c>
      <c r="G323" s="4">
        <f t="shared" si="176"/>
        <v>49.354862192808241</v>
      </c>
      <c r="H323" s="4">
        <f t="shared" si="176"/>
        <v>38.991339083890395</v>
      </c>
      <c r="I323" s="4">
        <f t="shared" si="176"/>
        <v>30.023934820706955</v>
      </c>
      <c r="J323" s="4">
        <f t="shared" si="176"/>
        <v>22.2149745812617</v>
      </c>
      <c r="K323" s="4">
        <f t="shared" si="176"/>
        <v>15.304462003621177</v>
      </c>
      <c r="L323" s="4">
        <f t="shared" si="176"/>
        <v>9.0476380424329346</v>
      </c>
      <c r="M323" s="4">
        <f t="shared" si="176"/>
        <v>3.1886807452969781</v>
      </c>
      <c r="N323" s="4">
        <f t="shared" si="176"/>
        <v>-2.5353448407853083</v>
      </c>
      <c r="O323" s="4">
        <f t="shared" si="176"/>
        <v>-8.4664201310551803</v>
      </c>
      <c r="P323" s="4">
        <f t="shared" si="176"/>
        <v>-14.961981980315493</v>
      </c>
      <c r="Q323" s="4">
        <f t="shared" si="176"/>
        <v>-22.386717916070037</v>
      </c>
      <c r="R323" s="4" t="str">
        <f t="shared" si="176"/>
        <v>STALL</v>
      </c>
      <c r="U323" s="2">
        <f t="shared" si="181"/>
        <v>0.54999999999999993</v>
      </c>
      <c r="V323" s="5">
        <f t="shared" si="179"/>
        <v>12083.599829904862</v>
      </c>
      <c r="W323" s="5">
        <f t="shared" si="177"/>
        <v>9715.524053702391</v>
      </c>
      <c r="X323" s="5">
        <f t="shared" si="177"/>
        <v>7675.4604495847079</v>
      </c>
      <c r="Y323" s="5">
        <f t="shared" si="177"/>
        <v>5910.2233899029325</v>
      </c>
      <c r="Z323" s="5">
        <f t="shared" si="177"/>
        <v>4373.0264923743416</v>
      </c>
      <c r="AA323" s="5">
        <f t="shared" si="177"/>
        <v>3012.6893707915642</v>
      </c>
      <c r="AB323" s="5">
        <f t="shared" si="177"/>
        <v>1781.031110715141</v>
      </c>
      <c r="AC323" s="5">
        <f t="shared" si="177"/>
        <v>627.69306009782906</v>
      </c>
      <c r="AD323" s="5">
        <f t="shared" si="177"/>
        <v>-499.08363007584711</v>
      </c>
      <c r="AE323" s="5">
        <f t="shared" si="177"/>
        <v>-1666.618136034481</v>
      </c>
      <c r="AF323" s="5">
        <f t="shared" si="177"/>
        <v>-2945.2720433691857</v>
      </c>
      <c r="AG323" s="5">
        <f t="shared" si="177"/>
        <v>-4406.8342354468487</v>
      </c>
      <c r="AH323" s="5" t="str">
        <f t="shared" si="177"/>
        <v>STALL</v>
      </c>
    </row>
    <row r="324" spans="5:34">
      <c r="E324" s="2">
        <f t="shared" si="180"/>
        <v>0.6</v>
      </c>
      <c r="F324" s="4">
        <f t="shared" si="178"/>
        <v>65.319310167232643</v>
      </c>
      <c r="G324" s="4">
        <f t="shared" si="176"/>
        <v>52.685363008164572</v>
      </c>
      <c r="H324" s="4">
        <f t="shared" si="176"/>
        <v>41.828973507318381</v>
      </c>
      <c r="I324" s="4">
        <f t="shared" si="176"/>
        <v>32.469303996482253</v>
      </c>
      <c r="J324" s="4">
        <f t="shared" si="176"/>
        <v>24.361684938320451</v>
      </c>
      <c r="K324" s="4">
        <f t="shared" si="176"/>
        <v>17.240112535134852</v>
      </c>
      <c r="L324" s="4">
        <f t="shared" si="176"/>
        <v>10.857255061589614</v>
      </c>
      <c r="M324" s="4">
        <f t="shared" si="176"/>
        <v>4.959019364430584</v>
      </c>
      <c r="N324" s="4">
        <f t="shared" si="176"/>
        <v>-0.68097798474906657</v>
      </c>
      <c r="O324" s="4">
        <f t="shared" si="176"/>
        <v>-6.4191881722501503</v>
      </c>
      <c r="P324" s="4">
        <f t="shared" si="176"/>
        <v>-12.610832675974155</v>
      </c>
      <c r="Q324" s="4">
        <f t="shared" si="176"/>
        <v>-19.603575206711753</v>
      </c>
      <c r="R324" s="4">
        <f t="shared" si="176"/>
        <v>-27.801596809929958</v>
      </c>
      <c r="U324" s="2">
        <f t="shared" si="181"/>
        <v>0.6</v>
      </c>
      <c r="V324" s="5">
        <f t="shared" si="179"/>
        <v>12858.131922683566</v>
      </c>
      <c r="W324" s="5">
        <f t="shared" si="177"/>
        <v>10371.134450426076</v>
      </c>
      <c r="X324" s="5">
        <f t="shared" si="177"/>
        <v>8234.0499030154133</v>
      </c>
      <c r="Y324" s="5">
        <f t="shared" si="177"/>
        <v>6391.595274898069</v>
      </c>
      <c r="Z324" s="5">
        <f t="shared" si="177"/>
        <v>4795.6072713229141</v>
      </c>
      <c r="AA324" s="5">
        <f t="shared" si="177"/>
        <v>3393.722939987169</v>
      </c>
      <c r="AB324" s="5">
        <f t="shared" si="177"/>
        <v>2137.2549333837778</v>
      </c>
      <c r="AC324" s="5">
        <f t="shared" si="177"/>
        <v>976.18491425798697</v>
      </c>
      <c r="AD324" s="5">
        <f t="shared" si="177"/>
        <v>-134.0507843994223</v>
      </c>
      <c r="AE324" s="5">
        <f t="shared" si="177"/>
        <v>-1263.6197189468774</v>
      </c>
      <c r="AF324" s="5">
        <f t="shared" si="177"/>
        <v>-2482.447377160262</v>
      </c>
      <c r="AG324" s="5">
        <f t="shared" si="177"/>
        <v>-3858.9714973841956</v>
      </c>
      <c r="AH324" s="5">
        <f t="shared" si="177"/>
        <v>-5472.7552775452559</v>
      </c>
    </row>
    <row r="325" spans="5:34">
      <c r="E325" s="2">
        <f t="shared" si="180"/>
        <v>0.65</v>
      </c>
      <c r="F325" s="4">
        <f t="shared" si="178"/>
        <v>68.779014135425655</v>
      </c>
      <c r="G325" s="4">
        <f t="shared" si="176"/>
        <v>55.613569772029123</v>
      </c>
      <c r="H325" s="4">
        <f t="shared" si="176"/>
        <v>44.322933547276435</v>
      </c>
      <c r="I325" s="4">
        <f t="shared" si="176"/>
        <v>34.616835002131978</v>
      </c>
      <c r="J325" s="4">
        <f t="shared" si="176"/>
        <v>26.24435672500692</v>
      </c>
      <c r="K325" s="4">
        <f t="shared" si="176"/>
        <v>18.934064880427215</v>
      </c>
      <c r="L325" s="4">
        <f t="shared" si="176"/>
        <v>12.436161454837302</v>
      </c>
      <c r="M325" s="4">
        <f t="shared" si="176"/>
        <v>6.4977767071738626</v>
      </c>
      <c r="N325" s="4">
        <f t="shared" si="176"/>
        <v>0.92390715640856558</v>
      </c>
      <c r="O325" s="4">
        <f t="shared" si="176"/>
        <v>-4.6548632927912523</v>
      </c>
      <c r="P325" s="4">
        <f t="shared" si="176"/>
        <v>-10.592303513773851</v>
      </c>
      <c r="Q325" s="4">
        <f t="shared" si="176"/>
        <v>-17.22183893222055</v>
      </c>
      <c r="R325" s="4">
        <f t="shared" si="176"/>
        <v>-24.926760515565668</v>
      </c>
      <c r="U325" s="2">
        <f t="shared" si="181"/>
        <v>0.65</v>
      </c>
      <c r="V325" s="5">
        <f t="shared" si="179"/>
        <v>13539.176010910534</v>
      </c>
      <c r="W325" s="5">
        <f t="shared" si="177"/>
        <v>10947.553104730121</v>
      </c>
      <c r="X325" s="5">
        <f t="shared" si="177"/>
        <v>8724.9869187551867</v>
      </c>
      <c r="Y325" s="5">
        <f t="shared" si="177"/>
        <v>6814.3375988448643</v>
      </c>
      <c r="Z325" s="5">
        <f t="shared" si="177"/>
        <v>5166.2119537415092</v>
      </c>
      <c r="AA325" s="5">
        <f t="shared" si="177"/>
        <v>3727.178126068342</v>
      </c>
      <c r="AB325" s="5">
        <f t="shared" si="177"/>
        <v>2448.0632785112753</v>
      </c>
      <c r="AC325" s="5">
        <f t="shared" si="177"/>
        <v>1279.0899029869784</v>
      </c>
      <c r="AD325" s="5">
        <f t="shared" si="177"/>
        <v>181.87148748200073</v>
      </c>
      <c r="AE325" s="5">
        <f t="shared" si="177"/>
        <v>-916.31167180929981</v>
      </c>
      <c r="AF325" s="5">
        <f t="shared" si="177"/>
        <v>-2085.0991168846122</v>
      </c>
      <c r="AG325" s="5">
        <f t="shared" si="177"/>
        <v>-3390.1257740591564</v>
      </c>
      <c r="AH325" s="5">
        <f t="shared" si="177"/>
        <v>-4906.8426211743345</v>
      </c>
    </row>
    <row r="326" spans="5:34">
      <c r="E326" s="2">
        <f t="shared" si="180"/>
        <v>0.70000000000000007</v>
      </c>
      <c r="F326" s="4">
        <f t="shared" si="178"/>
        <v>71.792223088375906</v>
      </c>
      <c r="G326" s="4">
        <f t="shared" si="176"/>
        <v>58.165713233015445</v>
      </c>
      <c r="H326" s="4">
        <f t="shared" si="176"/>
        <v>46.498170105833431</v>
      </c>
      <c r="I326" s="4">
        <f t="shared" si="176"/>
        <v>36.491126799189786</v>
      </c>
      <c r="J326" s="4">
        <f t="shared" si="176"/>
        <v>27.888229039653101</v>
      </c>
      <c r="K326" s="4">
        <f t="shared" si="176"/>
        <v>20.413297293982719</v>
      </c>
      <c r="L326" s="4">
        <f t="shared" si="176"/>
        <v>13.81434212052727</v>
      </c>
      <c r="M326" s="4">
        <f t="shared" si="176"/>
        <v>7.8394841367023949</v>
      </c>
      <c r="N326" s="4">
        <f t="shared" si="176"/>
        <v>2.3209474060729889</v>
      </c>
      <c r="O326" s="4">
        <f t="shared" si="176"/>
        <v>-3.1221310194919525</v>
      </c>
      <c r="P326" s="4">
        <f t="shared" si="176"/>
        <v>-8.8424463192704383</v>
      </c>
      <c r="Q326" s="4">
        <f t="shared" si="176"/>
        <v>-15.161262721443256</v>
      </c>
      <c r="R326" s="4">
        <f t="shared" si="176"/>
        <v>-22.444000526921304</v>
      </c>
      <c r="U326" s="2">
        <f t="shared" si="181"/>
        <v>0.70000000000000007</v>
      </c>
      <c r="V326" s="5">
        <f t="shared" si="179"/>
        <v>14132.327379601527</v>
      </c>
      <c r="W326" s="5">
        <f t="shared" si="177"/>
        <v>11449.943549806167</v>
      </c>
      <c r="X326" s="5">
        <f t="shared" si="177"/>
        <v>9153.1830916994768</v>
      </c>
      <c r="Y326" s="5">
        <f t="shared" si="177"/>
        <v>7183.2926770058493</v>
      </c>
      <c r="Z326" s="5">
        <f t="shared" si="177"/>
        <v>5489.8088660734338</v>
      </c>
      <c r="AA326" s="5">
        <f t="shared" si="177"/>
        <v>4018.3656090517084</v>
      </c>
      <c r="AB326" s="5">
        <f t="shared" si="177"/>
        <v>2719.3586851431578</v>
      </c>
      <c r="AC326" s="5">
        <f t="shared" si="177"/>
        <v>1543.2055387209407</v>
      </c>
      <c r="AD326" s="5">
        <f t="shared" si="177"/>
        <v>456.87941064428821</v>
      </c>
      <c r="AE326" s="5">
        <f t="shared" si="177"/>
        <v>-614.59272037243034</v>
      </c>
      <c r="AF326" s="5">
        <f t="shared" si="177"/>
        <v>-1740.6390392264607</v>
      </c>
      <c r="AG326" s="5">
        <f t="shared" si="177"/>
        <v>-2984.5005357171704</v>
      </c>
      <c r="AH326" s="5">
        <f t="shared" si="177"/>
        <v>-4418.1103399451295</v>
      </c>
    </row>
    <row r="327" spans="5:34">
      <c r="E327" s="2">
        <f t="shared" si="180"/>
        <v>0.75000000000000011</v>
      </c>
      <c r="F327" s="4">
        <f t="shared" si="178"/>
        <v>74.400363288978525</v>
      </c>
      <c r="G327" s="4">
        <f t="shared" si="176"/>
        <v>60.377859554665221</v>
      </c>
      <c r="H327" s="4">
        <f t="shared" si="176"/>
        <v>48.386644962929722</v>
      </c>
      <c r="I327" s="4">
        <f t="shared" si="176"/>
        <v>38.121225566979042</v>
      </c>
      <c r="J327" s="4">
        <f t="shared" si="176"/>
        <v>29.32060538523946</v>
      </c>
      <c r="K327" s="4">
        <f t="shared" si="176"/>
        <v>21.70455721995771</v>
      </c>
      <c r="L327" s="4">
        <f t="shared" si="176"/>
        <v>15.01924493154131</v>
      </c>
      <c r="M327" s="4">
        <f t="shared" si="176"/>
        <v>9.0137001212521071</v>
      </c>
      <c r="N327" s="4">
        <f t="shared" si="176"/>
        <v>3.5439943701230301</v>
      </c>
      <c r="O327" s="4">
        <f t="shared" si="176"/>
        <v>-1.7807485853558551</v>
      </c>
      <c r="P327" s="4">
        <f t="shared" si="176"/>
        <v>-7.312309494042224</v>
      </c>
      <c r="Q327" s="4">
        <f t="shared" si="176"/>
        <v>-13.361380250326155</v>
      </c>
      <c r="R327" s="4">
        <f t="shared" si="176"/>
        <v>-20.277866627427777</v>
      </c>
      <c r="U327" s="2">
        <f t="shared" si="181"/>
        <v>0.75000000000000011</v>
      </c>
      <c r="V327" s="5">
        <f t="shared" si="179"/>
        <v>14645.740804917003</v>
      </c>
      <c r="W327" s="5">
        <f t="shared" si="177"/>
        <v>11885.405424146673</v>
      </c>
      <c r="X327" s="5">
        <f t="shared" si="177"/>
        <v>9524.9301108129184</v>
      </c>
      <c r="Y327" s="5">
        <f t="shared" si="177"/>
        <v>7504.1782612163315</v>
      </c>
      <c r="Z327" s="5">
        <f t="shared" si="177"/>
        <v>5771.7727136298035</v>
      </c>
      <c r="AA327" s="5">
        <f t="shared" si="177"/>
        <v>4272.5506338499345</v>
      </c>
      <c r="AB327" s="5">
        <f t="shared" si="177"/>
        <v>2956.544277862457</v>
      </c>
      <c r="AC327" s="5">
        <f t="shared" si="177"/>
        <v>1774.3504175693088</v>
      </c>
      <c r="AD327" s="5">
        <f t="shared" si="177"/>
        <v>697.63668703209112</v>
      </c>
      <c r="AE327" s="5">
        <f t="shared" si="177"/>
        <v>-350.54106010941962</v>
      </c>
      <c r="AF327" s="5">
        <f t="shared" si="177"/>
        <v>-1439.4310027642146</v>
      </c>
      <c r="AG327" s="5">
        <f t="shared" si="177"/>
        <v>-2630.1929626626238</v>
      </c>
      <c r="AH327" s="5">
        <f t="shared" si="177"/>
        <v>-3991.706029021208</v>
      </c>
    </row>
    <row r="328" spans="5:34">
      <c r="E328" s="2">
        <f t="shared" si="180"/>
        <v>0.80000000000000016</v>
      </c>
      <c r="F328" s="4">
        <f t="shared" si="178"/>
        <v>76.660355894159423</v>
      </c>
      <c r="G328" s="4">
        <f t="shared" si="178"/>
        <v>62.298197615281232</v>
      </c>
      <c r="H328" s="4">
        <f t="shared" si="178"/>
        <v>50.02949234789434</v>
      </c>
      <c r="I328" s="4">
        <f t="shared" si="178"/>
        <v>39.542740933985364</v>
      </c>
      <c r="J328" s="4">
        <f t="shared" si="178"/>
        <v>30.573009917318174</v>
      </c>
      <c r="K328" s="4">
        <f t="shared" si="178"/>
        <v>22.836651435175312</v>
      </c>
      <c r="L328" s="4">
        <f t="shared" si="178"/>
        <v>16.078312367521193</v>
      </c>
      <c r="M328" s="4">
        <f t="shared" si="178"/>
        <v>10.047913366835862</v>
      </c>
      <c r="N328" s="4">
        <f t="shared" si="178"/>
        <v>4.6226041631031158</v>
      </c>
      <c r="O328" s="4">
        <f t="shared" si="178"/>
        <v>-0.59725298499474921</v>
      </c>
      <c r="P328" s="4">
        <f t="shared" si="178"/>
        <v>-5.962596611919075</v>
      </c>
      <c r="Q328" s="4">
        <f t="shared" si="178"/>
        <v>-11.774808289772373</v>
      </c>
      <c r="R328" s="4">
        <f t="shared" si="178"/>
        <v>-18.37017001943488</v>
      </c>
      <c r="U328" s="2">
        <f t="shared" si="181"/>
        <v>0.80000000000000016</v>
      </c>
      <c r="V328" s="5">
        <f t="shared" si="179"/>
        <v>15090.621239007731</v>
      </c>
      <c r="W328" s="5">
        <f t="shared" si="179"/>
        <v>12263.424727417541</v>
      </c>
      <c r="X328" s="5">
        <f t="shared" si="179"/>
        <v>9848.3252653335112</v>
      </c>
      <c r="Y328" s="5">
        <f t="shared" si="179"/>
        <v>7784.0041208632447</v>
      </c>
      <c r="Z328" s="5">
        <f t="shared" si="179"/>
        <v>6018.3090388421479</v>
      </c>
      <c r="AA328" s="5">
        <f t="shared" si="179"/>
        <v>4495.4038258219025</v>
      </c>
      <c r="AB328" s="5">
        <f t="shared" si="179"/>
        <v>3165.0221195907798</v>
      </c>
      <c r="AC328" s="5">
        <f t="shared" si="179"/>
        <v>1977.9357021330397</v>
      </c>
      <c r="AD328" s="5">
        <f t="shared" si="179"/>
        <v>909.96144942974536</v>
      </c>
      <c r="AE328" s="5">
        <f t="shared" si="179"/>
        <v>-117.56948523518662</v>
      </c>
      <c r="AF328" s="5">
        <f t="shared" si="179"/>
        <v>-1173.7394905352487</v>
      </c>
      <c r="AG328" s="5">
        <f t="shared" si="179"/>
        <v>-2317.8756475929822</v>
      </c>
      <c r="AH328" s="5">
        <f t="shared" si="179"/>
        <v>-3616.1752006761503</v>
      </c>
    </row>
    <row r="329" spans="5:34">
      <c r="E329" s="2">
        <f t="shared" si="180"/>
        <v>0.8500000000000002</v>
      </c>
      <c r="F329" s="4">
        <f t="shared" ref="F329:R332" si="182">IF(V304&lt;$L$3,"STALL",F304)</f>
        <v>4.896369604605626</v>
      </c>
      <c r="G329" s="4">
        <f t="shared" si="182"/>
        <v>3.6817833616817408</v>
      </c>
      <c r="H329" s="4">
        <f t="shared" si="182"/>
        <v>2.5155708722243646</v>
      </c>
      <c r="I329" s="4">
        <f t="shared" si="182"/>
        <v>1.3588361235063307</v>
      </c>
      <c r="J329" s="4">
        <f t="shared" si="182"/>
        <v>0.16869805205796784</v>
      </c>
      <c r="K329" s="4">
        <f t="shared" si="182"/>
        <v>-1.1094895278699424</v>
      </c>
      <c r="L329" s="4">
        <f t="shared" si="182"/>
        <v>-2.5400338679296239</v>
      </c>
      <c r="M329" s="4">
        <f t="shared" si="182"/>
        <v>-4.2072284557616015</v>
      </c>
      <c r="N329" s="4">
        <f t="shared" si="182"/>
        <v>-6.3046236913140179</v>
      </c>
      <c r="O329" s="4">
        <f t="shared" si="182"/>
        <v>-8.9021248862734836</v>
      </c>
      <c r="P329" s="4">
        <f t="shared" si="182"/>
        <v>-12.128296322582369</v>
      </c>
      <c r="Q329" s="4">
        <f t="shared" si="182"/>
        <v>-16.164106582837242</v>
      </c>
      <c r="R329" s="4">
        <f t="shared" si="182"/>
        <v>-21.24229337401842</v>
      </c>
      <c r="U329" s="2">
        <f t="shared" si="181"/>
        <v>0.8500000000000002</v>
      </c>
      <c r="V329" s="5">
        <f t="shared" ref="V329:AH332" si="183">IF(V304&lt;$L$3,"STALL",F304*196.850393700787)</f>
        <v>963.85228437118428</v>
      </c>
      <c r="W329" s="5">
        <f t="shared" si="183"/>
        <v>724.76050426805773</v>
      </c>
      <c r="X329" s="5">
        <f t="shared" si="183"/>
        <v>495.19111657959832</v>
      </c>
      <c r="Y329" s="5">
        <f t="shared" si="183"/>
        <v>267.48742588707245</v>
      </c>
      <c r="Z329" s="5">
        <f t="shared" si="183"/>
        <v>33.208277964166832</v>
      </c>
      <c r="AA329" s="5">
        <f t="shared" si="183"/>
        <v>-218.40345036809845</v>
      </c>
      <c r="AB329" s="5">
        <f t="shared" si="183"/>
        <v>-500.00666691527931</v>
      </c>
      <c r="AC329" s="5">
        <f t="shared" si="183"/>
        <v>-828.19457790582544</v>
      </c>
      <c r="AD329" s="5">
        <f t="shared" si="183"/>
        <v>-1241.0676557704735</v>
      </c>
      <c r="AE329" s="5">
        <f t="shared" si="183"/>
        <v>-1752.386788636509</v>
      </c>
      <c r="AF329" s="5">
        <f t="shared" si="183"/>
        <v>-2387.4599060201467</v>
      </c>
      <c r="AG329" s="5">
        <f t="shared" si="183"/>
        <v>-3181.9107446529943</v>
      </c>
      <c r="AH329" s="5">
        <f t="shared" si="183"/>
        <v>-4181.5538137831454</v>
      </c>
    </row>
    <row r="330" spans="5:34">
      <c r="E330" s="2">
        <f t="shared" si="180"/>
        <v>0.90000000000000024</v>
      </c>
      <c r="F330" s="4">
        <f t="shared" si="182"/>
        <v>-94.636638440248873</v>
      </c>
      <c r="G330" s="4">
        <f t="shared" si="182"/>
        <v>-77.646802303373136</v>
      </c>
      <c r="H330" s="4">
        <f t="shared" si="182"/>
        <v>-63.444267232956882</v>
      </c>
      <c r="I330" s="4">
        <f t="shared" si="182"/>
        <v>-51.690919505045919</v>
      </c>
      <c r="J330" s="4">
        <f t="shared" si="182"/>
        <v>-42.122946823885947</v>
      </c>
      <c r="K330" s="4">
        <f t="shared" si="182"/>
        <v>-34.47898039908538</v>
      </c>
      <c r="L330" s="4">
        <f t="shared" si="182"/>
        <v>-28.560262624310386</v>
      </c>
      <c r="M330" s="4">
        <f t="shared" si="182"/>
        <v>-24.223744569075475</v>
      </c>
      <c r="N330" s="4">
        <f t="shared" si="182"/>
        <v>-21.768991596590958</v>
      </c>
      <c r="O330" s="4">
        <f t="shared" si="182"/>
        <v>-20.809324364406862</v>
      </c>
      <c r="P330" s="4">
        <f t="shared" si="182"/>
        <v>-21.168250407633053</v>
      </c>
      <c r="Q330" s="4">
        <f t="shared" si="182"/>
        <v>-22.86532276362599</v>
      </c>
      <c r="R330" s="4">
        <f t="shared" si="182"/>
        <v>-25.996878898720514</v>
      </c>
      <c r="U330" s="2">
        <f t="shared" si="181"/>
        <v>0.90000000000000024</v>
      </c>
      <c r="V330" s="5">
        <f t="shared" si="183"/>
        <v>-18629.259535482026</v>
      </c>
      <c r="W330" s="5">
        <f t="shared" si="183"/>
        <v>-15284.803603026177</v>
      </c>
      <c r="X330" s="5">
        <f t="shared" si="183"/>
        <v>-12489.028982865502</v>
      </c>
      <c r="Y330" s="5">
        <f t="shared" si="183"/>
        <v>-10175.377855323979</v>
      </c>
      <c r="Z330" s="5">
        <f t="shared" si="183"/>
        <v>-8291.9186661192634</v>
      </c>
      <c r="AA330" s="5">
        <f t="shared" si="183"/>
        <v>-6787.2008659616758</v>
      </c>
      <c r="AB330" s="5">
        <f t="shared" si="183"/>
        <v>-5622.0989417933715</v>
      </c>
      <c r="AC330" s="5">
        <f t="shared" si="183"/>
        <v>-4768.4536553298085</v>
      </c>
      <c r="AD330" s="5">
        <f t="shared" si="183"/>
        <v>-4285.2345662580537</v>
      </c>
      <c r="AE330" s="5">
        <f t="shared" si="183"/>
        <v>-4096.3236937808706</v>
      </c>
      <c r="AF330" s="5">
        <f t="shared" si="183"/>
        <v>-4166.978426699412</v>
      </c>
      <c r="AG330" s="5">
        <f t="shared" si="183"/>
        <v>-4501.0477881153438</v>
      </c>
      <c r="AH330" s="5">
        <f t="shared" si="183"/>
        <v>-5117.4958462048153</v>
      </c>
    </row>
    <row r="331" spans="5:34">
      <c r="E331" s="2">
        <f t="shared" si="180"/>
        <v>0.95000000000000029</v>
      </c>
      <c r="F331" s="4">
        <f t="shared" si="182"/>
        <v>-226.68439959736142</v>
      </c>
      <c r="G331" s="4">
        <f t="shared" si="182"/>
        <v>-185.56746719427551</v>
      </c>
      <c r="H331" s="4">
        <f t="shared" si="182"/>
        <v>-150.99916304317924</v>
      </c>
      <c r="I331" s="4">
        <f t="shared" si="182"/>
        <v>-122.14204862995973</v>
      </c>
      <c r="J331" s="4">
        <f t="shared" si="182"/>
        <v>-98.326430936561337</v>
      </c>
      <c r="K331" s="4">
        <f t="shared" si="182"/>
        <v>-78.872936720475309</v>
      </c>
      <c r="L331" s="4">
        <f t="shared" si="182"/>
        <v>-63.235286005858391</v>
      </c>
      <c r="M331" s="4">
        <f t="shared" si="182"/>
        <v>-50.970830213911356</v>
      </c>
      <c r="N331" s="4">
        <f t="shared" si="182"/>
        <v>-42.525970274095911</v>
      </c>
      <c r="O331" s="4">
        <f t="shared" si="182"/>
        <v>-36.908833841957772</v>
      </c>
      <c r="P331" s="4">
        <f t="shared" si="182"/>
        <v>-33.54080638527158</v>
      </c>
      <c r="Q331" s="4">
        <f t="shared" si="182"/>
        <v>-32.231611258285369</v>
      </c>
      <c r="R331" s="4">
        <f t="shared" si="182"/>
        <v>-32.902190558023527</v>
      </c>
      <c r="U331" s="2">
        <f t="shared" si="181"/>
        <v>0.95000000000000029</v>
      </c>
      <c r="V331" s="5">
        <f t="shared" si="183"/>
        <v>-44622.913306567119</v>
      </c>
      <c r="W331" s="5">
        <f t="shared" si="183"/>
        <v>-36529.028975251014</v>
      </c>
      <c r="X331" s="5">
        <f t="shared" si="183"/>
        <v>-29724.24469353916</v>
      </c>
      <c r="Y331" s="5">
        <f t="shared" si="183"/>
        <v>-24043.710360228244</v>
      </c>
      <c r="Z331" s="5">
        <f t="shared" si="183"/>
        <v>-19355.596641055341</v>
      </c>
      <c r="AA331" s="5">
        <f t="shared" si="183"/>
        <v>-15526.168645762826</v>
      </c>
      <c r="AB331" s="5">
        <f t="shared" si="183"/>
        <v>-12447.890946035091</v>
      </c>
      <c r="AC331" s="5">
        <f t="shared" si="183"/>
        <v>-10033.627994864421</v>
      </c>
      <c r="AD331" s="5">
        <f t="shared" si="183"/>
        <v>-8371.2539909637453</v>
      </c>
      <c r="AE331" s="5">
        <f t="shared" si="183"/>
        <v>-7265.5184728263184</v>
      </c>
      <c r="AF331" s="5">
        <f t="shared" si="183"/>
        <v>-6602.5209419825815</v>
      </c>
      <c r="AG331" s="5">
        <f t="shared" si="183"/>
        <v>-6344.8053658041936</v>
      </c>
      <c r="AH331" s="5">
        <f t="shared" si="183"/>
        <v>-6476.8091649652479</v>
      </c>
    </row>
    <row r="332" spans="5:34">
      <c r="E332" s="2">
        <f t="shared" si="180"/>
        <v>1.0000000000000002</v>
      </c>
      <c r="F332" s="4">
        <f t="shared" si="182"/>
        <v>-396.32747567857365</v>
      </c>
      <c r="G332" s="4">
        <f t="shared" si="182"/>
        <v>-324.23407100996201</v>
      </c>
      <c r="H332" s="4">
        <f t="shared" si="182"/>
        <v>-263.52086704292725</v>
      </c>
      <c r="I332" s="4">
        <f t="shared" si="182"/>
        <v>-212.70962193482825</v>
      </c>
      <c r="J332" s="4">
        <f t="shared" si="182"/>
        <v>-170.61001243377632</v>
      </c>
      <c r="K332" s="4">
        <f t="shared" si="182"/>
        <v>-136.00665228125405</v>
      </c>
      <c r="L332" s="4">
        <f t="shared" si="182"/>
        <v>-107.90798246111729</v>
      </c>
      <c r="M332" s="4">
        <f t="shared" si="182"/>
        <v>-85.48806533899409</v>
      </c>
      <c r="N332" s="4">
        <f t="shared" si="182"/>
        <v>-69.386921038862496</v>
      </c>
      <c r="O332" s="4">
        <f t="shared" si="182"/>
        <v>-57.835594772119357</v>
      </c>
      <c r="P332" s="4">
        <f t="shared" si="182"/>
        <v>-49.740919815859399</v>
      </c>
      <c r="Q332" s="4">
        <f t="shared" si="182"/>
        <v>-44.646493725235466</v>
      </c>
      <c r="R332" s="4">
        <f t="shared" si="182"/>
        <v>-42.252363866893361</v>
      </c>
      <c r="U332" s="2">
        <f t="shared" si="181"/>
        <v>1.0000000000000002</v>
      </c>
      <c r="V332" s="5">
        <f t="shared" si="183"/>
        <v>-78017.219621766315</v>
      </c>
      <c r="W332" s="5">
        <f t="shared" si="183"/>
        <v>-63825.604529519951</v>
      </c>
      <c r="X332" s="5">
        <f t="shared" si="183"/>
        <v>-51874.186425772976</v>
      </c>
      <c r="Y332" s="5">
        <f t="shared" si="183"/>
        <v>-41871.972821816504</v>
      </c>
      <c r="Z332" s="5">
        <f t="shared" si="183"/>
        <v>-33584.648116885037</v>
      </c>
      <c r="AA332" s="5">
        <f t="shared" si="183"/>
        <v>-26772.963047490903</v>
      </c>
      <c r="AB332" s="5">
        <f t="shared" si="183"/>
        <v>-21241.728830928558</v>
      </c>
      <c r="AC332" s="5">
        <f t="shared" si="183"/>
        <v>-16828.359318699589</v>
      </c>
      <c r="AD332" s="5">
        <f t="shared" si="183"/>
        <v>-13658.842724185504</v>
      </c>
      <c r="AE332" s="5">
        <f t="shared" si="183"/>
        <v>-11384.959600810875</v>
      </c>
      <c r="AF332" s="5">
        <f t="shared" si="183"/>
        <v>-9791.5196487912017</v>
      </c>
      <c r="AG332" s="5">
        <f t="shared" si="183"/>
        <v>-8788.6798671723191</v>
      </c>
      <c r="AH332" s="5">
        <f t="shared" si="183"/>
        <v>-8317.3944619868653</v>
      </c>
    </row>
  </sheetData>
  <mergeCells count="18">
    <mergeCell ref="AT2:BA2"/>
    <mergeCell ref="B1:E1"/>
    <mergeCell ref="H1:H2"/>
    <mergeCell ref="I1:I2"/>
    <mergeCell ref="J1:J2"/>
    <mergeCell ref="L1:L2"/>
    <mergeCell ref="AJ4:AQ4"/>
    <mergeCell ref="B5:S5"/>
    <mergeCell ref="AC5:AE5"/>
    <mergeCell ref="AF5:AH5"/>
    <mergeCell ref="AJ5:AN5"/>
    <mergeCell ref="AO5:AQ5"/>
    <mergeCell ref="E310:R310"/>
    <mergeCell ref="U310:AH310"/>
    <mergeCell ref="V4:V6"/>
    <mergeCell ref="W4:W6"/>
    <mergeCell ref="Y4:Y6"/>
    <mergeCell ref="AB4:AH4"/>
  </mergeCells>
  <conditionalFormatting sqref="F287:R307">
    <cfRule type="cellIs" dxfId="12" priority="11" operator="lessThan">
      <formula>0</formula>
    </cfRule>
  </conditionalFormatting>
  <conditionalFormatting sqref="F287:F307">
    <cfRule type="cellIs" dxfId="11" priority="10" operator="equal">
      <formula>"max($F$287:$F$307)"</formula>
    </cfRule>
  </conditionalFormatting>
  <conditionalFormatting sqref="V287:AH307">
    <cfRule type="cellIs" dxfId="10" priority="7" operator="lessThan">
      <formula>$L$3</formula>
    </cfRule>
    <cfRule type="cellIs" dxfId="9" priority="9" operator="lessThan">
      <formula>0</formula>
    </cfRule>
  </conditionalFormatting>
  <conditionalFormatting sqref="V287:V307">
    <cfRule type="cellIs" dxfId="8" priority="8" operator="equal">
      <formula>"max($F$287:$F$307)"</formula>
    </cfRule>
  </conditionalFormatting>
  <conditionalFormatting sqref="F312:R332">
    <cfRule type="containsText" dxfId="7" priority="2" operator="containsText" text="STALL">
      <formula>NOT(ISERROR(SEARCH("STALL",F312)))</formula>
    </cfRule>
    <cfRule type="cellIs" dxfId="6" priority="6" operator="lessThan">
      <formula>0</formula>
    </cfRule>
  </conditionalFormatting>
  <conditionalFormatting sqref="F312:R332">
    <cfRule type="cellIs" dxfId="5" priority="5" operator="equal">
      <formula>"max($F$287:$F$307)"</formula>
    </cfRule>
  </conditionalFormatting>
  <conditionalFormatting sqref="V312:AH332">
    <cfRule type="containsText" dxfId="4" priority="1" operator="containsText" text="STALL">
      <formula>NOT(ISERROR(SEARCH("STALL",V312)))</formula>
    </cfRule>
    <cfRule type="cellIs" dxfId="3" priority="4" operator="lessThan">
      <formula>0</formula>
    </cfRule>
  </conditionalFormatting>
  <conditionalFormatting sqref="V312:AH332">
    <cfRule type="cellIs" dxfId="2" priority="3" operator="equal">
      <formula>"max($F$287:$F$307)"</formula>
    </cfRule>
  </conditionalFormatting>
  <pageMargins left="0.7" right="0.7" top="0.75" bottom="0.75" header="0.3" footer="0.3"/>
  <pageSetup scale="16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05B7-5E48-4DE9-A72B-39144146731C}">
  <sheetPr codeName="Sheet16"/>
  <dimension ref="C1:AY53"/>
  <sheetViews>
    <sheetView topLeftCell="A2" workbookViewId="0">
      <selection activeCell="I17" sqref="I17"/>
    </sheetView>
  </sheetViews>
  <sheetFormatPr defaultRowHeight="14.4"/>
  <cols>
    <col min="3" max="3" width="18.33203125" customWidth="1"/>
    <col min="10" max="10" width="8.44140625" style="139"/>
    <col min="13" max="13" width="10.6640625" customWidth="1"/>
    <col min="16" max="17" width="14.44140625" customWidth="1"/>
    <col min="20" max="20" width="10.44140625" customWidth="1"/>
    <col min="21" max="21" width="13.33203125" customWidth="1"/>
    <col min="22" max="22" width="8.44140625" customWidth="1"/>
    <col min="44" max="51" width="11.44140625" customWidth="1"/>
  </cols>
  <sheetData>
    <row r="1" spans="3:51" ht="15" thickBot="1">
      <c r="H1" s="289" t="s">
        <v>105</v>
      </c>
      <c r="I1" s="289"/>
      <c r="J1" s="289"/>
      <c r="K1" s="289"/>
      <c r="L1" s="289"/>
      <c r="M1" s="289"/>
      <c r="N1" s="289"/>
      <c r="U1" s="144" t="s">
        <v>106</v>
      </c>
    </row>
    <row r="2" spans="3:51" ht="28.8">
      <c r="C2" s="2" t="s">
        <v>107</v>
      </c>
      <c r="D2" s="24">
        <v>60</v>
      </c>
      <c r="H2" s="2" t="s">
        <v>54</v>
      </c>
      <c r="I2" s="2" t="s">
        <v>108</v>
      </c>
      <c r="J2" s="141" t="s">
        <v>7</v>
      </c>
      <c r="K2" s="2" t="s">
        <v>8</v>
      </c>
      <c r="L2" s="2" t="s">
        <v>109</v>
      </c>
      <c r="M2" s="2" t="s">
        <v>110</v>
      </c>
      <c r="N2" s="2" t="s">
        <v>111</v>
      </c>
      <c r="O2" s="142" t="s">
        <v>112</v>
      </c>
      <c r="P2" s="142" t="s">
        <v>113</v>
      </c>
      <c r="Q2" s="142" t="s">
        <v>30</v>
      </c>
      <c r="R2" s="2" t="s">
        <v>34</v>
      </c>
      <c r="S2" s="2" t="s">
        <v>35</v>
      </c>
      <c r="T2" s="2" t="s">
        <v>114</v>
      </c>
      <c r="U2" s="8" t="s">
        <v>115</v>
      </c>
      <c r="AR2" s="272" t="s">
        <v>6</v>
      </c>
      <c r="AS2" s="273"/>
      <c r="AT2" s="273"/>
      <c r="AU2" s="273"/>
      <c r="AV2" s="273"/>
      <c r="AW2" s="273"/>
      <c r="AX2" s="273"/>
      <c r="AY2" s="274"/>
    </row>
    <row r="3" spans="3:51">
      <c r="C3" s="2" t="s">
        <v>116</v>
      </c>
      <c r="D3" s="5">
        <f>D2*47.880258888889</f>
        <v>2872.8155333333402</v>
      </c>
      <c r="H3" s="4">
        <v>0.1</v>
      </c>
      <c r="I3" s="4">
        <f t="shared" ref="I3:I20" si="0">(2*$D$4/($D$9*H3^2*SQRT(($D$5+$D$6)/$D$7))*$D$3)/1000</f>
        <v>1250.8374075270917</v>
      </c>
      <c r="J3" s="140" t="e" cm="1">
        <f t="array" ref="J3">((I3-INDEX($AR$4:$AV$53,MATCH(I3,$AU$4:$AU$53,-1),4))/(INDEX($AR$4:$AU$53,MATCH(I3,$AU$4:$AU$53,-1)+1,4)-INDEX($AR$4:$AU$53,MATCH(I3,$AU$4:$AU$53,-1),4)))*(INDEX($AR$4:$AU$53,MATCH(I3,$AU$4:$AU$53,-1)+1,1)-INDEX($AR$4:$AU$53,MATCH(I3,$AU$4:$AU$53,-1),1))+INDEX($AR$4:$AU$53,MATCH(I3,$AU$4:$AU$53,-1),1)</f>
        <v>#N/A</v>
      </c>
      <c r="K3" s="140" t="e">
        <f>J3/3.28084</f>
        <v>#N/A</v>
      </c>
      <c r="L3" s="4" t="e" cm="1">
        <f t="array" ref="L3">((I3-INDEX($AR$4:$AV$53,MATCH(I3,$AU$4:$AU$53,-1),4))/(INDEX($AR$4:$AU$53,MATCH(I3,$AU$4:$AU$53,-1)+1,4)-INDEX($AR$4:$AU$53,MATCH(I3,$AU$4:$AU$53,-1),4)))*(INDEX($AR$4:$AU$53,MATCH(I3,$AU$4:$AU$53,-1)+1,3)-INDEX($AR$4:$AU$53,MATCH(I3,$AU$4:$AU$53,-1),3))+INDEX($AR$4:$AU$53,MATCH(I3,$AU$4:$AU$53,-1),3)</f>
        <v>#N/A</v>
      </c>
      <c r="M3" s="5" t="e">
        <f t="shared" ref="M3:M20" si="1">I3*1000/($D$10*L3)</f>
        <v>#N/A</v>
      </c>
      <c r="N3" s="5" t="e">
        <f t="shared" ref="N3:N20" si="2">H3*SQRT($D$9*$D$10*L3)</f>
        <v>#N/A</v>
      </c>
      <c r="O3" s="143" t="e">
        <f>0.5*M3*N3^2</f>
        <v>#N/A</v>
      </c>
      <c r="P3" s="143" t="e">
        <f>SQRT(O3*2/1.225)</f>
        <v>#N/A</v>
      </c>
      <c r="Q3" s="143" t="e">
        <f>P3*1.94384</f>
        <v>#N/A</v>
      </c>
      <c r="R3" s="5">
        <f>(1+($D$9-1)/2*H3^2)</f>
        <v>1.002</v>
      </c>
      <c r="S3" s="5">
        <f>R3^($D$9/($D$9-1))</f>
        <v>1.0070175175043741</v>
      </c>
      <c r="T3" s="5">
        <f>S3*I3/101.325</f>
        <v>12.431435291680621</v>
      </c>
      <c r="U3" s="5" t="e">
        <f t="shared" ref="U3:U20" si="3">($D$4/T3)*((O3/$D$4)*(1/$D$3)*($D$7*(($D$4/O3)*D3)^2+$D$8*(($D$4/O3)*D3)+$D$5+$D$6))</f>
        <v>#N/A</v>
      </c>
      <c r="AR3" s="21" t="s">
        <v>7</v>
      </c>
      <c r="AS3" s="16" t="s">
        <v>8</v>
      </c>
      <c r="AT3" s="16" t="s">
        <v>9</v>
      </c>
      <c r="AU3" s="16" t="s">
        <v>10</v>
      </c>
      <c r="AV3" s="2" t="s">
        <v>11</v>
      </c>
      <c r="AW3" s="2" t="s">
        <v>12</v>
      </c>
      <c r="AX3" s="2" t="s">
        <v>13</v>
      </c>
      <c r="AY3" s="22" t="s">
        <v>14</v>
      </c>
    </row>
    <row r="4" spans="3:51">
      <c r="C4" s="61" t="s">
        <v>56</v>
      </c>
      <c r="D4" s="24">
        <v>0.85</v>
      </c>
      <c r="H4" s="4">
        <f>H3+0.05</f>
        <v>0.15000000000000002</v>
      </c>
      <c r="I4" s="4">
        <f t="shared" si="0"/>
        <v>555.92773667870733</v>
      </c>
      <c r="J4" s="140" t="e" cm="1">
        <f t="array" ref="J4">((I4-INDEX($AR$4:$AV$53,MATCH(I4,$AU$4:$AU$53,-1),4))/(INDEX($AR$4:$AU$53,MATCH(I4,$AU$4:$AU$53,-1)+1,4)-INDEX($AR$4:$AU$53,MATCH(I4,$AU$4:$AU$53,-1),4)))*(INDEX($AR$4:$AU$53,MATCH(I4,$AU$4:$AU$53,-1)+1,1)-INDEX($AR$4:$AU$53,MATCH(I4,$AU$4:$AU$53,-1),1))+INDEX($AR$4:$AU$53,MATCH(I4,$AU$4:$AU$53,-1),1)</f>
        <v>#N/A</v>
      </c>
      <c r="K4" s="140" t="e">
        <f t="shared" ref="K4:K20" si="4">J4/3.28084</f>
        <v>#N/A</v>
      </c>
      <c r="L4" s="4" t="e" cm="1">
        <f t="array" ref="L4">((I4-INDEX($AR$4:$AV$53,MATCH(I4,$AU$4:$AU$53,-1),4))/(INDEX($AR$4:$AU$53,MATCH(I4,$AU$4:$AU$53,-1)+1,4)-INDEX($AR$4:$AU$53,MATCH(I4,$AU$4:$AU$53,-1),4)))*(INDEX($AR$4:$AU$53,MATCH(I4,$AU$4:$AU$53,-1)+1,3)-INDEX($AR$4:$AU$53,MATCH(I4,$AU$4:$AU$53,-1),3))+INDEX($AR$4:$AU$53,MATCH(I4,$AU$4:$AU$53,-1),3)</f>
        <v>#N/A</v>
      </c>
      <c r="M4" s="5" t="e">
        <f t="shared" si="1"/>
        <v>#N/A</v>
      </c>
      <c r="N4" s="5" t="e">
        <f t="shared" si="2"/>
        <v>#N/A</v>
      </c>
      <c r="O4" s="143" t="e">
        <f t="shared" ref="O4:O20" si="5">0.5*M4*N4^2</f>
        <v>#N/A</v>
      </c>
      <c r="P4" s="143" t="e">
        <f t="shared" ref="P4:P20" si="6">SQRT(O4*2/1.225)</f>
        <v>#N/A</v>
      </c>
      <c r="Q4" s="143" t="e">
        <f t="shared" ref="Q4:Q20" si="7">P4*1.94384</f>
        <v>#N/A</v>
      </c>
      <c r="R4" s="5">
        <f t="shared" ref="R4:R20" si="8">(1+($D$9-1)/2*H4^2)</f>
        <v>1.0044999999999999</v>
      </c>
      <c r="S4" s="5">
        <f t="shared" ref="S4:S20" si="9">R4^($D$9/($D$9-1))</f>
        <v>1.0158387931980133</v>
      </c>
      <c r="T4" s="5">
        <f t="shared" ref="T4:T20" si="10">S4*I4/101.325</f>
        <v>5.5734809882358833</v>
      </c>
      <c r="U4" s="5" t="e">
        <f t="shared" si="3"/>
        <v>#N/A</v>
      </c>
      <c r="AR4" s="32">
        <f t="shared" ref="AR4:AR53" si="11">3.28084*AS4</f>
        <v>-6561.68</v>
      </c>
      <c r="AS4" s="17">
        <v>-2000</v>
      </c>
      <c r="AT4" s="17">
        <v>301.2</v>
      </c>
      <c r="AU4" s="17">
        <v>127.78</v>
      </c>
      <c r="AV4" s="17">
        <v>1.2067000000000001</v>
      </c>
      <c r="AW4" s="17">
        <v>1.2529999999999999</v>
      </c>
      <c r="AX4" s="17">
        <v>2.6360000000000001</v>
      </c>
      <c r="AY4" s="33">
        <v>347.9</v>
      </c>
    </row>
    <row r="5" spans="3:51" ht="15.6">
      <c r="C5" s="61" t="s">
        <v>43</v>
      </c>
      <c r="D5" s="24">
        <v>1.4E-2</v>
      </c>
      <c r="H5" s="4">
        <f t="shared" ref="H5:H20" si="12">H4+0.05</f>
        <v>0.2</v>
      </c>
      <c r="I5" s="4">
        <f t="shared" si="0"/>
        <v>312.70935188177293</v>
      </c>
      <c r="J5" s="140" t="e" cm="1">
        <f t="array" ref="J5">((I5-INDEX($AR$4:$AV$53,MATCH(I5,$AU$4:$AU$53,-1),4))/(INDEX($AR$4:$AU$53,MATCH(I5,$AU$4:$AU$53,-1)+1,4)-INDEX($AR$4:$AU$53,MATCH(I5,$AU$4:$AU$53,-1),4)))*(INDEX($AR$4:$AU$53,MATCH(I5,$AU$4:$AU$53,-1)+1,1)-INDEX($AR$4:$AU$53,MATCH(I5,$AU$4:$AU$53,-1),1))+INDEX($AR$4:$AU$53,MATCH(I5,$AU$4:$AU$53,-1),1)</f>
        <v>#N/A</v>
      </c>
      <c r="K5" s="140" t="e">
        <f t="shared" si="4"/>
        <v>#N/A</v>
      </c>
      <c r="L5" s="4" t="e" cm="1">
        <f t="array" ref="L5">((I5-INDEX($AR$4:$AV$53,MATCH(I5,$AU$4:$AU$53,-1),4))/(INDEX($AR$4:$AU$53,MATCH(I5,$AU$4:$AU$53,-1)+1,4)-INDEX($AR$4:$AU$53,MATCH(I5,$AU$4:$AU$53,-1),4)))*(INDEX($AR$4:$AU$53,MATCH(I5,$AU$4:$AU$53,-1)+1,3)-INDEX($AR$4:$AU$53,MATCH(I5,$AU$4:$AU$53,-1),3))+INDEX($AR$4:$AU$53,MATCH(I5,$AU$4:$AU$53,-1),3)</f>
        <v>#N/A</v>
      </c>
      <c r="M5" s="5" t="e">
        <f t="shared" si="1"/>
        <v>#N/A</v>
      </c>
      <c r="N5" s="5" t="e">
        <f t="shared" si="2"/>
        <v>#N/A</v>
      </c>
      <c r="O5" s="143" t="e">
        <f t="shared" si="5"/>
        <v>#N/A</v>
      </c>
      <c r="P5" s="143" t="e">
        <f t="shared" si="6"/>
        <v>#N/A</v>
      </c>
      <c r="Q5" s="143" t="e">
        <f t="shared" si="7"/>
        <v>#N/A</v>
      </c>
      <c r="R5" s="5">
        <f t="shared" si="8"/>
        <v>1.008</v>
      </c>
      <c r="S5" s="5">
        <f t="shared" si="9"/>
        <v>1.0282811211191059</v>
      </c>
      <c r="T5" s="5">
        <f t="shared" si="10"/>
        <v>3.1734825851213269</v>
      </c>
      <c r="U5" s="5" t="e">
        <f t="shared" si="3"/>
        <v>#N/A</v>
      </c>
      <c r="AR5" s="32">
        <f t="shared" si="11"/>
        <v>-4921.26</v>
      </c>
      <c r="AS5" s="17">
        <v>-1500</v>
      </c>
      <c r="AT5" s="17">
        <v>297.89999999999998</v>
      </c>
      <c r="AU5" s="17">
        <v>120.7</v>
      </c>
      <c r="AV5" s="17">
        <v>1.1521999999999999</v>
      </c>
      <c r="AW5" s="17">
        <v>1.3009999999999999</v>
      </c>
      <c r="AX5" s="17">
        <v>2.6110000000000002</v>
      </c>
      <c r="AY5" s="33">
        <v>346</v>
      </c>
    </row>
    <row r="6" spans="3:51" ht="15.6">
      <c r="C6" s="61" t="s">
        <v>49</v>
      </c>
      <c r="D6" s="24">
        <v>0</v>
      </c>
      <c r="H6" s="4">
        <f t="shared" si="12"/>
        <v>0.25</v>
      </c>
      <c r="I6" s="4">
        <f t="shared" si="0"/>
        <v>200.13398520433472</v>
      </c>
      <c r="J6" s="140" t="e" cm="1">
        <f t="array" ref="J6">((I6-INDEX($AR$4:$AV$53,MATCH(I6,$AU$4:$AU$53,-1),4))/(INDEX($AR$4:$AU$53,MATCH(I6,$AU$4:$AU$53,-1)+1,4)-INDEX($AR$4:$AU$53,MATCH(I6,$AU$4:$AU$53,-1),4)))*(INDEX($AR$4:$AU$53,MATCH(I6,$AU$4:$AU$53,-1)+1,1)-INDEX($AR$4:$AU$53,MATCH(I6,$AU$4:$AU$53,-1),1))+INDEX($AR$4:$AU$53,MATCH(I6,$AU$4:$AU$53,-1),1)</f>
        <v>#N/A</v>
      </c>
      <c r="K6" s="140" t="e">
        <f t="shared" si="4"/>
        <v>#N/A</v>
      </c>
      <c r="L6" s="4" t="e" cm="1">
        <f t="array" ref="L6">((I6-INDEX($AR$4:$AV$53,MATCH(I6,$AU$4:$AU$53,-1),4))/(INDEX($AR$4:$AU$53,MATCH(I6,$AU$4:$AU$53,-1)+1,4)-INDEX($AR$4:$AU$53,MATCH(I6,$AU$4:$AU$53,-1),4)))*(INDEX($AR$4:$AU$53,MATCH(I6,$AU$4:$AU$53,-1)+1,3)-INDEX($AR$4:$AU$53,MATCH(I6,$AU$4:$AU$53,-1),3))+INDEX($AR$4:$AU$53,MATCH(I6,$AU$4:$AU$53,-1),3)</f>
        <v>#N/A</v>
      </c>
      <c r="M6" s="5" t="e">
        <f t="shared" si="1"/>
        <v>#N/A</v>
      </c>
      <c r="N6" s="5" t="e">
        <f t="shared" si="2"/>
        <v>#N/A</v>
      </c>
      <c r="O6" s="143" t="e">
        <f t="shared" si="5"/>
        <v>#N/A</v>
      </c>
      <c r="P6" s="143" t="e">
        <f t="shared" si="6"/>
        <v>#N/A</v>
      </c>
      <c r="Q6" s="143" t="e">
        <f t="shared" si="7"/>
        <v>#N/A</v>
      </c>
      <c r="R6" s="5">
        <f t="shared" si="8"/>
        <v>1.0125</v>
      </c>
      <c r="S6" s="5">
        <f t="shared" si="9"/>
        <v>1.0444378728783388</v>
      </c>
      <c r="T6" s="5">
        <f t="shared" si="10"/>
        <v>2.0629411675053566</v>
      </c>
      <c r="U6" s="5" t="e">
        <f t="shared" si="3"/>
        <v>#N/A</v>
      </c>
      <c r="AR6" s="32">
        <f t="shared" si="11"/>
        <v>-3280.84</v>
      </c>
      <c r="AS6" s="17">
        <v>-1000</v>
      </c>
      <c r="AT6" s="17">
        <v>294.7</v>
      </c>
      <c r="AU6" s="17">
        <v>113.93</v>
      </c>
      <c r="AV6" s="17">
        <v>1.0995999999999999</v>
      </c>
      <c r="AW6" s="17">
        <v>1.3520000000000001</v>
      </c>
      <c r="AX6" s="17">
        <v>2.585</v>
      </c>
      <c r="AY6" s="33">
        <v>344.1</v>
      </c>
    </row>
    <row r="7" spans="3:51">
      <c r="C7" s="61" t="s">
        <v>44</v>
      </c>
      <c r="D7" s="24">
        <v>0.18</v>
      </c>
      <c r="H7" s="4">
        <f t="shared" si="12"/>
        <v>0.3</v>
      </c>
      <c r="I7" s="4">
        <f t="shared" si="0"/>
        <v>138.98193416967689</v>
      </c>
      <c r="J7" s="140" t="e" cm="1">
        <f t="array" ref="J7">((I7-INDEX($AR$4:$AV$53,MATCH(I7,$AU$4:$AU$53,-1),4))/(INDEX($AR$4:$AU$53,MATCH(I7,$AU$4:$AU$53,-1)+1,4)-INDEX($AR$4:$AU$53,MATCH(I7,$AU$4:$AU$53,-1),4)))*(INDEX($AR$4:$AU$53,MATCH(I7,$AU$4:$AU$53,-1)+1,1)-INDEX($AR$4:$AU$53,MATCH(I7,$AU$4:$AU$53,-1),1))+INDEX($AR$4:$AU$53,MATCH(I7,$AU$4:$AU$53,-1),1)</f>
        <v>#N/A</v>
      </c>
      <c r="K7" s="140" t="e">
        <f t="shared" si="4"/>
        <v>#N/A</v>
      </c>
      <c r="L7" s="4" t="e" cm="1">
        <f t="array" ref="L7">((I7-INDEX($AR$4:$AV$53,MATCH(I7,$AU$4:$AU$53,-1),4))/(INDEX($AR$4:$AU$53,MATCH(I7,$AU$4:$AU$53,-1)+1,4)-INDEX($AR$4:$AU$53,MATCH(I7,$AU$4:$AU$53,-1),4)))*(INDEX($AR$4:$AU$53,MATCH(I7,$AU$4:$AU$53,-1)+1,3)-INDEX($AR$4:$AU$53,MATCH(I7,$AU$4:$AU$53,-1),3))+INDEX($AR$4:$AU$53,MATCH(I7,$AU$4:$AU$53,-1),3)</f>
        <v>#N/A</v>
      </c>
      <c r="M7" s="5" t="e">
        <f t="shared" si="1"/>
        <v>#N/A</v>
      </c>
      <c r="N7" s="5" t="e">
        <f t="shared" si="2"/>
        <v>#N/A</v>
      </c>
      <c r="O7" s="143" t="e">
        <f t="shared" si="5"/>
        <v>#N/A</v>
      </c>
      <c r="P7" s="143" t="e">
        <f t="shared" si="6"/>
        <v>#N/A</v>
      </c>
      <c r="Q7" s="143" t="e">
        <f t="shared" si="7"/>
        <v>#N/A</v>
      </c>
      <c r="R7" s="5">
        <f t="shared" si="8"/>
        <v>1.018</v>
      </c>
      <c r="S7" s="5">
        <f t="shared" si="9"/>
        <v>1.0644302861529382</v>
      </c>
      <c r="T7" s="5">
        <f t="shared" si="10"/>
        <v>1.4600205275925782</v>
      </c>
      <c r="U7" s="5" t="e">
        <f t="shared" si="3"/>
        <v>#N/A</v>
      </c>
      <c r="AR7" s="32">
        <f t="shared" si="11"/>
        <v>-1640.42</v>
      </c>
      <c r="AS7" s="17">
        <v>-500</v>
      </c>
      <c r="AT7" s="17">
        <v>291.39999999999998</v>
      </c>
      <c r="AU7" s="17">
        <v>107.48</v>
      </c>
      <c r="AV7" s="17">
        <v>1.0488999999999999</v>
      </c>
      <c r="AW7" s="17">
        <v>1.405</v>
      </c>
      <c r="AX7" s="17">
        <v>2.56</v>
      </c>
      <c r="AY7" s="33">
        <v>342.2</v>
      </c>
    </row>
    <row r="8" spans="3:51">
      <c r="C8" s="61" t="s">
        <v>45</v>
      </c>
      <c r="D8" s="24">
        <v>0</v>
      </c>
      <c r="H8" s="4">
        <f t="shared" si="12"/>
        <v>0.35</v>
      </c>
      <c r="I8" s="4">
        <f t="shared" si="0"/>
        <v>102.10917612466059</v>
      </c>
      <c r="J8" s="140" cm="1">
        <f t="array" ref="J8">((I8-INDEX($AR$4:$AV$53,MATCH(I8,$AU$4:$AU$53,-1),4))/(INDEX($AR$4:$AU$53,MATCH(I8,$AU$4:$AU$53,-1)+1,4)-INDEX($AR$4:$AU$53,MATCH(I8,$AU$4:$AU$53,-1),4)))*(INDEX($AR$4:$AU$53,MATCH(I8,$AU$4:$AU$53,-1)+1,1)-INDEX($AR$4:$AU$53,MATCH(I8,$AU$4:$AU$53,-1),1))+INDEX($AR$4:$AU$53,MATCH(I8,$AU$4:$AU$53,-1),1)</f>
        <v>-208.99727025438256</v>
      </c>
      <c r="K8" s="140">
        <f t="shared" si="4"/>
        <v>-63.702365935060094</v>
      </c>
      <c r="L8" s="4" cm="1">
        <f t="array" ref="L8">((I8-INDEX($AR$4:$AV$53,MATCH(I8,$AU$4:$AU$53,-1),4))/(INDEX($AR$4:$AU$53,MATCH(I8,$AU$4:$AU$53,-1)+1,4)-INDEX($AR$4:$AU$53,MATCH(I8,$AU$4:$AU$53,-1),4)))*(INDEX($AR$4:$AU$53,MATCH(I8,$AU$4:$AU$53,-1)+1,3)-INDEX($AR$4:$AU$53,MATCH(I8,$AU$4:$AU$53,-1),3))+INDEX($AR$4:$AU$53,MATCH(I8,$AU$4:$AU$53,-1),3)</f>
        <v>288.56406537857788</v>
      </c>
      <c r="M8" s="5">
        <f t="shared" si="1"/>
        <v>1.2329362667277757</v>
      </c>
      <c r="N8" s="5">
        <f t="shared" si="2"/>
        <v>119.17746255045996</v>
      </c>
      <c r="O8" s="143">
        <f t="shared" si="5"/>
        <v>8755.8618526896407</v>
      </c>
      <c r="P8" s="143">
        <f t="shared" si="6"/>
        <v>119.56288996780094</v>
      </c>
      <c r="Q8" s="143">
        <f t="shared" si="7"/>
        <v>232.41112803501019</v>
      </c>
      <c r="R8" s="5">
        <f t="shared" si="8"/>
        <v>1.0245</v>
      </c>
      <c r="S8" s="5">
        <f t="shared" si="9"/>
        <v>1.0884083616780784</v>
      </c>
      <c r="T8" s="5">
        <f t="shared" si="10"/>
        <v>1.0968317897669893</v>
      </c>
      <c r="U8" s="5">
        <f t="shared" si="3"/>
        <v>3.8902648292408235E-2</v>
      </c>
      <c r="AR8" s="32">
        <f t="shared" si="11"/>
        <v>0</v>
      </c>
      <c r="AS8" s="17">
        <v>0</v>
      </c>
      <c r="AT8" s="17">
        <v>288.14999999999998</v>
      </c>
      <c r="AU8" s="17">
        <v>101.325</v>
      </c>
      <c r="AV8" s="17">
        <v>1</v>
      </c>
      <c r="AW8" s="17">
        <v>1.4610000000000001</v>
      </c>
      <c r="AX8" s="17">
        <v>2.5339999999999998</v>
      </c>
      <c r="AY8" s="33">
        <v>340.3</v>
      </c>
    </row>
    <row r="9" spans="3:51">
      <c r="C9" s="61" t="s">
        <v>4</v>
      </c>
      <c r="D9" s="24">
        <v>1.4</v>
      </c>
      <c r="H9" s="4">
        <f t="shared" si="12"/>
        <v>0.39999999999999997</v>
      </c>
      <c r="I9" s="4">
        <f t="shared" si="0"/>
        <v>78.177337970443261</v>
      </c>
      <c r="J9" s="140" cm="1">
        <f t="array" ref="J9">((I9-INDEX($AR$4:$AV$53,MATCH(I9,$AU$4:$AU$53,-1),4))/(INDEX($AR$4:$AU$53,MATCH(I9,$AU$4:$AU$53,-1)+1,4)-INDEX($AR$4:$AU$53,MATCH(I9,$AU$4:$AU$53,-1),4)))*(INDEX($AR$4:$AU$53,MATCH(I9,$AU$4:$AU$53,-1)+1,1)-INDEX($AR$4:$AU$53,MATCH(I9,$AU$4:$AU$53,-1),1))+INDEX($AR$4:$AU$53,MATCH(I9,$AU$4:$AU$53,-1),1)</f>
        <v>7012.7654982381428</v>
      </c>
      <c r="K9" s="140">
        <f t="shared" si="4"/>
        <v>2137.4908554632784</v>
      </c>
      <c r="L9" s="4" cm="1">
        <f t="array" ref="L9">((I9-INDEX($AR$4:$AV$53,MATCH(I9,$AU$4:$AU$53,-1),4))/(INDEX($AR$4:$AU$53,MATCH(I9,$AU$4:$AU$53,-1)+1,4)-INDEX($AR$4:$AU$53,MATCH(I9,$AU$4:$AU$53,-1),4)))*(INDEX($AR$4:$AU$53,MATCH(I9,$AU$4:$AU$53,-1)+1,3)-INDEX($AR$4:$AU$53,MATCH(I9,$AU$4:$AU$53,-1),3))+INDEX($AR$4:$AU$53,MATCH(I9,$AU$4:$AU$53,-1),3)</f>
        <v>274.29256035394235</v>
      </c>
      <c r="M9" s="5">
        <f t="shared" si="1"/>
        <v>0.99308164052596304</v>
      </c>
      <c r="N9" s="5">
        <f t="shared" si="2"/>
        <v>132.79201828436166</v>
      </c>
      <c r="O9" s="143">
        <f t="shared" si="5"/>
        <v>8755.8618526896444</v>
      </c>
      <c r="P9" s="143">
        <f t="shared" si="6"/>
        <v>119.56288996780096</v>
      </c>
      <c r="Q9" s="143">
        <f t="shared" si="7"/>
        <v>232.41112803501022</v>
      </c>
      <c r="R9" s="5">
        <f t="shared" si="8"/>
        <v>1.032</v>
      </c>
      <c r="S9" s="5">
        <f t="shared" si="9"/>
        <v>1.1165519658097534</v>
      </c>
      <c r="T9" s="5">
        <f t="shared" si="10"/>
        <v>0.86147604631307073</v>
      </c>
      <c r="U9" s="5">
        <f t="shared" si="3"/>
        <v>4.953088558801149E-2</v>
      </c>
      <c r="AR9" s="32">
        <f t="shared" si="11"/>
        <v>1640.42</v>
      </c>
      <c r="AS9" s="17">
        <v>500</v>
      </c>
      <c r="AT9" s="17">
        <v>284.89999999999998</v>
      </c>
      <c r="AU9" s="17">
        <v>95.46</v>
      </c>
      <c r="AV9" s="17">
        <v>0.95289999999999997</v>
      </c>
      <c r="AW9" s="17">
        <v>1.52</v>
      </c>
      <c r="AX9" s="17">
        <v>2.5089999999999999</v>
      </c>
      <c r="AY9" s="33">
        <v>338.4</v>
      </c>
    </row>
    <row r="10" spans="3:51">
      <c r="C10" s="61" t="s">
        <v>3</v>
      </c>
      <c r="D10" s="24">
        <v>287</v>
      </c>
      <c r="H10" s="4">
        <f t="shared" si="12"/>
        <v>0.44999999999999996</v>
      </c>
      <c r="I10" s="4">
        <f t="shared" si="0"/>
        <v>61.769748519856407</v>
      </c>
      <c r="J10" s="140" cm="1">
        <f t="array" ref="J10">((I10-INDEX($AR$4:$AV$53,MATCH(I10,$AU$4:$AU$53,-1),4))/(INDEX($AR$4:$AU$53,MATCH(I10,$AU$4:$AU$53,-1)+1,4)-INDEX($AR$4:$AU$53,MATCH(I10,$AU$4:$AU$53,-1),4)))*(INDEX($AR$4:$AU$53,MATCH(I10,$AU$4:$AU$53,-1)+1,1)-INDEX($AR$4:$AU$53,MATCH(I10,$AU$4:$AU$53,-1),1))+INDEX($AR$4:$AU$53,MATCH(I10,$AU$4:$AU$53,-1),1)</f>
        <v>13079.662508023581</v>
      </c>
      <c r="K10" s="140">
        <f t="shared" si="4"/>
        <v>3986.6810048717953</v>
      </c>
      <c r="L10" s="4" cm="1">
        <f t="array" ref="L10">((I10-INDEX($AR$4:$AV$53,MATCH(I10,$AU$4:$AU$53,-1),4))/(INDEX($AR$4:$AU$53,MATCH(I10,$AU$4:$AU$53,-1)+1,4)-INDEX($AR$4:$AU$53,MATCH(I10,$AU$4:$AU$53,-1),4)))*(INDEX($AR$4:$AU$53,MATCH(I10,$AU$4:$AU$53,-1)+1,3)-INDEX($AR$4:$AU$53,MATCH(I10,$AU$4:$AU$53,-1),3))+INDEX($AR$4:$AU$53,MATCH(I10,$AU$4:$AU$53,-1),3)</f>
        <v>262.28524156882048</v>
      </c>
      <c r="M10" s="5">
        <f t="shared" si="1"/>
        <v>0.82057840277806937</v>
      </c>
      <c r="N10" s="5">
        <f t="shared" si="2"/>
        <v>146.08459034965421</v>
      </c>
      <c r="O10" s="143">
        <f t="shared" si="5"/>
        <v>8755.8618526896407</v>
      </c>
      <c r="P10" s="143">
        <f t="shared" si="6"/>
        <v>119.56288996780094</v>
      </c>
      <c r="Q10" s="143">
        <f t="shared" si="7"/>
        <v>232.41112803501019</v>
      </c>
      <c r="R10" s="5">
        <f t="shared" si="8"/>
        <v>1.0405</v>
      </c>
      <c r="S10" s="5">
        <f t="shared" si="9"/>
        <v>1.1490721423604813</v>
      </c>
      <c r="T10" s="5">
        <f t="shared" si="10"/>
        <v>0.70049738233189807</v>
      </c>
      <c r="U10" s="5">
        <f t="shared" si="3"/>
        <v>6.1521317690118087E-2</v>
      </c>
      <c r="AR10" s="32">
        <f t="shared" si="11"/>
        <v>3280.84</v>
      </c>
      <c r="AS10" s="17">
        <v>1000</v>
      </c>
      <c r="AT10" s="17">
        <v>281.7</v>
      </c>
      <c r="AU10" s="17">
        <v>89.88</v>
      </c>
      <c r="AV10" s="17">
        <v>0.90749999999999997</v>
      </c>
      <c r="AW10" s="17">
        <v>1.581</v>
      </c>
      <c r="AX10" s="17">
        <v>2.4830000000000001</v>
      </c>
      <c r="AY10" s="33">
        <v>336.4</v>
      </c>
    </row>
    <row r="11" spans="3:51">
      <c r="H11" s="4">
        <f t="shared" si="12"/>
        <v>0.49999999999999994</v>
      </c>
      <c r="I11" s="4">
        <f t="shared" si="0"/>
        <v>50.033496301083687</v>
      </c>
      <c r="J11" s="140" cm="1">
        <f t="array" ref="J11">((I11-INDEX($AR$4:$AV$53,MATCH(I11,$AU$4:$AU$53,-1),4))/(INDEX($AR$4:$AU$53,MATCH(I11,$AU$4:$AU$53,-1)+1,4)-INDEX($AR$4:$AU$53,MATCH(I11,$AU$4:$AU$53,-1),4)))*(INDEX($AR$4:$AU$53,MATCH(I11,$AU$4:$AU$53,-1)+1,1)-INDEX($AR$4:$AU$53,MATCH(I11,$AU$4:$AU$53,-1),1))+INDEX($AR$4:$AU$53,MATCH(I11,$AU$4:$AU$53,-1),1)</f>
        <v>18294.884698125388</v>
      </c>
      <c r="K11" s="140">
        <f t="shared" si="4"/>
        <v>5576.2806775476365</v>
      </c>
      <c r="L11" s="4" cm="1">
        <f t="array" ref="L11">((I11-INDEX($AR$4:$AV$53,MATCH(I11,$AU$4:$AU$53,-1),4))/(INDEX($AR$4:$AU$53,MATCH(I11,$AU$4:$AU$53,-1)+1,4)-INDEX($AR$4:$AU$53,MATCH(I11,$AU$4:$AU$53,-1),4)))*(INDEX($AR$4:$AU$53,MATCH(I11,$AU$4:$AU$53,-1)+1,3)-INDEX($AR$4:$AU$53,MATCH(I11,$AU$4:$AU$53,-1),3))+INDEX($AR$4:$AU$53,MATCH(I11,$AU$4:$AU$53,-1),3)</f>
        <v>251.91180366369511</v>
      </c>
      <c r="M11" s="5">
        <f t="shared" si="1"/>
        <v>0.69203878972565458</v>
      </c>
      <c r="N11" s="5">
        <f t="shared" si="2"/>
        <v>159.07401006455504</v>
      </c>
      <c r="O11" s="143">
        <f t="shared" si="5"/>
        <v>8755.8618526896407</v>
      </c>
      <c r="P11" s="143">
        <f t="shared" si="6"/>
        <v>119.56288996780094</v>
      </c>
      <c r="Q11" s="143">
        <f t="shared" si="7"/>
        <v>232.41112803501019</v>
      </c>
      <c r="R11" s="5">
        <f t="shared" si="8"/>
        <v>1.05</v>
      </c>
      <c r="S11" s="5">
        <f t="shared" si="9"/>
        <v>1.1862126380443982</v>
      </c>
      <c r="T11" s="5">
        <f t="shared" si="10"/>
        <v>0.58574256736139274</v>
      </c>
      <c r="U11" s="5">
        <f t="shared" si="3"/>
        <v>7.2847123857589485E-2</v>
      </c>
      <c r="AR11" s="32">
        <f t="shared" si="11"/>
        <v>4921.26</v>
      </c>
      <c r="AS11" s="17">
        <v>1500</v>
      </c>
      <c r="AT11" s="17">
        <v>278.39999999999998</v>
      </c>
      <c r="AU11" s="17">
        <v>84.56</v>
      </c>
      <c r="AV11" s="17">
        <v>0.86380000000000001</v>
      </c>
      <c r="AW11" s="17">
        <v>1.6459999999999999</v>
      </c>
      <c r="AX11" s="17">
        <v>2.4569999999999999</v>
      </c>
      <c r="AY11" s="33">
        <v>334.5</v>
      </c>
    </row>
    <row r="12" spans="3:51">
      <c r="H12" s="4">
        <f t="shared" si="12"/>
        <v>0.54999999999999993</v>
      </c>
      <c r="I12" s="4">
        <f t="shared" si="0"/>
        <v>41.349996943044374</v>
      </c>
      <c r="J12" s="140" cm="1">
        <f t="array" ref="J12">((I12-INDEX($AR$4:$AV$53,MATCH(I12,$AU$4:$AU$53,-1),4))/(INDEX($AR$4:$AU$53,MATCH(I12,$AU$4:$AU$53,-1)+1,4)-INDEX($AR$4:$AU$53,MATCH(I12,$AU$4:$AU$53,-1),4)))*(INDEX($AR$4:$AU$53,MATCH(I12,$AU$4:$AU$53,-1)+1,1)-INDEX($AR$4:$AU$53,MATCH(I12,$AU$4:$AU$53,-1),1))+INDEX($AR$4:$AU$53,MATCH(I12,$AU$4:$AU$53,-1),1)</f>
        <v>22833.322496529006</v>
      </c>
      <c r="K12" s="140">
        <f t="shared" si="4"/>
        <v>6959.5964742349543</v>
      </c>
      <c r="L12" s="4" cm="1">
        <f t="array" ref="L12">((I12-INDEX($AR$4:$AV$53,MATCH(I12,$AU$4:$AU$53,-1),4))/(INDEX($AR$4:$AU$53,MATCH(I12,$AU$4:$AU$53,-1)+1,4)-INDEX($AR$4:$AU$53,MATCH(I12,$AU$4:$AU$53,-1),4)))*(INDEX($AR$4:$AU$53,MATCH(I12,$AU$4:$AU$53,-1)+1,3)-INDEX($AR$4:$AU$53,MATCH(I12,$AU$4:$AU$53,-1),3))+INDEX($AR$4:$AU$53,MATCH(I12,$AU$4:$AU$53,-1),3)</f>
        <v>242.95858256489629</v>
      </c>
      <c r="M12" s="5">
        <f t="shared" si="1"/>
        <v>0.59300907537344305</v>
      </c>
      <c r="N12" s="5">
        <f t="shared" si="2"/>
        <v>171.84376461937461</v>
      </c>
      <c r="O12" s="143">
        <f t="shared" si="5"/>
        <v>8755.8618526896425</v>
      </c>
      <c r="P12" s="143">
        <f t="shared" si="6"/>
        <v>119.56288996780096</v>
      </c>
      <c r="Q12" s="143">
        <f t="shared" si="7"/>
        <v>232.41112803501022</v>
      </c>
      <c r="R12" s="5">
        <f t="shared" si="8"/>
        <v>1.0605</v>
      </c>
      <c r="S12" s="5">
        <f t="shared" si="9"/>
        <v>1.2282516464855568</v>
      </c>
      <c r="T12" s="5">
        <f t="shared" si="10"/>
        <v>0.50124058058195897</v>
      </c>
      <c r="U12" s="5">
        <f t="shared" si="3"/>
        <v>8.5128106155524713E-2</v>
      </c>
      <c r="AR12" s="32">
        <f t="shared" si="11"/>
        <v>6561.68</v>
      </c>
      <c r="AS12" s="17">
        <v>2000</v>
      </c>
      <c r="AT12" s="17">
        <v>275.2</v>
      </c>
      <c r="AU12" s="17">
        <v>79.5</v>
      </c>
      <c r="AV12" s="17">
        <v>0.82169999999999999</v>
      </c>
      <c r="AW12" s="17">
        <v>1.7150000000000001</v>
      </c>
      <c r="AX12" s="17">
        <v>2.431</v>
      </c>
      <c r="AY12" s="33">
        <v>332.5</v>
      </c>
    </row>
    <row r="13" spans="3:51">
      <c r="H13" s="4">
        <f>H12+0.05</f>
        <v>0.6</v>
      </c>
      <c r="I13" s="4">
        <f t="shared" si="0"/>
        <v>34.745483542419223</v>
      </c>
      <c r="J13" s="140" cm="1">
        <f t="array" ref="J13">((I13-INDEX($AR$4:$AV$53,MATCH(I13,$AU$4:$AU$53,-1),4))/(INDEX($AR$4:$AU$53,MATCH(I13,$AU$4:$AU$53,-1)+1,4)-INDEX($AR$4:$AU$53,MATCH(I13,$AU$4:$AU$53,-1),4)))*(INDEX($AR$4:$AU$53,MATCH(I13,$AU$4:$AU$53,-1)+1,1)-INDEX($AR$4:$AU$53,MATCH(I13,$AU$4:$AU$53,-1),1))+INDEX($AR$4:$AU$53,MATCH(I13,$AU$4:$AU$53,-1),1)</f>
        <v>26840.234754937865</v>
      </c>
      <c r="K13" s="140">
        <f t="shared" si="4"/>
        <v>8180.9032915161561</v>
      </c>
      <c r="L13" s="4" cm="1">
        <f t="array" ref="L13">((I13-INDEX($AR$4:$AV$53,MATCH(I13,$AU$4:$AU$53,-1),4))/(INDEX($AR$4:$AU$53,MATCH(I13,$AU$4:$AU$53,-1)+1,4)-INDEX($AR$4:$AU$53,MATCH(I13,$AU$4:$AU$53,-1),4)))*(INDEX($AR$4:$AU$53,MATCH(I13,$AU$4:$AU$53,-1)+1,3)-INDEX($AR$4:$AU$53,MATCH(I13,$AU$4:$AU$53,-1),3))+INDEX($AR$4:$AU$53,MATCH(I13,$AU$4:$AU$53,-1),3)</f>
        <v>235.04221893429661</v>
      </c>
      <c r="M13" s="5">
        <f t="shared" si="1"/>
        <v>0.51507513473853273</v>
      </c>
      <c r="N13" s="5">
        <f t="shared" si="2"/>
        <v>184.38651492017556</v>
      </c>
      <c r="O13" s="143">
        <f t="shared" si="5"/>
        <v>8755.8618526896389</v>
      </c>
      <c r="P13" s="143">
        <f t="shared" si="6"/>
        <v>119.56288996780093</v>
      </c>
      <c r="Q13" s="143">
        <f t="shared" si="7"/>
        <v>232.41112803501017</v>
      </c>
      <c r="R13" s="5">
        <f t="shared" si="8"/>
        <v>1.0720000000000001</v>
      </c>
      <c r="S13" s="5">
        <f t="shared" si="9"/>
        <v>1.2755037763406945</v>
      </c>
      <c r="T13" s="5">
        <f t="shared" si="10"/>
        <v>0.43738460862708284</v>
      </c>
      <c r="U13" s="5">
        <f t="shared" si="3"/>
        <v>9.7556385185054093E-2</v>
      </c>
      <c r="AR13" s="32">
        <f t="shared" si="11"/>
        <v>8202.1</v>
      </c>
      <c r="AS13" s="17">
        <v>2500</v>
      </c>
      <c r="AT13" s="17">
        <v>271.89999999999998</v>
      </c>
      <c r="AU13" s="17">
        <v>74.69</v>
      </c>
      <c r="AV13" s="17">
        <v>0.78120000000000001</v>
      </c>
      <c r="AW13" s="17">
        <v>1.7869999999999999</v>
      </c>
      <c r="AX13" s="17">
        <v>2.4049999999999998</v>
      </c>
      <c r="AY13" s="33">
        <v>330.6</v>
      </c>
    </row>
    <row r="14" spans="3:51">
      <c r="H14" s="4">
        <f>H13+0.05</f>
        <v>0.65</v>
      </c>
      <c r="I14" s="4">
        <f t="shared" si="0"/>
        <v>29.605619113067263</v>
      </c>
      <c r="J14" s="140" cm="1">
        <f t="array" ref="J14">((I14-INDEX($AR$4:$AV$53,MATCH(I14,$AU$4:$AU$53,-1),4))/(INDEX($AR$4:$AU$53,MATCH(I14,$AU$4:$AU$53,-1)+1,4)-INDEX($AR$4:$AU$53,MATCH(I14,$AU$4:$AU$53,-1),4)))*(INDEX($AR$4:$AU$53,MATCH(I14,$AU$4:$AU$53,-1)+1,1)-INDEX($AR$4:$AU$53,MATCH(I14,$AU$4:$AU$53,-1),1))+INDEX($AR$4:$AU$53,MATCH(I14,$AU$4:$AU$53,-1),1)</f>
        <v>30410.121393937927</v>
      </c>
      <c r="K14" s="140">
        <f t="shared" si="4"/>
        <v>9269.004704264129</v>
      </c>
      <c r="L14" s="4" cm="1">
        <f t="array" ref="L14">((I14-INDEX($AR$4:$AV$53,MATCH(I14,$AU$4:$AU$53,-1),4))/(INDEX($AR$4:$AU$53,MATCH(I14,$AU$4:$AU$53,-1)+1,4)-INDEX($AR$4:$AU$53,MATCH(I14,$AU$4:$AU$53,-1),4)))*(INDEX($AR$4:$AU$53,MATCH(I14,$AU$4:$AU$53,-1)+1,3)-INDEX($AR$4:$AU$53,MATCH(I14,$AU$4:$AU$53,-1),3))+INDEX($AR$4:$AU$53,MATCH(I14,$AU$4:$AU$53,-1),3)</f>
        <v>227.97836989270957</v>
      </c>
      <c r="M14" s="5">
        <f t="shared" si="1"/>
        <v>0.45247918625553812</v>
      </c>
      <c r="N14" s="5">
        <f t="shared" si="2"/>
        <v>196.72753254735679</v>
      </c>
      <c r="O14" s="143">
        <f>0.5*M14*N14^2</f>
        <v>8755.8618526896444</v>
      </c>
      <c r="P14" s="143">
        <f t="shared" si="6"/>
        <v>119.56288996780096</v>
      </c>
      <c r="Q14" s="143">
        <f t="shared" si="7"/>
        <v>232.41112803501022</v>
      </c>
      <c r="R14" s="5">
        <f t="shared" si="8"/>
        <v>1.0845</v>
      </c>
      <c r="S14" s="5">
        <f t="shared" si="9"/>
        <v>1.328322249663566</v>
      </c>
      <c r="T14" s="5">
        <f t="shared" si="10"/>
        <v>0.38811549551396179</v>
      </c>
      <c r="U14" s="5">
        <f t="shared" si="3"/>
        <v>0.10994062810280886</v>
      </c>
      <c r="AR14" s="32">
        <f t="shared" si="11"/>
        <v>9842.52</v>
      </c>
      <c r="AS14" s="17">
        <v>3000</v>
      </c>
      <c r="AT14" s="17">
        <v>268.7</v>
      </c>
      <c r="AU14" s="17">
        <v>70.12</v>
      </c>
      <c r="AV14" s="17">
        <v>0.74229999999999996</v>
      </c>
      <c r="AW14" s="17">
        <v>1.863</v>
      </c>
      <c r="AX14" s="17">
        <v>2.379</v>
      </c>
      <c r="AY14" s="33">
        <v>328.6</v>
      </c>
    </row>
    <row r="15" spans="3:51">
      <c r="H15" s="4">
        <f t="shared" si="12"/>
        <v>0.70000000000000007</v>
      </c>
      <c r="I15" s="4">
        <f t="shared" si="0"/>
        <v>25.527294031165138</v>
      </c>
      <c r="J15" s="140" cm="1">
        <f t="array" ref="J15">((I15-INDEX($AR$4:$AV$53,MATCH(I15,$AU$4:$AU$53,-1),4))/(INDEX($AR$4:$AU$53,MATCH(I15,$AU$4:$AU$53,-1)+1,4)-INDEX($AR$4:$AU$53,MATCH(I15,$AU$4:$AU$53,-1),4)))*(INDEX($AR$4:$AU$53,MATCH(I15,$AU$4:$AU$53,-1)+1,1)-INDEX($AR$4:$AU$53,MATCH(I15,$AU$4:$AU$53,-1),1))+INDEX($AR$4:$AU$53,MATCH(I15,$AU$4:$AU$53,-1),1)</f>
        <v>33622.505268059227</v>
      </c>
      <c r="K15" s="140">
        <f t="shared" si="4"/>
        <v>10248.139277763996</v>
      </c>
      <c r="L15" s="4" cm="1">
        <f t="array" ref="L15">((I15-INDEX($AR$4:$AV$53,MATCH(I15,$AU$4:$AU$53,-1),4))/(INDEX($AR$4:$AU$53,MATCH(I15,$AU$4:$AU$53,-1)+1,4)-INDEX($AR$4:$AU$53,MATCH(I15,$AU$4:$AU$53,-1),4)))*(INDEX($AR$4:$AU$53,MATCH(I15,$AU$4:$AU$53,-1)+1,3)-INDEX($AR$4:$AU$53,MATCH(I15,$AU$4:$AU$53,-1),3))+INDEX($AR$4:$AU$53,MATCH(I15,$AU$4:$AU$53,-1),3)</f>
        <v>221.66228076675765</v>
      </c>
      <c r="M15" s="5">
        <f t="shared" si="1"/>
        <v>0.40126482079964393</v>
      </c>
      <c r="N15" s="5">
        <f t="shared" si="2"/>
        <v>208.9050338357618</v>
      </c>
      <c r="O15" s="143">
        <f t="shared" si="5"/>
        <v>8755.8618526896425</v>
      </c>
      <c r="P15" s="143">
        <f t="shared" si="6"/>
        <v>119.56288996780096</v>
      </c>
      <c r="Q15" s="143">
        <f t="shared" si="7"/>
        <v>232.41112803501022</v>
      </c>
      <c r="R15" s="5">
        <f t="shared" si="8"/>
        <v>1.0980000000000001</v>
      </c>
      <c r="S15" s="5">
        <f t="shared" si="9"/>
        <v>1.3871013371908156</v>
      </c>
      <c r="T15" s="5">
        <f t="shared" si="10"/>
        <v>0.34945910373049383</v>
      </c>
      <c r="U15" s="5">
        <f t="shared" si="3"/>
        <v>0.12210201679606292</v>
      </c>
      <c r="AR15" s="32">
        <f t="shared" si="11"/>
        <v>11482.94</v>
      </c>
      <c r="AS15" s="17">
        <v>3500</v>
      </c>
      <c r="AT15" s="17">
        <v>265.39999999999998</v>
      </c>
      <c r="AU15" s="17">
        <v>65.78</v>
      </c>
      <c r="AV15" s="17">
        <v>0.70479999999999998</v>
      </c>
      <c r="AW15" s="17">
        <v>1.9430000000000001</v>
      </c>
      <c r="AX15" s="17">
        <v>2.3530000000000002</v>
      </c>
      <c r="AY15" s="33">
        <v>326.60000000000002</v>
      </c>
    </row>
    <row r="16" spans="3:51">
      <c r="H16" s="4">
        <f t="shared" si="12"/>
        <v>0.75000000000000011</v>
      </c>
      <c r="I16" s="4">
        <f t="shared" si="0"/>
        <v>22.237109467148294</v>
      </c>
      <c r="J16" s="140" cm="1">
        <f t="array" ref="J16">((I16-INDEX($AR$4:$AV$53,MATCH(I16,$AU$4:$AU$53,-1),4))/(INDEX($AR$4:$AU$53,MATCH(I16,$AU$4:$AU$53,-1)+1,4)-INDEX($AR$4:$AU$53,MATCH(I16,$AU$4:$AU$53,-1),4)))*(INDEX($AR$4:$AU$53,MATCH(I16,$AU$4:$AU$53,-1)+1,1)-INDEX($AR$4:$AU$53,MATCH(I16,$AU$4:$AU$53,-1),1))+INDEX($AR$4:$AU$53,MATCH(I16,$AU$4:$AU$53,-1),1)</f>
        <v>36530.713772035226</v>
      </c>
      <c r="K16" s="140">
        <f t="shared" si="4"/>
        <v>11134.561201410379</v>
      </c>
      <c r="L16" s="4" cm="1">
        <f t="array" ref="L16">((I16-INDEX($AR$4:$AV$53,MATCH(I16,$AU$4:$AU$53,-1),4))/(INDEX($AR$4:$AU$53,MATCH(I16,$AU$4:$AU$53,-1)+1,4)-INDEX($AR$4:$AU$53,MATCH(I16,$AU$4:$AU$53,-1),4)))*(INDEX($AR$4:$AU$53,MATCH(I16,$AU$4:$AU$53,-1)+1,3)-INDEX($AR$4:$AU$53,MATCH(I16,$AU$4:$AU$53,-1),3))+INDEX($AR$4:$AU$53,MATCH(I16,$AU$4:$AU$53,-1),3)</f>
        <v>216.77308775971792</v>
      </c>
      <c r="M16" s="5">
        <f t="shared" si="1"/>
        <v>0.35743005949822054</v>
      </c>
      <c r="N16" s="5">
        <f t="shared" si="2"/>
        <v>221.34458994358383</v>
      </c>
      <c r="O16" s="143">
        <f t="shared" si="5"/>
        <v>8755.8618526896444</v>
      </c>
      <c r="P16" s="143">
        <f t="shared" si="6"/>
        <v>119.56288996780096</v>
      </c>
      <c r="Q16" s="143">
        <f t="shared" si="7"/>
        <v>232.41112803501022</v>
      </c>
      <c r="R16" s="5">
        <f t="shared" si="8"/>
        <v>1.1125</v>
      </c>
      <c r="S16" s="5">
        <f t="shared" si="9"/>
        <v>1.4522790377580601</v>
      </c>
      <c r="T16" s="5">
        <f t="shared" si="10"/>
        <v>0.31872181534143368</v>
      </c>
      <c r="U16" s="5">
        <f t="shared" si="3"/>
        <v>0.13387744201797919</v>
      </c>
      <c r="AR16" s="32">
        <f t="shared" si="11"/>
        <v>13123.36</v>
      </c>
      <c r="AS16" s="17">
        <v>4000</v>
      </c>
      <c r="AT16" s="17">
        <v>262.2</v>
      </c>
      <c r="AU16" s="17">
        <v>61.66</v>
      </c>
      <c r="AV16" s="17">
        <v>0.66890000000000005</v>
      </c>
      <c r="AW16" s="17">
        <v>2.028</v>
      </c>
      <c r="AX16" s="17">
        <v>2.327</v>
      </c>
      <c r="AY16" s="33">
        <v>324.60000000000002</v>
      </c>
    </row>
    <row r="17" spans="8:51">
      <c r="H17" s="4">
        <f t="shared" si="12"/>
        <v>0.80000000000000016</v>
      </c>
      <c r="I17" s="4">
        <f t="shared" si="0"/>
        <v>19.544334492610808</v>
      </c>
      <c r="J17" s="140" cm="1">
        <f t="array" ref="J17">((I17-INDEX($AR$4:$AV$53,MATCH(I17,$AU$4:$AU$53,-1),4))/(INDEX($AR$4:$AU$53,MATCH(I17,$AU$4:$AU$53,-1)+1,4)-INDEX($AR$4:$AU$53,MATCH(I17,$AU$4:$AU$53,-1),4)))*(INDEX($AR$4:$AU$53,MATCH(I17,$AU$4:$AU$53,-1)+1,1)-INDEX($AR$4:$AU$53,MATCH(I17,$AU$4:$AU$53,-1),1))+INDEX($AR$4:$AU$53,MATCH(I17,$AU$4:$AU$53,-1),1)</f>
        <v>39220.226083310998</v>
      </c>
      <c r="K17" s="140">
        <f t="shared" si="4"/>
        <v>11954.324527654808</v>
      </c>
      <c r="L17" s="4" cm="1">
        <f t="array" ref="L17">((I17-INDEX($AR$4:$AV$53,MATCH(I17,$AU$4:$AU$53,-1),4))/(INDEX($AR$4:$AU$53,MATCH(I17,$AU$4:$AU$53,-1)+1,4)-INDEX($AR$4:$AU$53,MATCH(I17,$AU$4:$AU$53,-1),4)))*(INDEX($AR$4:$AU$53,MATCH(I17,$AU$4:$AU$53,-1)+1,3)-INDEX($AR$4:$AU$53,MATCH(I17,$AU$4:$AU$53,-1),3))+INDEX($AR$4:$AU$53,MATCH(I17,$AU$4:$AU$53,-1),3)</f>
        <v>216.7</v>
      </c>
      <c r="M17" s="5">
        <f t="shared" si="1"/>
        <v>0.31425346772076568</v>
      </c>
      <c r="N17" s="5">
        <f t="shared" si="2"/>
        <v>236.06109039822724</v>
      </c>
      <c r="O17" s="143">
        <f t="shared" si="5"/>
        <v>8755.8618526896425</v>
      </c>
      <c r="P17" s="143">
        <f t="shared" si="6"/>
        <v>119.56288996780096</v>
      </c>
      <c r="Q17" s="143">
        <f t="shared" si="7"/>
        <v>232.41112803501022</v>
      </c>
      <c r="R17" s="5">
        <f t="shared" si="8"/>
        <v>1.1280000000000001</v>
      </c>
      <c r="S17" s="5">
        <f t="shared" si="9"/>
        <v>1.5243400095586486</v>
      </c>
      <c r="T17" s="5">
        <f t="shared" si="10"/>
        <v>0.29402626229739731</v>
      </c>
      <c r="U17" s="5">
        <f t="shared" si="3"/>
        <v>0.14512193917589231</v>
      </c>
      <c r="AR17" s="32">
        <f t="shared" si="11"/>
        <v>14763.78</v>
      </c>
      <c r="AS17" s="17">
        <v>4500</v>
      </c>
      <c r="AT17" s="17">
        <v>258.89999999999998</v>
      </c>
      <c r="AU17" s="17">
        <v>57.75</v>
      </c>
      <c r="AV17" s="17">
        <v>0.63429999999999997</v>
      </c>
      <c r="AW17" s="17">
        <v>2.117</v>
      </c>
      <c r="AX17" s="17">
        <v>2.3010000000000002</v>
      </c>
      <c r="AY17" s="33">
        <v>322.60000000000002</v>
      </c>
    </row>
    <row r="18" spans="8:51">
      <c r="H18" s="4">
        <f t="shared" si="12"/>
        <v>0.8500000000000002</v>
      </c>
      <c r="I18" s="4">
        <f t="shared" si="0"/>
        <v>17.312628477883617</v>
      </c>
      <c r="J18" s="140" cm="1">
        <f t="array" ref="J18">((I18-INDEX($AR$4:$AV$53,MATCH(I18,$AU$4:$AU$53,-1),4))/(INDEX($AR$4:$AU$53,MATCH(I18,$AU$4:$AU$53,-1)+1,4)-INDEX($AR$4:$AU$53,MATCH(I18,$AU$4:$AU$53,-1),4)))*(INDEX($AR$4:$AU$53,MATCH(I18,$AU$4:$AU$53,-1)+1,1)-INDEX($AR$4:$AU$53,MATCH(I18,$AU$4:$AU$53,-1),1))+INDEX($AR$4:$AU$53,MATCH(I18,$AU$4:$AU$53,-1),1)</f>
        <v>41760.684142451966</v>
      </c>
      <c r="K18" s="140">
        <f t="shared" si="4"/>
        <v>12728.656119302364</v>
      </c>
      <c r="L18" s="4" cm="1">
        <f t="array" ref="L18">((I18-INDEX($AR$4:$AV$53,MATCH(I18,$AU$4:$AU$53,-1),4))/(INDEX($AR$4:$AU$53,MATCH(I18,$AU$4:$AU$53,-1)+1,4)-INDEX($AR$4:$AU$53,MATCH(I18,$AU$4:$AU$53,-1),4)))*(INDEX($AR$4:$AU$53,MATCH(I18,$AU$4:$AU$53,-1)+1,3)-INDEX($AR$4:$AU$53,MATCH(I18,$AU$4:$AU$53,-1),3))+INDEX($AR$4:$AU$53,MATCH(I18,$AU$4:$AU$53,-1),3)</f>
        <v>216.7</v>
      </c>
      <c r="M18" s="5">
        <f t="shared" si="1"/>
        <v>0.27836985375957091</v>
      </c>
      <c r="N18" s="5">
        <f t="shared" si="2"/>
        <v>250.81490854811645</v>
      </c>
      <c r="O18" s="143">
        <f t="shared" si="5"/>
        <v>8755.8618526896425</v>
      </c>
      <c r="P18" s="143">
        <f t="shared" si="6"/>
        <v>119.56288996780096</v>
      </c>
      <c r="Q18" s="143">
        <f t="shared" si="7"/>
        <v>232.41112803501022</v>
      </c>
      <c r="R18" s="5">
        <f t="shared" si="8"/>
        <v>1.1445000000000001</v>
      </c>
      <c r="S18" s="5">
        <f t="shared" si="9"/>
        <v>1.6038187614357571</v>
      </c>
      <c r="T18" s="5">
        <f t="shared" si="10"/>
        <v>0.27403225623090766</v>
      </c>
      <c r="U18" s="5">
        <f t="shared" si="3"/>
        <v>0.15571036030620838</v>
      </c>
      <c r="AR18" s="32">
        <f t="shared" si="11"/>
        <v>16404.2</v>
      </c>
      <c r="AS18" s="17">
        <v>5000</v>
      </c>
      <c r="AT18" s="17">
        <v>255.7</v>
      </c>
      <c r="AU18" s="17">
        <v>54.05</v>
      </c>
      <c r="AV18" s="17">
        <v>0.60119999999999996</v>
      </c>
      <c r="AW18" s="17">
        <v>2.2109999999999999</v>
      </c>
      <c r="AX18" s="17">
        <v>2.2749999999999999</v>
      </c>
      <c r="AY18" s="33">
        <v>320.5</v>
      </c>
    </row>
    <row r="19" spans="8:51">
      <c r="H19" s="4">
        <f>H18+0.05</f>
        <v>0.90000000000000024</v>
      </c>
      <c r="I19" s="4">
        <f t="shared" si="0"/>
        <v>15.442437129964089</v>
      </c>
      <c r="J19" s="140" cm="1">
        <f t="array" ref="J19">((I19-INDEX($AR$4:$AV$53,MATCH(I19,$AU$4:$AU$53,-1),4))/(INDEX($AR$4:$AU$53,MATCH(I19,$AU$4:$AU$53,-1)+1,4)-INDEX($AR$4:$AU$53,MATCH(I19,$AU$4:$AU$53,-1),4)))*(INDEX($AR$4:$AU$53,MATCH(I19,$AU$4:$AU$53,-1)+1,1)-INDEX($AR$4:$AU$53,MATCH(I19,$AU$4:$AU$53,-1),1))+INDEX($AR$4:$AU$53,MATCH(I19,$AU$4:$AU$53,-1),1)</f>
        <v>44143.784706611441</v>
      </c>
      <c r="K19" s="140">
        <f t="shared" si="4"/>
        <v>13455.025148014363</v>
      </c>
      <c r="L19" s="4" cm="1">
        <f t="array" ref="L19">((I19-INDEX($AR$4:$AV$53,MATCH(I19,$AU$4:$AU$53,-1),4))/(INDEX($AR$4:$AU$53,MATCH(I19,$AU$4:$AU$53,-1)+1,4)-INDEX($AR$4:$AU$53,MATCH(I19,$AU$4:$AU$53,-1),4)))*(INDEX($AR$4:$AU$53,MATCH(I19,$AU$4:$AU$53,-1)+1,3)-INDEX($AR$4:$AU$53,MATCH(I19,$AU$4:$AU$53,-1),3))+INDEX($AR$4:$AU$53,MATCH(I19,$AU$4:$AU$53,-1),3)</f>
        <v>216.7</v>
      </c>
      <c r="M19" s="5">
        <f t="shared" si="1"/>
        <v>0.2482990362238148</v>
      </c>
      <c r="N19" s="5">
        <f t="shared" si="2"/>
        <v>265.56872669800566</v>
      </c>
      <c r="O19" s="143">
        <f t="shared" si="5"/>
        <v>8755.8618526896425</v>
      </c>
      <c r="P19" s="143">
        <f t="shared" si="6"/>
        <v>119.56288996780096</v>
      </c>
      <c r="Q19" s="143">
        <f t="shared" si="7"/>
        <v>232.41112803501022</v>
      </c>
      <c r="R19" s="5">
        <f t="shared" si="8"/>
        <v>1.1619999999999999</v>
      </c>
      <c r="S19" s="5">
        <f t="shared" si="9"/>
        <v>1.691303112850931</v>
      </c>
      <c r="T19" s="5">
        <f t="shared" si="10"/>
        <v>0.257763059342838</v>
      </c>
      <c r="U19" s="5">
        <f t="shared" si="3"/>
        <v>0.16553831050121509</v>
      </c>
      <c r="AR19" s="32">
        <f t="shared" si="11"/>
        <v>18044.62</v>
      </c>
      <c r="AS19" s="17">
        <v>5500</v>
      </c>
      <c r="AT19" s="17">
        <v>252.4</v>
      </c>
      <c r="AU19" s="17">
        <v>50.54</v>
      </c>
      <c r="AV19" s="17">
        <v>0.56940000000000002</v>
      </c>
      <c r="AW19" s="17">
        <v>2.3109999999999999</v>
      </c>
      <c r="AX19" s="17">
        <v>2.2480000000000002</v>
      </c>
      <c r="AY19" s="33">
        <v>318.5</v>
      </c>
    </row>
    <row r="20" spans="8:51">
      <c r="H20" s="4">
        <f t="shared" si="12"/>
        <v>0.95000000000000029</v>
      </c>
      <c r="I20" s="4">
        <f t="shared" si="0"/>
        <v>13.859694266228159</v>
      </c>
      <c r="J20" s="140" cm="1">
        <f t="array" ref="J20">((I20-INDEX($AR$4:$AV$53,MATCH(I20,$AU$4:$AU$53,-1),4))/(INDEX($AR$4:$AU$53,MATCH(I20,$AU$4:$AU$53,-1)+1,4)-INDEX($AR$4:$AU$53,MATCH(I20,$AU$4:$AU$53,-1),4)))*(INDEX($AR$4:$AU$53,MATCH(I20,$AU$4:$AU$53,-1)+1,1)-INDEX($AR$4:$AU$53,MATCH(I20,$AU$4:$AU$53,-1),1))+INDEX($AR$4:$AU$53,MATCH(I20,$AU$4:$AU$53,-1),1)</f>
        <v>46407.49059046169</v>
      </c>
      <c r="K20" s="140">
        <f t="shared" si="4"/>
        <v>14145.002679332638</v>
      </c>
      <c r="L20" s="4" cm="1">
        <f t="array" ref="L20">((I20-INDEX($AR$4:$AV$53,MATCH(I20,$AU$4:$AU$53,-1),4))/(INDEX($AR$4:$AU$53,MATCH(I20,$AU$4:$AU$53,-1)+1,4)-INDEX($AR$4:$AU$53,MATCH(I20,$AU$4:$AU$53,-1),4)))*(INDEX($AR$4:$AU$53,MATCH(I20,$AU$4:$AU$53,-1)+1,3)-INDEX($AR$4:$AU$53,MATCH(I20,$AU$4:$AU$53,-1),3))+INDEX($AR$4:$AU$53,MATCH(I20,$AU$4:$AU$53,-1),3)</f>
        <v>216.7</v>
      </c>
      <c r="M20" s="5">
        <f t="shared" si="1"/>
        <v>0.2228501045332853</v>
      </c>
      <c r="N20" s="5">
        <f t="shared" si="2"/>
        <v>280.32254484789485</v>
      </c>
      <c r="O20" s="143">
        <f t="shared" si="5"/>
        <v>8755.8618526896407</v>
      </c>
      <c r="P20" s="143">
        <f t="shared" si="6"/>
        <v>119.56288996780094</v>
      </c>
      <c r="Q20" s="143">
        <f t="shared" si="7"/>
        <v>232.41112803501019</v>
      </c>
      <c r="R20" s="5">
        <f t="shared" si="8"/>
        <v>1.1805000000000001</v>
      </c>
      <c r="S20" s="5">
        <f t="shared" si="9"/>
        <v>1.7874379315987108</v>
      </c>
      <c r="T20" s="5">
        <f t="shared" si="10"/>
        <v>0.24449388849560694</v>
      </c>
      <c r="U20" s="5">
        <f t="shared" si="3"/>
        <v>0.17452240469399102</v>
      </c>
      <c r="AR20" s="32">
        <f t="shared" si="11"/>
        <v>19685.04</v>
      </c>
      <c r="AS20" s="17">
        <v>6000</v>
      </c>
      <c r="AT20" s="17">
        <v>249.2</v>
      </c>
      <c r="AU20" s="17">
        <v>47.22</v>
      </c>
      <c r="AV20" s="17">
        <v>0.53890000000000005</v>
      </c>
      <c r="AW20" s="17">
        <v>2.4159999999999999</v>
      </c>
      <c r="AX20" s="17">
        <v>2.222</v>
      </c>
      <c r="AY20" s="33">
        <v>316.5</v>
      </c>
    </row>
    <row r="21" spans="8:51">
      <c r="AR21" s="32">
        <f t="shared" si="11"/>
        <v>21325.46</v>
      </c>
      <c r="AS21" s="17">
        <v>6500</v>
      </c>
      <c r="AT21" s="17">
        <v>245.9</v>
      </c>
      <c r="AU21" s="17">
        <v>44.08</v>
      </c>
      <c r="AV21" s="17">
        <v>0.50960000000000005</v>
      </c>
      <c r="AW21" s="17">
        <v>2.528</v>
      </c>
      <c r="AX21" s="17">
        <v>2.1949999999999998</v>
      </c>
      <c r="AY21" s="33">
        <v>314.39999999999998</v>
      </c>
    </row>
    <row r="22" spans="8:51">
      <c r="AR22" s="32">
        <f t="shared" si="11"/>
        <v>22965.88</v>
      </c>
      <c r="AS22" s="17">
        <v>7000</v>
      </c>
      <c r="AT22" s="17">
        <v>242.7</v>
      </c>
      <c r="AU22" s="17">
        <v>41.11</v>
      </c>
      <c r="AV22" s="17">
        <v>0.48170000000000002</v>
      </c>
      <c r="AW22" s="17">
        <v>2.6459999999999999</v>
      </c>
      <c r="AX22" s="17">
        <v>2.169</v>
      </c>
      <c r="AY22" s="33">
        <v>312.3</v>
      </c>
    </row>
    <row r="23" spans="8:51">
      <c r="AR23" s="32">
        <f t="shared" si="11"/>
        <v>24606.3</v>
      </c>
      <c r="AS23" s="17">
        <v>7500</v>
      </c>
      <c r="AT23" s="17">
        <v>239.5</v>
      </c>
      <c r="AU23" s="17">
        <v>38.299999999999997</v>
      </c>
      <c r="AV23" s="17">
        <v>0.45490000000000003</v>
      </c>
      <c r="AW23" s="17">
        <v>2.7709999999999999</v>
      </c>
      <c r="AX23" s="17">
        <v>2.1419999999999999</v>
      </c>
      <c r="AY23" s="33">
        <v>310.2</v>
      </c>
    </row>
    <row r="24" spans="8:51">
      <c r="AR24" s="32">
        <f t="shared" si="11"/>
        <v>26246.720000000001</v>
      </c>
      <c r="AS24" s="17">
        <v>8000</v>
      </c>
      <c r="AT24" s="17">
        <v>236.2</v>
      </c>
      <c r="AU24" s="17">
        <v>35.65</v>
      </c>
      <c r="AV24" s="17">
        <v>0.42920000000000003</v>
      </c>
      <c r="AW24" s="17">
        <v>2.9039999999999999</v>
      </c>
      <c r="AX24" s="17">
        <v>2.1150000000000002</v>
      </c>
      <c r="AY24" s="33">
        <v>308.10000000000002</v>
      </c>
    </row>
    <row r="25" spans="8:51">
      <c r="AR25" s="32">
        <f t="shared" si="11"/>
        <v>27887.14</v>
      </c>
      <c r="AS25" s="17">
        <v>8500</v>
      </c>
      <c r="AT25" s="17">
        <v>233</v>
      </c>
      <c r="AU25" s="17">
        <v>33.15</v>
      </c>
      <c r="AV25" s="17">
        <v>0.4047</v>
      </c>
      <c r="AW25" s="17">
        <v>3.0459999999999998</v>
      </c>
      <c r="AX25" s="17">
        <v>2.0880000000000001</v>
      </c>
      <c r="AY25" s="33">
        <v>306</v>
      </c>
    </row>
    <row r="26" spans="8:51">
      <c r="AR26" s="32">
        <f t="shared" si="11"/>
        <v>29527.56</v>
      </c>
      <c r="AS26" s="17">
        <v>9000</v>
      </c>
      <c r="AT26" s="17">
        <v>229.7</v>
      </c>
      <c r="AU26" s="17">
        <v>30.8</v>
      </c>
      <c r="AV26" s="17">
        <v>0.38129999999999997</v>
      </c>
      <c r="AW26" s="17">
        <v>3.1960000000000002</v>
      </c>
      <c r="AX26" s="17">
        <v>2.0609999999999999</v>
      </c>
      <c r="AY26" s="33">
        <v>303.8</v>
      </c>
    </row>
    <row r="27" spans="8:51">
      <c r="AR27" s="32">
        <f t="shared" si="11"/>
        <v>31167.98</v>
      </c>
      <c r="AS27" s="17">
        <v>9500</v>
      </c>
      <c r="AT27" s="17">
        <v>226.5</v>
      </c>
      <c r="AU27" s="17">
        <v>28.58</v>
      </c>
      <c r="AV27" s="17">
        <v>0.3589</v>
      </c>
      <c r="AW27" s="17">
        <v>3.355</v>
      </c>
      <c r="AX27" s="17">
        <v>2.0339999999999998</v>
      </c>
      <c r="AY27" s="33">
        <v>301.7</v>
      </c>
    </row>
    <row r="28" spans="8:51">
      <c r="AR28" s="32">
        <f t="shared" si="11"/>
        <v>32808.400000000001</v>
      </c>
      <c r="AS28" s="17">
        <v>10000</v>
      </c>
      <c r="AT28" s="17">
        <v>223.3</v>
      </c>
      <c r="AU28" s="17">
        <v>26.5</v>
      </c>
      <c r="AV28" s="17">
        <v>0.33760000000000001</v>
      </c>
      <c r="AW28" s="17">
        <v>3.5249999999999999</v>
      </c>
      <c r="AX28" s="17">
        <v>2.0070000000000001</v>
      </c>
      <c r="AY28" s="33">
        <v>299.8</v>
      </c>
    </row>
    <row r="29" spans="8:51">
      <c r="AR29" s="32">
        <f t="shared" si="11"/>
        <v>34448.82</v>
      </c>
      <c r="AS29" s="17">
        <v>10500</v>
      </c>
      <c r="AT29" s="17">
        <v>220</v>
      </c>
      <c r="AU29" s="17">
        <v>24.54</v>
      </c>
      <c r="AV29" s="17">
        <v>0.31719999999999998</v>
      </c>
      <c r="AW29" s="17">
        <v>3.706</v>
      </c>
      <c r="AX29" s="17">
        <v>1.98</v>
      </c>
      <c r="AY29" s="33">
        <v>297.39999999999998</v>
      </c>
    </row>
    <row r="30" spans="8:51">
      <c r="AR30" s="32">
        <f t="shared" si="11"/>
        <v>36089.24</v>
      </c>
      <c r="AS30" s="17">
        <v>11000</v>
      </c>
      <c r="AT30" s="17">
        <v>216.8</v>
      </c>
      <c r="AU30" s="17">
        <v>22.7</v>
      </c>
      <c r="AV30" s="17">
        <v>0.29780000000000001</v>
      </c>
      <c r="AW30" s="17">
        <v>3.899</v>
      </c>
      <c r="AX30" s="17">
        <v>1.9530000000000001</v>
      </c>
      <c r="AY30" s="33">
        <v>295.2</v>
      </c>
    </row>
    <row r="31" spans="8:51">
      <c r="AR31" s="32">
        <f t="shared" si="11"/>
        <v>37729.659999999996</v>
      </c>
      <c r="AS31" s="17">
        <v>11500</v>
      </c>
      <c r="AT31" s="17">
        <v>216.7</v>
      </c>
      <c r="AU31" s="17">
        <v>20.98</v>
      </c>
      <c r="AV31" s="17">
        <v>0.27550000000000002</v>
      </c>
      <c r="AW31" s="17">
        <v>4.2130000000000001</v>
      </c>
      <c r="AX31" s="17">
        <v>1.952</v>
      </c>
      <c r="AY31" s="33">
        <v>295.10000000000002</v>
      </c>
    </row>
    <row r="32" spans="8:51">
      <c r="AR32" s="32">
        <f t="shared" si="11"/>
        <v>39370.080000000002</v>
      </c>
      <c r="AS32" s="17">
        <v>12000</v>
      </c>
      <c r="AT32" s="17">
        <v>216.7</v>
      </c>
      <c r="AU32" s="17">
        <v>19.399999999999999</v>
      </c>
      <c r="AV32" s="17">
        <v>0.25459999999999999</v>
      </c>
      <c r="AW32" s="17">
        <v>4.5570000000000004</v>
      </c>
      <c r="AX32" s="17">
        <v>1.952</v>
      </c>
      <c r="AY32" s="33">
        <v>295.10000000000002</v>
      </c>
    </row>
    <row r="33" spans="44:51">
      <c r="AR33" s="32">
        <f t="shared" si="11"/>
        <v>41010.5</v>
      </c>
      <c r="AS33" s="17">
        <v>12500</v>
      </c>
      <c r="AT33" s="17">
        <v>216.7</v>
      </c>
      <c r="AU33" s="17">
        <v>17.93</v>
      </c>
      <c r="AV33" s="17">
        <v>0.2354</v>
      </c>
      <c r="AW33" s="17">
        <v>4.93</v>
      </c>
      <c r="AX33" s="17">
        <v>1.952</v>
      </c>
      <c r="AY33" s="33">
        <v>295.10000000000002</v>
      </c>
    </row>
    <row r="34" spans="44:51">
      <c r="AR34" s="32">
        <f t="shared" si="11"/>
        <v>42650.92</v>
      </c>
      <c r="AS34" s="17">
        <v>13000</v>
      </c>
      <c r="AT34" s="17">
        <v>216.7</v>
      </c>
      <c r="AU34" s="17">
        <v>16.579999999999998</v>
      </c>
      <c r="AV34" s="17">
        <v>0.21759999999999999</v>
      </c>
      <c r="AW34" s="17">
        <v>5.3330000000000002</v>
      </c>
      <c r="AX34" s="17">
        <v>1.952</v>
      </c>
      <c r="AY34" s="33">
        <v>295.10000000000002</v>
      </c>
    </row>
    <row r="35" spans="44:51">
      <c r="AR35" s="32">
        <f t="shared" si="11"/>
        <v>44291.34</v>
      </c>
      <c r="AS35" s="17">
        <v>13500</v>
      </c>
      <c r="AT35" s="17">
        <v>216.7</v>
      </c>
      <c r="AU35" s="17">
        <v>15.33</v>
      </c>
      <c r="AV35" s="17">
        <v>0.20119999999999999</v>
      </c>
      <c r="AW35" s="17">
        <v>5.7679999999999998</v>
      </c>
      <c r="AX35" s="17">
        <v>1.952</v>
      </c>
      <c r="AY35" s="33">
        <v>295.10000000000002</v>
      </c>
    </row>
    <row r="36" spans="44:51">
      <c r="AR36" s="32">
        <f t="shared" si="11"/>
        <v>45931.76</v>
      </c>
      <c r="AS36" s="17">
        <v>14000</v>
      </c>
      <c r="AT36" s="17">
        <v>216.7</v>
      </c>
      <c r="AU36" s="17">
        <v>14.17</v>
      </c>
      <c r="AV36" s="17">
        <v>0.186</v>
      </c>
      <c r="AW36" s="17">
        <v>6.2389999999999999</v>
      </c>
      <c r="AX36" s="17">
        <v>1.952</v>
      </c>
      <c r="AY36" s="33">
        <v>295.10000000000002</v>
      </c>
    </row>
    <row r="37" spans="44:51">
      <c r="AR37" s="32">
        <f t="shared" si="11"/>
        <v>47572.18</v>
      </c>
      <c r="AS37" s="17">
        <v>14500</v>
      </c>
      <c r="AT37" s="17">
        <v>216.7</v>
      </c>
      <c r="AU37" s="17">
        <v>13.1</v>
      </c>
      <c r="AV37" s="17">
        <v>0.17199999999999999</v>
      </c>
      <c r="AW37" s="17">
        <v>6.7489999999999997</v>
      </c>
      <c r="AX37" s="17">
        <v>1.952</v>
      </c>
      <c r="AY37" s="33">
        <v>295.10000000000002</v>
      </c>
    </row>
    <row r="38" spans="44:51">
      <c r="AR38" s="32">
        <f t="shared" si="11"/>
        <v>49212.6</v>
      </c>
      <c r="AS38" s="17">
        <v>15000</v>
      </c>
      <c r="AT38" s="17">
        <v>216.7</v>
      </c>
      <c r="AU38" s="17">
        <v>12.11</v>
      </c>
      <c r="AV38" s="17">
        <v>0.159</v>
      </c>
      <c r="AW38" s="17">
        <v>7.3</v>
      </c>
      <c r="AX38" s="17">
        <v>1.952</v>
      </c>
      <c r="AY38" s="33">
        <v>295.10000000000002</v>
      </c>
    </row>
    <row r="39" spans="44:51">
      <c r="AR39" s="32">
        <f t="shared" si="11"/>
        <v>50853.02</v>
      </c>
      <c r="AS39" s="17">
        <v>15500</v>
      </c>
      <c r="AT39" s="17">
        <v>216.7</v>
      </c>
      <c r="AU39" s="17">
        <v>11.2</v>
      </c>
      <c r="AV39" s="17">
        <v>0.14699999999999999</v>
      </c>
      <c r="AW39" s="17">
        <v>7.8949999999999996</v>
      </c>
      <c r="AX39" s="17">
        <v>1.952</v>
      </c>
      <c r="AY39" s="33">
        <v>295.10000000000002</v>
      </c>
    </row>
    <row r="40" spans="44:51">
      <c r="AR40" s="32">
        <f t="shared" si="11"/>
        <v>52493.440000000002</v>
      </c>
      <c r="AS40" s="17">
        <v>16000</v>
      </c>
      <c r="AT40" s="17">
        <v>216.7</v>
      </c>
      <c r="AU40" s="17">
        <v>10.35</v>
      </c>
      <c r="AV40" s="17">
        <v>0.13589999999999999</v>
      </c>
      <c r="AW40" s="17">
        <v>8.5399999999999991</v>
      </c>
      <c r="AX40" s="17">
        <v>1.952</v>
      </c>
      <c r="AY40" s="33">
        <v>295.10000000000002</v>
      </c>
    </row>
    <row r="41" spans="44:51">
      <c r="AR41" s="32">
        <f t="shared" si="11"/>
        <v>54133.86</v>
      </c>
      <c r="AS41" s="17">
        <v>16500</v>
      </c>
      <c r="AT41" s="17">
        <v>216.7</v>
      </c>
      <c r="AU41" s="17">
        <v>9.5719999999999992</v>
      </c>
      <c r="AV41" s="17">
        <v>0.12559999999999999</v>
      </c>
      <c r="AW41" s="17">
        <v>9.2370000000000001</v>
      </c>
      <c r="AX41" s="17">
        <v>1.952</v>
      </c>
      <c r="AY41" s="33">
        <v>295.10000000000002</v>
      </c>
    </row>
    <row r="42" spans="44:51">
      <c r="AR42" s="32">
        <f t="shared" si="11"/>
        <v>55774.28</v>
      </c>
      <c r="AS42" s="17">
        <v>17000</v>
      </c>
      <c r="AT42" s="17">
        <v>216.7</v>
      </c>
      <c r="AU42" s="17">
        <v>8.85</v>
      </c>
      <c r="AV42" s="17">
        <v>0.1162</v>
      </c>
      <c r="AW42" s="17">
        <v>9.99</v>
      </c>
      <c r="AX42" s="17">
        <v>1.952</v>
      </c>
      <c r="AY42" s="33">
        <v>295.10000000000002</v>
      </c>
    </row>
    <row r="43" spans="44:51">
      <c r="AR43" s="32">
        <f t="shared" si="11"/>
        <v>57414.7</v>
      </c>
      <c r="AS43" s="17">
        <v>17500</v>
      </c>
      <c r="AT43" s="17">
        <v>216.7</v>
      </c>
      <c r="AU43" s="17">
        <v>8.1820000000000004</v>
      </c>
      <c r="AV43" s="17">
        <v>0.1074</v>
      </c>
      <c r="AW43" s="17">
        <v>10.805</v>
      </c>
      <c r="AX43" s="17">
        <v>1.952</v>
      </c>
      <c r="AY43" s="33">
        <v>295.10000000000002</v>
      </c>
    </row>
    <row r="44" spans="44:51">
      <c r="AR44" s="32">
        <f t="shared" si="11"/>
        <v>59055.12</v>
      </c>
      <c r="AS44" s="17">
        <v>18000</v>
      </c>
      <c r="AT44" s="17">
        <v>216.7</v>
      </c>
      <c r="AU44" s="17">
        <v>7.5650000000000004</v>
      </c>
      <c r="AV44" s="17">
        <v>9.9299999999999999E-2</v>
      </c>
      <c r="AW44" s="17">
        <v>11.686</v>
      </c>
      <c r="AX44" s="17">
        <v>1.952</v>
      </c>
      <c r="AY44" s="33">
        <v>295.10000000000002</v>
      </c>
    </row>
    <row r="45" spans="44:51">
      <c r="AR45" s="32">
        <f t="shared" si="11"/>
        <v>60695.54</v>
      </c>
      <c r="AS45" s="17">
        <v>18500</v>
      </c>
      <c r="AT45" s="17">
        <v>216.7</v>
      </c>
      <c r="AU45" s="17">
        <v>6.9950000000000001</v>
      </c>
      <c r="AV45" s="17">
        <v>9.1819999999999999E-2</v>
      </c>
      <c r="AW45" s="17">
        <v>12.638999999999999</v>
      </c>
      <c r="AX45" s="17">
        <v>1.952</v>
      </c>
      <c r="AY45" s="33">
        <v>295.10000000000002</v>
      </c>
    </row>
    <row r="46" spans="44:51">
      <c r="AR46" s="32">
        <f t="shared" si="11"/>
        <v>62335.96</v>
      </c>
      <c r="AS46" s="17">
        <v>19000</v>
      </c>
      <c r="AT46" s="17">
        <v>216.7</v>
      </c>
      <c r="AU46" s="17">
        <v>6.4669999999999996</v>
      </c>
      <c r="AV46" s="17">
        <v>8.4889999999999993E-2</v>
      </c>
      <c r="AW46" s="17">
        <v>13.67</v>
      </c>
      <c r="AX46" s="17">
        <v>1.952</v>
      </c>
      <c r="AY46" s="33">
        <v>295.10000000000002</v>
      </c>
    </row>
    <row r="47" spans="44:51">
      <c r="AR47" s="32">
        <f t="shared" si="11"/>
        <v>63976.38</v>
      </c>
      <c r="AS47" s="17">
        <v>19500</v>
      </c>
      <c r="AT47" s="17">
        <v>216.7</v>
      </c>
      <c r="AU47" s="17">
        <v>5.98</v>
      </c>
      <c r="AV47" s="17">
        <v>7.85E-2</v>
      </c>
      <c r="AW47" s="17">
        <v>14.784000000000001</v>
      </c>
      <c r="AX47" s="17">
        <v>1.952</v>
      </c>
      <c r="AY47" s="33">
        <v>295.10000000000002</v>
      </c>
    </row>
    <row r="48" spans="44:51">
      <c r="AR48" s="32">
        <f t="shared" si="11"/>
        <v>65616.800000000003</v>
      </c>
      <c r="AS48" s="17">
        <v>20000</v>
      </c>
      <c r="AT48" s="17">
        <v>216.7</v>
      </c>
      <c r="AU48" s="17">
        <v>5.5289999999999999</v>
      </c>
      <c r="AV48" s="17">
        <v>7.2580000000000006E-2</v>
      </c>
      <c r="AW48" s="17">
        <v>15.989000000000001</v>
      </c>
      <c r="AX48" s="17">
        <v>1.952</v>
      </c>
      <c r="AY48" s="33">
        <v>295.10000000000002</v>
      </c>
    </row>
    <row r="49" spans="44:51">
      <c r="AR49" s="32">
        <f t="shared" si="11"/>
        <v>72178.48</v>
      </c>
      <c r="AS49" s="17">
        <v>22000</v>
      </c>
      <c r="AT49" s="17">
        <v>218.6</v>
      </c>
      <c r="AU49" s="17">
        <v>4.0469999999999997</v>
      </c>
      <c r="AV49" s="17">
        <v>5.2659999999999998E-2</v>
      </c>
      <c r="AW49" s="17">
        <v>22.201000000000001</v>
      </c>
      <c r="AX49" s="17">
        <v>1.968</v>
      </c>
      <c r="AY49" s="33">
        <v>296.39999999999998</v>
      </c>
    </row>
    <row r="50" spans="44:51">
      <c r="AR50" s="32">
        <f t="shared" si="11"/>
        <v>78740.160000000003</v>
      </c>
      <c r="AS50" s="17">
        <v>24000</v>
      </c>
      <c r="AT50" s="17">
        <v>220.6</v>
      </c>
      <c r="AU50" s="17">
        <v>2.972</v>
      </c>
      <c r="AV50" s="17">
        <v>3.832E-2</v>
      </c>
      <c r="AW50" s="17">
        <v>30.742999999999999</v>
      </c>
      <c r="AX50" s="17">
        <v>1.9850000000000001</v>
      </c>
      <c r="AY50" s="33">
        <v>297.7</v>
      </c>
    </row>
    <row r="51" spans="44:51">
      <c r="AR51" s="32">
        <f t="shared" si="11"/>
        <v>85301.84</v>
      </c>
      <c r="AS51" s="17">
        <v>26000</v>
      </c>
      <c r="AT51" s="17">
        <v>222.5</v>
      </c>
      <c r="AU51" s="17">
        <v>2.1880000000000002</v>
      </c>
      <c r="AV51" s="17">
        <v>2.7969999999999998E-2</v>
      </c>
      <c r="AW51" s="17">
        <v>42.439</v>
      </c>
      <c r="AX51" s="17">
        <v>2.0009999999999999</v>
      </c>
      <c r="AY51" s="33">
        <v>299.10000000000002</v>
      </c>
    </row>
    <row r="52" spans="44:51">
      <c r="AR52" s="32">
        <f t="shared" si="11"/>
        <v>91863.52</v>
      </c>
      <c r="AS52" s="17">
        <v>28000</v>
      </c>
      <c r="AT52" s="17">
        <v>224.5</v>
      </c>
      <c r="AU52" s="17">
        <v>1.6160000000000001</v>
      </c>
      <c r="AV52" s="17">
        <v>2.0469999999999999E-2</v>
      </c>
      <c r="AW52" s="17">
        <v>58.405000000000001</v>
      </c>
      <c r="AX52" s="17">
        <v>2.0179999999999998</v>
      </c>
      <c r="AY52" s="33">
        <v>300.39999999999998</v>
      </c>
    </row>
    <row r="53" spans="44:51" ht="15" thickBot="1">
      <c r="AR53" s="34">
        <f t="shared" si="11"/>
        <v>98425.2</v>
      </c>
      <c r="AS53" s="35">
        <v>30000</v>
      </c>
      <c r="AT53" s="35">
        <v>226.5</v>
      </c>
      <c r="AU53" s="35">
        <v>1.1970000000000001</v>
      </c>
      <c r="AV53" s="35">
        <v>1.503E-2</v>
      </c>
      <c r="AW53" s="35">
        <v>80.134</v>
      </c>
      <c r="AX53" s="35">
        <v>2.0339999999999998</v>
      </c>
      <c r="AY53" s="36">
        <v>301.7</v>
      </c>
    </row>
  </sheetData>
  <mergeCells count="2">
    <mergeCell ref="AR2:AY2"/>
    <mergeCell ref="H1:N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78387-7FA5-4DDF-BADD-9CBDBCDA0824}">
  <sheetPr codeName="Sheet4">
    <pageSetUpPr fitToPage="1"/>
  </sheetPr>
  <dimension ref="B1:W46"/>
  <sheetViews>
    <sheetView workbookViewId="0">
      <selection activeCell="D10" sqref="D10"/>
    </sheetView>
  </sheetViews>
  <sheetFormatPr defaultRowHeight="14.4"/>
  <cols>
    <col min="4" max="4" width="13.44140625" customWidth="1"/>
    <col min="5" max="5" width="19.44140625" customWidth="1"/>
    <col min="6" max="6" width="17.6640625" customWidth="1"/>
    <col min="8" max="8" width="10.44140625" customWidth="1"/>
    <col min="9" max="9" width="19.6640625" style="1" customWidth="1"/>
    <col min="11" max="11" width="19.44140625" customWidth="1"/>
    <col min="12" max="12" width="21.33203125" customWidth="1"/>
    <col min="13" max="13" width="12.44140625" customWidth="1"/>
    <col min="14" max="14" width="18" customWidth="1"/>
    <col min="15" max="15" width="13" customWidth="1"/>
    <col min="17" max="17" width="10.33203125" customWidth="1"/>
    <col min="19" max="19" width="10.6640625" customWidth="1"/>
    <col min="20" max="20" width="13.44140625" customWidth="1"/>
    <col min="21" max="21" width="17.44140625" customWidth="1"/>
    <col min="22" max="22" width="5.6640625" customWidth="1"/>
    <col min="30" max="30" width="13.44140625" customWidth="1"/>
    <col min="31" max="31" width="19.44140625" customWidth="1"/>
    <col min="32" max="32" width="17.6640625" customWidth="1"/>
  </cols>
  <sheetData>
    <row r="1" spans="2:23" ht="15" thickBot="1">
      <c r="L1" s="166" t="s">
        <v>117</v>
      </c>
      <c r="M1" s="165">
        <v>1.05</v>
      </c>
    </row>
    <row r="2" spans="2:23" ht="15" thickBot="1">
      <c r="D2" s="1" t="s">
        <v>118</v>
      </c>
      <c r="E2" s="1" t="s">
        <v>119</v>
      </c>
      <c r="F2" s="1" t="s">
        <v>120</v>
      </c>
      <c r="H2" s="52">
        <f>SUM(H5:H26)</f>
        <v>0.265895497669632</v>
      </c>
      <c r="S2" s="11" t="s">
        <v>121</v>
      </c>
      <c r="U2" s="11" t="s">
        <v>121</v>
      </c>
    </row>
    <row r="3" spans="2:23">
      <c r="B3" s="309" t="s">
        <v>122</v>
      </c>
      <c r="C3" s="310"/>
      <c r="D3" s="18" t="s">
        <v>123</v>
      </c>
      <c r="E3" s="19" t="s">
        <v>94</v>
      </c>
      <c r="F3" s="19" t="s">
        <v>124</v>
      </c>
      <c r="G3" s="45" t="s">
        <v>125</v>
      </c>
      <c r="H3" s="53" t="s">
        <v>126</v>
      </c>
      <c r="I3" s="37" t="s">
        <v>127</v>
      </c>
      <c r="K3" s="313" t="s">
        <v>128</v>
      </c>
      <c r="L3" s="305" t="s">
        <v>128</v>
      </c>
      <c r="M3" s="305" t="s">
        <v>129</v>
      </c>
      <c r="N3" s="305" t="s">
        <v>130</v>
      </c>
      <c r="O3" s="307" t="s">
        <v>131</v>
      </c>
      <c r="R3" s="18" t="s">
        <v>132</v>
      </c>
      <c r="S3" s="19" t="s">
        <v>133</v>
      </c>
      <c r="T3" s="19" t="s">
        <v>134</v>
      </c>
      <c r="U3" s="20" t="s">
        <v>135</v>
      </c>
    </row>
    <row r="4" spans="2:23" ht="15" thickBot="1">
      <c r="B4" s="311"/>
      <c r="C4" s="312"/>
      <c r="D4" s="70" t="s">
        <v>136</v>
      </c>
      <c r="E4" s="71" t="s">
        <v>137</v>
      </c>
      <c r="F4" s="71" t="s">
        <v>138</v>
      </c>
      <c r="G4" s="72" t="s">
        <v>139</v>
      </c>
      <c r="H4" s="54" t="s">
        <v>134</v>
      </c>
      <c r="I4" s="59" t="s">
        <v>140</v>
      </c>
      <c r="K4" s="314"/>
      <c r="L4" s="306"/>
      <c r="M4" s="306"/>
      <c r="N4" s="306"/>
      <c r="O4" s="308"/>
      <c r="R4" s="38">
        <v>3</v>
      </c>
      <c r="S4" s="3">
        <v>1102.3109999999999</v>
      </c>
      <c r="T4" s="3">
        <v>0.26630320200000002</v>
      </c>
      <c r="U4" s="46">
        <v>15998.061666502954</v>
      </c>
    </row>
    <row r="5" spans="2:23">
      <c r="B5" s="315" t="s">
        <v>141</v>
      </c>
      <c r="C5" s="316"/>
      <c r="D5" s="66">
        <v>0.35</v>
      </c>
      <c r="E5" s="67">
        <v>0.954234794</v>
      </c>
      <c r="F5" s="67">
        <f>1.088676095*0.8</f>
        <v>0.87094087600000014</v>
      </c>
      <c r="G5" s="68">
        <f>0.02</f>
        <v>0.02</v>
      </c>
      <c r="H5" s="69">
        <f>F5*E5*D5*G5</f>
        <v>5.8175746117722785E-3</v>
      </c>
      <c r="I5" s="49">
        <f>(1-H5)</f>
        <v>0.99418242538822776</v>
      </c>
      <c r="K5" s="167">
        <f t="shared" ref="K5:K26" si="0">D5*E5*$U$7</f>
        <v>5343.0674775571342</v>
      </c>
      <c r="L5" s="121">
        <f>K5*$M$1</f>
        <v>5610.2208514349913</v>
      </c>
      <c r="M5" s="121">
        <f>H5*$U$7</f>
        <v>93.069917388614456</v>
      </c>
      <c r="N5" s="121">
        <f>K5*0.00444822</f>
        <v>23.767139615019197</v>
      </c>
      <c r="O5" s="122">
        <f>M5*0.453592</f>
        <v>42.215769968136406</v>
      </c>
      <c r="R5" s="32"/>
      <c r="S5" s="4"/>
      <c r="T5" s="4"/>
      <c r="U5" s="42"/>
    </row>
    <row r="6" spans="2:23">
      <c r="B6" s="298" t="s">
        <v>142</v>
      </c>
      <c r="C6" s="299"/>
      <c r="D6" s="38">
        <v>0.38</v>
      </c>
      <c r="E6" s="3">
        <v>0.94041610899999994</v>
      </c>
      <c r="F6" s="3">
        <f>1.101259309*0.8</f>
        <v>0.88100744720000002</v>
      </c>
      <c r="G6" s="57">
        <v>0.03</v>
      </c>
      <c r="H6" s="69">
        <f t="shared" ref="H6:H26" si="1">F6*E6*D6*G6</f>
        <v>9.4450549886526541E-3</v>
      </c>
      <c r="I6" s="50">
        <f>I5-H6</f>
        <v>0.9847373703995751</v>
      </c>
      <c r="K6" s="30">
        <f t="shared" si="0"/>
        <v>5717.0372635027834</v>
      </c>
      <c r="L6" s="5">
        <f t="shared" ref="L6:L26" si="2">K6*$M$1</f>
        <v>6002.8891266779228</v>
      </c>
      <c r="M6" s="5">
        <f t="shared" ref="M6:M26" si="3">H6*$U$7</f>
        <v>151.10257215197581</v>
      </c>
      <c r="N6" s="5">
        <f t="shared" ref="N6:N26" si="4">K6*0.00444822</f>
        <v>25.430639496258351</v>
      </c>
      <c r="O6" s="25">
        <f t="shared" ref="O6:O26" si="5">M6*0.453592</f>
        <v>68.538917907559011</v>
      </c>
      <c r="R6" s="21" t="s">
        <v>143</v>
      </c>
      <c r="S6" s="2" t="s">
        <v>144</v>
      </c>
      <c r="T6" s="2" t="s">
        <v>133</v>
      </c>
      <c r="U6" s="22" t="s">
        <v>145</v>
      </c>
    </row>
    <row r="7" spans="2:23">
      <c r="B7" s="298" t="s">
        <v>142</v>
      </c>
      <c r="C7" s="299"/>
      <c r="D7" s="38">
        <v>0.38</v>
      </c>
      <c r="E7" s="3">
        <v>0.65099983800000005</v>
      </c>
      <c r="F7" s="3">
        <f>1.049781507*0.8</f>
        <v>0.83982520560000007</v>
      </c>
      <c r="G7" s="57">
        <v>0.03</v>
      </c>
      <c r="H7" s="69">
        <f t="shared" si="1"/>
        <v>6.2326772298506514E-3</v>
      </c>
      <c r="I7" s="50">
        <f t="shared" ref="I7:I26" si="6">I6-H7</f>
        <v>0.97850469316972444</v>
      </c>
      <c r="K7" s="30">
        <f t="shared" si="0"/>
        <v>3957.5995102188067</v>
      </c>
      <c r="L7" s="5">
        <f t="shared" si="2"/>
        <v>4155.4794857297475</v>
      </c>
      <c r="M7" s="5">
        <f t="shared" si="3"/>
        <v>99.710754670559055</v>
      </c>
      <c r="N7" s="5">
        <f t="shared" si="4"/>
        <v>17.6042732933455</v>
      </c>
      <c r="O7" s="25">
        <f t="shared" si="5"/>
        <v>45.228000632528222</v>
      </c>
      <c r="R7" s="32">
        <f>R10*U4</f>
        <v>10635.415618919687</v>
      </c>
      <c r="S7" s="4">
        <f>T4*U4</f>
        <v>4260.335047583193</v>
      </c>
      <c r="T7" s="4">
        <f>S4</f>
        <v>1102.3109999999999</v>
      </c>
      <c r="U7" s="42">
        <f>T7+R7+S7</f>
        <v>15998.061666502879</v>
      </c>
      <c r="V7" s="11" t="s">
        <v>121</v>
      </c>
    </row>
    <row r="8" spans="2:23">
      <c r="B8" s="298" t="s">
        <v>142</v>
      </c>
      <c r="C8" s="299"/>
      <c r="D8" s="38">
        <v>0.38</v>
      </c>
      <c r="E8" s="3">
        <v>0.45023575599999999</v>
      </c>
      <c r="F8" s="3">
        <f>1.013438825*0.8</f>
        <v>0.81075105999999997</v>
      </c>
      <c r="G8" s="57">
        <v>0.03</v>
      </c>
      <c r="H8" s="69">
        <f t="shared" si="1"/>
        <v>4.1613319272666757E-3</v>
      </c>
      <c r="I8" s="50">
        <f t="shared" si="6"/>
        <v>0.97434336124245779</v>
      </c>
      <c r="K8" s="30">
        <f t="shared" si="0"/>
        <v>2737.1017678019666</v>
      </c>
      <c r="L8" s="5">
        <f t="shared" si="2"/>
        <v>2873.9568561920651</v>
      </c>
      <c r="M8" s="5">
        <f t="shared" si="3"/>
        <v>66.573244787199556</v>
      </c>
      <c r="N8" s="5">
        <f t="shared" si="4"/>
        <v>12.175230825572065</v>
      </c>
      <c r="O8" s="25">
        <f t="shared" si="5"/>
        <v>30.19709124951542</v>
      </c>
      <c r="R8" s="32">
        <f>R7*0.453592</f>
        <v>4824.139441417019</v>
      </c>
      <c r="S8" s="4">
        <f t="shared" ref="S8:U8" si="7">S7*0.453592</f>
        <v>1932.4538949033556</v>
      </c>
      <c r="T8" s="4">
        <f t="shared" si="7"/>
        <v>499.99945111199997</v>
      </c>
      <c r="U8" s="42">
        <f t="shared" si="7"/>
        <v>7256.5927874323743</v>
      </c>
      <c r="V8" s="11" t="s">
        <v>146</v>
      </c>
    </row>
    <row r="9" spans="2:23">
      <c r="B9" s="298" t="s">
        <v>142</v>
      </c>
      <c r="C9" s="299"/>
      <c r="D9" s="38">
        <v>0.38</v>
      </c>
      <c r="E9" s="3">
        <v>0.30262416800000003</v>
      </c>
      <c r="F9" s="3">
        <f>0.975958611*0.8</f>
        <v>0.78076688880000011</v>
      </c>
      <c r="G9" s="57">
        <v>0.03</v>
      </c>
      <c r="H9" s="69">
        <f t="shared" si="1"/>
        <v>2.6935798034255537E-3</v>
      </c>
      <c r="I9" s="50">
        <f t="shared" si="6"/>
        <v>0.97164978143903225</v>
      </c>
      <c r="K9" s="30">
        <f t="shared" si="0"/>
        <v>1839.7320385464886</v>
      </c>
      <c r="L9" s="5">
        <f t="shared" si="2"/>
        <v>1931.7186404738131</v>
      </c>
      <c r="M9" s="5">
        <f t="shared" si="3"/>
        <v>43.092055798848712</v>
      </c>
      <c r="N9" s="5">
        <f t="shared" si="4"/>
        <v>8.1835328485032619</v>
      </c>
      <c r="O9" s="25">
        <f t="shared" si="5"/>
        <v>19.546211773911384</v>
      </c>
      <c r="R9" s="21" t="s">
        <v>147</v>
      </c>
      <c r="S9" s="2" t="s">
        <v>148</v>
      </c>
      <c r="T9" s="4"/>
      <c r="U9" s="22" t="s">
        <v>149</v>
      </c>
    </row>
    <row r="10" spans="2:23" ht="15" thickBot="1">
      <c r="B10" s="298" t="s">
        <v>150</v>
      </c>
      <c r="C10" s="299"/>
      <c r="D10" s="38">
        <v>0.28999999999999998</v>
      </c>
      <c r="E10" s="3">
        <v>0.19786922400000001</v>
      </c>
      <c r="F10" s="3">
        <f>0.953921921*0.8</f>
        <v>0.76313753679999996</v>
      </c>
      <c r="G10" s="57">
        <v>0.03</v>
      </c>
      <c r="H10" s="69">
        <f t="shared" si="1"/>
        <v>1.3137124602434207E-3</v>
      </c>
      <c r="I10" s="50">
        <f t="shared" si="6"/>
        <v>0.97033606897878888</v>
      </c>
      <c r="K10" s="30">
        <f t="shared" si="0"/>
        <v>918.0019737619707</v>
      </c>
      <c r="L10" s="5">
        <f t="shared" si="2"/>
        <v>963.90207245006923</v>
      </c>
      <c r="M10" s="5">
        <f t="shared" si="3"/>
        <v>21.016852951027456</v>
      </c>
      <c r="N10" s="5">
        <f t="shared" si="4"/>
        <v>4.0834747397274738</v>
      </c>
      <c r="O10" s="25">
        <f t="shared" si="5"/>
        <v>9.5330763637624454</v>
      </c>
      <c r="R10" s="34">
        <f>IF(R4=R15,1.26*U4^(-0.08),IF(R4=R16,1.02*U4^(-0.06),IF(R4=R17,2.34*U4^(-0.13))))</f>
        <v>0.66479401321400844</v>
      </c>
      <c r="S10" s="43">
        <f>T7/U4</f>
        <v>6.8902784785986895E-2</v>
      </c>
      <c r="T10" s="43"/>
      <c r="U10" s="60">
        <f>(U7-U4)*100</f>
        <v>-7.4578565545380116E-9</v>
      </c>
      <c r="V10" t="s">
        <v>151</v>
      </c>
      <c r="W10" t="s">
        <v>152</v>
      </c>
    </row>
    <row r="11" spans="2:23">
      <c r="B11" s="298" t="s">
        <v>153</v>
      </c>
      <c r="C11" s="299"/>
      <c r="D11" s="38">
        <v>0.3</v>
      </c>
      <c r="E11" s="3">
        <v>0.26996725900000001</v>
      </c>
      <c r="F11" s="3">
        <f>1.084002183*0.8</f>
        <v>0.86720174640000003</v>
      </c>
      <c r="G11" s="57">
        <v>1.5</v>
      </c>
      <c r="H11" s="69">
        <f t="shared" si="1"/>
        <v>0.10535223531402951</v>
      </c>
      <c r="I11" s="50">
        <f t="shared" si="6"/>
        <v>0.86498383366475939</v>
      </c>
      <c r="K11" s="30">
        <f t="shared" si="0"/>
        <v>1295.6858572256263</v>
      </c>
      <c r="L11" s="5">
        <f t="shared" si="2"/>
        <v>1360.4701500869076</v>
      </c>
      <c r="M11" s="5">
        <f t="shared" si="3"/>
        <v>1685.4315572577664</v>
      </c>
      <c r="N11" s="5">
        <f t="shared" si="4"/>
        <v>5.7634957438281758</v>
      </c>
      <c r="O11" s="25">
        <f t="shared" si="5"/>
        <v>764.49827091966472</v>
      </c>
      <c r="R11" s="304" t="s">
        <v>154</v>
      </c>
      <c r="S11" s="304"/>
      <c r="T11" s="304"/>
      <c r="U11" s="304"/>
    </row>
    <row r="12" spans="2:23">
      <c r="B12" s="298" t="s">
        <v>81</v>
      </c>
      <c r="C12" s="299"/>
      <c r="D12" s="38">
        <v>0.15</v>
      </c>
      <c r="E12" s="3">
        <v>0.43228884400000001</v>
      </c>
      <c r="F12" s="3">
        <f>1.113802561*0.8</f>
        <v>0.89104204880000004</v>
      </c>
      <c r="G12" s="57">
        <v>1.7000000000000001E-2</v>
      </c>
      <c r="H12" s="69">
        <f>F12*E12*D12*G12</f>
        <v>9.8222821993941643E-4</v>
      </c>
      <c r="I12" s="50">
        <f t="shared" si="6"/>
        <v>0.86400160544481996</v>
      </c>
      <c r="K12" s="30">
        <f>D12*E12*$U$7</f>
        <v>1037.3675376079864</v>
      </c>
      <c r="L12" s="5">
        <f t="shared" si="2"/>
        <v>1089.2359144883858</v>
      </c>
      <c r="M12" s="5">
        <f t="shared" si="3"/>
        <v>15.713747633170136</v>
      </c>
      <c r="N12" s="5">
        <f t="shared" si="4"/>
        <v>4.6144390281385972</v>
      </c>
      <c r="O12" s="25">
        <f t="shared" si="5"/>
        <v>7.1276302164249081</v>
      </c>
      <c r="R12" s="304" t="s">
        <v>155</v>
      </c>
      <c r="S12" s="304"/>
      <c r="T12" s="304"/>
      <c r="U12" s="304"/>
    </row>
    <row r="13" spans="2:23">
      <c r="B13" s="298" t="s">
        <v>81</v>
      </c>
      <c r="C13" s="299"/>
      <c r="D13" s="38">
        <v>0.15</v>
      </c>
      <c r="E13" s="3">
        <v>0.66815759100000005</v>
      </c>
      <c r="F13" s="3">
        <f>1.160972448*0.8</f>
        <v>0.9287779584000001</v>
      </c>
      <c r="G13" s="57">
        <v>1.7000000000000001E-2</v>
      </c>
      <c r="H13" s="69">
        <f>F13*E13*D13*G13</f>
        <v>1.5824536103090281E-3</v>
      </c>
      <c r="I13" s="50">
        <f t="shared" si="6"/>
        <v>0.8624191518345109</v>
      </c>
      <c r="K13" s="30">
        <f>D13*E13*$U$7</f>
        <v>1603.3839515640013</v>
      </c>
      <c r="L13" s="5">
        <f t="shared" si="2"/>
        <v>1683.5531491422014</v>
      </c>
      <c r="M13" s="5">
        <f t="shared" si="3"/>
        <v>25.316190442103949</v>
      </c>
      <c r="N13" s="5">
        <f t="shared" si="4"/>
        <v>7.1322045610260218</v>
      </c>
      <c r="O13" s="25">
        <f t="shared" si="5"/>
        <v>11.483221455014814</v>
      </c>
    </row>
    <row r="14" spans="2:23">
      <c r="B14" s="298" t="s">
        <v>81</v>
      </c>
      <c r="C14" s="299"/>
      <c r="D14" s="38">
        <v>0.15</v>
      </c>
      <c r="E14" s="3">
        <v>0.99904988699999997</v>
      </c>
      <c r="F14" s="3">
        <f>1.20636399*0.8</f>
        <v>0.96509119200000004</v>
      </c>
      <c r="G14" s="57">
        <v>1.7000000000000001E-2</v>
      </c>
      <c r="H14" s="69">
        <f t="shared" si="1"/>
        <v>2.4586443280963529E-3</v>
      </c>
      <c r="I14" s="50">
        <f t="shared" si="6"/>
        <v>0.85996050750641451</v>
      </c>
      <c r="K14" s="30">
        <f t="shared" si="0"/>
        <v>2397.4292550208097</v>
      </c>
      <c r="L14" s="5">
        <f t="shared" si="2"/>
        <v>2517.3007177718505</v>
      </c>
      <c r="M14" s="5">
        <f t="shared" si="3"/>
        <v>39.333543576882988</v>
      </c>
      <c r="N14" s="5">
        <f t="shared" si="4"/>
        <v>10.664292760768667</v>
      </c>
      <c r="O14" s="25">
        <f t="shared" si="5"/>
        <v>17.841380698125509</v>
      </c>
      <c r="R14" s="271" t="s">
        <v>156</v>
      </c>
      <c r="S14" s="271"/>
    </row>
    <row r="15" spans="2:23">
      <c r="B15" s="300" t="s">
        <v>157</v>
      </c>
      <c r="C15" s="301"/>
      <c r="D15" s="38">
        <v>0.34</v>
      </c>
      <c r="E15" s="3">
        <v>0.81601783900000002</v>
      </c>
      <c r="F15" s="3">
        <f>1.125939724*0.8</f>
        <v>0.90075177920000005</v>
      </c>
      <c r="G15" s="57">
        <v>0.25</v>
      </c>
      <c r="H15" s="69">
        <f>F15*E15*D15*G15</f>
        <v>6.2477509228746092E-2</v>
      </c>
      <c r="I15" s="50">
        <f t="shared" si="6"/>
        <v>0.79748299827766844</v>
      </c>
      <c r="K15" s="30">
        <f>D15*E15*$U$7</f>
        <v>4438.5992611580632</v>
      </c>
      <c r="L15" s="5">
        <f t="shared" si="2"/>
        <v>4660.5292242159667</v>
      </c>
      <c r="M15" s="5">
        <f t="shared" si="3"/>
        <v>999.5190454109827</v>
      </c>
      <c r="N15" s="5">
        <f t="shared" si="4"/>
        <v>19.743866005468522</v>
      </c>
      <c r="O15" s="25">
        <f t="shared" si="5"/>
        <v>453.37384284605844</v>
      </c>
      <c r="Q15" t="s">
        <v>158</v>
      </c>
      <c r="R15" s="5">
        <v>1</v>
      </c>
      <c r="S15" s="5" t="s">
        <v>159</v>
      </c>
    </row>
    <row r="16" spans="2:23">
      <c r="B16" s="298"/>
      <c r="C16" s="299"/>
      <c r="D16" s="38"/>
      <c r="E16" s="3"/>
      <c r="F16" s="3"/>
      <c r="G16" s="57"/>
      <c r="H16" s="69">
        <f t="shared" si="1"/>
        <v>0</v>
      </c>
      <c r="I16" s="50">
        <f t="shared" si="6"/>
        <v>0.79748299827766844</v>
      </c>
      <c r="K16" s="30">
        <f t="shared" si="0"/>
        <v>0</v>
      </c>
      <c r="L16" s="5">
        <f t="shared" si="2"/>
        <v>0</v>
      </c>
      <c r="M16" s="5">
        <f t="shared" si="3"/>
        <v>0</v>
      </c>
      <c r="N16" s="5">
        <f t="shared" si="4"/>
        <v>0</v>
      </c>
      <c r="O16" s="25">
        <f t="shared" si="5"/>
        <v>0</v>
      </c>
      <c r="R16" s="5">
        <v>2</v>
      </c>
      <c r="S16" s="5" t="s">
        <v>160</v>
      </c>
    </row>
    <row r="17" spans="2:19">
      <c r="B17" s="298"/>
      <c r="C17" s="299"/>
      <c r="D17" s="38"/>
      <c r="E17" s="3"/>
      <c r="F17" s="3"/>
      <c r="G17" s="57"/>
      <c r="H17" s="69">
        <f t="shared" si="1"/>
        <v>0</v>
      </c>
      <c r="I17" s="50">
        <f t="shared" si="6"/>
        <v>0.79748299827766844</v>
      </c>
      <c r="K17" s="30">
        <f t="shared" si="0"/>
        <v>0</v>
      </c>
      <c r="L17" s="5">
        <f t="shared" si="2"/>
        <v>0</v>
      </c>
      <c r="M17" s="5">
        <f t="shared" si="3"/>
        <v>0</v>
      </c>
      <c r="N17" s="5">
        <f t="shared" si="4"/>
        <v>0</v>
      </c>
      <c r="O17" s="25">
        <f t="shared" si="5"/>
        <v>0</v>
      </c>
      <c r="R17" s="5">
        <v>3</v>
      </c>
      <c r="S17" s="5" t="s">
        <v>21</v>
      </c>
    </row>
    <row r="18" spans="2:19">
      <c r="B18" s="298"/>
      <c r="C18" s="299"/>
      <c r="D18" s="38"/>
      <c r="E18" s="3"/>
      <c r="F18" s="3"/>
      <c r="G18" s="57"/>
      <c r="H18" s="69">
        <f t="shared" si="1"/>
        <v>0</v>
      </c>
      <c r="I18" s="50">
        <f t="shared" si="6"/>
        <v>0.79748299827766844</v>
      </c>
      <c r="K18" s="30">
        <f t="shared" si="0"/>
        <v>0</v>
      </c>
      <c r="L18" s="5">
        <f t="shared" si="2"/>
        <v>0</v>
      </c>
      <c r="M18" s="5">
        <f t="shared" si="3"/>
        <v>0</v>
      </c>
      <c r="N18" s="5">
        <f t="shared" si="4"/>
        <v>0</v>
      </c>
      <c r="O18" s="25">
        <f t="shared" si="5"/>
        <v>0</v>
      </c>
    </row>
    <row r="19" spans="2:19">
      <c r="B19" s="298" t="s">
        <v>161</v>
      </c>
      <c r="C19" s="299"/>
      <c r="D19" s="38">
        <v>0.3</v>
      </c>
      <c r="E19" s="3">
        <v>0.26996725900000001</v>
      </c>
      <c r="F19" s="3">
        <f>1.084002183*0.8</f>
        <v>0.86720174640000003</v>
      </c>
      <c r="G19" s="57">
        <v>0.75</v>
      </c>
      <c r="H19" s="69">
        <f t="shared" si="1"/>
        <v>5.2676117657014757E-2</v>
      </c>
      <c r="I19" s="50">
        <f t="shared" si="6"/>
        <v>0.7448068806206537</v>
      </c>
      <c r="K19" s="30">
        <f t="shared" si="0"/>
        <v>1295.6858572256263</v>
      </c>
      <c r="L19" s="5">
        <f t="shared" si="2"/>
        <v>1360.4701500869076</v>
      </c>
      <c r="M19" s="5">
        <f t="shared" si="3"/>
        <v>842.71577862888319</v>
      </c>
      <c r="N19" s="5">
        <f t="shared" si="4"/>
        <v>5.7634957438281758</v>
      </c>
      <c r="O19" s="25">
        <f t="shared" si="5"/>
        <v>382.24913545983236</v>
      </c>
    </row>
    <row r="20" spans="2:19">
      <c r="B20" s="300" t="s">
        <v>81</v>
      </c>
      <c r="C20" s="301"/>
      <c r="D20" s="38">
        <v>0.15</v>
      </c>
      <c r="E20" s="3">
        <v>0.84016391000000001</v>
      </c>
      <c r="F20" s="3">
        <f>1.089535997*0.8</f>
        <v>0.87162879760000012</v>
      </c>
      <c r="G20" s="57">
        <v>5.0000000000000001E-3</v>
      </c>
      <c r="H20" s="69">
        <f t="shared" si="1"/>
        <v>5.49233293995161E-4</v>
      </c>
      <c r="I20" s="50">
        <f t="shared" si="6"/>
        <v>0.74425764732665856</v>
      </c>
      <c r="K20" s="30">
        <f t="shared" si="0"/>
        <v>2016.1491063225264</v>
      </c>
      <c r="L20" s="5">
        <f t="shared" si="2"/>
        <v>2116.9565616386531</v>
      </c>
      <c r="M20" s="5">
        <f t="shared" si="3"/>
        <v>8.7866681066310903</v>
      </c>
      <c r="N20" s="5">
        <f t="shared" si="4"/>
        <v>8.9682747777259895</v>
      </c>
      <c r="O20" s="25">
        <f t="shared" si="5"/>
        <v>3.9855623598230094</v>
      </c>
    </row>
    <row r="21" spans="2:19">
      <c r="B21" s="298" t="s">
        <v>81</v>
      </c>
      <c r="C21" s="299"/>
      <c r="D21" s="38">
        <v>0.15</v>
      </c>
      <c r="E21" s="3">
        <v>0.94041610899999994</v>
      </c>
      <c r="F21" s="3">
        <f>1.101259309*0.8</f>
        <v>0.88100744720000002</v>
      </c>
      <c r="G21" s="57">
        <v>5.0000000000000001E-3</v>
      </c>
      <c r="H21" s="69">
        <f t="shared" si="1"/>
        <v>6.2138519662188513E-4</v>
      </c>
      <c r="I21" s="50">
        <f t="shared" si="6"/>
        <v>0.74363626213003664</v>
      </c>
      <c r="K21" s="30">
        <f t="shared" si="0"/>
        <v>2256.7252355932042</v>
      </c>
      <c r="L21" s="5">
        <f t="shared" si="2"/>
        <v>2369.5614973728643</v>
      </c>
      <c r="M21" s="5">
        <f t="shared" si="3"/>
        <v>9.9409586942089341</v>
      </c>
      <c r="N21" s="5">
        <f t="shared" si="4"/>
        <v>10.038410327470404</v>
      </c>
      <c r="O21" s="25">
        <f t="shared" si="5"/>
        <v>4.5091393360236189</v>
      </c>
    </row>
    <row r="22" spans="2:19">
      <c r="B22" s="298"/>
      <c r="C22" s="299"/>
      <c r="D22" s="38"/>
      <c r="E22" s="3"/>
      <c r="F22" s="3"/>
      <c r="G22" s="57"/>
      <c r="H22" s="69">
        <f t="shared" si="1"/>
        <v>0</v>
      </c>
      <c r="I22" s="50">
        <f t="shared" si="6"/>
        <v>0.74363626213003664</v>
      </c>
      <c r="K22" s="30">
        <f t="shared" si="0"/>
        <v>0</v>
      </c>
      <c r="L22" s="5">
        <f t="shared" si="2"/>
        <v>0</v>
      </c>
      <c r="M22" s="5">
        <f t="shared" si="3"/>
        <v>0</v>
      </c>
      <c r="N22" s="5">
        <f t="shared" si="4"/>
        <v>0</v>
      </c>
      <c r="O22" s="25">
        <f t="shared" si="5"/>
        <v>0</v>
      </c>
    </row>
    <row r="23" spans="2:19">
      <c r="B23" s="298"/>
      <c r="C23" s="299"/>
      <c r="D23" s="38"/>
      <c r="E23" s="3"/>
      <c r="F23" s="3"/>
      <c r="G23" s="57"/>
      <c r="H23" s="69">
        <f t="shared" si="1"/>
        <v>0</v>
      </c>
      <c r="I23" s="50">
        <f t="shared" si="6"/>
        <v>0.74363626213003664</v>
      </c>
      <c r="K23" s="30">
        <f t="shared" si="0"/>
        <v>0</v>
      </c>
      <c r="L23" s="5">
        <f t="shared" si="2"/>
        <v>0</v>
      </c>
      <c r="M23" s="5">
        <f t="shared" si="3"/>
        <v>0</v>
      </c>
      <c r="N23" s="5">
        <f t="shared" si="4"/>
        <v>0</v>
      </c>
      <c r="O23" s="25">
        <f t="shared" si="5"/>
        <v>0</v>
      </c>
    </row>
    <row r="24" spans="2:19">
      <c r="B24" s="300" t="s">
        <v>162</v>
      </c>
      <c r="C24" s="301"/>
      <c r="D24" s="38">
        <v>0.2</v>
      </c>
      <c r="E24" s="3">
        <v>0.94041618999999999</v>
      </c>
      <c r="F24" s="3">
        <f>1.101259309*0.8</f>
        <v>0.88100744720000002</v>
      </c>
      <c r="G24" s="57">
        <v>0.05</v>
      </c>
      <c r="H24" s="69">
        <f t="shared" si="1"/>
        <v>8.2851366685745033E-3</v>
      </c>
      <c r="I24" s="50">
        <f t="shared" si="6"/>
        <v>0.73535112546146209</v>
      </c>
      <c r="K24" s="30">
        <f t="shared" si="0"/>
        <v>3008.9672399595379</v>
      </c>
      <c r="L24" s="5">
        <f t="shared" si="2"/>
        <v>3159.4156019575148</v>
      </c>
      <c r="M24" s="5">
        <f t="shared" si="3"/>
        <v>132.54612733925913</v>
      </c>
      <c r="N24" s="5">
        <f t="shared" si="4"/>
        <v>13.384548256132817</v>
      </c>
      <c r="O24" s="25">
        <f t="shared" si="5"/>
        <v>60.121862992069225</v>
      </c>
    </row>
    <row r="25" spans="2:19">
      <c r="B25" s="298" t="s">
        <v>163</v>
      </c>
      <c r="C25" s="299"/>
      <c r="D25" s="38">
        <v>0.1</v>
      </c>
      <c r="E25" s="67">
        <v>0.954234794</v>
      </c>
      <c r="F25" s="67">
        <f>1.088676095*0.8</f>
        <v>0.87094087600000014</v>
      </c>
      <c r="G25" s="68">
        <f>0.015</f>
        <v>1.4999999999999999E-2</v>
      </c>
      <c r="H25" s="69">
        <f t="shared" si="1"/>
        <v>1.2466231310940595E-3</v>
      </c>
      <c r="I25" s="50">
        <f t="shared" si="6"/>
        <v>0.73410450233036806</v>
      </c>
      <c r="K25" s="30">
        <f t="shared" si="0"/>
        <v>1526.5907078734674</v>
      </c>
      <c r="L25" s="5">
        <f t="shared" si="2"/>
        <v>1602.9202432671409</v>
      </c>
      <c r="M25" s="5">
        <f t="shared" si="3"/>
        <v>19.943553726131668</v>
      </c>
      <c r="N25" s="5">
        <f t="shared" si="4"/>
        <v>6.7906113185769152</v>
      </c>
      <c r="O25" s="25">
        <f t="shared" si="5"/>
        <v>9.0462364217435152</v>
      </c>
    </row>
    <row r="26" spans="2:19" ht="15" thickBot="1">
      <c r="B26" s="302" t="s">
        <v>164</v>
      </c>
      <c r="C26" s="303"/>
      <c r="D26" s="39"/>
      <c r="E26" s="48">
        <v>0.22162849200000001</v>
      </c>
      <c r="F26" s="48">
        <f>1.098455545*0.8</f>
        <v>0.87876443599999998</v>
      </c>
      <c r="G26" s="58">
        <v>0.01</v>
      </c>
      <c r="H26" s="69">
        <f t="shared" si="1"/>
        <v>0</v>
      </c>
      <c r="I26" s="51">
        <f t="shared" si="6"/>
        <v>0.73410450233036806</v>
      </c>
      <c r="K26" s="31">
        <f t="shared" si="0"/>
        <v>0</v>
      </c>
      <c r="L26" s="28">
        <f t="shared" si="2"/>
        <v>0</v>
      </c>
      <c r="M26" s="28">
        <f t="shared" si="3"/>
        <v>0</v>
      </c>
      <c r="N26" s="28">
        <f t="shared" si="4"/>
        <v>0</v>
      </c>
      <c r="O26" s="29">
        <f t="shared" si="5"/>
        <v>0</v>
      </c>
    </row>
    <row r="27" spans="2:19">
      <c r="B27" s="290" t="s">
        <v>165</v>
      </c>
      <c r="C27" s="291"/>
      <c r="D27" s="291"/>
      <c r="E27" s="291"/>
      <c r="F27" s="291"/>
      <c r="G27" s="291"/>
      <c r="H27" s="291"/>
      <c r="I27" s="292"/>
    </row>
    <row r="28" spans="2:19" ht="15" thickBot="1">
      <c r="B28" s="293"/>
      <c r="C28" s="294"/>
      <c r="D28" s="294"/>
      <c r="E28" s="294"/>
      <c r="F28" s="294"/>
      <c r="G28" s="294"/>
      <c r="H28" s="294"/>
      <c r="I28" s="295"/>
    </row>
    <row r="30" spans="2:19" ht="15" thickBot="1"/>
    <row r="31" spans="2:19">
      <c r="B31" s="163" t="s">
        <v>118</v>
      </c>
      <c r="C31" s="125" t="s">
        <v>166</v>
      </c>
      <c r="D31" s="125"/>
      <c r="E31" s="125"/>
      <c r="F31" s="125"/>
      <c r="G31" s="125"/>
      <c r="H31" s="151"/>
      <c r="I31" s="125"/>
      <c r="J31" s="125"/>
      <c r="K31" s="126"/>
    </row>
    <row r="32" spans="2:19">
      <c r="B32" s="159" t="s">
        <v>119</v>
      </c>
      <c r="C32" t="s">
        <v>167</v>
      </c>
      <c r="H32" s="1"/>
      <c r="I32"/>
      <c r="K32" s="75"/>
    </row>
    <row r="33" spans="2:18" ht="14.7" customHeight="1">
      <c r="B33" s="164" t="s">
        <v>120</v>
      </c>
      <c r="C33" s="296" t="s">
        <v>168</v>
      </c>
      <c r="D33" s="296"/>
      <c r="E33" s="296"/>
      <c r="F33" s="296"/>
      <c r="G33" s="296"/>
      <c r="H33" s="296"/>
      <c r="I33" s="296"/>
      <c r="J33" s="296"/>
      <c r="K33" s="297"/>
      <c r="L33" s="162"/>
    </row>
    <row r="34" spans="2:18">
      <c r="B34" s="74"/>
      <c r="C34" s="296"/>
      <c r="D34" s="296"/>
      <c r="E34" s="296"/>
      <c r="F34" s="296"/>
      <c r="G34" s="296"/>
      <c r="H34" s="296"/>
      <c r="I34" s="296"/>
      <c r="J34" s="296"/>
      <c r="K34" s="297"/>
      <c r="L34" s="162"/>
    </row>
    <row r="35" spans="2:18" ht="15" thickBot="1">
      <c r="B35" s="76"/>
      <c r="C35" s="178"/>
      <c r="D35" s="178"/>
      <c r="E35" s="178"/>
      <c r="F35" s="178"/>
      <c r="G35" s="178"/>
      <c r="H35" s="178"/>
      <c r="I35" s="178"/>
      <c r="J35" s="178"/>
      <c r="K35" s="179"/>
      <c r="L35" s="162"/>
    </row>
    <row r="36" spans="2:18">
      <c r="Q36" s="262" t="s">
        <v>74</v>
      </c>
      <c r="R36" s="263"/>
    </row>
    <row r="37" spans="2:18" ht="28.8">
      <c r="Q37" s="168" t="s">
        <v>75</v>
      </c>
      <c r="R37" s="169" t="s">
        <v>76</v>
      </c>
    </row>
    <row r="38" spans="2:18">
      <c r="Q38" s="170" t="s">
        <v>77</v>
      </c>
      <c r="R38" s="171">
        <v>1</v>
      </c>
    </row>
    <row r="39" spans="2:18">
      <c r="Q39" s="170" t="s">
        <v>78</v>
      </c>
      <c r="R39" s="171">
        <v>1</v>
      </c>
    </row>
    <row r="40" spans="2:18" ht="28.8">
      <c r="Q40" s="170" t="s">
        <v>79</v>
      </c>
      <c r="R40" s="171">
        <v>0.95</v>
      </c>
    </row>
    <row r="41" spans="2:18" ht="28.8">
      <c r="G41" s="180"/>
      <c r="H41" s="180"/>
      <c r="I41" s="180"/>
      <c r="J41" s="180"/>
      <c r="Q41" s="170" t="s">
        <v>80</v>
      </c>
      <c r="R41" s="171">
        <v>0.85</v>
      </c>
    </row>
    <row r="42" spans="2:18">
      <c r="G42" s="180"/>
      <c r="H42" s="180"/>
      <c r="I42" s="180"/>
      <c r="J42" s="180"/>
      <c r="Q42" s="170" t="s">
        <v>81</v>
      </c>
      <c r="R42" s="171">
        <v>0.8</v>
      </c>
    </row>
    <row r="43" spans="2:18">
      <c r="Q43" s="170" t="s">
        <v>82</v>
      </c>
      <c r="R43" s="171">
        <v>0.75</v>
      </c>
    </row>
    <row r="44" spans="2:18">
      <c r="Q44" s="172" t="s">
        <v>83</v>
      </c>
      <c r="R44" s="173">
        <v>0.6</v>
      </c>
    </row>
    <row r="45" spans="2:18">
      <c r="Q45" s="264" t="s">
        <v>84</v>
      </c>
      <c r="R45" s="265"/>
    </row>
    <row r="46" spans="2:18" ht="15" thickBot="1">
      <c r="Q46" s="266"/>
      <c r="R46" s="267"/>
    </row>
  </sheetData>
  <mergeCells count="35">
    <mergeCell ref="N3:N4"/>
    <mergeCell ref="O3:O4"/>
    <mergeCell ref="B10:C10"/>
    <mergeCell ref="B3:C4"/>
    <mergeCell ref="K3:K4"/>
    <mergeCell ref="L3:L4"/>
    <mergeCell ref="M3:M4"/>
    <mergeCell ref="B5:C5"/>
    <mergeCell ref="B6:C6"/>
    <mergeCell ref="B7:C7"/>
    <mergeCell ref="B8:C8"/>
    <mergeCell ref="B9:C9"/>
    <mergeCell ref="B20:C20"/>
    <mergeCell ref="B11:C11"/>
    <mergeCell ref="R11:U11"/>
    <mergeCell ref="B12:C12"/>
    <mergeCell ref="R12:U12"/>
    <mergeCell ref="B13:C13"/>
    <mergeCell ref="B14:C14"/>
    <mergeCell ref="R14:S14"/>
    <mergeCell ref="B15:C15"/>
    <mergeCell ref="B16:C16"/>
    <mergeCell ref="B17:C17"/>
    <mergeCell ref="B18:C18"/>
    <mergeCell ref="B19:C19"/>
    <mergeCell ref="B27:I28"/>
    <mergeCell ref="C33:K34"/>
    <mergeCell ref="Q36:R36"/>
    <mergeCell ref="Q45:R46"/>
    <mergeCell ref="B21:C21"/>
    <mergeCell ref="B22:C22"/>
    <mergeCell ref="B23:C23"/>
    <mergeCell ref="B24:C24"/>
    <mergeCell ref="B25:C25"/>
    <mergeCell ref="B26:C26"/>
  </mergeCells>
  <pageMargins left="0.7" right="0.7" top="0.75" bottom="0.75" header="0.3" footer="0.3"/>
  <pageSetup scale="3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F1E1D-C6A4-489F-8A85-760AFE9BDD13}">
  <sheetPr codeName="Sheet11">
    <pageSetUpPr fitToPage="1"/>
  </sheetPr>
  <dimension ref="B1:W76"/>
  <sheetViews>
    <sheetView topLeftCell="E1" zoomScaleNormal="100" workbookViewId="0">
      <selection activeCell="H11" sqref="H11"/>
    </sheetView>
  </sheetViews>
  <sheetFormatPr defaultRowHeight="14.4"/>
  <cols>
    <col min="4" max="4" width="13.44140625" customWidth="1"/>
    <col min="5" max="5" width="19.44140625" customWidth="1"/>
    <col min="6" max="6" width="17.6640625" customWidth="1"/>
    <col min="8" max="8" width="10.44140625" customWidth="1"/>
    <col min="9" max="9" width="19.6640625" style="1" customWidth="1"/>
    <col min="10" max="10" width="14.33203125" bestFit="1" customWidth="1"/>
    <col min="11" max="11" width="19.44140625" customWidth="1"/>
    <col min="12" max="12" width="21.33203125" customWidth="1"/>
    <col min="13" max="13" width="12.44140625" customWidth="1"/>
    <col min="14" max="14" width="18" customWidth="1"/>
    <col min="15" max="15" width="13" customWidth="1"/>
    <col min="17" max="17" width="10.33203125" customWidth="1"/>
    <col min="19" max="19" width="10.6640625" customWidth="1"/>
    <col min="20" max="20" width="13.44140625" customWidth="1"/>
    <col min="21" max="21" width="17.44140625" customWidth="1"/>
    <col min="22" max="22" width="5.6640625" customWidth="1"/>
    <col min="30" max="30" width="13.44140625" customWidth="1"/>
    <col min="31" max="31" width="19.44140625" customWidth="1"/>
    <col min="32" max="32" width="17.6640625" customWidth="1"/>
  </cols>
  <sheetData>
    <row r="1" spans="2:23" ht="15" thickBot="1">
      <c r="L1" s="166" t="s">
        <v>117</v>
      </c>
      <c r="M1" s="165">
        <v>1.05</v>
      </c>
    </row>
    <row r="2" spans="2:23" ht="15" thickBot="1">
      <c r="D2" s="1" t="s">
        <v>118</v>
      </c>
      <c r="E2" s="1" t="s">
        <v>119</v>
      </c>
      <c r="F2" s="1" t="s">
        <v>120</v>
      </c>
      <c r="H2" s="52">
        <f>SUM(H5:H26)</f>
        <v>0.23640221489537469</v>
      </c>
      <c r="S2" s="11" t="s">
        <v>121</v>
      </c>
      <c r="U2" s="11" t="s">
        <v>121</v>
      </c>
    </row>
    <row r="3" spans="2:23" ht="15" customHeight="1">
      <c r="B3" s="309" t="s">
        <v>122</v>
      </c>
      <c r="C3" s="327"/>
      <c r="D3" s="18" t="s">
        <v>123</v>
      </c>
      <c r="E3" s="19" t="s">
        <v>94</v>
      </c>
      <c r="F3" s="19" t="s">
        <v>124</v>
      </c>
      <c r="G3" s="45" t="s">
        <v>125</v>
      </c>
      <c r="H3" s="53" t="s">
        <v>126</v>
      </c>
      <c r="I3" s="37" t="s">
        <v>127</v>
      </c>
      <c r="K3" s="330" t="s">
        <v>128</v>
      </c>
      <c r="L3" s="323" t="s">
        <v>128</v>
      </c>
      <c r="M3" s="323" t="s">
        <v>129</v>
      </c>
      <c r="N3" s="323" t="s">
        <v>130</v>
      </c>
      <c r="O3" s="325" t="s">
        <v>131</v>
      </c>
      <c r="R3" s="18" t="s">
        <v>132</v>
      </c>
      <c r="S3" s="19" t="s">
        <v>133</v>
      </c>
      <c r="T3" s="19" t="s">
        <v>134</v>
      </c>
      <c r="U3" s="20" t="s">
        <v>135</v>
      </c>
    </row>
    <row r="4" spans="2:23" ht="15" thickBot="1">
      <c r="B4" s="328"/>
      <c r="C4" s="329"/>
      <c r="D4" s="70" t="s">
        <v>136</v>
      </c>
      <c r="E4" s="71" t="s">
        <v>137</v>
      </c>
      <c r="F4" s="71" t="s">
        <v>138</v>
      </c>
      <c r="G4" s="72" t="s">
        <v>139</v>
      </c>
      <c r="H4" s="54" t="s">
        <v>134</v>
      </c>
      <c r="I4" s="59" t="s">
        <v>140</v>
      </c>
      <c r="K4" s="331"/>
      <c r="L4" s="324"/>
      <c r="M4" s="324"/>
      <c r="N4" s="324"/>
      <c r="O4" s="326"/>
      <c r="R4" s="38">
        <v>3</v>
      </c>
      <c r="S4" s="3">
        <v>1102.3109999999999</v>
      </c>
      <c r="T4" s="3">
        <f>H2</f>
        <v>0.23640221489537469</v>
      </c>
      <c r="U4" s="46">
        <v>13341.939154149475</v>
      </c>
    </row>
    <row r="5" spans="2:23">
      <c r="B5" s="332" t="s">
        <v>141</v>
      </c>
      <c r="C5" s="333"/>
      <c r="D5" s="226">
        <v>0.35799999999999998</v>
      </c>
      <c r="E5" s="227">
        <v>0.83251057252178451</v>
      </c>
      <c r="F5" s="227">
        <f>'Calculated Thrust Lapse'!$F$5</f>
        <v>0.64033279486327643</v>
      </c>
      <c r="G5" s="228">
        <v>0.02</v>
      </c>
      <c r="H5" s="69">
        <f>F5*E5*D5*G5</f>
        <v>3.816880163057681E-3</v>
      </c>
      <c r="I5" s="49">
        <f>(1-H5)</f>
        <v>0.9961831198369423</v>
      </c>
      <c r="J5" t="str">
        <f t="shared" ref="J5:J26" si="0">B5</f>
        <v>Takeoff</v>
      </c>
      <c r="K5" s="167">
        <f t="shared" ref="K5:K26" si="1">D5*E5*$U$7</f>
        <v>3975.1963311989612</v>
      </c>
      <c r="L5" s="121">
        <f>K5*$M$1</f>
        <v>4173.9561477589095</v>
      </c>
      <c r="M5" s="121">
        <f>H5*$U$7</f>
        <v>50.908971537737472</v>
      </c>
      <c r="N5" s="121">
        <f>L5*0.00444822</f>
        <v>18.566675215584137</v>
      </c>
      <c r="O5" s="122">
        <f>M5*0.453592</f>
        <v>23.091902217745414</v>
      </c>
      <c r="R5" s="32"/>
      <c r="S5" s="4"/>
      <c r="T5" s="4"/>
      <c r="U5" s="42"/>
    </row>
    <row r="6" spans="2:23">
      <c r="B6" s="300" t="s">
        <v>169</v>
      </c>
      <c r="C6" s="301"/>
      <c r="D6" s="224">
        <v>0.35799999999999998</v>
      </c>
      <c r="E6" s="225">
        <v>0.72827666534226665</v>
      </c>
      <c r="F6" s="225">
        <f>'Calculated Thrust Lapse'!$H$5</f>
        <v>0.77878789969436291</v>
      </c>
      <c r="G6" s="229">
        <v>0.04</v>
      </c>
      <c r="H6" s="69">
        <f t="shared" ref="H6:H26" si="2">F6*E6*D6*G6</f>
        <v>8.1219181418479176E-3</v>
      </c>
      <c r="I6" s="50">
        <f>I5-H6</f>
        <v>0.98806120169509437</v>
      </c>
      <c r="J6" t="str">
        <f t="shared" si="0"/>
        <v>Climb1</v>
      </c>
      <c r="K6" s="30">
        <f t="shared" si="1"/>
        <v>3477.4846395006434</v>
      </c>
      <c r="L6" s="5">
        <f t="shared" ref="L6:L26" si="3">K6*$M$1</f>
        <v>3651.3588714756756</v>
      </c>
      <c r="M6" s="5">
        <f t="shared" ref="M6:M26" si="4">H6*$U$7</f>
        <v>108.32891834464459</v>
      </c>
      <c r="N6" s="121">
        <f t="shared" ref="N6:N26" si="5">L6*0.00444822</f>
        <v>16.24204755927553</v>
      </c>
      <c r="O6" s="25">
        <f t="shared" ref="O6:O26" si="6">M6*0.453592</f>
        <v>49.137130729784026</v>
      </c>
      <c r="R6" s="21" t="s">
        <v>143</v>
      </c>
      <c r="S6" s="2" t="s">
        <v>144</v>
      </c>
      <c r="T6" s="2" t="s">
        <v>133</v>
      </c>
      <c r="U6" s="22" t="s">
        <v>145</v>
      </c>
    </row>
    <row r="7" spans="2:23">
      <c r="B7" s="300" t="s">
        <v>170</v>
      </c>
      <c r="C7" s="301"/>
      <c r="D7" s="224">
        <v>0.35799999999999998</v>
      </c>
      <c r="E7" s="225">
        <v>0.61890481192613112</v>
      </c>
      <c r="F7" s="225">
        <f>'Calculated Thrust Lapse'!$I$5</f>
        <v>0.75228874071475837</v>
      </c>
      <c r="G7" s="229">
        <v>0.04</v>
      </c>
      <c r="H7" s="69">
        <f t="shared" si="2"/>
        <v>6.6673221411145782E-3</v>
      </c>
      <c r="I7" s="50">
        <f t="shared" ref="I7:I26" si="7">I6-H7</f>
        <v>0.98139387955397983</v>
      </c>
      <c r="J7" t="str">
        <f t="shared" si="0"/>
        <v>Climb2</v>
      </c>
      <c r="K7" s="30">
        <f t="shared" si="1"/>
        <v>2955.2395115868167</v>
      </c>
      <c r="L7" s="5">
        <f t="shared" si="3"/>
        <v>3103.0014871661574</v>
      </c>
      <c r="M7" s="5">
        <f t="shared" si="4"/>
        <v>88.927736427285751</v>
      </c>
      <c r="N7" s="121">
        <f t="shared" si="5"/>
        <v>13.802833275242245</v>
      </c>
      <c r="O7" s="25">
        <f t="shared" si="6"/>
        <v>40.336909821525396</v>
      </c>
      <c r="R7" s="32">
        <f>R10*U4</f>
        <v>9081.4741041641646</v>
      </c>
      <c r="S7" s="4">
        <f>T4*U4</f>
        <v>3154.0639670402579</v>
      </c>
      <c r="T7" s="4">
        <f>S4</f>
        <v>1102.3109999999999</v>
      </c>
      <c r="U7" s="42">
        <f>T7+R7+S7</f>
        <v>13337.849071204422</v>
      </c>
      <c r="V7" s="11" t="s">
        <v>121</v>
      </c>
    </row>
    <row r="8" spans="2:23">
      <c r="B8" s="300" t="s">
        <v>171</v>
      </c>
      <c r="C8" s="301"/>
      <c r="D8" s="224">
        <v>0.35799999999999998</v>
      </c>
      <c r="E8" s="225">
        <v>0.52100679798183203</v>
      </c>
      <c r="F8" s="225">
        <f>'Calculated Thrust Lapse'!$J$5</f>
        <v>0.74716260444532234</v>
      </c>
      <c r="G8" s="229">
        <v>0.04</v>
      </c>
      <c r="H8" s="69">
        <f t="shared" si="2"/>
        <v>5.5744437203499534E-3</v>
      </c>
      <c r="I8" s="50">
        <f t="shared" si="7"/>
        <v>0.97581943583362984</v>
      </c>
      <c r="J8" t="str">
        <f t="shared" si="0"/>
        <v>Climb3</v>
      </c>
      <c r="K8" s="30">
        <f t="shared" si="1"/>
        <v>2487.7813930860339</v>
      </c>
      <c r="L8" s="5">
        <f t="shared" si="3"/>
        <v>2612.1704627403356</v>
      </c>
      <c r="M8" s="5">
        <f t="shared" si="4"/>
        <v>74.351088997950953</v>
      </c>
      <c r="N8" s="121">
        <f t="shared" si="5"/>
        <v>11.619508895770815</v>
      </c>
      <c r="O8" s="25">
        <f t="shared" si="6"/>
        <v>33.725059160758569</v>
      </c>
      <c r="R8" s="32">
        <f>R7*0.453592</f>
        <v>4119.2840018560319</v>
      </c>
      <c r="S8" s="4">
        <f t="shared" ref="S8:U8" si="8">S7*0.453592</f>
        <v>1430.6581829377246</v>
      </c>
      <c r="T8" s="4">
        <f t="shared" si="8"/>
        <v>499.99945111199997</v>
      </c>
      <c r="U8" s="42">
        <f t="shared" si="8"/>
        <v>6049.9416359057559</v>
      </c>
      <c r="V8" s="11" t="s">
        <v>146</v>
      </c>
    </row>
    <row r="9" spans="2:23">
      <c r="B9" s="300" t="s">
        <v>172</v>
      </c>
      <c r="C9" s="301"/>
      <c r="D9" s="224">
        <v>0.35799999999999998</v>
      </c>
      <c r="E9" s="225">
        <v>0.4199470965705297</v>
      </c>
      <c r="F9" s="225">
        <f>'Calculated Thrust Lapse'!$K$5</f>
        <v>0.78014710249307706</v>
      </c>
      <c r="G9" s="229">
        <v>0.04</v>
      </c>
      <c r="H9" s="69">
        <f t="shared" si="2"/>
        <v>4.6915257116470696E-3</v>
      </c>
      <c r="I9" s="50">
        <f t="shared" si="7"/>
        <v>0.97112791012198274</v>
      </c>
      <c r="J9" t="str">
        <f t="shared" si="0"/>
        <v>Climb4</v>
      </c>
      <c r="K9" s="30">
        <f t="shared" si="1"/>
        <v>2005.2263751174676</v>
      </c>
      <c r="L9" s="5">
        <f t="shared" si="3"/>
        <v>2105.487693873341</v>
      </c>
      <c r="M9" s="5">
        <f t="shared" si="4"/>
        <v>62.574861855623531</v>
      </c>
      <c r="N9" s="121">
        <f t="shared" si="5"/>
        <v>9.3656724696412734</v>
      </c>
      <c r="O9" s="25">
        <f t="shared" si="6"/>
        <v>28.383456738815987</v>
      </c>
      <c r="R9" s="21" t="s">
        <v>147</v>
      </c>
      <c r="S9" s="2" t="s">
        <v>148</v>
      </c>
      <c r="T9" s="4"/>
      <c r="U9" s="22" t="s">
        <v>149</v>
      </c>
    </row>
    <row r="10" spans="2:23" ht="15" thickBot="1">
      <c r="B10" s="300" t="s">
        <v>173</v>
      </c>
      <c r="C10" s="301"/>
      <c r="D10" s="224">
        <v>0.35799999999999998</v>
      </c>
      <c r="E10" s="225">
        <v>0.30461870887329845</v>
      </c>
      <c r="F10" s="225">
        <f>'Calculated Thrust Lapse'!$L$5</f>
        <v>0.79959958930064734</v>
      </c>
      <c r="G10" s="229">
        <v>0.04</v>
      </c>
      <c r="H10" s="69">
        <f t="shared" si="2"/>
        <v>3.4879652813600433E-3</v>
      </c>
      <c r="I10" s="50">
        <f t="shared" si="7"/>
        <v>0.96763994484062266</v>
      </c>
      <c r="J10" t="str">
        <f t="shared" si="0"/>
        <v>TOC5</v>
      </c>
      <c r="K10" s="30">
        <f t="shared" si="1"/>
        <v>1454.5390940317625</v>
      </c>
      <c r="L10" s="5">
        <f t="shared" si="3"/>
        <v>1527.2660487333508</v>
      </c>
      <c r="M10" s="5">
        <f t="shared" si="4"/>
        <v>46.521954488381326</v>
      </c>
      <c r="N10" s="121">
        <f t="shared" si="5"/>
        <v>6.7936153832966655</v>
      </c>
      <c r="O10" s="25">
        <f t="shared" si="6"/>
        <v>21.101986380293862</v>
      </c>
      <c r="R10" s="34">
        <f>IF(R4=R15,1.26*U4^(-0.08),IF(R4=R16,1.02*U4^(-0.06),IF(R4=R17,2.34*U4^(-0.13))))</f>
        <v>0.68067122771578048</v>
      </c>
      <c r="S10" s="43">
        <f>T7/U4</f>
        <v>8.2619999031937591E-2</v>
      </c>
      <c r="T10" s="43"/>
      <c r="U10" s="60">
        <f>(U7-U4)*100</f>
        <v>-409.00829450529272</v>
      </c>
      <c r="V10" t="s">
        <v>151</v>
      </c>
      <c r="W10" t="s">
        <v>152</v>
      </c>
    </row>
    <row r="11" spans="2:23">
      <c r="B11" s="300" t="s">
        <v>153</v>
      </c>
      <c r="C11" s="301"/>
      <c r="D11" s="224">
        <v>0.29399999999999998</v>
      </c>
      <c r="E11" s="225">
        <v>0.30613342331996235</v>
      </c>
      <c r="F11" s="225">
        <f>'Calculated Thrust Lapse'!$B$5</f>
        <v>0.74201528579460785</v>
      </c>
      <c r="G11" s="229">
        <v>1.5</v>
      </c>
      <c r="H11" s="69">
        <f t="shared" si="2"/>
        <v>0.10017565470185519</v>
      </c>
      <c r="I11" s="50">
        <f t="shared" si="7"/>
        <v>0.86746429013876747</v>
      </c>
      <c r="J11" t="str">
        <f t="shared" si="0"/>
        <v>Cruise</v>
      </c>
      <c r="K11" s="30">
        <f t="shared" si="1"/>
        <v>1200.4494503924802</v>
      </c>
      <c r="L11" s="5">
        <f t="shared" si="3"/>
        <v>1260.4719229121042</v>
      </c>
      <c r="M11" s="5">
        <f t="shared" si="4"/>
        <v>1336.1277630224342</v>
      </c>
      <c r="N11" s="121">
        <f t="shared" si="5"/>
        <v>5.6068564169360799</v>
      </c>
      <c r="O11" s="25">
        <f t="shared" si="6"/>
        <v>606.05686428487195</v>
      </c>
      <c r="R11" s="320" t="s">
        <v>154</v>
      </c>
      <c r="S11" s="320"/>
      <c r="T11" s="320"/>
      <c r="U11" s="320"/>
    </row>
    <row r="12" spans="2:23">
      <c r="B12" s="300" t="s">
        <v>174</v>
      </c>
      <c r="C12" s="301"/>
      <c r="D12" s="224">
        <v>0.159</v>
      </c>
      <c r="E12" s="225">
        <v>0.30516461566093905</v>
      </c>
      <c r="F12" s="225">
        <f>'Calculated Thrust Lapse'!$M$5</f>
        <v>0.77341110524646295</v>
      </c>
      <c r="G12" s="229">
        <v>0.08</v>
      </c>
      <c r="H12" s="69">
        <f>F12*E12*D12*G12</f>
        <v>3.0021451780951835E-3</v>
      </c>
      <c r="I12" s="50">
        <f t="shared" si="7"/>
        <v>0.86446214496067231</v>
      </c>
      <c r="J12" t="str">
        <f t="shared" si="0"/>
        <v>Descent5</v>
      </c>
      <c r="K12" s="30">
        <f>D12*E12*$U$7</f>
        <v>647.16809410367591</v>
      </c>
      <c r="L12" s="5">
        <f t="shared" si="3"/>
        <v>679.52649880885974</v>
      </c>
      <c r="M12" s="5">
        <f t="shared" si="4"/>
        <v>40.042159275277676</v>
      </c>
      <c r="N12" s="121">
        <f t="shared" si="5"/>
        <v>3.0226833625315463</v>
      </c>
      <c r="O12" s="25">
        <f t="shared" si="6"/>
        <v>18.162803109991753</v>
      </c>
      <c r="R12" s="304" t="s">
        <v>155</v>
      </c>
      <c r="S12" s="304"/>
      <c r="T12" s="304"/>
      <c r="U12" s="304"/>
    </row>
    <row r="13" spans="2:23">
      <c r="B13" s="300" t="s">
        <v>175</v>
      </c>
      <c r="C13" s="301"/>
      <c r="D13" s="224">
        <v>0.127</v>
      </c>
      <c r="E13" s="225">
        <v>0.41994437520070099</v>
      </c>
      <c r="F13" s="225">
        <f>'Calculated Thrust Lapse'!$N$5</f>
        <v>0.78802694832873887</v>
      </c>
      <c r="G13" s="229">
        <v>0.08</v>
      </c>
      <c r="H13" s="69">
        <f>F13*E13*D13*G13</f>
        <v>3.3622232420854291E-3</v>
      </c>
      <c r="I13" s="50">
        <f t="shared" si="7"/>
        <v>0.86109992171858685</v>
      </c>
      <c r="J13" t="str">
        <f t="shared" si="0"/>
        <v>Descent4</v>
      </c>
      <c r="K13" s="30">
        <f>D13*E13*$U$7</f>
        <v>711.34664623048036</v>
      </c>
      <c r="L13" s="5">
        <f t="shared" si="3"/>
        <v>746.91397854200443</v>
      </c>
      <c r="M13" s="5">
        <f t="shared" si="4"/>
        <v>44.844826146631064</v>
      </c>
      <c r="N13" s="121">
        <f t="shared" si="5"/>
        <v>3.3224376976301149</v>
      </c>
      <c r="O13" s="25">
        <f t="shared" si="6"/>
        <v>20.341254381502676</v>
      </c>
    </row>
    <row r="14" spans="2:23">
      <c r="B14" s="300" t="s">
        <v>176</v>
      </c>
      <c r="C14" s="301"/>
      <c r="D14" s="224">
        <v>0.121</v>
      </c>
      <c r="E14" s="225">
        <v>0.5165181705863463</v>
      </c>
      <c r="F14" s="225">
        <f>'Calculated Thrust Lapse'!$O$5</f>
        <v>0.82405111808998122</v>
      </c>
      <c r="G14" s="229">
        <v>0.08</v>
      </c>
      <c r="H14" s="69">
        <f t="shared" si="2"/>
        <v>4.1201697995393522E-3</v>
      </c>
      <c r="I14" s="50">
        <f t="shared" si="7"/>
        <v>0.85697975191904752</v>
      </c>
      <c r="J14" t="str">
        <f t="shared" si="0"/>
        <v>Descent3</v>
      </c>
      <c r="K14" s="30">
        <f t="shared" si="1"/>
        <v>833.59820961965204</v>
      </c>
      <c r="L14" s="5">
        <f t="shared" si="3"/>
        <v>875.27812010063462</v>
      </c>
      <c r="M14" s="5">
        <f t="shared" si="4"/>
        <v>54.954202933990459</v>
      </c>
      <c r="N14" s="121">
        <f t="shared" si="5"/>
        <v>3.8934296393940451</v>
      </c>
      <c r="O14" s="25">
        <f t="shared" si="6"/>
        <v>24.9267868172346</v>
      </c>
      <c r="R14" s="321" t="s">
        <v>156</v>
      </c>
      <c r="S14" s="322"/>
    </row>
    <row r="15" spans="2:23">
      <c r="B15" s="300" t="s">
        <v>157</v>
      </c>
      <c r="C15" s="301"/>
      <c r="D15" s="224">
        <v>0.36399999999999999</v>
      </c>
      <c r="E15" s="225">
        <v>0.65194224199999995</v>
      </c>
      <c r="F15" s="225">
        <f>'Calculated Thrust Lapse'!$E$5</f>
        <v>0.77652491529442602</v>
      </c>
      <c r="G15" s="229">
        <v>0.12</v>
      </c>
      <c r="H15" s="69">
        <f>F15*E15*D15*G15</f>
        <v>2.2112973540661267E-2</v>
      </c>
      <c r="I15" s="50">
        <f t="shared" si="7"/>
        <v>0.8348667783783863</v>
      </c>
      <c r="J15" t="str">
        <f t="shared" si="0"/>
        <v>Maneuver</v>
      </c>
      <c r="K15" s="30">
        <f>D15*E15*$U$7</f>
        <v>3165.1646306056605</v>
      </c>
      <c r="L15" s="5">
        <f t="shared" si="3"/>
        <v>3323.4228621359434</v>
      </c>
      <c r="M15" s="5">
        <f t="shared" si="4"/>
        <v>294.93950360087683</v>
      </c>
      <c r="N15" s="121">
        <f t="shared" si="5"/>
        <v>14.783316043810347</v>
      </c>
      <c r="O15" s="25">
        <f t="shared" si="6"/>
        <v>133.78219931732892</v>
      </c>
      <c r="Q15" t="s">
        <v>158</v>
      </c>
      <c r="R15" s="5">
        <v>1</v>
      </c>
      <c r="S15" s="5" t="s">
        <v>159</v>
      </c>
    </row>
    <row r="16" spans="2:23">
      <c r="B16" s="300"/>
      <c r="C16" s="301"/>
      <c r="D16" s="224"/>
      <c r="E16" s="225"/>
      <c r="F16" s="225"/>
      <c r="G16" s="229"/>
      <c r="H16" s="69">
        <f>F16*E16*D16*G16</f>
        <v>0</v>
      </c>
      <c r="I16" s="50">
        <f t="shared" si="7"/>
        <v>0.8348667783783863</v>
      </c>
      <c r="J16">
        <f t="shared" si="0"/>
        <v>0</v>
      </c>
      <c r="K16" s="30">
        <f>D16*E16*$U$7</f>
        <v>0</v>
      </c>
      <c r="L16" s="5">
        <f t="shared" si="3"/>
        <v>0</v>
      </c>
      <c r="M16" s="5">
        <f t="shared" si="4"/>
        <v>0</v>
      </c>
      <c r="N16" s="121">
        <f t="shared" si="5"/>
        <v>0</v>
      </c>
      <c r="O16" s="25">
        <f t="shared" si="6"/>
        <v>0</v>
      </c>
      <c r="R16" s="5">
        <v>2</v>
      </c>
      <c r="S16" s="5" t="s">
        <v>160</v>
      </c>
    </row>
    <row r="17" spans="2:19">
      <c r="B17" s="300"/>
      <c r="C17" s="301"/>
      <c r="D17" s="224"/>
      <c r="E17" s="225"/>
      <c r="F17" s="225"/>
      <c r="G17" s="229"/>
      <c r="H17" s="69">
        <f t="shared" si="2"/>
        <v>0</v>
      </c>
      <c r="I17" s="50">
        <f t="shared" si="7"/>
        <v>0.8348667783783863</v>
      </c>
      <c r="J17">
        <f t="shared" si="0"/>
        <v>0</v>
      </c>
      <c r="K17" s="30">
        <f t="shared" si="1"/>
        <v>0</v>
      </c>
      <c r="L17" s="5">
        <f t="shared" si="3"/>
        <v>0</v>
      </c>
      <c r="M17" s="5">
        <f t="shared" si="4"/>
        <v>0</v>
      </c>
      <c r="N17" s="121">
        <f t="shared" si="5"/>
        <v>0</v>
      </c>
      <c r="O17" s="25">
        <f t="shared" si="6"/>
        <v>0</v>
      </c>
      <c r="R17" s="5">
        <v>3</v>
      </c>
      <c r="S17" s="5" t="s">
        <v>21</v>
      </c>
    </row>
    <row r="18" spans="2:19">
      <c r="B18" s="300"/>
      <c r="C18" s="301"/>
      <c r="D18" s="224"/>
      <c r="E18" s="225"/>
      <c r="F18" s="225"/>
      <c r="G18" s="229"/>
      <c r="H18" s="69">
        <f t="shared" si="2"/>
        <v>0</v>
      </c>
      <c r="I18" s="50">
        <f t="shared" si="7"/>
        <v>0.8348667783783863</v>
      </c>
      <c r="J18">
        <f t="shared" si="0"/>
        <v>0</v>
      </c>
      <c r="K18" s="30">
        <f t="shared" si="1"/>
        <v>0</v>
      </c>
      <c r="L18" s="5">
        <f t="shared" si="3"/>
        <v>0</v>
      </c>
      <c r="M18" s="5">
        <f t="shared" si="4"/>
        <v>0</v>
      </c>
      <c r="N18" s="121">
        <f t="shared" si="5"/>
        <v>0</v>
      </c>
      <c r="O18" s="25">
        <f t="shared" si="6"/>
        <v>0</v>
      </c>
    </row>
    <row r="19" spans="2:19">
      <c r="B19" s="300" t="s">
        <v>161</v>
      </c>
      <c r="C19" s="301"/>
      <c r="D19" s="224">
        <v>0.29399999999999998</v>
      </c>
      <c r="E19" s="225">
        <v>0.30613342331996235</v>
      </c>
      <c r="F19" s="225">
        <f>'Calculated Thrust Lapse'!$B$5</f>
        <v>0.74201528579460785</v>
      </c>
      <c r="G19" s="229">
        <v>0.75</v>
      </c>
      <c r="H19" s="69">
        <f t="shared" si="2"/>
        <v>5.0087827350927594E-2</v>
      </c>
      <c r="I19" s="50">
        <f t="shared" si="7"/>
        <v>0.78477895102745876</v>
      </c>
      <c r="J19" t="str">
        <f t="shared" si="0"/>
        <v>Cruise Reserve</v>
      </c>
      <c r="K19" s="30">
        <f t="shared" si="1"/>
        <v>1200.4494503924802</v>
      </c>
      <c r="L19" s="5">
        <f t="shared" si="3"/>
        <v>1260.4719229121042</v>
      </c>
      <c r="M19" s="5">
        <f t="shared" si="4"/>
        <v>668.06388151121712</v>
      </c>
      <c r="N19" s="121">
        <f t="shared" si="5"/>
        <v>5.6068564169360799</v>
      </c>
      <c r="O19" s="25">
        <f t="shared" si="6"/>
        <v>303.02843214243597</v>
      </c>
    </row>
    <row r="20" spans="2:19">
      <c r="B20" s="300" t="s">
        <v>177</v>
      </c>
      <c r="C20" s="301"/>
      <c r="D20" s="224">
        <v>0.13700000000000001</v>
      </c>
      <c r="E20" s="225">
        <v>0.61187279228872649</v>
      </c>
      <c r="F20" s="225">
        <f>'Calculated Thrust Lapse'!$P$5</f>
        <v>0.84522643857488267</v>
      </c>
      <c r="G20" s="229">
        <v>0.08</v>
      </c>
      <c r="H20" s="69">
        <f t="shared" si="2"/>
        <v>5.668194829514279E-3</v>
      </c>
      <c r="I20" s="50">
        <f t="shared" si="7"/>
        <v>0.77911075619794445</v>
      </c>
      <c r="J20" t="str">
        <f t="shared" si="0"/>
        <v>Descent2</v>
      </c>
      <c r="K20" s="30">
        <f t="shared" si="1"/>
        <v>1118.0661727423123</v>
      </c>
      <c r="L20" s="5">
        <f t="shared" si="3"/>
        <v>1173.9694813794281</v>
      </c>
      <c r="M20" s="5">
        <f t="shared" si="4"/>
        <v>75.60152714224273</v>
      </c>
      <c r="N20" s="121">
        <f t="shared" si="5"/>
        <v>5.2220745264615998</v>
      </c>
      <c r="O20" s="25">
        <f t="shared" si="6"/>
        <v>34.292247899504162</v>
      </c>
    </row>
    <row r="21" spans="2:19">
      <c r="B21" s="300" t="s">
        <v>178</v>
      </c>
      <c r="C21" s="301"/>
      <c r="D21" s="224">
        <v>0.17199999999999999</v>
      </c>
      <c r="E21" s="225">
        <v>0.72101605063924967</v>
      </c>
      <c r="F21" s="225">
        <f>'Calculated Thrust Lapse'!$Q$5</f>
        <v>0.8553163128572846</v>
      </c>
      <c r="G21" s="229">
        <v>0.08</v>
      </c>
      <c r="H21" s="69">
        <f t="shared" si="2"/>
        <v>8.4857478296250944E-3</v>
      </c>
      <c r="I21" s="50">
        <f t="shared" si="7"/>
        <v>0.77062500836831938</v>
      </c>
      <c r="J21" t="str">
        <f t="shared" si="0"/>
        <v>Descent1</v>
      </c>
      <c r="K21" s="30">
        <f t="shared" si="1"/>
        <v>1654.0901609508578</v>
      </c>
      <c r="L21" s="5">
        <f t="shared" si="3"/>
        <v>1736.7946689984008</v>
      </c>
      <c r="M21" s="5">
        <f t="shared" si="4"/>
        <v>113.18162380784001</v>
      </c>
      <c r="N21" s="121">
        <f t="shared" si="5"/>
        <v>7.7256447825320667</v>
      </c>
      <c r="O21" s="25">
        <f t="shared" si="6"/>
        <v>51.338279106245764</v>
      </c>
    </row>
    <row r="22" spans="2:19">
      <c r="B22" s="300"/>
      <c r="C22" s="301"/>
      <c r="D22" s="224"/>
      <c r="E22" s="225"/>
      <c r="F22" s="225"/>
      <c r="G22" s="229"/>
      <c r="H22" s="69">
        <f t="shared" si="2"/>
        <v>0</v>
      </c>
      <c r="I22" s="50">
        <f t="shared" si="7"/>
        <v>0.77062500836831938</v>
      </c>
      <c r="J22">
        <f t="shared" si="0"/>
        <v>0</v>
      </c>
      <c r="K22" s="30">
        <f t="shared" si="1"/>
        <v>0</v>
      </c>
      <c r="L22" s="5">
        <f t="shared" si="3"/>
        <v>0</v>
      </c>
      <c r="M22" s="5">
        <f t="shared" si="4"/>
        <v>0</v>
      </c>
      <c r="N22" s="121">
        <f t="shared" si="5"/>
        <v>0</v>
      </c>
      <c r="O22" s="25">
        <f t="shared" si="6"/>
        <v>0</v>
      </c>
    </row>
    <row r="23" spans="2:19">
      <c r="B23" s="300"/>
      <c r="C23" s="301"/>
      <c r="D23" s="224"/>
      <c r="E23" s="225"/>
      <c r="F23" s="225"/>
      <c r="G23" s="229"/>
      <c r="H23" s="69">
        <f t="shared" si="2"/>
        <v>0</v>
      </c>
      <c r="I23" s="50">
        <f t="shared" si="7"/>
        <v>0.77062500836831938</v>
      </c>
      <c r="J23">
        <f t="shared" si="0"/>
        <v>0</v>
      </c>
      <c r="K23" s="30">
        <f t="shared" si="1"/>
        <v>0</v>
      </c>
      <c r="L23" s="5">
        <f t="shared" si="3"/>
        <v>0</v>
      </c>
      <c r="M23" s="5">
        <f t="shared" si="4"/>
        <v>0</v>
      </c>
      <c r="N23" s="121">
        <f t="shared" si="5"/>
        <v>0</v>
      </c>
      <c r="O23" s="25">
        <f t="shared" si="6"/>
        <v>0</v>
      </c>
    </row>
    <row r="24" spans="2:19">
      <c r="B24" s="300" t="s">
        <v>179</v>
      </c>
      <c r="C24" s="301"/>
      <c r="D24" s="224">
        <v>0.189</v>
      </c>
      <c r="E24" s="225">
        <v>0.72101605063924967</v>
      </c>
      <c r="F24" s="225">
        <f>F21</f>
        <v>0.8553163128572846</v>
      </c>
      <c r="G24" s="229">
        <v>0.05</v>
      </c>
      <c r="H24" s="69">
        <f t="shared" si="2"/>
        <v>5.8277846649678168E-3</v>
      </c>
      <c r="I24" s="50">
        <f t="shared" si="7"/>
        <v>0.76479722370335157</v>
      </c>
      <c r="J24" t="str">
        <f t="shared" si="0"/>
        <v>Traffic pattern1</v>
      </c>
      <c r="K24" s="30">
        <f t="shared" si="1"/>
        <v>1817.5758163936753</v>
      </c>
      <c r="L24" s="5">
        <f t="shared" si="3"/>
        <v>1908.4546072133592</v>
      </c>
      <c r="M24" s="5">
        <f t="shared" si="4"/>
        <v>77.730112280820364</v>
      </c>
      <c r="N24" s="121">
        <f t="shared" si="5"/>
        <v>8.4892259528986092</v>
      </c>
      <c r="O24" s="25">
        <f t="shared" si="6"/>
        <v>35.257757089681867</v>
      </c>
    </row>
    <row r="25" spans="2:19">
      <c r="B25" s="300" t="s">
        <v>163</v>
      </c>
      <c r="C25" s="301"/>
      <c r="D25" s="224">
        <v>0.15</v>
      </c>
      <c r="E25" s="227">
        <v>0.83251057252178451</v>
      </c>
      <c r="F25" s="227">
        <f>F5</f>
        <v>0.64033279486327643</v>
      </c>
      <c r="G25" s="228">
        <v>1.4999999999999999E-2</v>
      </c>
      <c r="H25" s="69">
        <f t="shared" si="2"/>
        <v>1.1994385987262265E-3</v>
      </c>
      <c r="I25" s="50">
        <f t="shared" si="7"/>
        <v>0.76359778510462539</v>
      </c>
      <c r="J25" t="str">
        <f t="shared" si="0"/>
        <v>Land</v>
      </c>
      <c r="K25" s="30">
        <f t="shared" si="1"/>
        <v>1665.5850549716317</v>
      </c>
      <c r="L25" s="5">
        <f t="shared" si="3"/>
        <v>1748.8643077202134</v>
      </c>
      <c r="M25" s="5">
        <f t="shared" si="4"/>
        <v>15.997930999987334</v>
      </c>
      <c r="N25" s="121">
        <f t="shared" si="5"/>
        <v>7.7793331908872076</v>
      </c>
      <c r="O25" s="25">
        <f t="shared" si="6"/>
        <v>7.2565335181462549</v>
      </c>
    </row>
    <row r="26" spans="2:19" ht="15" thickBot="1">
      <c r="B26" s="318" t="s">
        <v>164</v>
      </c>
      <c r="C26" s="319"/>
      <c r="D26" s="230">
        <v>0.36499999999999999</v>
      </c>
      <c r="E26" s="231"/>
      <c r="F26" s="231">
        <v>0.82072195400000003</v>
      </c>
      <c r="G26" s="232">
        <v>0.01</v>
      </c>
      <c r="H26" s="69">
        <f t="shared" si="2"/>
        <v>0</v>
      </c>
      <c r="I26" s="51">
        <f t="shared" si="7"/>
        <v>0.76359778510462539</v>
      </c>
      <c r="J26" t="str">
        <f t="shared" si="0"/>
        <v>Ceiling</v>
      </c>
      <c r="K26" s="31">
        <f t="shared" si="1"/>
        <v>0</v>
      </c>
      <c r="L26" s="28">
        <f t="shared" si="3"/>
        <v>0</v>
      </c>
      <c r="M26" s="28">
        <f t="shared" si="4"/>
        <v>0</v>
      </c>
      <c r="N26" s="121">
        <f t="shared" si="5"/>
        <v>0</v>
      </c>
      <c r="O26" s="29">
        <f t="shared" si="6"/>
        <v>0</v>
      </c>
    </row>
    <row r="27" spans="2:19" ht="15" customHeight="1">
      <c r="B27" s="290" t="s">
        <v>165</v>
      </c>
      <c r="C27" s="291"/>
      <c r="D27" s="291"/>
      <c r="E27" s="291"/>
      <c r="F27" s="291"/>
      <c r="G27" s="291"/>
      <c r="H27" s="291"/>
      <c r="I27" s="292"/>
    </row>
    <row r="28" spans="2:19" ht="15" thickBot="1">
      <c r="B28" s="293"/>
      <c r="C28" s="294"/>
      <c r="D28" s="294"/>
      <c r="E28" s="294"/>
      <c r="F28" s="294"/>
      <c r="G28" s="294"/>
      <c r="H28" s="294"/>
      <c r="I28" s="295"/>
      <c r="L28" t="s">
        <v>180</v>
      </c>
      <c r="M28" t="s">
        <v>181</v>
      </c>
    </row>
    <row r="29" spans="2:19">
      <c r="M29" t="s">
        <v>182</v>
      </c>
    </row>
    <row r="30" spans="2:19">
      <c r="I30"/>
    </row>
    <row r="31" spans="2:19">
      <c r="B31" s="163" t="s">
        <v>118</v>
      </c>
      <c r="C31" s="125" t="s">
        <v>166</v>
      </c>
      <c r="D31" s="125"/>
      <c r="E31" s="125"/>
      <c r="F31" s="125"/>
      <c r="G31" s="125"/>
      <c r="H31" s="151"/>
      <c r="I31" s="125"/>
      <c r="J31" s="125"/>
      <c r="K31" s="126"/>
    </row>
    <row r="32" spans="2:19">
      <c r="B32" s="159" t="s">
        <v>119</v>
      </c>
      <c r="C32" t="s">
        <v>167</v>
      </c>
      <c r="H32" s="1"/>
      <c r="I32"/>
      <c r="K32" s="75"/>
    </row>
    <row r="33" spans="2:18" ht="14.7" customHeight="1">
      <c r="B33" s="164" t="s">
        <v>120</v>
      </c>
      <c r="C33" s="296" t="s">
        <v>168</v>
      </c>
      <c r="D33" s="296"/>
      <c r="E33" s="296"/>
      <c r="F33" s="296"/>
      <c r="G33" s="296"/>
      <c r="H33" s="296"/>
      <c r="I33" s="296"/>
      <c r="J33" s="296"/>
      <c r="K33" s="297"/>
      <c r="L33" s="162"/>
    </row>
    <row r="34" spans="2:18">
      <c r="B34" s="74"/>
      <c r="C34" s="296"/>
      <c r="D34" s="296"/>
      <c r="E34" s="296"/>
      <c r="F34" s="296"/>
      <c r="G34" s="296"/>
      <c r="H34" s="296"/>
      <c r="I34" s="296"/>
      <c r="J34" s="296"/>
      <c r="K34" s="297"/>
      <c r="L34" s="162"/>
    </row>
    <row r="35" spans="2:18" ht="15" thickBot="1">
      <c r="B35" s="76"/>
      <c r="C35" s="178"/>
      <c r="D35" s="178"/>
      <c r="E35" s="178"/>
      <c r="F35" s="178"/>
      <c r="G35" s="178"/>
      <c r="H35" s="178"/>
      <c r="I35" s="178"/>
      <c r="J35" s="178"/>
      <c r="K35" s="179"/>
      <c r="L35" s="162"/>
    </row>
    <row r="36" spans="2:18">
      <c r="Q36" s="262" t="s">
        <v>74</v>
      </c>
      <c r="R36" s="317"/>
    </row>
    <row r="37" spans="2:18" ht="28.8">
      <c r="Q37" s="168" t="s">
        <v>75</v>
      </c>
      <c r="R37" s="169" t="s">
        <v>76</v>
      </c>
    </row>
    <row r="38" spans="2:18">
      <c r="Q38" s="170" t="s">
        <v>77</v>
      </c>
      <c r="R38" s="171">
        <v>1</v>
      </c>
    </row>
    <row r="39" spans="2:18">
      <c r="Q39" s="170" t="s">
        <v>78</v>
      </c>
      <c r="R39" s="171">
        <v>1</v>
      </c>
    </row>
    <row r="40" spans="2:18" ht="28.8">
      <c r="Q40" s="170" t="s">
        <v>79</v>
      </c>
      <c r="R40" s="171">
        <v>0.95</v>
      </c>
    </row>
    <row r="41" spans="2:18" ht="28.8">
      <c r="G41" s="180"/>
      <c r="H41" s="180"/>
      <c r="I41" s="180"/>
      <c r="J41" s="180"/>
      <c r="Q41" s="170" t="s">
        <v>80</v>
      </c>
      <c r="R41" s="171">
        <v>0.85</v>
      </c>
    </row>
    <row r="42" spans="2:18">
      <c r="G42" s="180"/>
      <c r="H42" s="180"/>
      <c r="I42" s="180"/>
      <c r="J42" s="180"/>
      <c r="Q42" s="170" t="s">
        <v>81</v>
      </c>
      <c r="R42" s="171">
        <v>0.8</v>
      </c>
    </row>
    <row r="43" spans="2:18">
      <c r="Q43" s="170" t="s">
        <v>82</v>
      </c>
      <c r="R43" s="171">
        <v>0.75</v>
      </c>
    </row>
    <row r="44" spans="2:18">
      <c r="Q44" s="172" t="s">
        <v>83</v>
      </c>
      <c r="R44" s="173">
        <v>0.6</v>
      </c>
    </row>
    <row r="45" spans="2:18" ht="15" customHeight="1">
      <c r="Q45" s="264" t="s">
        <v>84</v>
      </c>
      <c r="R45" s="265"/>
    </row>
    <row r="46" spans="2:18" ht="15" thickBot="1">
      <c r="Q46" s="266"/>
      <c r="R46" s="267"/>
    </row>
    <row r="48" spans="2:18">
      <c r="N48">
        <v>0.64674752599383101</v>
      </c>
    </row>
    <row r="49" spans="2:14">
      <c r="N49">
        <v>0.77819832341544026</v>
      </c>
    </row>
    <row r="50" spans="2:14">
      <c r="N50">
        <v>0.75747136333427068</v>
      </c>
    </row>
    <row r="51" spans="2:14">
      <c r="N51">
        <v>0.77035378154857614</v>
      </c>
    </row>
    <row r="52" spans="2:14">
      <c r="N52">
        <v>0.81278209124973377</v>
      </c>
    </row>
    <row r="53" spans="2:14">
      <c r="N53">
        <v>0.840276822149436</v>
      </c>
    </row>
    <row r="54" spans="2:14">
      <c r="N54">
        <v>0.75325959985669699</v>
      </c>
    </row>
    <row r="55" spans="2:14">
      <c r="N55">
        <v>0.67162976299999999</v>
      </c>
    </row>
    <row r="56" spans="2:14">
      <c r="N56">
        <v>0.65534051199999999</v>
      </c>
    </row>
    <row r="57" spans="2:14">
      <c r="N57">
        <v>0.66346042500000002</v>
      </c>
    </row>
    <row r="58" spans="2:14">
      <c r="B58" s="228">
        <v>0.02</v>
      </c>
      <c r="C58">
        <f>B58</f>
        <v>0.02</v>
      </c>
      <c r="D58">
        <f>E58*$U$4</f>
        <v>13291.014571255278</v>
      </c>
      <c r="E58">
        <v>0.9961831198369423</v>
      </c>
      <c r="F58" s="228">
        <v>0.64674752599383101</v>
      </c>
      <c r="G58" s="1" t="s">
        <v>141</v>
      </c>
      <c r="H58" s="1"/>
      <c r="N58">
        <v>0.74192702600000004</v>
      </c>
    </row>
    <row r="59" spans="2:14">
      <c r="B59" s="229">
        <v>0.03</v>
      </c>
      <c r="C59">
        <f>C58+B59</f>
        <v>0.05</v>
      </c>
      <c r="D59">
        <f t="shared" ref="D59:D73" si="9">E59*$U$4</f>
        <v>13182.652433591762</v>
      </c>
      <c r="E59">
        <v>0.98806120169509437</v>
      </c>
      <c r="F59" s="229">
        <v>0.77819832341544026</v>
      </c>
      <c r="G59" s="1" t="s">
        <v>169</v>
      </c>
      <c r="H59" s="1"/>
      <c r="L59" s="1"/>
      <c r="M59" s="1"/>
    </row>
    <row r="60" spans="2:14">
      <c r="B60" s="229">
        <v>0.03</v>
      </c>
      <c r="C60">
        <f t="shared" ref="C60:C73" si="10">C59+B60</f>
        <v>0.08</v>
      </c>
      <c r="D60">
        <f t="shared" si="9"/>
        <v>13093.697427263898</v>
      </c>
      <c r="E60">
        <v>0.98139387955397983</v>
      </c>
      <c r="F60" s="229">
        <v>0.75747136333427068</v>
      </c>
      <c r="G60" s="1" t="s">
        <v>170</v>
      </c>
      <c r="H60" s="1"/>
      <c r="L60" s="1"/>
      <c r="M60" s="1"/>
    </row>
    <row r="61" spans="2:14">
      <c r="B61" s="229">
        <v>0.03</v>
      </c>
      <c r="C61">
        <f t="shared" si="10"/>
        <v>0.11</v>
      </c>
      <c r="D61">
        <f t="shared" si="9"/>
        <v>13019.323538328757</v>
      </c>
      <c r="E61">
        <v>0.97581943583362984</v>
      </c>
      <c r="F61" s="229">
        <v>0.77035378154857614</v>
      </c>
      <c r="G61" s="1" t="s">
        <v>171</v>
      </c>
      <c r="H61" s="1"/>
      <c r="L61" s="1"/>
      <c r="M61" s="1"/>
    </row>
    <row r="62" spans="2:14">
      <c r="B62" s="229">
        <v>0.03</v>
      </c>
      <c r="C62">
        <f t="shared" si="10"/>
        <v>0.14000000000000001</v>
      </c>
      <c r="D62">
        <f t="shared" si="9"/>
        <v>12956.729487743834</v>
      </c>
      <c r="E62">
        <v>0.97112791012198274</v>
      </c>
      <c r="F62" s="229">
        <v>0.81278209124973377</v>
      </c>
      <c r="G62" s="1" t="s">
        <v>172</v>
      </c>
      <c r="H62" s="1"/>
      <c r="L62" s="1"/>
      <c r="M62" s="1"/>
      <c r="N62">
        <v>0.75325959985669699</v>
      </c>
    </row>
    <row r="63" spans="2:14">
      <c r="B63" s="229">
        <v>0.03</v>
      </c>
      <c r="C63">
        <f t="shared" si="10"/>
        <v>0.17</v>
      </c>
      <c r="D63">
        <f t="shared" si="9"/>
        <v>12910.193267188142</v>
      </c>
      <c r="E63">
        <v>0.96763994484062266</v>
      </c>
      <c r="F63" s="229">
        <v>0.840276822149436</v>
      </c>
      <c r="G63" s="1" t="s">
        <v>173</v>
      </c>
      <c r="H63" s="1"/>
      <c r="L63" s="1"/>
      <c r="M63" s="1"/>
      <c r="N63">
        <v>0.68766129499999995</v>
      </c>
    </row>
    <row r="64" spans="2:14">
      <c r="B64" s="229">
        <v>1.5</v>
      </c>
      <c r="C64">
        <f t="shared" si="10"/>
        <v>1.67</v>
      </c>
      <c r="D64">
        <f t="shared" si="9"/>
        <v>11573.655777428901</v>
      </c>
      <c r="E64">
        <v>0.86746429013876747</v>
      </c>
      <c r="F64" s="229">
        <v>0.75325959985669699</v>
      </c>
      <c r="G64" s="1" t="s">
        <v>153</v>
      </c>
      <c r="H64" s="1"/>
      <c r="L64" s="1"/>
      <c r="M64" s="1"/>
      <c r="N64">
        <v>0.71311192700000003</v>
      </c>
    </row>
    <row r="65" spans="2:14">
      <c r="B65" s="229">
        <v>0.1</v>
      </c>
      <c r="C65">
        <f t="shared" ref="C65:C70" si="11">C64+B65</f>
        <v>1.77</v>
      </c>
      <c r="D65">
        <f>E65*$U$4</f>
        <v>11533.601339130833</v>
      </c>
      <c r="E65">
        <v>0.86446214496067231</v>
      </c>
      <c r="F65" s="229">
        <v>0.67162976299999999</v>
      </c>
      <c r="G65" s="1" t="s">
        <v>174</v>
      </c>
      <c r="H65" s="1"/>
      <c r="L65" s="1"/>
      <c r="M65" s="1"/>
    </row>
    <row r="66" spans="2:14">
      <c r="B66" s="229">
        <v>0.1</v>
      </c>
      <c r="C66">
        <f t="shared" si="11"/>
        <v>1.87</v>
      </c>
      <c r="D66">
        <f>E66*$U$4</f>
        <v>11488.742761212261</v>
      </c>
      <c r="E66">
        <v>0.86109992171858685</v>
      </c>
      <c r="F66" s="229">
        <v>0.65534051199999999</v>
      </c>
      <c r="G66" s="1" t="s">
        <v>175</v>
      </c>
      <c r="H66" s="1"/>
      <c r="L66" s="1"/>
      <c r="M66" s="1"/>
    </row>
    <row r="67" spans="2:14">
      <c r="B67" s="229">
        <v>0.1</v>
      </c>
      <c r="C67">
        <f t="shared" si="11"/>
        <v>1.9700000000000002</v>
      </c>
      <c r="D67">
        <f>E67*$U$4</f>
        <v>11433.771706442043</v>
      </c>
      <c r="E67">
        <v>0.85697975191904752</v>
      </c>
      <c r="F67" s="229">
        <v>0.66346042500000002</v>
      </c>
      <c r="G67" s="1" t="s">
        <v>176</v>
      </c>
      <c r="H67" s="1"/>
      <c r="L67" s="1"/>
      <c r="M67" s="1"/>
      <c r="N67">
        <v>0.71311192700000003</v>
      </c>
    </row>
    <row r="68" spans="2:14">
      <c r="B68" s="229">
        <v>0.17</v>
      </c>
      <c r="C68">
        <f t="shared" si="11"/>
        <v>2.14</v>
      </c>
      <c r="D68">
        <f>E68*$U$4</f>
        <v>11138.741758945225</v>
      </c>
      <c r="E68">
        <v>0.8348667783783863</v>
      </c>
      <c r="F68" s="229">
        <v>0.74192702600000004</v>
      </c>
      <c r="G68" s="1" t="s">
        <v>157</v>
      </c>
      <c r="H68" s="1"/>
      <c r="L68" s="1"/>
      <c r="M68" s="1"/>
      <c r="N68">
        <v>0.66595288500000005</v>
      </c>
    </row>
    <row r="69" spans="2:14">
      <c r="B69" s="229">
        <v>0.75</v>
      </c>
      <c r="C69">
        <f t="shared" si="11"/>
        <v>2.89</v>
      </c>
      <c r="D69">
        <f>E69*$U$4</f>
        <v>10470.473014065605</v>
      </c>
      <c r="E69">
        <v>0.78477895102745876</v>
      </c>
      <c r="F69" s="229">
        <v>0.75325959985669699</v>
      </c>
      <c r="G69" s="1" t="s">
        <v>161</v>
      </c>
      <c r="H69" s="1"/>
      <c r="L69" s="1"/>
      <c r="M69" s="1"/>
      <c r="N69">
        <v>0.82072195400000003</v>
      </c>
    </row>
    <row r="70" spans="2:14">
      <c r="B70" s="229">
        <v>0.1</v>
      </c>
      <c r="C70">
        <f t="shared" si="11"/>
        <v>2.99</v>
      </c>
      <c r="D70">
        <f t="shared" si="9"/>
        <v>10394.848303536361</v>
      </c>
      <c r="E70">
        <v>0.77911075619794445</v>
      </c>
      <c r="F70" s="229">
        <v>0.68766129499999995</v>
      </c>
      <c r="G70" s="1" t="s">
        <v>177</v>
      </c>
      <c r="H70" s="1"/>
      <c r="L70" s="1"/>
      <c r="M70" s="1"/>
    </row>
    <row r="71" spans="2:14">
      <c r="B71" s="229">
        <v>0.1</v>
      </c>
      <c r="C71">
        <f t="shared" si="10"/>
        <v>3.0900000000000003</v>
      </c>
      <c r="D71">
        <f t="shared" si="9"/>
        <v>10281.631972316047</v>
      </c>
      <c r="E71">
        <v>0.77062500836831938</v>
      </c>
      <c r="F71" s="229">
        <v>0.71311192700000003</v>
      </c>
      <c r="G71" s="1" t="s">
        <v>178</v>
      </c>
      <c r="H71" s="1"/>
      <c r="L71" s="1"/>
      <c r="M71" s="1"/>
    </row>
    <row r="72" spans="2:14">
      <c r="B72" s="229">
        <v>0.05</v>
      </c>
      <c r="C72">
        <f t="shared" si="10"/>
        <v>3.14</v>
      </c>
      <c r="D72">
        <f t="shared" si="9"/>
        <v>10203.878023912561</v>
      </c>
      <c r="E72">
        <v>0.76479722370335157</v>
      </c>
      <c r="F72" s="229">
        <v>0.71311192700000003</v>
      </c>
      <c r="G72" s="1" t="s">
        <v>179</v>
      </c>
      <c r="H72" s="1"/>
      <c r="L72" s="1"/>
      <c r="M72" s="1"/>
    </row>
    <row r="73" spans="2:14">
      <c r="B73" s="228">
        <v>1.4999999999999999E-2</v>
      </c>
      <c r="C73">
        <f t="shared" si="10"/>
        <v>3.1550000000000002</v>
      </c>
      <c r="D73">
        <f t="shared" si="9"/>
        <v>10187.875187109219</v>
      </c>
      <c r="E73">
        <v>0.76359778510462539</v>
      </c>
      <c r="F73" s="228">
        <v>0.66595288500000005</v>
      </c>
      <c r="G73" s="1" t="s">
        <v>163</v>
      </c>
      <c r="H73" s="1"/>
      <c r="L73" s="1"/>
      <c r="M73" s="1"/>
    </row>
    <row r="74" spans="2:14" ht="15" thickBot="1">
      <c r="B74" s="232"/>
      <c r="F74" s="231"/>
      <c r="L74" s="1"/>
      <c r="M74" s="1"/>
    </row>
    <row r="75" spans="2:14">
      <c r="F75" s="225"/>
    </row>
    <row r="76" spans="2:14">
      <c r="F76" s="225"/>
    </row>
  </sheetData>
  <mergeCells count="35">
    <mergeCell ref="B21:C21"/>
    <mergeCell ref="B22:C22"/>
    <mergeCell ref="N3:N4"/>
    <mergeCell ref="O3:O4"/>
    <mergeCell ref="B10:C10"/>
    <mergeCell ref="B3:C4"/>
    <mergeCell ref="K3:K4"/>
    <mergeCell ref="L3:L4"/>
    <mergeCell ref="M3:M4"/>
    <mergeCell ref="B5:C5"/>
    <mergeCell ref="B6:C6"/>
    <mergeCell ref="B7:C7"/>
    <mergeCell ref="B8:C8"/>
    <mergeCell ref="B9:C9"/>
    <mergeCell ref="B20:C20"/>
    <mergeCell ref="B11:C11"/>
    <mergeCell ref="R11:U11"/>
    <mergeCell ref="B12:C12"/>
    <mergeCell ref="R12:U12"/>
    <mergeCell ref="B13:C13"/>
    <mergeCell ref="B14:C14"/>
    <mergeCell ref="R14:S14"/>
    <mergeCell ref="B15:C15"/>
    <mergeCell ref="B16:C16"/>
    <mergeCell ref="B17:C17"/>
    <mergeCell ref="B18:C18"/>
    <mergeCell ref="B19:C19"/>
    <mergeCell ref="Q36:R36"/>
    <mergeCell ref="Q45:R46"/>
    <mergeCell ref="B23:C23"/>
    <mergeCell ref="B24:C24"/>
    <mergeCell ref="B25:C25"/>
    <mergeCell ref="B27:I28"/>
    <mergeCell ref="C33:K34"/>
    <mergeCell ref="B26:C26"/>
  </mergeCells>
  <pageMargins left="0.7" right="0.7" top="0.75" bottom="0.75" header="0.3" footer="0.3"/>
  <pageSetup scale="38" fitToHeight="0"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360A-197E-4449-A1FB-E48CD0290761}">
  <dimension ref="A1:H18"/>
  <sheetViews>
    <sheetView workbookViewId="0">
      <selection sqref="A1:B2"/>
    </sheetView>
  </sheetViews>
  <sheetFormatPr defaultRowHeight="14.4"/>
  <cols>
    <col min="2" max="2" width="5.44140625" customWidth="1"/>
    <col min="3" max="3" width="16.88671875" customWidth="1"/>
    <col min="4" max="4" width="22.109375" customWidth="1"/>
    <col min="5" max="5" width="20.6640625" customWidth="1"/>
    <col min="6" max="6" width="8.88671875" customWidth="1"/>
    <col min="7" max="7" width="12.44140625" customWidth="1"/>
    <col min="8" max="8" width="18.88671875" customWidth="1"/>
  </cols>
  <sheetData>
    <row r="1" spans="1:8">
      <c r="A1" s="337" t="s">
        <v>122</v>
      </c>
      <c r="B1" s="338"/>
      <c r="C1" s="246" t="s">
        <v>123</v>
      </c>
      <c r="D1" s="247" t="s">
        <v>94</v>
      </c>
      <c r="E1" s="247" t="s">
        <v>124</v>
      </c>
      <c r="F1" s="248" t="s">
        <v>125</v>
      </c>
      <c r="G1" s="249" t="s">
        <v>126</v>
      </c>
      <c r="H1" s="250" t="s">
        <v>127</v>
      </c>
    </row>
    <row r="2" spans="1:8">
      <c r="A2" s="339"/>
      <c r="B2" s="329"/>
      <c r="C2" s="70" t="s">
        <v>136</v>
      </c>
      <c r="D2" s="71" t="s">
        <v>137</v>
      </c>
      <c r="E2" s="71" t="s">
        <v>138</v>
      </c>
      <c r="F2" s="72" t="s">
        <v>139</v>
      </c>
      <c r="G2" s="54" t="s">
        <v>134</v>
      </c>
      <c r="H2" s="251" t="s">
        <v>140</v>
      </c>
    </row>
    <row r="3" spans="1:8">
      <c r="A3" s="340" t="s">
        <v>141</v>
      </c>
      <c r="B3" s="333"/>
      <c r="C3" s="243">
        <v>0.35799999999999998</v>
      </c>
      <c r="D3" s="239">
        <v>0.83251057252178451</v>
      </c>
      <c r="E3" s="239">
        <f>'Calculated Thrust Lapse'!$F$5</f>
        <v>0.64033279486327643</v>
      </c>
      <c r="F3" s="241">
        <v>0.02</v>
      </c>
      <c r="G3" s="245">
        <f>E3*D3*C3*F3</f>
        <v>3.816880163057681E-3</v>
      </c>
      <c r="H3" s="252">
        <f>(1-G3)</f>
        <v>0.9961831198369423</v>
      </c>
    </row>
    <row r="4" spans="1:8">
      <c r="A4" s="334" t="s">
        <v>183</v>
      </c>
      <c r="B4" s="301"/>
      <c r="C4" s="244">
        <v>0.35799999999999998</v>
      </c>
      <c r="D4" s="240">
        <v>0.72827666534226665</v>
      </c>
      <c r="E4" s="240">
        <f>'Calculated Thrust Lapse'!$H$5</f>
        <v>0.77878789969436291</v>
      </c>
      <c r="F4" s="242">
        <v>0.04</v>
      </c>
      <c r="G4" s="245">
        <f t="shared" ref="G4:G18" si="0">E4*D4*C4*F4</f>
        <v>8.1219181418479176E-3</v>
      </c>
      <c r="H4" s="253">
        <f>H3-G4</f>
        <v>0.98806120169509437</v>
      </c>
    </row>
    <row r="5" spans="1:8">
      <c r="A5" s="334" t="s">
        <v>184</v>
      </c>
      <c r="B5" s="301"/>
      <c r="C5" s="244">
        <v>0.35799999999999998</v>
      </c>
      <c r="D5" s="240">
        <v>0.61890481192613112</v>
      </c>
      <c r="E5" s="240">
        <f>'Calculated Thrust Lapse'!$I$5</f>
        <v>0.75228874071475837</v>
      </c>
      <c r="F5" s="242">
        <v>0.04</v>
      </c>
      <c r="G5" s="245">
        <f t="shared" si="0"/>
        <v>6.6673221411145782E-3</v>
      </c>
      <c r="H5" s="253">
        <f t="shared" ref="H5:H18" si="1">H4-G5</f>
        <v>0.98139387955397983</v>
      </c>
    </row>
    <row r="6" spans="1:8">
      <c r="A6" s="334" t="s">
        <v>185</v>
      </c>
      <c r="B6" s="301"/>
      <c r="C6" s="244">
        <v>0.35799999999999998</v>
      </c>
      <c r="D6" s="240">
        <v>0.52100679798183203</v>
      </c>
      <c r="E6" s="240">
        <f>'Calculated Thrust Lapse'!$J$5</f>
        <v>0.74716260444532234</v>
      </c>
      <c r="F6" s="242">
        <v>0.04</v>
      </c>
      <c r="G6" s="245">
        <f t="shared" si="0"/>
        <v>5.5744437203499534E-3</v>
      </c>
      <c r="H6" s="253">
        <f t="shared" si="1"/>
        <v>0.97581943583362984</v>
      </c>
    </row>
    <row r="7" spans="1:8">
      <c r="A7" s="334" t="s">
        <v>186</v>
      </c>
      <c r="B7" s="301"/>
      <c r="C7" s="244">
        <v>0.35799999999999998</v>
      </c>
      <c r="D7" s="240">
        <v>0.4199470965705297</v>
      </c>
      <c r="E7" s="240">
        <f>'Calculated Thrust Lapse'!$K$5</f>
        <v>0.78014710249307706</v>
      </c>
      <c r="F7" s="242">
        <v>0.04</v>
      </c>
      <c r="G7" s="245">
        <f t="shared" si="0"/>
        <v>4.6915257116470696E-3</v>
      </c>
      <c r="H7" s="253">
        <f t="shared" si="1"/>
        <v>0.97112791012198274</v>
      </c>
    </row>
    <row r="8" spans="1:8">
      <c r="A8" s="334" t="s">
        <v>187</v>
      </c>
      <c r="B8" s="301"/>
      <c r="C8" s="244">
        <v>0.35799999999999998</v>
      </c>
      <c r="D8" s="240">
        <v>0.30461870887329845</v>
      </c>
      <c r="E8" s="240">
        <f>'Calculated Thrust Lapse'!$L$5</f>
        <v>0.79959958930064734</v>
      </c>
      <c r="F8" s="242">
        <v>0.04</v>
      </c>
      <c r="G8" s="245">
        <f t="shared" si="0"/>
        <v>3.4879652813600433E-3</v>
      </c>
      <c r="H8" s="253">
        <f t="shared" si="1"/>
        <v>0.96763994484062266</v>
      </c>
    </row>
    <row r="9" spans="1:8">
      <c r="A9" s="334" t="s">
        <v>153</v>
      </c>
      <c r="B9" s="301"/>
      <c r="C9" s="244">
        <v>0.29399999999999998</v>
      </c>
      <c r="D9" s="240">
        <v>0.30613342331996235</v>
      </c>
      <c r="E9" s="240">
        <f>'Calculated Thrust Lapse'!$B$5</f>
        <v>0.74201528579460785</v>
      </c>
      <c r="F9" s="242">
        <v>1.5</v>
      </c>
      <c r="G9" s="245">
        <f t="shared" si="0"/>
        <v>0.10017565470185519</v>
      </c>
      <c r="H9" s="253">
        <f t="shared" si="1"/>
        <v>0.86746429013876747</v>
      </c>
    </row>
    <row r="10" spans="1:8">
      <c r="A10" s="334" t="s">
        <v>188</v>
      </c>
      <c r="B10" s="301"/>
      <c r="C10" s="244">
        <v>0.159</v>
      </c>
      <c r="D10" s="240">
        <v>0.30516461566093905</v>
      </c>
      <c r="E10" s="240">
        <f>'Calculated Thrust Lapse'!$M$5</f>
        <v>0.77341110524646295</v>
      </c>
      <c r="F10" s="242">
        <v>0.08</v>
      </c>
      <c r="G10" s="245">
        <f>E10*D10*C10*F10</f>
        <v>3.0021451780951835E-3</v>
      </c>
      <c r="H10" s="253">
        <f t="shared" si="1"/>
        <v>0.86446214496067231</v>
      </c>
    </row>
    <row r="11" spans="1:8">
      <c r="A11" s="334" t="s">
        <v>189</v>
      </c>
      <c r="B11" s="301"/>
      <c r="C11" s="244">
        <v>0.127</v>
      </c>
      <c r="D11" s="240">
        <v>0.41994437520070099</v>
      </c>
      <c r="E11" s="240">
        <f>'Calculated Thrust Lapse'!$N$5</f>
        <v>0.78802694832873887</v>
      </c>
      <c r="F11" s="242">
        <v>0.08</v>
      </c>
      <c r="G11" s="245">
        <f>E11*D11*C11*F11</f>
        <v>3.3622232420854291E-3</v>
      </c>
      <c r="H11" s="253">
        <f t="shared" si="1"/>
        <v>0.86109992171858685</v>
      </c>
    </row>
    <row r="12" spans="1:8">
      <c r="A12" s="334" t="s">
        <v>190</v>
      </c>
      <c r="B12" s="301"/>
      <c r="C12" s="244">
        <v>0.121</v>
      </c>
      <c r="D12" s="240">
        <v>0.5165181705863463</v>
      </c>
      <c r="E12" s="240">
        <f>'Calculated Thrust Lapse'!$O$5</f>
        <v>0.82405111808998122</v>
      </c>
      <c r="F12" s="242">
        <v>0.08</v>
      </c>
      <c r="G12" s="245">
        <f t="shared" si="0"/>
        <v>4.1201697995393522E-3</v>
      </c>
      <c r="H12" s="253">
        <f t="shared" si="1"/>
        <v>0.85697975191904752</v>
      </c>
    </row>
    <row r="13" spans="1:8">
      <c r="A13" s="334" t="s">
        <v>157</v>
      </c>
      <c r="B13" s="301"/>
      <c r="C13" s="244">
        <v>0.36399999999999999</v>
      </c>
      <c r="D13" s="240">
        <v>0.65194224199999995</v>
      </c>
      <c r="E13" s="240">
        <f>'Calculated Thrust Lapse'!$E$5</f>
        <v>0.77652491529442602</v>
      </c>
      <c r="F13" s="242">
        <v>0.12</v>
      </c>
      <c r="G13" s="245">
        <f>E13*D13*C13*F13</f>
        <v>2.2112973540661267E-2</v>
      </c>
      <c r="H13" s="253">
        <f t="shared" si="1"/>
        <v>0.8348667783783863</v>
      </c>
    </row>
    <row r="14" spans="1:8">
      <c r="A14" s="334" t="s">
        <v>161</v>
      </c>
      <c r="B14" s="301"/>
      <c r="C14" s="244">
        <v>0.29399999999999998</v>
      </c>
      <c r="D14" s="240">
        <v>0.30613342331996235</v>
      </c>
      <c r="E14" s="240">
        <f>'Calculated Thrust Lapse'!$B$5</f>
        <v>0.74201528579460785</v>
      </c>
      <c r="F14" s="242">
        <v>0.75</v>
      </c>
      <c r="G14" s="245">
        <f t="shared" si="0"/>
        <v>5.0087827350927594E-2</v>
      </c>
      <c r="H14" s="253">
        <f t="shared" si="1"/>
        <v>0.78477895102745876</v>
      </c>
    </row>
    <row r="15" spans="1:8">
      <c r="A15" s="334" t="s">
        <v>191</v>
      </c>
      <c r="B15" s="301"/>
      <c r="C15" s="244">
        <v>0.13700000000000001</v>
      </c>
      <c r="D15" s="240">
        <v>0.61187279228872649</v>
      </c>
      <c r="E15" s="240">
        <f>'Calculated Thrust Lapse'!$P$5</f>
        <v>0.84522643857488267</v>
      </c>
      <c r="F15" s="242">
        <v>0.08</v>
      </c>
      <c r="G15" s="245">
        <f t="shared" si="0"/>
        <v>5.668194829514279E-3</v>
      </c>
      <c r="H15" s="253">
        <f t="shared" si="1"/>
        <v>0.77911075619794445</v>
      </c>
    </row>
    <row r="16" spans="1:8">
      <c r="A16" s="334" t="s">
        <v>192</v>
      </c>
      <c r="B16" s="301"/>
      <c r="C16" s="244">
        <v>0.17199999999999999</v>
      </c>
      <c r="D16" s="240">
        <v>0.72101605063924967</v>
      </c>
      <c r="E16" s="240">
        <f>'Calculated Thrust Lapse'!$Q$5</f>
        <v>0.8553163128572846</v>
      </c>
      <c r="F16" s="242">
        <v>0.08</v>
      </c>
      <c r="G16" s="245">
        <f t="shared" si="0"/>
        <v>8.4857478296250944E-3</v>
      </c>
      <c r="H16" s="253">
        <f t="shared" si="1"/>
        <v>0.77062500836831938</v>
      </c>
    </row>
    <row r="17" spans="1:8">
      <c r="A17" s="334" t="s">
        <v>193</v>
      </c>
      <c r="B17" s="301"/>
      <c r="C17" s="244">
        <v>0.189</v>
      </c>
      <c r="D17" s="240">
        <v>0.72101605063924967</v>
      </c>
      <c r="E17" s="240">
        <f>E16</f>
        <v>0.8553163128572846</v>
      </c>
      <c r="F17" s="242">
        <v>0.05</v>
      </c>
      <c r="G17" s="245">
        <f t="shared" si="0"/>
        <v>5.8277846649678168E-3</v>
      </c>
      <c r="H17" s="253">
        <f t="shared" si="1"/>
        <v>0.76479722370335157</v>
      </c>
    </row>
    <row r="18" spans="1:8">
      <c r="A18" s="335" t="s">
        <v>83</v>
      </c>
      <c r="B18" s="336"/>
      <c r="C18" s="254">
        <v>0.15</v>
      </c>
      <c r="D18" s="255">
        <v>0.83251057252178451</v>
      </c>
      <c r="E18" s="255">
        <f>E3</f>
        <v>0.64033279486327643</v>
      </c>
      <c r="F18" s="256">
        <v>1.4999999999999999E-2</v>
      </c>
      <c r="G18" s="257">
        <f t="shared" si="0"/>
        <v>1.1994385987262265E-3</v>
      </c>
      <c r="H18" s="258">
        <f t="shared" si="1"/>
        <v>0.76359778510462539</v>
      </c>
    </row>
  </sheetData>
  <mergeCells count="17">
    <mergeCell ref="A13:B13"/>
    <mergeCell ref="A1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7:B17"/>
    <mergeCell ref="A18:B18"/>
    <mergeCell ref="A14:B14"/>
    <mergeCell ref="A15:B15"/>
    <mergeCell ref="A16:B1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6A78-CCEF-401F-B71D-6D6D20064741}">
  <dimension ref="A1:Q25"/>
  <sheetViews>
    <sheetView topLeftCell="A11" zoomScale="90" zoomScaleNormal="90" workbookViewId="0">
      <selection activeCell="B4" sqref="B4:Q4"/>
    </sheetView>
  </sheetViews>
  <sheetFormatPr defaultRowHeight="14.4"/>
  <cols>
    <col min="1" max="1" width="12.6640625" bestFit="1" customWidth="1"/>
    <col min="2" max="8" width="15.6640625" customWidth="1"/>
  </cols>
  <sheetData>
    <row r="1" spans="1:17">
      <c r="A1" t="s">
        <v>194</v>
      </c>
      <c r="B1" t="s">
        <v>195</v>
      </c>
      <c r="C1" t="s">
        <v>196</v>
      </c>
      <c r="D1" t="s">
        <v>197</v>
      </c>
      <c r="E1" t="s">
        <v>157</v>
      </c>
      <c r="F1" t="s">
        <v>198</v>
      </c>
      <c r="G1" t="s">
        <v>199</v>
      </c>
      <c r="H1" t="s">
        <v>169</v>
      </c>
      <c r="I1" t="s">
        <v>170</v>
      </c>
      <c r="J1" t="s">
        <v>171</v>
      </c>
      <c r="K1" t="s">
        <v>172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</row>
    <row r="2" spans="1:17">
      <c r="A2" t="s">
        <v>206</v>
      </c>
      <c r="B2">
        <v>5.6246200000000002</v>
      </c>
      <c r="C2">
        <v>5.1048900000000001</v>
      </c>
      <c r="D2">
        <v>4.7625099999999998</v>
      </c>
      <c r="E2">
        <v>11.7021</v>
      </c>
      <c r="F2">
        <v>15.2958</v>
      </c>
      <c r="G2">
        <v>18.373100000000001</v>
      </c>
      <c r="H2">
        <v>13.380699999999999</v>
      </c>
      <c r="I2">
        <v>11.3712</v>
      </c>
      <c r="J2">
        <v>9.5725099999999994</v>
      </c>
      <c r="K2">
        <v>7.7157299999999998</v>
      </c>
      <c r="L2">
        <v>5.5967900000000004</v>
      </c>
      <c r="M2">
        <v>5.6068199999999999</v>
      </c>
      <c r="N2">
        <v>7.7156799999999999</v>
      </c>
      <c r="O2">
        <v>9.4900400000000005</v>
      </c>
      <c r="P2">
        <v>11.242000000000001</v>
      </c>
      <c r="Q2">
        <v>13.247299999999999</v>
      </c>
    </row>
    <row r="3" spans="1:17">
      <c r="A3" t="s">
        <v>207</v>
      </c>
      <c r="B3">
        <f>B2/$G$2</f>
        <v>0.30613342331996235</v>
      </c>
      <c r="C3">
        <f t="shared" ref="C3:G3" si="0">C2/$G$2</f>
        <v>0.27784587249838077</v>
      </c>
      <c r="D3">
        <f t="shared" si="0"/>
        <v>0.25921102045925837</v>
      </c>
      <c r="E3">
        <f t="shared" si="0"/>
        <v>0.63691483745258004</v>
      </c>
      <c r="F3">
        <f t="shared" si="0"/>
        <v>0.83251057252178451</v>
      </c>
      <c r="G3">
        <f t="shared" si="0"/>
        <v>1</v>
      </c>
      <c r="H3">
        <f>H2/$G$2</f>
        <v>0.72827666534226665</v>
      </c>
      <c r="I3">
        <f>I2/$G$2</f>
        <v>0.61890481192613112</v>
      </c>
      <c r="J3">
        <f>J2/$G$2</f>
        <v>0.52100679798183203</v>
      </c>
      <c r="K3">
        <f>K2/$G$2</f>
        <v>0.4199470965705297</v>
      </c>
      <c r="L3">
        <f>L2/$G$2</f>
        <v>0.30461870887329845</v>
      </c>
      <c r="M3">
        <f t="shared" ref="M3:Q3" si="1">M2/$G$2</f>
        <v>0.30516461566093905</v>
      </c>
      <c r="N3">
        <f t="shared" si="1"/>
        <v>0.41994437520070099</v>
      </c>
      <c r="O3">
        <f t="shared" si="1"/>
        <v>0.5165181705863463</v>
      </c>
      <c r="P3">
        <f t="shared" si="1"/>
        <v>0.61187279228872649</v>
      </c>
      <c r="Q3">
        <f t="shared" si="1"/>
        <v>0.72101605063924967</v>
      </c>
    </row>
    <row r="4" spans="1:17">
      <c r="A4" t="s">
        <v>208</v>
      </c>
      <c r="B4">
        <v>21.017900000000001</v>
      </c>
      <c r="C4">
        <v>23.684000000000001</v>
      </c>
      <c r="D4">
        <v>25.010899999999999</v>
      </c>
      <c r="E4">
        <v>21.9954</v>
      </c>
      <c r="F4">
        <v>18.137699999999999</v>
      </c>
      <c r="G4">
        <v>15.7927</v>
      </c>
      <c r="H4">
        <v>22.0595</v>
      </c>
      <c r="I4">
        <v>21.308900000000001</v>
      </c>
      <c r="J4">
        <v>21.163699999999999</v>
      </c>
      <c r="K4">
        <v>22.097999999999999</v>
      </c>
      <c r="L4">
        <v>22.649000000000001</v>
      </c>
      <c r="M4">
        <v>21.9072</v>
      </c>
      <c r="N4">
        <v>22.321200000000001</v>
      </c>
      <c r="O4">
        <v>23.3416</v>
      </c>
      <c r="P4">
        <v>23.941400000000002</v>
      </c>
      <c r="Q4">
        <v>24.2272</v>
      </c>
    </row>
    <row r="5" spans="1:17">
      <c r="A5" t="s">
        <v>209</v>
      </c>
      <c r="B5">
        <f>B4*3600/(453.592*224.8089431)</f>
        <v>0.74201528579460785</v>
      </c>
      <c r="C5">
        <f t="shared" ref="C5:Q5" si="2">C4*3600/(453.592*224.8089431)</f>
        <v>0.83613919700633721</v>
      </c>
      <c r="D5">
        <f t="shared" si="2"/>
        <v>0.88298403320409546</v>
      </c>
      <c r="E5">
        <f t="shared" si="2"/>
        <v>0.77652491529442602</v>
      </c>
      <c r="F5">
        <f t="shared" si="2"/>
        <v>0.64033279486327643</v>
      </c>
      <c r="G5">
        <f t="shared" si="2"/>
        <v>0.55754498803251051</v>
      </c>
      <c r="H5">
        <f t="shared" si="2"/>
        <v>0.77878789969436291</v>
      </c>
      <c r="I5">
        <f t="shared" si="2"/>
        <v>0.75228874071475837</v>
      </c>
      <c r="J5">
        <f t="shared" si="2"/>
        <v>0.74716260444532234</v>
      </c>
      <c r="K5">
        <f t="shared" si="2"/>
        <v>0.78014710249307706</v>
      </c>
      <c r="L5">
        <f t="shared" si="2"/>
        <v>0.79959958930064734</v>
      </c>
      <c r="M5">
        <f t="shared" si="2"/>
        <v>0.77341110524646295</v>
      </c>
      <c r="N5">
        <f t="shared" si="2"/>
        <v>0.78802694832873887</v>
      </c>
      <c r="O5">
        <f t="shared" si="2"/>
        <v>0.82405111808998122</v>
      </c>
      <c r="P5">
        <f t="shared" si="2"/>
        <v>0.84522643857488267</v>
      </c>
      <c r="Q5">
        <f t="shared" si="2"/>
        <v>0.8553163128572846</v>
      </c>
    </row>
    <row r="10" spans="1:17">
      <c r="A10">
        <f>(12192-914.4)/4</f>
        <v>2819.4</v>
      </c>
    </row>
    <row r="11" spans="1:17">
      <c r="A11">
        <v>0</v>
      </c>
      <c r="B11">
        <f>914.4+$A$10*A11</f>
        <v>914.4</v>
      </c>
      <c r="C11">
        <f>B11*3.280839895</f>
        <v>2999.9999999880001</v>
      </c>
    </row>
    <row r="12" spans="1:17">
      <c r="A12">
        <v>1</v>
      </c>
      <c r="B12">
        <f>914.4+$A$10*A12</f>
        <v>3733.8</v>
      </c>
      <c r="C12">
        <f t="shared" ref="C12:C16" si="3">B12*3.280839895</f>
        <v>12249.999999951002</v>
      </c>
    </row>
    <row r="13" spans="1:17">
      <c r="A13">
        <v>2</v>
      </c>
      <c r="B13">
        <f>914.4+$A$10*A13</f>
        <v>6553.2</v>
      </c>
      <c r="C13">
        <f t="shared" si="3"/>
        <v>21499.999999914002</v>
      </c>
    </row>
    <row r="15" spans="1:17">
      <c r="A15">
        <v>3</v>
      </c>
      <c r="B15">
        <f>914.4+$A$10*A15</f>
        <v>9372.6</v>
      </c>
      <c r="C15">
        <f t="shared" si="3"/>
        <v>30749.999999877004</v>
      </c>
    </row>
    <row r="16" spans="1:17">
      <c r="A16">
        <v>4</v>
      </c>
      <c r="B16">
        <f>914.4+$A$10*A16</f>
        <v>12192</v>
      </c>
      <c r="C16">
        <f t="shared" si="3"/>
        <v>39999.999999840002</v>
      </c>
    </row>
    <row r="23" spans="1:16">
      <c r="A23">
        <v>21.336400000000001</v>
      </c>
      <c r="B23">
        <v>25.648599999999998</v>
      </c>
      <c r="C23">
        <v>27.115600000000001</v>
      </c>
      <c r="D23">
        <v>22.1066</v>
      </c>
      <c r="E23">
        <v>18.319400000000002</v>
      </c>
      <c r="F23">
        <v>15.7928</v>
      </c>
      <c r="G23">
        <v>22.0428</v>
      </c>
      <c r="H23">
        <v>21.4557</v>
      </c>
      <c r="I23">
        <v>21.820599999999999</v>
      </c>
      <c r="J23">
        <v>23.022400000000001</v>
      </c>
      <c r="K23">
        <v>23.801200000000001</v>
      </c>
      <c r="L23">
        <v>21.556699999999999</v>
      </c>
      <c r="M23">
        <v>21.9269</v>
      </c>
      <c r="N23">
        <v>22.892299999999999</v>
      </c>
      <c r="O23">
        <v>23.508199999999999</v>
      </c>
      <c r="P23">
        <v>23.866099999999999</v>
      </c>
    </row>
    <row r="25" spans="1:16">
      <c r="A25">
        <v>21.061699999999998</v>
      </c>
      <c r="B25">
        <v>23.796099999999999</v>
      </c>
      <c r="C25">
        <v>25.010899999999999</v>
      </c>
      <c r="D25">
        <v>22.004300000000001</v>
      </c>
      <c r="E25">
        <v>18.157499999999999</v>
      </c>
      <c r="F25">
        <v>15.7927</v>
      </c>
      <c r="G25">
        <v>22.053699999999999</v>
      </c>
      <c r="H25">
        <v>21.323799999999999</v>
      </c>
      <c r="I25">
        <v>21.250599999999999</v>
      </c>
      <c r="J25">
        <v>22.2624</v>
      </c>
      <c r="K25">
        <v>22.649000000000001</v>
      </c>
      <c r="L25">
        <v>21.851099999999999</v>
      </c>
      <c r="M25">
        <v>22.256900000000002</v>
      </c>
      <c r="N25">
        <v>23.269400000000001</v>
      </c>
      <c r="O25">
        <v>23.8706</v>
      </c>
      <c r="P25">
        <v>24.168900000000001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D8C06-3197-4172-9591-6B0E6008F0B9}">
  <dimension ref="B2:U52"/>
  <sheetViews>
    <sheetView tabSelected="1" zoomScaleNormal="100" workbookViewId="0">
      <selection activeCell="N29" sqref="N29:T29"/>
    </sheetView>
  </sheetViews>
  <sheetFormatPr defaultRowHeight="14.4"/>
  <cols>
    <col min="3" max="3" width="10.88671875" bestFit="1" customWidth="1"/>
    <col min="4" max="4" width="10.109375" bestFit="1" customWidth="1"/>
    <col min="5" max="5" width="9" bestFit="1" customWidth="1"/>
    <col min="6" max="6" width="11.44140625" bestFit="1" customWidth="1"/>
    <col min="7" max="7" width="9" bestFit="1" customWidth="1"/>
    <col min="8" max="8" width="13" bestFit="1" customWidth="1"/>
    <col min="9" max="9" width="9" bestFit="1" customWidth="1"/>
    <col min="10" max="10" width="10.6640625" bestFit="1" customWidth="1"/>
    <col min="11" max="11" width="10.5546875" customWidth="1"/>
    <col min="12" max="12" width="15" bestFit="1" customWidth="1"/>
    <col min="13" max="13" width="17.33203125" bestFit="1" customWidth="1"/>
    <col min="14" max="14" width="16.88671875" bestFit="1" customWidth="1"/>
    <col min="15" max="15" width="17.33203125" bestFit="1" customWidth="1"/>
  </cols>
  <sheetData>
    <row r="2" spans="2:20">
      <c r="B2" s="341" t="s">
        <v>210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</row>
    <row r="3" spans="2:20">
      <c r="B3" s="234" t="s">
        <v>211</v>
      </c>
      <c r="C3" s="234" t="s">
        <v>212</v>
      </c>
      <c r="D3" s="234" t="s">
        <v>213</v>
      </c>
      <c r="E3" s="234" t="s">
        <v>214</v>
      </c>
      <c r="F3" s="234" t="s">
        <v>215</v>
      </c>
      <c r="G3" s="234" t="s">
        <v>216</v>
      </c>
      <c r="H3" s="234" t="s">
        <v>217</v>
      </c>
      <c r="I3" s="234" t="s">
        <v>218</v>
      </c>
      <c r="J3" s="234" t="s">
        <v>219</v>
      </c>
      <c r="K3" s="234" t="s">
        <v>220</v>
      </c>
      <c r="L3" s="234" t="s">
        <v>221</v>
      </c>
      <c r="M3" s="234" t="s">
        <v>222</v>
      </c>
      <c r="N3" s="234" t="s">
        <v>223</v>
      </c>
      <c r="O3" s="234" t="s">
        <v>95</v>
      </c>
      <c r="P3" s="234" t="s">
        <v>224</v>
      </c>
    </row>
    <row r="4" spans="2:20">
      <c r="B4" s="233" t="s">
        <v>199</v>
      </c>
      <c r="C4" s="238">
        <v>101.325</v>
      </c>
      <c r="D4" s="238">
        <v>288.14999999999998</v>
      </c>
      <c r="E4" s="238">
        <v>0</v>
      </c>
      <c r="F4" s="238">
        <v>1517.09</v>
      </c>
      <c r="G4" s="238">
        <v>19.038599999999999</v>
      </c>
      <c r="H4" s="238">
        <v>2.1034199999999998</v>
      </c>
      <c r="I4" s="238">
        <v>1.65839</v>
      </c>
      <c r="J4" s="238">
        <v>18.372800000000002</v>
      </c>
      <c r="K4" s="238">
        <v>4130.3697497876801</v>
      </c>
      <c r="L4" s="238">
        <v>465.89299999999997</v>
      </c>
      <c r="M4" s="238">
        <v>91711.037049999999</v>
      </c>
      <c r="N4" s="238">
        <v>15.7927</v>
      </c>
      <c r="O4" s="236">
        <v>0.55754498803251096</v>
      </c>
      <c r="P4" s="237">
        <v>2.0589608583349898E-2</v>
      </c>
    </row>
    <row r="5" spans="2:20">
      <c r="B5" s="233" t="s">
        <v>225</v>
      </c>
      <c r="C5" s="238">
        <v>90.811700000000002</v>
      </c>
      <c r="D5" s="238">
        <v>282.25</v>
      </c>
      <c r="E5" s="238">
        <v>0.2</v>
      </c>
      <c r="F5" s="238">
        <v>1596.72</v>
      </c>
      <c r="G5" s="238">
        <v>22.797000000000001</v>
      </c>
      <c r="H5" s="238">
        <v>2.3708100000000001</v>
      </c>
      <c r="I5" s="238">
        <v>1.53762</v>
      </c>
      <c r="J5" s="238">
        <v>18.586500000000001</v>
      </c>
      <c r="K5" s="238">
        <v>4178.4114209281497</v>
      </c>
      <c r="L5" s="238">
        <v>459.86599999999999</v>
      </c>
      <c r="M5" s="238">
        <v>90524.622099999993</v>
      </c>
      <c r="N5" s="238">
        <v>18.137699999999999</v>
      </c>
      <c r="O5" s="236">
        <v>0.64033279486327599</v>
      </c>
      <c r="P5" s="237">
        <v>2.22801023071992E-2</v>
      </c>
    </row>
    <row r="6" spans="2:20">
      <c r="B6" s="233" t="s">
        <v>150</v>
      </c>
      <c r="C6" s="238">
        <v>18.753900000000002</v>
      </c>
      <c r="D6" s="238">
        <v>216.7</v>
      </c>
      <c r="E6" s="238">
        <v>0.55000000000000004</v>
      </c>
      <c r="F6" s="238">
        <v>1750</v>
      </c>
      <c r="G6" s="238">
        <v>35.402000000000001</v>
      </c>
      <c r="H6" s="238">
        <v>3.1375299999999999</v>
      </c>
      <c r="I6" s="238">
        <v>1.2784899999999999</v>
      </c>
      <c r="J6" s="238">
        <v>6.6017900000000003</v>
      </c>
      <c r="K6" s="238">
        <v>1484.14143246815</v>
      </c>
      <c r="L6" s="238">
        <v>498.25299999999999</v>
      </c>
      <c r="M6" s="238">
        <v>98081.103050000005</v>
      </c>
      <c r="N6" s="238">
        <v>22.649000000000001</v>
      </c>
      <c r="O6" s="236">
        <v>0.79959958930064701</v>
      </c>
      <c r="P6" s="237">
        <v>2.7067674617311799E-2</v>
      </c>
    </row>
    <row r="7" spans="2:20">
      <c r="B7" s="233" t="s">
        <v>226</v>
      </c>
      <c r="C7" s="238">
        <v>20.646100000000001</v>
      </c>
      <c r="D7" s="238">
        <v>216.7</v>
      </c>
      <c r="E7" s="238">
        <v>0.65</v>
      </c>
      <c r="F7" s="238">
        <v>1503.85</v>
      </c>
      <c r="G7" s="238">
        <v>27.063500000000001</v>
      </c>
      <c r="H7" s="238">
        <v>2.6862499999999998</v>
      </c>
      <c r="I7" s="238">
        <v>1.48454</v>
      </c>
      <c r="J7" s="238">
        <v>5.6129600000000002</v>
      </c>
      <c r="K7" s="238">
        <v>1261.84360526258</v>
      </c>
      <c r="L7" s="238">
        <v>393.15499999999997</v>
      </c>
      <c r="M7" s="238">
        <v>77392.561749999993</v>
      </c>
      <c r="N7" s="238">
        <v>21.017900000000001</v>
      </c>
      <c r="O7" s="236">
        <v>0.74201528579460796</v>
      </c>
      <c r="P7" s="237">
        <v>2.16108284956942E-2</v>
      </c>
    </row>
    <row r="8" spans="2:20">
      <c r="B8" s="233" t="s">
        <v>227</v>
      </c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</row>
    <row r="9" spans="2:20">
      <c r="B9" s="233" t="s">
        <v>227</v>
      </c>
      <c r="C9" s="238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T9" s="11"/>
    </row>
    <row r="10" spans="2:20">
      <c r="B10" s="233" t="s">
        <v>227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</row>
    <row r="14" spans="2:20">
      <c r="B14" s="342" t="s">
        <v>228</v>
      </c>
      <c r="C14" s="342"/>
      <c r="D14" s="342"/>
      <c r="E14" s="342"/>
      <c r="F14" s="342"/>
      <c r="G14" s="342"/>
      <c r="H14" s="342"/>
      <c r="I14" s="342"/>
      <c r="J14" s="342"/>
      <c r="K14" s="11"/>
      <c r="L14" s="11"/>
      <c r="M14" s="120"/>
    </row>
    <row r="15" spans="2:20">
      <c r="B15" s="235" t="s">
        <v>211</v>
      </c>
      <c r="C15" s="235" t="s">
        <v>229</v>
      </c>
      <c r="D15" s="235" t="s">
        <v>230</v>
      </c>
      <c r="E15" s="235" t="s">
        <v>231</v>
      </c>
      <c r="F15" s="235" t="s">
        <v>232</v>
      </c>
      <c r="G15" s="235" t="s">
        <v>233</v>
      </c>
      <c r="H15" s="235" t="s">
        <v>234</v>
      </c>
      <c r="I15" s="235" t="s">
        <v>235</v>
      </c>
      <c r="J15" s="235" t="s">
        <v>236</v>
      </c>
      <c r="K15" t="s">
        <v>237</v>
      </c>
      <c r="M15" s="120"/>
      <c r="N15" s="103"/>
      <c r="O15" s="103"/>
      <c r="P15" s="103"/>
      <c r="Q15" s="103"/>
    </row>
    <row r="16" spans="2:20">
      <c r="B16" s="233" t="s">
        <v>199</v>
      </c>
      <c r="C16" s="238">
        <v>99.298500000000004</v>
      </c>
      <c r="D16" s="238">
        <v>288.14999999999998</v>
      </c>
      <c r="E16" s="238">
        <v>39.4358</v>
      </c>
      <c r="F16" s="238">
        <v>40.240600000000001</v>
      </c>
      <c r="G16" s="238">
        <v>2.1034199999999998</v>
      </c>
      <c r="H16" s="238">
        <v>2892.9393035600001</v>
      </c>
      <c r="I16" s="236">
        <v>0.94073300000000004</v>
      </c>
      <c r="J16" s="238">
        <v>89.101500000000001</v>
      </c>
      <c r="M16" s="120"/>
      <c r="N16" s="103"/>
      <c r="O16" s="103"/>
      <c r="P16" s="103"/>
      <c r="Q16" s="103"/>
      <c r="R16" s="103"/>
    </row>
    <row r="17" spans="2:20">
      <c r="B17" s="233" t="s">
        <v>225</v>
      </c>
      <c r="C17" s="238">
        <v>91.512699999999995</v>
      </c>
      <c r="D17" s="238">
        <v>284.46800000000002</v>
      </c>
      <c r="E17" s="238">
        <v>40.417200000000001</v>
      </c>
      <c r="F17" s="238">
        <v>44.464100000000002</v>
      </c>
      <c r="G17" s="238">
        <v>2.3708100000000001</v>
      </c>
      <c r="H17" s="238">
        <v>3416.5225000800001</v>
      </c>
      <c r="I17" s="236">
        <v>0.95197100000000001</v>
      </c>
      <c r="J17" s="238">
        <v>95.8767</v>
      </c>
      <c r="M17" s="120"/>
      <c r="N17" s="103"/>
      <c r="O17" s="103"/>
      <c r="P17" s="103"/>
      <c r="Q17" s="103"/>
      <c r="R17" s="103"/>
    </row>
    <row r="18" spans="2:20">
      <c r="B18" s="233" t="s">
        <v>150</v>
      </c>
      <c r="C18" s="238">
        <v>22.577500000000001</v>
      </c>
      <c r="D18" s="238">
        <v>229.786</v>
      </c>
      <c r="E18" s="238">
        <v>13.2499</v>
      </c>
      <c r="F18" s="238">
        <v>53.101300000000002</v>
      </c>
      <c r="G18" s="238">
        <v>3.1375299999999999</v>
      </c>
      <c r="H18" s="238">
        <v>1469.50333209</v>
      </c>
      <c r="I18" s="236">
        <v>0.83293300000000003</v>
      </c>
      <c r="J18" s="238">
        <v>113.83799999999999</v>
      </c>
      <c r="M18" s="120"/>
      <c r="N18" s="103"/>
      <c r="O18" s="103"/>
      <c r="P18" s="103"/>
      <c r="Q18" s="103"/>
      <c r="R18" s="103"/>
    </row>
    <row r="19" spans="2:20">
      <c r="B19" s="233" t="s">
        <v>226</v>
      </c>
      <c r="C19" s="238">
        <v>26.881799999999998</v>
      </c>
      <c r="D19" s="238">
        <v>234.99700000000001</v>
      </c>
      <c r="E19" s="238">
        <v>14.2767</v>
      </c>
      <c r="F19" s="238">
        <v>48.596800000000002</v>
      </c>
      <c r="G19" s="238">
        <v>2.6862499999999998</v>
      </c>
      <c r="H19" s="238">
        <v>1175.0945850349999</v>
      </c>
      <c r="I19" s="236">
        <v>0.94416999999999995</v>
      </c>
      <c r="J19" s="238">
        <v>95.460499999999996</v>
      </c>
      <c r="M19" s="120"/>
      <c r="N19" s="103"/>
      <c r="O19" s="103"/>
      <c r="P19" s="103"/>
      <c r="Q19" s="103"/>
      <c r="R19" s="103"/>
    </row>
    <row r="20" spans="2:20">
      <c r="B20" s="233" t="s">
        <v>227</v>
      </c>
      <c r="C20" s="233"/>
      <c r="D20" s="233"/>
      <c r="E20" s="233"/>
      <c r="F20" s="233"/>
      <c r="G20" s="233"/>
      <c r="H20" s="233"/>
      <c r="I20" s="233"/>
      <c r="J20" s="233"/>
      <c r="M20" s="120"/>
      <c r="N20" s="103"/>
      <c r="O20" s="103"/>
      <c r="P20" s="103"/>
      <c r="Q20" s="103"/>
      <c r="R20" s="103"/>
    </row>
    <row r="21" spans="2:20">
      <c r="B21" s="233" t="s">
        <v>227</v>
      </c>
      <c r="C21" s="233"/>
      <c r="D21" s="233"/>
      <c r="E21" s="233"/>
      <c r="F21" s="233"/>
      <c r="G21" s="233"/>
      <c r="H21" s="233"/>
      <c r="I21" s="233"/>
      <c r="J21" s="233"/>
      <c r="M21" s="120"/>
      <c r="N21" s="261"/>
      <c r="O21" s="261"/>
      <c r="P21" s="261"/>
      <c r="Q21" s="261"/>
      <c r="R21" s="103"/>
    </row>
    <row r="22" spans="2:20">
      <c r="B22" s="233" t="s">
        <v>227</v>
      </c>
      <c r="C22" s="233"/>
      <c r="D22" s="233"/>
      <c r="E22" s="233"/>
      <c r="F22" s="233"/>
      <c r="G22" s="233"/>
      <c r="H22" s="233"/>
      <c r="I22" s="233"/>
      <c r="J22" s="233"/>
      <c r="M22" s="120"/>
      <c r="N22" s="103"/>
      <c r="O22" s="103"/>
      <c r="P22" s="103"/>
      <c r="Q22" s="103"/>
      <c r="R22" s="261"/>
    </row>
    <row r="23" spans="2:20">
      <c r="N23" s="120"/>
      <c r="O23" s="103"/>
      <c r="P23" s="103"/>
      <c r="Q23" s="103"/>
      <c r="R23" s="103"/>
    </row>
    <row r="24" spans="2:20">
      <c r="B24" s="343" t="s">
        <v>238</v>
      </c>
      <c r="C24" s="343"/>
      <c r="D24" s="343"/>
      <c r="E24" s="343"/>
      <c r="F24" s="343"/>
      <c r="G24" s="343"/>
      <c r="H24" s="343"/>
      <c r="I24" s="343"/>
      <c r="J24" s="343"/>
      <c r="N24" s="11"/>
      <c r="O24" s="103"/>
      <c r="P24" s="103"/>
      <c r="Q24" s="103"/>
      <c r="R24" s="103"/>
    </row>
    <row r="25" spans="2:20">
      <c r="B25" s="235" t="s">
        <v>211</v>
      </c>
      <c r="C25" s="235" t="s">
        <v>229</v>
      </c>
      <c r="D25" s="235" t="s">
        <v>230</v>
      </c>
      <c r="E25" s="235" t="s">
        <v>231</v>
      </c>
      <c r="F25" s="235" t="s">
        <v>232</v>
      </c>
      <c r="G25" s="235" t="s">
        <v>233</v>
      </c>
      <c r="H25" s="235" t="s">
        <v>234</v>
      </c>
      <c r="I25" s="235" t="s">
        <v>235</v>
      </c>
      <c r="J25" s="235" t="s">
        <v>236</v>
      </c>
      <c r="N25" s="11"/>
      <c r="O25" s="103"/>
      <c r="P25" s="103"/>
      <c r="Q25" s="103"/>
      <c r="R25" s="103"/>
    </row>
    <row r="26" spans="2:20">
      <c r="B26" s="233" t="s">
        <v>199</v>
      </c>
      <c r="C26" s="238">
        <v>207.059</v>
      </c>
      <c r="D26" s="238">
        <v>360.952</v>
      </c>
      <c r="E26" s="238">
        <v>14.834199999999999</v>
      </c>
      <c r="F26" s="238">
        <v>8.1245700000000003</v>
      </c>
      <c r="G26" s="238">
        <v>9.1302400000000006</v>
      </c>
      <c r="H26" s="238">
        <v>5256.7329556000004</v>
      </c>
      <c r="I26" s="236">
        <v>0.88838399999999995</v>
      </c>
      <c r="J26" s="238">
        <v>100</v>
      </c>
      <c r="N26" s="11"/>
      <c r="O26" s="103"/>
      <c r="P26" s="103"/>
      <c r="Q26" s="103"/>
      <c r="R26" s="103"/>
    </row>
    <row r="27" spans="2:20">
      <c r="B27" s="233" t="s">
        <v>225</v>
      </c>
      <c r="C27" s="238">
        <v>214.91300000000001</v>
      </c>
      <c r="D27" s="238">
        <v>368.36799999999999</v>
      </c>
      <c r="E27" s="238">
        <v>15.927199999999999</v>
      </c>
      <c r="F27" s="238">
        <v>8.4903600000000008</v>
      </c>
      <c r="G27" s="238">
        <v>9.7072800000000008</v>
      </c>
      <c r="H27" s="238">
        <v>5981.3960790000001</v>
      </c>
      <c r="I27" s="236">
        <v>0.88803200000000004</v>
      </c>
      <c r="J27" s="238">
        <v>103.95399999999999</v>
      </c>
      <c r="L27" s="103"/>
      <c r="N27" s="11"/>
      <c r="O27" s="103"/>
      <c r="P27" s="103"/>
      <c r="Q27" s="103"/>
      <c r="R27" s="103"/>
    </row>
    <row r="28" spans="2:20" ht="15.6">
      <c r="B28" s="233" t="s">
        <v>150</v>
      </c>
      <c r="C28" s="238">
        <v>70.066100000000006</v>
      </c>
      <c r="D28" s="238">
        <v>340.12599999999998</v>
      </c>
      <c r="E28" s="238">
        <v>5.8148200000000001</v>
      </c>
      <c r="F28" s="238">
        <v>9.1359899999999996</v>
      </c>
      <c r="G28" s="238">
        <v>11.4076</v>
      </c>
      <c r="H28" s="238">
        <v>2324.0854135200002</v>
      </c>
      <c r="I28" s="236">
        <v>0.86162700000000003</v>
      </c>
      <c r="J28" s="238">
        <v>107.527</v>
      </c>
      <c r="L28" s="103"/>
      <c r="N28" s="370">
        <v>-63357</v>
      </c>
      <c r="O28" s="370">
        <v>18950.7</v>
      </c>
      <c r="P28" s="370">
        <v>373407</v>
      </c>
      <c r="Q28" s="370">
        <v>1453870</v>
      </c>
      <c r="R28" s="370">
        <v>928619</v>
      </c>
      <c r="S28" s="370">
        <v>18950.7</v>
      </c>
      <c r="T28" s="370">
        <v>279492</v>
      </c>
    </row>
    <row r="29" spans="2:20">
      <c r="B29" s="233" t="s">
        <v>226</v>
      </c>
      <c r="C29" s="238">
        <v>71.522800000000004</v>
      </c>
      <c r="D29" s="238">
        <v>316.95100000000002</v>
      </c>
      <c r="E29" s="238">
        <v>5.7462400000000002</v>
      </c>
      <c r="F29" s="238">
        <v>8.5377299999999998</v>
      </c>
      <c r="G29" s="238">
        <v>10.171799999999999</v>
      </c>
      <c r="H29" s="238">
        <v>1934.9614099400001</v>
      </c>
      <c r="I29" s="236">
        <v>0.88256800000000002</v>
      </c>
      <c r="J29" s="238">
        <v>97.201599999999999</v>
      </c>
      <c r="L29" s="103"/>
      <c r="N29" s="11">
        <f>N28-$N$28</f>
        <v>0</v>
      </c>
      <c r="O29" s="11">
        <f t="shared" ref="O29:T29" si="0">O28-$N$28</f>
        <v>82307.7</v>
      </c>
      <c r="P29" s="11">
        <f t="shared" si="0"/>
        <v>436764</v>
      </c>
      <c r="Q29" s="11">
        <f t="shared" si="0"/>
        <v>1517227</v>
      </c>
      <c r="R29" s="11">
        <f t="shared" si="0"/>
        <v>991976</v>
      </c>
      <c r="S29" s="11">
        <f t="shared" si="0"/>
        <v>82307.7</v>
      </c>
      <c r="T29" s="11">
        <f t="shared" si="0"/>
        <v>342849</v>
      </c>
    </row>
    <row r="30" spans="2:20">
      <c r="B30" s="233" t="s">
        <v>227</v>
      </c>
      <c r="C30" s="233"/>
      <c r="D30" s="233"/>
      <c r="E30" s="233"/>
      <c r="F30" s="233"/>
      <c r="G30" s="233"/>
      <c r="H30" s="233"/>
      <c r="I30" s="233"/>
      <c r="J30" s="233"/>
    </row>
    <row r="31" spans="2:20">
      <c r="B31" s="233" t="s">
        <v>227</v>
      </c>
      <c r="C31" s="233"/>
      <c r="D31" s="233"/>
      <c r="E31" s="233"/>
      <c r="F31" s="233"/>
      <c r="G31" s="233"/>
      <c r="H31" s="233"/>
      <c r="I31" s="233"/>
      <c r="J31" s="233"/>
    </row>
    <row r="32" spans="2:20">
      <c r="B32" s="233" t="s">
        <v>227</v>
      </c>
      <c r="C32" s="233"/>
      <c r="D32" s="233"/>
      <c r="E32" s="233"/>
      <c r="F32" s="233"/>
      <c r="G32" s="233"/>
      <c r="H32" s="233"/>
      <c r="I32" s="233"/>
      <c r="J32" s="233"/>
      <c r="L32" s="103"/>
    </row>
    <row r="33" spans="2:21">
      <c r="L33" s="103"/>
    </row>
    <row r="34" spans="2:21">
      <c r="B34" s="344" t="s">
        <v>239</v>
      </c>
      <c r="C34" s="344"/>
      <c r="D34" s="344"/>
      <c r="E34" s="344"/>
      <c r="F34" s="344"/>
      <c r="G34" s="344"/>
      <c r="H34" s="344"/>
      <c r="I34" s="344"/>
      <c r="J34" s="344"/>
    </row>
    <row r="35" spans="2:21" ht="15" thickBot="1">
      <c r="B35" s="235" t="s">
        <v>211</v>
      </c>
      <c r="C35" s="235" t="s">
        <v>229</v>
      </c>
      <c r="D35" s="235" t="s">
        <v>230</v>
      </c>
      <c r="E35" s="235" t="s">
        <v>231</v>
      </c>
      <c r="F35" s="235" t="s">
        <v>232</v>
      </c>
      <c r="G35" s="235" t="s">
        <v>240</v>
      </c>
      <c r="H35" s="235" t="s">
        <v>234</v>
      </c>
      <c r="I35" s="235" t="s">
        <v>235</v>
      </c>
      <c r="J35" s="235" t="s">
        <v>236</v>
      </c>
    </row>
    <row r="36" spans="2:21" ht="15" thickBot="1">
      <c r="B36" s="233" t="s">
        <v>199</v>
      </c>
      <c r="C36" s="238">
        <v>1829.16</v>
      </c>
      <c r="D36" s="238">
        <v>1517.09</v>
      </c>
      <c r="E36" s="238">
        <v>12.7508</v>
      </c>
      <c r="F36" s="238">
        <v>1.6206799999999999</v>
      </c>
      <c r="G36" s="238">
        <v>3.5607500000000001</v>
      </c>
      <c r="H36" s="238">
        <v>5588.64</v>
      </c>
      <c r="I36" s="236">
        <v>0.90119499999999997</v>
      </c>
      <c r="J36" s="238">
        <v>100</v>
      </c>
      <c r="L36" s="103"/>
      <c r="O36" s="259"/>
    </row>
    <row r="37" spans="2:21" ht="15" thickBot="1">
      <c r="B37" s="233" t="s">
        <v>225</v>
      </c>
      <c r="C37" s="238">
        <v>2019.69</v>
      </c>
      <c r="D37" s="238">
        <v>1596.72</v>
      </c>
      <c r="E37" s="238">
        <v>13.715999999999999</v>
      </c>
      <c r="F37" s="238">
        <v>1.6197999999999999</v>
      </c>
      <c r="G37" s="238">
        <v>3.55965</v>
      </c>
      <c r="H37" s="238">
        <v>6343.71</v>
      </c>
      <c r="I37" s="236">
        <v>0.90274799999999999</v>
      </c>
      <c r="J37" s="238">
        <v>103.95399999999999</v>
      </c>
      <c r="L37" s="103"/>
    </row>
    <row r="38" spans="2:21" ht="15" thickBot="1">
      <c r="B38" s="233" t="s">
        <v>150</v>
      </c>
      <c r="C38" s="238">
        <v>776.23299999999995</v>
      </c>
      <c r="D38" s="238">
        <v>1750</v>
      </c>
      <c r="E38" s="238">
        <v>5.0339700000000001</v>
      </c>
      <c r="F38" s="238">
        <v>1.6193500000000001</v>
      </c>
      <c r="G38" s="238">
        <v>3.5162300000000002</v>
      </c>
      <c r="H38" s="238">
        <v>2532.8000000000002</v>
      </c>
      <c r="I38" s="236">
        <v>0.90098900000000004</v>
      </c>
      <c r="J38" s="238">
        <v>107.527</v>
      </c>
      <c r="L38" s="103"/>
      <c r="N38" s="259"/>
      <c r="O38" s="259"/>
      <c r="P38" s="259"/>
      <c r="Q38" s="259"/>
      <c r="R38" s="259"/>
      <c r="S38" s="259"/>
      <c r="T38" s="259"/>
      <c r="U38" s="259"/>
    </row>
    <row r="39" spans="2:21">
      <c r="B39" s="233" t="s">
        <v>226</v>
      </c>
      <c r="C39" s="238">
        <v>705.55100000000004</v>
      </c>
      <c r="D39" s="238">
        <v>1503.85</v>
      </c>
      <c r="E39" s="238">
        <v>4.9448100000000004</v>
      </c>
      <c r="F39" s="238">
        <v>1.62229</v>
      </c>
      <c r="G39" s="238">
        <v>3.5262099999999998</v>
      </c>
      <c r="H39" s="238">
        <v>2127.33</v>
      </c>
      <c r="I39" s="236">
        <v>0.89793199999999995</v>
      </c>
      <c r="J39" s="238">
        <v>97.201599999999999</v>
      </c>
      <c r="N39" s="260"/>
    </row>
    <row r="40" spans="2:21">
      <c r="B40" s="233" t="s">
        <v>227</v>
      </c>
      <c r="C40" s="233"/>
      <c r="D40" s="233"/>
      <c r="E40" s="233"/>
      <c r="F40" s="233"/>
      <c r="G40" s="233"/>
      <c r="H40" s="233"/>
      <c r="I40" s="233"/>
      <c r="J40" s="233"/>
    </row>
    <row r="41" spans="2:21">
      <c r="B41" s="233" t="s">
        <v>227</v>
      </c>
      <c r="C41" s="233"/>
      <c r="D41" s="233"/>
      <c r="E41" s="233"/>
      <c r="F41" s="233"/>
      <c r="G41" s="233"/>
      <c r="H41" s="233"/>
      <c r="I41" s="233"/>
      <c r="J41" s="233"/>
    </row>
    <row r="42" spans="2:21">
      <c r="B42" s="233" t="s">
        <v>227</v>
      </c>
      <c r="C42" s="233"/>
      <c r="D42" s="233"/>
      <c r="E42" s="233"/>
      <c r="F42" s="233"/>
      <c r="G42" s="233"/>
      <c r="H42" s="233"/>
      <c r="I42" s="233"/>
      <c r="J42" s="233"/>
    </row>
    <row r="44" spans="2:21">
      <c r="B44" s="345" t="s">
        <v>241</v>
      </c>
      <c r="C44" s="345"/>
      <c r="D44" s="345"/>
      <c r="E44" s="345"/>
      <c r="F44" s="345"/>
      <c r="G44" s="345"/>
      <c r="H44" s="345"/>
      <c r="I44" s="345"/>
      <c r="J44" s="345"/>
    </row>
    <row r="45" spans="2:21">
      <c r="B45" s="235" t="s">
        <v>211</v>
      </c>
      <c r="C45" s="235" t="s">
        <v>229</v>
      </c>
      <c r="D45" s="235" t="s">
        <v>230</v>
      </c>
      <c r="E45" s="235" t="s">
        <v>231</v>
      </c>
      <c r="F45" s="235" t="s">
        <v>232</v>
      </c>
      <c r="G45" s="235" t="s">
        <v>240</v>
      </c>
      <c r="H45" s="235" t="s">
        <v>234</v>
      </c>
      <c r="I45" s="235" t="s">
        <v>235</v>
      </c>
      <c r="J45" s="235" t="s">
        <v>236</v>
      </c>
    </row>
    <row r="46" spans="2:21">
      <c r="B46" s="233" t="s">
        <v>199</v>
      </c>
      <c r="C46" s="238">
        <v>503.24900000000002</v>
      </c>
      <c r="D46" s="238">
        <v>1141.17</v>
      </c>
      <c r="E46" s="238">
        <v>13.492599999999999</v>
      </c>
      <c r="F46" s="238">
        <v>5.4061899999999996</v>
      </c>
      <c r="G46" s="238">
        <v>2.18086</v>
      </c>
      <c r="H46" s="238">
        <v>2922.14</v>
      </c>
      <c r="I46" s="236">
        <v>0.92313199999999995</v>
      </c>
      <c r="J46" s="238">
        <v>89.101500000000001</v>
      </c>
    </row>
    <row r="47" spans="2:21">
      <c r="B47" s="233" t="s">
        <v>225</v>
      </c>
      <c r="C47" s="238">
        <v>555.83799999999997</v>
      </c>
      <c r="D47" s="238">
        <v>1203.8</v>
      </c>
      <c r="E47" s="238">
        <v>14.5123</v>
      </c>
      <c r="F47" s="238">
        <v>5.4071800000000003</v>
      </c>
      <c r="G47" s="238">
        <v>2.24186</v>
      </c>
      <c r="H47" s="238">
        <v>3451.04</v>
      </c>
      <c r="I47" s="236">
        <v>0.93077900000000002</v>
      </c>
      <c r="J47" s="238">
        <v>95.8767</v>
      </c>
    </row>
    <row r="48" spans="2:21">
      <c r="B48" s="233" t="s">
        <v>150</v>
      </c>
      <c r="C48" s="238">
        <v>216.351</v>
      </c>
      <c r="D48" s="238">
        <v>1327.74</v>
      </c>
      <c r="E48" s="238">
        <v>5.3247099999999996</v>
      </c>
      <c r="F48" s="238">
        <v>5.3530199999999999</v>
      </c>
      <c r="G48" s="238">
        <v>2.4147099999999999</v>
      </c>
      <c r="H48" s="238">
        <v>1484.31</v>
      </c>
      <c r="I48" s="236">
        <v>0.90889200000000003</v>
      </c>
      <c r="J48" s="238">
        <v>113.83799999999999</v>
      </c>
    </row>
    <row r="49" spans="2:10">
      <c r="B49" s="233" t="s">
        <v>226</v>
      </c>
      <c r="C49" s="238">
        <v>196.08500000000001</v>
      </c>
      <c r="D49" s="238">
        <v>1132.23</v>
      </c>
      <c r="E49" s="238">
        <v>5.2321200000000001</v>
      </c>
      <c r="F49" s="238">
        <v>5.3592899999999997</v>
      </c>
      <c r="G49" s="238">
        <v>2.3123200000000002</v>
      </c>
      <c r="H49" s="238">
        <v>1186.97</v>
      </c>
      <c r="I49" s="236">
        <v>0.91122700000000001</v>
      </c>
      <c r="J49" s="238">
        <v>95.460499999999996</v>
      </c>
    </row>
    <row r="50" spans="2:10">
      <c r="B50" s="233" t="s">
        <v>227</v>
      </c>
      <c r="C50" s="233"/>
      <c r="D50" s="233"/>
      <c r="E50" s="233"/>
      <c r="F50" s="233"/>
      <c r="G50" s="233"/>
      <c r="H50" s="233"/>
      <c r="I50" s="233"/>
      <c r="J50" s="233"/>
    </row>
    <row r="51" spans="2:10">
      <c r="B51" s="233" t="s">
        <v>227</v>
      </c>
      <c r="C51" s="233"/>
      <c r="D51" s="233"/>
      <c r="E51" s="233"/>
      <c r="F51" s="233"/>
      <c r="G51" s="233"/>
      <c r="H51" s="233"/>
      <c r="I51" s="233"/>
      <c r="J51" s="233"/>
    </row>
    <row r="52" spans="2:10">
      <c r="B52" s="233" t="s">
        <v>227</v>
      </c>
      <c r="C52" s="233"/>
      <c r="D52" s="233"/>
      <c r="E52" s="233"/>
      <c r="F52" s="233"/>
      <c r="G52" s="233"/>
      <c r="H52" s="233"/>
      <c r="I52" s="233"/>
      <c r="J52" s="233"/>
    </row>
  </sheetData>
  <mergeCells count="5">
    <mergeCell ref="B2:P2"/>
    <mergeCell ref="B14:J14"/>
    <mergeCell ref="B24:J24"/>
    <mergeCell ref="B34:J34"/>
    <mergeCell ref="B44:J4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0177-55FA-496E-8C46-FF3B898C5D15}">
  <sheetPr codeName="Sheet14"/>
  <dimension ref="A1:BF53"/>
  <sheetViews>
    <sheetView zoomScale="85" zoomScaleNormal="85" workbookViewId="0">
      <selection activeCell="K56" sqref="K56"/>
    </sheetView>
  </sheetViews>
  <sheetFormatPr defaultRowHeight="14.4"/>
  <cols>
    <col min="4" max="4" width="10.33203125" customWidth="1"/>
    <col min="5" max="5" width="10.44140625" customWidth="1"/>
    <col min="6" max="6" width="9.6640625" customWidth="1"/>
    <col min="7" max="7" width="11.44140625" customWidth="1"/>
    <col min="8" max="8" width="11.6640625" customWidth="1"/>
    <col min="9" max="11" width="9.33203125" customWidth="1"/>
    <col min="12" max="12" width="8.44140625" bestFit="1" customWidth="1"/>
    <col min="13" max="14" width="9.33203125" customWidth="1"/>
    <col min="17" max="17" width="9.6640625" customWidth="1"/>
    <col min="18" max="18" width="16.44140625" customWidth="1"/>
    <col min="21" max="21" width="12" bestFit="1" customWidth="1"/>
    <col min="22" max="23" width="13.33203125" bestFit="1" customWidth="1"/>
    <col min="24" max="24" width="10.33203125" customWidth="1"/>
    <col min="25" max="29" width="13.33203125" bestFit="1" customWidth="1"/>
    <col min="30" max="30" width="14.6640625" bestFit="1" customWidth="1"/>
    <col min="31" max="31" width="13.44140625" bestFit="1" customWidth="1"/>
    <col min="32" max="32" width="2.6640625" customWidth="1"/>
    <col min="33" max="34" width="13.33203125" bestFit="1" customWidth="1"/>
    <col min="35" max="35" width="17.44140625" bestFit="1" customWidth="1"/>
    <col min="36" max="36" width="15.44140625" bestFit="1" customWidth="1"/>
    <col min="38" max="38" width="12.6640625" customWidth="1"/>
    <col min="39" max="39" width="12.33203125" customWidth="1"/>
    <col min="41" max="50" width="11.44140625" customWidth="1"/>
    <col min="52" max="52" width="6.33203125" bestFit="1" customWidth="1"/>
    <col min="54" max="54" width="4.33203125" bestFit="1" customWidth="1"/>
    <col min="55" max="55" width="10.33203125" bestFit="1" customWidth="1"/>
    <col min="56" max="56" width="8.33203125" bestFit="1" customWidth="1"/>
    <col min="57" max="58" width="13.44140625" bestFit="1" customWidth="1"/>
  </cols>
  <sheetData>
    <row r="1" spans="1:58" ht="15" thickBot="1">
      <c r="B1" s="268" t="s">
        <v>0</v>
      </c>
      <c r="C1" s="269"/>
      <c r="D1" s="269"/>
      <c r="E1" s="270"/>
      <c r="G1" s="73" t="s">
        <v>214</v>
      </c>
      <c r="H1" s="24">
        <v>0</v>
      </c>
      <c r="I1" s="5"/>
      <c r="J1" s="73" t="s">
        <v>242</v>
      </c>
      <c r="K1" s="24">
        <v>5</v>
      </c>
      <c r="L1" s="5"/>
      <c r="M1" s="73" t="s">
        <v>215</v>
      </c>
      <c r="N1" s="24">
        <v>1200</v>
      </c>
      <c r="R1" s="73" t="s">
        <v>243</v>
      </c>
      <c r="S1" s="24">
        <f>(K3*1000/(N2*H3*1000)+1)/(H3*1000/101325)</f>
        <v>3.0807825720961959</v>
      </c>
    </row>
    <row r="2" spans="1:58">
      <c r="B2" s="61" t="s">
        <v>1</v>
      </c>
      <c r="C2" s="61" t="s">
        <v>2</v>
      </c>
      <c r="D2" s="61" t="s">
        <v>3</v>
      </c>
      <c r="E2" s="61" t="s">
        <v>4</v>
      </c>
      <c r="G2" s="73" t="s">
        <v>244</v>
      </c>
      <c r="H2" s="24">
        <v>288.14999999999998</v>
      </c>
      <c r="I2" s="5"/>
      <c r="J2" s="73" t="s">
        <v>245</v>
      </c>
      <c r="K2" s="24">
        <v>348.84</v>
      </c>
      <c r="L2" s="5"/>
      <c r="M2" s="73" t="s">
        <v>246</v>
      </c>
      <c r="N2" s="24">
        <v>1.7000000000000001E-2</v>
      </c>
      <c r="R2" s="73" t="s">
        <v>232</v>
      </c>
      <c r="S2" s="24">
        <f>K1*SQRT(H2/288.15)/(H3/101.325)</f>
        <v>5</v>
      </c>
      <c r="AO2" s="272" t="s">
        <v>6</v>
      </c>
      <c r="AP2" s="273"/>
      <c r="AQ2" s="273"/>
      <c r="AR2" s="273"/>
      <c r="AS2" s="273"/>
      <c r="AT2" s="273"/>
      <c r="AU2" s="273"/>
      <c r="AV2" s="274"/>
    </row>
    <row r="3" spans="1:58">
      <c r="B3" s="3">
        <v>101.325</v>
      </c>
      <c r="C3" s="3">
        <v>288.14999999999998</v>
      </c>
      <c r="D3" s="3">
        <v>287</v>
      </c>
      <c r="E3" s="3">
        <v>1.4</v>
      </c>
      <c r="G3" s="73" t="s">
        <v>247</v>
      </c>
      <c r="H3" s="24">
        <v>101.325</v>
      </c>
      <c r="I3" s="5"/>
      <c r="J3" s="73" t="s">
        <v>248</v>
      </c>
      <c r="K3" s="24">
        <v>3.5842000000000001</v>
      </c>
      <c r="L3" s="5"/>
      <c r="M3" s="73" t="s">
        <v>216</v>
      </c>
      <c r="N3" s="24">
        <v>5</v>
      </c>
      <c r="R3" s="73" t="s">
        <v>249</v>
      </c>
      <c r="S3" s="24">
        <f>K2/((H3/101.325)*(SQRT(H2/288.15)))</f>
        <v>348.84</v>
      </c>
      <c r="AO3" s="21" t="s">
        <v>7</v>
      </c>
      <c r="AP3" s="16" t="s">
        <v>8</v>
      </c>
      <c r="AQ3" s="16" t="s">
        <v>9</v>
      </c>
      <c r="AR3" s="16" t="s">
        <v>10</v>
      </c>
      <c r="AS3" s="2" t="s">
        <v>11</v>
      </c>
      <c r="AT3" s="2" t="s">
        <v>12</v>
      </c>
      <c r="AU3" s="2" t="s">
        <v>13</v>
      </c>
      <c r="AV3" s="22" t="s">
        <v>14</v>
      </c>
    </row>
    <row r="4" spans="1:58" ht="15" thickBot="1">
      <c r="AO4" s="32">
        <f t="shared" ref="AO4:AO53" si="0">3.28084*AP4</f>
        <v>-6561.68</v>
      </c>
      <c r="AP4" s="17">
        <v>-2000</v>
      </c>
      <c r="AQ4" s="17">
        <v>301.2</v>
      </c>
      <c r="AR4" s="17">
        <v>127.78</v>
      </c>
      <c r="AS4" s="17">
        <v>1.2067000000000001</v>
      </c>
      <c r="AT4" s="17">
        <v>1.2529999999999999</v>
      </c>
      <c r="AU4" s="17">
        <v>2.6360000000000001</v>
      </c>
      <c r="AV4" s="33">
        <v>347.9</v>
      </c>
    </row>
    <row r="5" spans="1:58" ht="15" thickBot="1">
      <c r="B5" s="268" t="s">
        <v>17</v>
      </c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70"/>
      <c r="T5" s="11"/>
      <c r="U5" s="268" t="s">
        <v>250</v>
      </c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70"/>
      <c r="AO5" s="32">
        <f t="shared" si="0"/>
        <v>-4921.26</v>
      </c>
      <c r="AP5" s="17">
        <v>-1500</v>
      </c>
      <c r="AQ5" s="17">
        <v>297.89999999999998</v>
      </c>
      <c r="AR5" s="17">
        <v>120.7</v>
      </c>
      <c r="AS5" s="17">
        <v>1.1521999999999999</v>
      </c>
      <c r="AT5" s="17">
        <v>1.3009999999999999</v>
      </c>
      <c r="AU5" s="17">
        <v>2.6110000000000002</v>
      </c>
      <c r="AV5" s="33">
        <v>346</v>
      </c>
    </row>
    <row r="6" spans="1:58">
      <c r="B6" s="61" t="s">
        <v>7</v>
      </c>
      <c r="C6" s="61" t="s">
        <v>22</v>
      </c>
      <c r="D6" s="61" t="s">
        <v>23</v>
      </c>
      <c r="E6" s="61" t="s">
        <v>24</v>
      </c>
      <c r="F6" s="61" t="s">
        <v>25</v>
      </c>
      <c r="G6" s="61" t="s">
        <v>26</v>
      </c>
      <c r="H6" s="102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1" t="s">
        <v>33</v>
      </c>
      <c r="O6" s="61" t="s">
        <v>34</v>
      </c>
      <c r="P6" s="61" t="s">
        <v>35</v>
      </c>
      <c r="Q6" s="61" t="s">
        <v>36</v>
      </c>
      <c r="R6" s="61" t="s">
        <v>37</v>
      </c>
      <c r="S6" s="61" t="s">
        <v>38</v>
      </c>
      <c r="T6" s="11"/>
      <c r="U6" s="61" t="s">
        <v>251</v>
      </c>
      <c r="V6" s="61" t="s">
        <v>252</v>
      </c>
      <c r="W6" s="61" t="s">
        <v>242</v>
      </c>
      <c r="X6" s="102" t="s">
        <v>253</v>
      </c>
      <c r="Y6" s="61" t="s">
        <v>254</v>
      </c>
      <c r="Z6" s="61" t="s">
        <v>224</v>
      </c>
      <c r="AA6" s="61" t="s">
        <v>255</v>
      </c>
      <c r="AB6" s="61" t="s">
        <v>256</v>
      </c>
      <c r="AC6" s="61" t="s">
        <v>248</v>
      </c>
      <c r="AD6" s="61" t="s">
        <v>257</v>
      </c>
      <c r="AE6" s="61" t="s">
        <v>258</v>
      </c>
      <c r="AF6" s="61"/>
      <c r="AG6" s="61" t="s">
        <v>259</v>
      </c>
      <c r="AH6" s="61" t="s">
        <v>260</v>
      </c>
      <c r="AI6" s="61" t="s">
        <v>261</v>
      </c>
      <c r="AJ6" s="61" t="s">
        <v>262</v>
      </c>
      <c r="AL6" s="2" t="s">
        <v>263</v>
      </c>
      <c r="AM6" s="2" t="s">
        <v>264</v>
      </c>
      <c r="AO6" s="32">
        <f t="shared" si="0"/>
        <v>-3280.84</v>
      </c>
      <c r="AP6" s="17">
        <v>-1000</v>
      </c>
      <c r="AQ6" s="17">
        <v>294.7</v>
      </c>
      <c r="AR6" s="17">
        <v>113.93</v>
      </c>
      <c r="AS6" s="17">
        <v>1.0995999999999999</v>
      </c>
      <c r="AT6" s="17">
        <v>1.3520000000000001</v>
      </c>
      <c r="AU6" s="17">
        <v>2.585</v>
      </c>
      <c r="AV6" s="33">
        <v>344.1</v>
      </c>
      <c r="AZ6" s="347" t="s">
        <v>265</v>
      </c>
      <c r="BA6" s="347"/>
      <c r="BB6" s="347"/>
      <c r="BC6" s="347"/>
      <c r="BD6" s="347"/>
      <c r="BE6" s="347"/>
      <c r="BF6" s="347"/>
    </row>
    <row r="7" spans="1:58">
      <c r="B7" s="3">
        <v>0</v>
      </c>
      <c r="C7" s="3">
        <v>0</v>
      </c>
      <c r="D7" s="3">
        <v>0</v>
      </c>
      <c r="E7" s="13" cm="1">
        <f t="array" ref="E7">((B7-INDEX($AO$4:$AR$53,MATCH(B7,$AO$4:$AO$53,1),1))/(INDEX($AO$4:$AR$53,MATCH(B7,$AO$4:$AO$53,1)+1,1)-INDEX($AO$4:$AR$53,MATCH(B7,$AO$4:$AO$53,1),1)))*(INDEX($AO$4:$AR$53,MATCH(B7,$AO$4:$AO$53,1)+1,4)-INDEX($AO$4:$AR$53,MATCH(B7,$AO$4:$AO$53,1),4))+INDEX($AO$4:$AR$53,MATCH(B7,$AO$4:$AO$53,1),4)</f>
        <v>101.325</v>
      </c>
      <c r="F7" s="13" cm="1">
        <f t="array" ref="F7">C7+((B7-INDEX($AO$4:$AR$53,MATCH(B7,$AO$4:$AO$53,1),1))/(INDEX($AO$4:$AR$53,MATCH(B7,$AO$4:$AO$53,1)+1,1)-INDEX($AO$4:$AR$53,MATCH(B7,$AO$4:$AO$53,1),1)))*(INDEX($AO$4:$AR$53,MATCH(B7,$AO$4:$AO$53,1)+1,3)-INDEX($AO$4:$AR$53,MATCH(B7,$AO$4:$AO$53,1),3))+INDEX($AO$4:$AR$53,MATCH(B7,$AO$4:$AO$53,1),3)</f>
        <v>288.14999999999998</v>
      </c>
      <c r="G7" s="4">
        <f t="shared" ref="G7:G19" si="1">E7*1000/($D$3*F7)</f>
        <v>1.2252256827617731</v>
      </c>
      <c r="H7" s="6">
        <f t="shared" ref="H7:H19" si="2">B7+(120*C7)</f>
        <v>0</v>
      </c>
      <c r="I7" s="13">
        <f t="shared" ref="I7:I19" si="3">D7*SQRT($E$3*$D$3*F7)</f>
        <v>0</v>
      </c>
      <c r="J7" s="13">
        <f>I7*1.94384</f>
        <v>0</v>
      </c>
      <c r="K7" s="13">
        <f t="shared" ref="K7:K19" si="4">J7*SQRT(S7)</f>
        <v>0</v>
      </c>
      <c r="L7" s="13">
        <f>IF(D7&lt;=1,SQRT($E$3*$D$3*$C$3)*SQRT(5*(((((P7-1)*E7)/$B$3)+1)^(2/7)-1))*1.94384,"SUP.")</f>
        <v>0</v>
      </c>
      <c r="M7" s="13">
        <f>(P7-1)*E7</f>
        <v>0</v>
      </c>
      <c r="N7" s="13">
        <f>(0.5*G7*I7^2)/1000</f>
        <v>0</v>
      </c>
      <c r="O7" s="4">
        <f t="shared" ref="O7:O19" si="5">(1+($E$3-1)/2*D7^2)</f>
        <v>1</v>
      </c>
      <c r="P7" s="4">
        <f t="shared" ref="P7:P19" si="6">O7^($E$3/($E$3-1))</f>
        <v>1</v>
      </c>
      <c r="Q7" s="4">
        <f t="shared" ref="Q7:Q19" si="7">F7*O7/$C$3</f>
        <v>1</v>
      </c>
      <c r="R7" s="4">
        <f t="shared" ref="R7:R19" si="8">E7*P7/$B$3</f>
        <v>1</v>
      </c>
      <c r="S7" s="4">
        <f t="shared" ref="S7:S19" si="9">G7/($B$3*1000/($D$3*$C$3))</f>
        <v>1</v>
      </c>
      <c r="T7" s="1"/>
      <c r="U7" s="132">
        <f>P7*E7/101.325</f>
        <v>1</v>
      </c>
      <c r="V7" s="132">
        <f>O7*F7/288.15</f>
        <v>1</v>
      </c>
      <c r="W7" s="132">
        <f>$S$2*U7/SQRT(V7)</f>
        <v>5</v>
      </c>
      <c r="X7" s="132">
        <f>$S$3*U7*SQRT(V7)</f>
        <v>348.84</v>
      </c>
      <c r="Y7" s="132">
        <f>X7/3600</f>
        <v>9.6899999999999986E-2</v>
      </c>
      <c r="Z7" s="132">
        <f>Y7/W7</f>
        <v>1.9379999999999998E-2</v>
      </c>
      <c r="AA7" s="132">
        <f t="shared" ref="AA7:AA19" si="10">($S$1*(P7)-1)*$N$2*E7</f>
        <v>3.5842000000000001</v>
      </c>
      <c r="AB7" s="132">
        <f>W7*I7/1000</f>
        <v>0</v>
      </c>
      <c r="AD7" s="132" t="e">
        <f>Y7/AC7*1000</f>
        <v>#DIV/0!</v>
      </c>
      <c r="AE7" s="132">
        <f>AC7*1000/W7</f>
        <v>0</v>
      </c>
      <c r="AF7" s="132"/>
      <c r="AG7" s="132">
        <f>X7*2.20462</f>
        <v>769.0596407999999</v>
      </c>
      <c r="AH7" s="132">
        <f>AC7*224.809</f>
        <v>0</v>
      </c>
      <c r="AI7" s="132" t="e">
        <f>AG7/AH7</f>
        <v>#DIV/0!</v>
      </c>
      <c r="AJ7" s="132">
        <f>AH7/(W7*2.20462)</f>
        <v>0</v>
      </c>
      <c r="AL7" s="5">
        <f>AC7/$K$3</f>
        <v>0</v>
      </c>
      <c r="AM7" s="5" t="e">
        <f>AD7/($S$3/3.6/$K$3)</f>
        <v>#DIV/0!</v>
      </c>
      <c r="AO7" s="32">
        <f t="shared" si="0"/>
        <v>-1640.42</v>
      </c>
      <c r="AP7" s="17">
        <v>-500</v>
      </c>
      <c r="AQ7" s="17">
        <v>291.39999999999998</v>
      </c>
      <c r="AR7" s="17">
        <v>107.48</v>
      </c>
      <c r="AS7" s="17">
        <v>1.0488999999999999</v>
      </c>
      <c r="AT7" s="17">
        <v>1.405</v>
      </c>
      <c r="AU7" s="17">
        <v>2.56</v>
      </c>
      <c r="AV7" s="33">
        <v>342.2</v>
      </c>
      <c r="AZ7" s="347"/>
      <c r="BA7" s="347"/>
      <c r="BB7" s="347"/>
      <c r="BC7" s="347"/>
      <c r="BD7" s="347"/>
      <c r="BE7" s="347"/>
      <c r="BF7" s="347"/>
    </row>
    <row r="8" spans="1:58">
      <c r="B8" s="3">
        <v>0</v>
      </c>
      <c r="C8" s="3">
        <v>0</v>
      </c>
      <c r="D8" s="3">
        <v>0.02</v>
      </c>
      <c r="E8" s="13" cm="1">
        <f t="array" ref="E8">((B8-INDEX($AO$4:$AR$53,MATCH(B8,$AO$4:$AO$53,1),1))/(INDEX($AO$4:$AR$53,MATCH(B8,$AO$4:$AO$53,1)+1,1)-INDEX($AO$4:$AR$53,MATCH(B8,$AO$4:$AO$53,1),1)))*(INDEX($AO$4:$AR$53,MATCH(B8,$AO$4:$AO$53,1)+1,4)-INDEX($AO$4:$AR$53,MATCH(B8,$AO$4:$AO$53,1),4))+INDEX($AO$4:$AR$53,MATCH(B8,$AO$4:$AO$53,1),4)</f>
        <v>101.325</v>
      </c>
      <c r="F8" s="13" cm="1">
        <f t="array" ref="F8">C8+((B8-INDEX($AO$4:$AR$53,MATCH(B8,$AO$4:$AO$53,1),1))/(INDEX($AO$4:$AR$53,MATCH(B8,$AO$4:$AO$53,1)+1,1)-INDEX($AO$4:$AR$53,MATCH(B8,$AO$4:$AO$53,1),1)))*(INDEX($AO$4:$AR$53,MATCH(B8,$AO$4:$AO$53,1)+1,3)-INDEX($AO$4:$AR$53,MATCH(B8,$AO$4:$AO$53,1),3))+INDEX($AO$4:$AR$53,MATCH(B8,$AO$4:$AO$53,1),3)</f>
        <v>288.14999999999998</v>
      </c>
      <c r="G8" s="4">
        <f t="shared" si="1"/>
        <v>1.2252256827617731</v>
      </c>
      <c r="H8" s="6">
        <f t="shared" si="2"/>
        <v>0</v>
      </c>
      <c r="I8" s="13">
        <f t="shared" si="3"/>
        <v>6.8052529710511127</v>
      </c>
      <c r="J8" s="13">
        <f t="shared" ref="J8:J19" si="11">I8*1.94384</f>
        <v>13.228322935247995</v>
      </c>
      <c r="K8" s="13">
        <f t="shared" si="4"/>
        <v>13.228322935247995</v>
      </c>
      <c r="L8" s="13">
        <f t="shared" ref="L8:L19" si="12">SQRT($E$3*$D$3*$C$3)*SQRT(5*(((((P8-1)*E8)/$B$3)+1)^(2/7)-1))*1.94384</f>
        <v>13.228322935254607</v>
      </c>
      <c r="M8" s="13">
        <f t="shared" ref="M8:M19" si="13">(P8-1)*E8</f>
        <v>2.8373837213521418E-2</v>
      </c>
      <c r="N8" s="13">
        <f t="shared" ref="N8:N19" si="14">(0.5*G8*I8^2)/1000</f>
        <v>2.8371000000000004E-2</v>
      </c>
      <c r="O8" s="4">
        <f t="shared" si="5"/>
        <v>1.0000800000000001</v>
      </c>
      <c r="P8" s="4">
        <f t="shared" si="6"/>
        <v>1.0002800280011204</v>
      </c>
      <c r="Q8" s="4">
        <f t="shared" si="7"/>
        <v>1.0000800000000001</v>
      </c>
      <c r="R8" s="4">
        <f t="shared" si="8"/>
        <v>1.0002800280011204</v>
      </c>
      <c r="S8" s="4">
        <f t="shared" si="9"/>
        <v>1</v>
      </c>
      <c r="T8" s="1"/>
      <c r="U8" s="132">
        <f>P8*E8/101.325</f>
        <v>1.0002800280011204</v>
      </c>
      <c r="V8" s="132">
        <f>O8*F8/288.15</f>
        <v>1.0000800000000001</v>
      </c>
      <c r="W8" s="132">
        <f t="shared" ref="W8:W19" si="15">$S$2*U8/SQRT(V8)</f>
        <v>5.0012000960025622</v>
      </c>
      <c r="X8" s="132">
        <f t="shared" ref="X8:X19" si="16">$S$3*U8*SQRT(V8)</f>
        <v>348.9516421961705</v>
      </c>
      <c r="Y8" s="132">
        <f t="shared" ref="Y8:Y19" si="17">X8/3600</f>
        <v>9.6931011721158478E-2</v>
      </c>
      <c r="Z8" s="132">
        <f t="shared" ref="Z8:Z19" si="18">Y8/W8</f>
        <v>1.9381550399999996E-2</v>
      </c>
      <c r="AA8" s="132">
        <f t="shared" si="10"/>
        <v>3.5856860315942458</v>
      </c>
      <c r="AB8" s="132">
        <f t="shared" ref="AB8:AB19" si="19">W8*I8/1000</f>
        <v>3.4034431812142545E-2</v>
      </c>
      <c r="AC8" s="132">
        <f t="shared" ref="AC8:AC19" si="20">AA8-AB8</f>
        <v>3.5516515997821032</v>
      </c>
      <c r="AD8" s="132">
        <f t="shared" ref="AD8:AD19" si="21">Y8/AC8*1000</f>
        <v>27.291813117904152</v>
      </c>
      <c r="AE8" s="132">
        <f t="shared" ref="AE8:AE19" si="22">AC8*1000/W8</f>
        <v>710.15986795267861</v>
      </c>
      <c r="AF8" s="132"/>
      <c r="AG8" s="132">
        <f t="shared" ref="AG8:AG19" si="23">X8*2.20462</f>
        <v>769.30576941852132</v>
      </c>
      <c r="AH8" s="132">
        <f t="shared" ref="AH8:AH19" si="24">AC8*224.809</f>
        <v>798.44324449541489</v>
      </c>
      <c r="AI8" s="132">
        <f t="shared" ref="AI8:AI19" si="25">AG8/AH8</f>
        <v>0.96350714308403063</v>
      </c>
      <c r="AJ8" s="132">
        <f t="shared" ref="AJ8:AJ19" si="26">AH8/(W8*2.20462)</f>
        <v>72.416257565736387</v>
      </c>
      <c r="AL8" s="5">
        <f t="shared" ref="AL8:AL19" si="27">AC8/$K$3</f>
        <v>0.99091892187436614</v>
      </c>
      <c r="AM8" s="5">
        <f t="shared" ref="AM8:AM19" si="28">AD8/($S$3/3.6/$K$3)</f>
        <v>1.0094872711784528</v>
      </c>
      <c r="AO8" s="32">
        <f t="shared" si="0"/>
        <v>0</v>
      </c>
      <c r="AP8" s="17">
        <v>0</v>
      </c>
      <c r="AQ8" s="17">
        <v>288.14999999999998</v>
      </c>
      <c r="AR8" s="17">
        <v>101.325</v>
      </c>
      <c r="AS8" s="17">
        <v>1</v>
      </c>
      <c r="AT8" s="17">
        <v>1.4610000000000001</v>
      </c>
      <c r="AU8" s="17">
        <v>2.5339999999999998</v>
      </c>
      <c r="AV8" s="33">
        <v>340.3</v>
      </c>
      <c r="AZ8" s="346" t="s">
        <v>266</v>
      </c>
      <c r="BA8" s="346"/>
      <c r="BB8" s="346"/>
      <c r="BC8" s="61" t="s">
        <v>267</v>
      </c>
      <c r="BD8" s="136" t="s">
        <v>268</v>
      </c>
      <c r="BE8" s="61" t="s">
        <v>267</v>
      </c>
      <c r="BF8" s="136" t="s">
        <v>268</v>
      </c>
    </row>
    <row r="9" spans="1:58">
      <c r="B9" s="3">
        <v>0</v>
      </c>
      <c r="C9" s="3">
        <v>0</v>
      </c>
      <c r="D9" s="3">
        <v>0.05</v>
      </c>
      <c r="E9" s="13" cm="1">
        <f t="array" ref="E9">((B9-INDEX($AO$4:$AR$53,MATCH(B9,$AO$4:$AO$53,1),1))/(INDEX($AO$4:$AR$53,MATCH(B9,$AO$4:$AO$53,1)+1,1)-INDEX($AO$4:$AR$53,MATCH(B9,$AO$4:$AO$53,1),1)))*(INDEX($AO$4:$AR$53,MATCH(B9,$AO$4:$AO$53,1)+1,4)-INDEX($AO$4:$AR$53,MATCH(B9,$AO$4:$AO$53,1),4))+INDEX($AO$4:$AR$53,MATCH(B9,$AO$4:$AO$53,1),4)</f>
        <v>101.325</v>
      </c>
      <c r="F9" s="13" cm="1">
        <f t="array" ref="F9">C9+((B9-INDEX($AO$4:$AR$53,MATCH(B9,$AO$4:$AO$53,1),1))/(INDEX($AO$4:$AR$53,MATCH(B9,$AO$4:$AO$53,1)+1,1)-INDEX($AO$4:$AR$53,MATCH(B9,$AO$4:$AO$53,1),1)))*(INDEX($AO$4:$AR$53,MATCH(B9,$AO$4:$AO$53,1)+1,3)-INDEX($AO$4:$AR$53,MATCH(B9,$AO$4:$AO$53,1),3))+INDEX($AO$4:$AR$53,MATCH(B9,$AO$4:$AO$53,1),3)</f>
        <v>288.14999999999998</v>
      </c>
      <c r="G9" s="4">
        <f t="shared" si="1"/>
        <v>1.2252256827617731</v>
      </c>
      <c r="H9" s="6">
        <f t="shared" si="2"/>
        <v>0</v>
      </c>
      <c r="I9" s="13">
        <f t="shared" si="3"/>
        <v>17.013132427627781</v>
      </c>
      <c r="J9" s="13">
        <f t="shared" si="11"/>
        <v>33.070807338119984</v>
      </c>
      <c r="K9" s="13">
        <f t="shared" si="4"/>
        <v>33.070807338119984</v>
      </c>
      <c r="L9" s="13">
        <f t="shared" si="12"/>
        <v>33.070807338118165</v>
      </c>
      <c r="M9" s="13">
        <f t="shared" si="13"/>
        <v>0.17742960192651847</v>
      </c>
      <c r="N9" s="13">
        <f t="shared" si="14"/>
        <v>0.17731875</v>
      </c>
      <c r="O9" s="4">
        <f t="shared" si="5"/>
        <v>1.0004999999999999</v>
      </c>
      <c r="P9" s="4">
        <f t="shared" si="6"/>
        <v>1.0017510940234544</v>
      </c>
      <c r="Q9" s="4">
        <f t="shared" si="7"/>
        <v>1.0004999999999999</v>
      </c>
      <c r="R9" s="4">
        <f t="shared" si="8"/>
        <v>1.0017510940234544</v>
      </c>
      <c r="S9" s="4">
        <f t="shared" si="9"/>
        <v>1</v>
      </c>
      <c r="T9" s="1"/>
      <c r="U9" s="132">
        <f t="shared" ref="U9:U19" si="29">P9*E9/101.325</f>
        <v>1.0017510940234544</v>
      </c>
      <c r="V9" s="132">
        <f t="shared" ref="V9:V19" si="30">O9*F9/288.15</f>
        <v>1.0004999999999999</v>
      </c>
      <c r="W9" s="132">
        <f t="shared" si="15"/>
        <v>5.0075037506249984</v>
      </c>
      <c r="X9" s="132">
        <f t="shared" si="16"/>
        <v>349.53820343444175</v>
      </c>
      <c r="Y9" s="132">
        <f t="shared" si="17"/>
        <v>9.7093945398456047E-2</v>
      </c>
      <c r="Z9" s="132">
        <f t="shared" si="18"/>
        <v>1.9389690000000005E-2</v>
      </c>
      <c r="AA9" s="132">
        <f t="shared" si="10"/>
        <v>3.5934925744316168</v>
      </c>
      <c r="AB9" s="132">
        <f t="shared" si="19"/>
        <v>8.5193324441225904E-2</v>
      </c>
      <c r="AC9" s="132">
        <f t="shared" si="20"/>
        <v>3.5082992499903911</v>
      </c>
      <c r="AD9" s="132">
        <f t="shared" si="21"/>
        <v>27.675502709388883</v>
      </c>
      <c r="AE9" s="132">
        <f t="shared" si="22"/>
        <v>700.6084118364389</v>
      </c>
      <c r="AF9" s="132"/>
      <c r="AG9" s="132">
        <f t="shared" si="23"/>
        <v>770.59891405563894</v>
      </c>
      <c r="AH9" s="132">
        <f t="shared" si="24"/>
        <v>788.69724609108982</v>
      </c>
      <c r="AI9" s="132">
        <f t="shared" si="25"/>
        <v>0.97705287786264106</v>
      </c>
      <c r="AJ9" s="132">
        <f t="shared" si="26"/>
        <v>71.442278694985077</v>
      </c>
      <c r="AL9" s="5">
        <f t="shared" si="27"/>
        <v>0.97882351710015936</v>
      </c>
      <c r="AM9" s="5">
        <f t="shared" si="28"/>
        <v>1.0236794304539902</v>
      </c>
      <c r="AO9" s="32">
        <f t="shared" si="0"/>
        <v>1640.42</v>
      </c>
      <c r="AP9" s="17">
        <v>500</v>
      </c>
      <c r="AQ9" s="17">
        <v>284.89999999999998</v>
      </c>
      <c r="AR9" s="17">
        <v>95.46</v>
      </c>
      <c r="AS9" s="17">
        <v>0.95289999999999997</v>
      </c>
      <c r="AT9" s="17">
        <v>1.52</v>
      </c>
      <c r="AU9" s="17">
        <v>2.5089999999999999</v>
      </c>
      <c r="AV9" s="33">
        <v>338.4</v>
      </c>
      <c r="AZ9" s="2" t="s">
        <v>7</v>
      </c>
      <c r="BA9" s="2" t="s">
        <v>22</v>
      </c>
      <c r="BB9" s="2" t="s">
        <v>23</v>
      </c>
      <c r="BC9" s="2" t="s">
        <v>248</v>
      </c>
      <c r="BD9" s="134" t="s">
        <v>248</v>
      </c>
      <c r="BE9" s="2" t="s">
        <v>257</v>
      </c>
      <c r="BF9" s="134" t="s">
        <v>257</v>
      </c>
    </row>
    <row r="10" spans="1:58">
      <c r="B10" s="3">
        <v>0</v>
      </c>
      <c r="C10" s="3">
        <v>0</v>
      </c>
      <c r="D10" s="3">
        <v>0.1</v>
      </c>
      <c r="E10" s="13" cm="1">
        <f t="array" ref="E10">((B10-INDEX($AO$4:$AR$53,MATCH(B10,$AO$4:$AO$53,1),1))/(INDEX($AO$4:$AR$53,MATCH(B10,$AO$4:$AO$53,1)+1,1)-INDEX($AO$4:$AR$53,MATCH(B10,$AO$4:$AO$53,1),1)))*(INDEX($AO$4:$AR$53,MATCH(B10,$AO$4:$AO$53,1)+1,4)-INDEX($AO$4:$AR$53,MATCH(B10,$AO$4:$AO$53,1),4))+INDEX($AO$4:$AR$53,MATCH(B10,$AO$4:$AO$53,1),4)</f>
        <v>101.325</v>
      </c>
      <c r="F10" s="13" cm="1">
        <f t="array" ref="F10">C10+((B10-INDEX($AO$4:$AR$53,MATCH(B10,$AO$4:$AO$53,1),1))/(INDEX($AO$4:$AR$53,MATCH(B10,$AO$4:$AO$53,1)+1,1)-INDEX($AO$4:$AR$53,MATCH(B10,$AO$4:$AO$53,1),1)))*(INDEX($AO$4:$AR$53,MATCH(B10,$AO$4:$AO$53,1)+1,3)-INDEX($AO$4:$AR$53,MATCH(B10,$AO$4:$AO$53,1),3))+INDEX($AO$4:$AR$53,MATCH(B10,$AO$4:$AO$53,1),3)</f>
        <v>288.14999999999998</v>
      </c>
      <c r="G10" s="4">
        <f t="shared" si="1"/>
        <v>1.2252256827617731</v>
      </c>
      <c r="H10" s="6">
        <f t="shared" si="2"/>
        <v>0</v>
      </c>
      <c r="I10" s="13">
        <f t="shared" si="3"/>
        <v>34.026264855255562</v>
      </c>
      <c r="J10" s="13">
        <f t="shared" si="11"/>
        <v>66.141614676239968</v>
      </c>
      <c r="K10" s="13">
        <f t="shared" si="4"/>
        <v>66.141614676239968</v>
      </c>
      <c r="L10" s="13">
        <f t="shared" si="12"/>
        <v>66.141614676239996</v>
      </c>
      <c r="M10" s="13">
        <f t="shared" si="13"/>
        <v>0.71104996113070273</v>
      </c>
      <c r="N10" s="13">
        <f t="shared" si="14"/>
        <v>0.70927499999999999</v>
      </c>
      <c r="O10" s="4">
        <f t="shared" si="5"/>
        <v>1.002</v>
      </c>
      <c r="P10" s="4">
        <f t="shared" si="6"/>
        <v>1.0070175175043741</v>
      </c>
      <c r="Q10" s="4">
        <f t="shared" si="7"/>
        <v>1.002</v>
      </c>
      <c r="R10" s="4">
        <f t="shared" si="8"/>
        <v>1.0070175175043741</v>
      </c>
      <c r="S10" s="4">
        <f t="shared" si="9"/>
        <v>1</v>
      </c>
      <c r="T10" s="1"/>
      <c r="U10" s="132">
        <f t="shared" si="29"/>
        <v>1.0070175175043741</v>
      </c>
      <c r="V10" s="132">
        <f t="shared" si="30"/>
        <v>1.002</v>
      </c>
      <c r="W10" s="132">
        <f t="shared" si="15"/>
        <v>5.0300600399999995</v>
      </c>
      <c r="X10" s="132">
        <f t="shared" si="16"/>
        <v>351.63910332846143</v>
      </c>
      <c r="Y10" s="132">
        <f t="shared" si="17"/>
        <v>9.76775287023504E-2</v>
      </c>
      <c r="Z10" s="132">
        <f t="shared" si="18"/>
        <v>1.941876E-2</v>
      </c>
      <c r="AA10" s="132">
        <f t="shared" si="10"/>
        <v>3.6214400355784</v>
      </c>
      <c r="AB10" s="132">
        <f t="shared" si="19"/>
        <v>0.17115415515887736</v>
      </c>
      <c r="AC10" s="132">
        <f t="shared" si="20"/>
        <v>3.4502858804195227</v>
      </c>
      <c r="AD10" s="132">
        <f t="shared" si="21"/>
        <v>28.309981284934487</v>
      </c>
      <c r="AE10" s="132">
        <f t="shared" si="22"/>
        <v>685.93333936020429</v>
      </c>
      <c r="AF10" s="132"/>
      <c r="AG10" s="132">
        <f t="shared" si="23"/>
        <v>775.23059997999258</v>
      </c>
      <c r="AH10" s="132">
        <f t="shared" si="24"/>
        <v>775.65531849123249</v>
      </c>
      <c r="AI10" s="132">
        <f t="shared" si="25"/>
        <v>0.99945243911681536</v>
      </c>
      <c r="AJ10" s="132">
        <f t="shared" si="26"/>
        <v>69.945835603518148</v>
      </c>
      <c r="AL10" s="5">
        <f t="shared" si="27"/>
        <v>0.96263765426581183</v>
      </c>
      <c r="AM10" s="5">
        <f t="shared" si="28"/>
        <v>1.0471479352060082</v>
      </c>
      <c r="AO10" s="32">
        <f t="shared" si="0"/>
        <v>3280.84</v>
      </c>
      <c r="AP10" s="17">
        <v>1000</v>
      </c>
      <c r="AQ10" s="17">
        <v>281.7</v>
      </c>
      <c r="AR10" s="17">
        <v>89.88</v>
      </c>
      <c r="AS10" s="17">
        <v>0.90749999999999997</v>
      </c>
      <c r="AT10" s="17">
        <v>1.581</v>
      </c>
      <c r="AU10" s="17">
        <v>2.4830000000000001</v>
      </c>
      <c r="AV10" s="33">
        <v>336.4</v>
      </c>
      <c r="AZ10" s="133">
        <v>35000</v>
      </c>
      <c r="BA10" s="133">
        <v>0</v>
      </c>
      <c r="BB10" s="133">
        <v>0.8</v>
      </c>
      <c r="BC10" s="133">
        <v>1.31</v>
      </c>
      <c r="BD10" s="135">
        <v>1.0419291095286032</v>
      </c>
      <c r="BE10" s="133">
        <v>32.233199999999997</v>
      </c>
      <c r="BF10" s="135">
        <v>30.983945096401051</v>
      </c>
    </row>
    <row r="11" spans="1:58">
      <c r="B11" s="3">
        <v>0</v>
      </c>
      <c r="C11" s="3">
        <v>0</v>
      </c>
      <c r="D11" s="3">
        <v>0.2</v>
      </c>
      <c r="E11" s="13" cm="1">
        <f t="array" ref="E11">((B11-INDEX($AO$4:$AR$53,MATCH(B11,$AO$4:$AO$53,1),1))/(INDEX($AO$4:$AR$53,MATCH(B11,$AO$4:$AO$53,1)+1,1)-INDEX($AO$4:$AR$53,MATCH(B11,$AO$4:$AO$53,1),1)))*(INDEX($AO$4:$AR$53,MATCH(B11,$AO$4:$AO$53,1)+1,4)-INDEX($AO$4:$AR$53,MATCH(B11,$AO$4:$AO$53,1),4))+INDEX($AO$4:$AR$53,MATCH(B11,$AO$4:$AO$53,1),4)</f>
        <v>101.325</v>
      </c>
      <c r="F11" s="13" cm="1">
        <f t="array" ref="F11">C11+((B11-INDEX($AO$4:$AR$53,MATCH(B11,$AO$4:$AO$53,1),1))/(INDEX($AO$4:$AR$53,MATCH(B11,$AO$4:$AO$53,1)+1,1)-INDEX($AO$4:$AR$53,MATCH(B11,$AO$4:$AO$53,1),1)))*(INDEX($AO$4:$AR$53,MATCH(B11,$AO$4:$AO$53,1)+1,3)-INDEX($AO$4:$AR$53,MATCH(B11,$AO$4:$AO$53,1),3))+INDEX($AO$4:$AR$53,MATCH(B11,$AO$4:$AO$53,1),3)</f>
        <v>288.14999999999998</v>
      </c>
      <c r="G11" s="4">
        <f t="shared" si="1"/>
        <v>1.2252256827617731</v>
      </c>
      <c r="H11" s="6">
        <f t="shared" si="2"/>
        <v>0</v>
      </c>
      <c r="I11" s="13">
        <f t="shared" si="3"/>
        <v>68.052529710511124</v>
      </c>
      <c r="J11" s="13">
        <f t="shared" si="11"/>
        <v>132.28322935247994</v>
      </c>
      <c r="K11" s="13">
        <f t="shared" si="4"/>
        <v>132.28322935247994</v>
      </c>
      <c r="L11" s="13">
        <f t="shared" si="12"/>
        <v>132.28322935247999</v>
      </c>
      <c r="M11" s="13">
        <f t="shared" si="13"/>
        <v>2.8655845973934011</v>
      </c>
      <c r="N11" s="13">
        <f t="shared" si="14"/>
        <v>2.8371</v>
      </c>
      <c r="O11" s="4">
        <f t="shared" si="5"/>
        <v>1.008</v>
      </c>
      <c r="P11" s="4">
        <f t="shared" si="6"/>
        <v>1.0282811211191059</v>
      </c>
      <c r="Q11" s="4">
        <f t="shared" si="7"/>
        <v>1.008</v>
      </c>
      <c r="R11" s="4">
        <f t="shared" si="8"/>
        <v>1.0282811211191059</v>
      </c>
      <c r="S11" s="4">
        <f t="shared" si="9"/>
        <v>1</v>
      </c>
      <c r="T11" s="1"/>
      <c r="U11" s="132">
        <f t="shared" si="29"/>
        <v>1.0282811211191059</v>
      </c>
      <c r="V11" s="132">
        <f t="shared" si="30"/>
        <v>1.008</v>
      </c>
      <c r="W11" s="132">
        <f t="shared" si="15"/>
        <v>5.1209625600000006</v>
      </c>
      <c r="X11" s="132">
        <f t="shared" si="16"/>
        <v>360.13755041316864</v>
      </c>
      <c r="Y11" s="132">
        <f t="shared" si="17"/>
        <v>0.10003820844810241</v>
      </c>
      <c r="Z11" s="132">
        <f t="shared" si="18"/>
        <v>1.953504E-2</v>
      </c>
      <c r="AA11" s="132">
        <f t="shared" si="10"/>
        <v>3.7342801324707868</v>
      </c>
      <c r="AB11" s="132">
        <f t="shared" si="19"/>
        <v>0.34849445676081514</v>
      </c>
      <c r="AC11" s="132">
        <f t="shared" si="20"/>
        <v>3.3857856757099718</v>
      </c>
      <c r="AD11" s="132">
        <f t="shared" si="21"/>
        <v>29.546527166733672</v>
      </c>
      <c r="AE11" s="132">
        <f t="shared" si="22"/>
        <v>661.16196633743232</v>
      </c>
      <c r="AF11" s="132"/>
      <c r="AG11" s="132">
        <f t="shared" si="23"/>
        <v>793.9664463918798</v>
      </c>
      <c r="AH11" s="132">
        <f t="shared" si="24"/>
        <v>761.15509197068309</v>
      </c>
      <c r="AI11" s="132">
        <f t="shared" si="25"/>
        <v>1.043107317769163</v>
      </c>
      <c r="AJ11" s="132">
        <f t="shared" si="26"/>
        <v>67.419854891251944</v>
      </c>
      <c r="AL11" s="5">
        <f t="shared" si="27"/>
        <v>0.94464194958706871</v>
      </c>
      <c r="AM11" s="5">
        <f t="shared" si="28"/>
        <v>1.0928860956760251</v>
      </c>
      <c r="AO11" s="32">
        <f t="shared" si="0"/>
        <v>4921.26</v>
      </c>
      <c r="AP11" s="17">
        <v>1500</v>
      </c>
      <c r="AQ11" s="17">
        <v>278.39999999999998</v>
      </c>
      <c r="AR11" s="17">
        <v>84.56</v>
      </c>
      <c r="AS11" s="17">
        <v>0.86380000000000001</v>
      </c>
      <c r="AT11" s="17">
        <v>1.6459999999999999</v>
      </c>
      <c r="AU11" s="17">
        <v>2.4569999999999999</v>
      </c>
      <c r="AV11" s="33">
        <v>334.5</v>
      </c>
      <c r="AZ11" s="133">
        <v>35000</v>
      </c>
      <c r="BA11" s="133">
        <v>0</v>
      </c>
      <c r="BB11" s="133">
        <v>0.6</v>
      </c>
      <c r="BC11" s="133">
        <v>1.2</v>
      </c>
      <c r="BD11" s="135">
        <v>0.89446926039686891</v>
      </c>
      <c r="BE11" s="133">
        <v>30.852499999999999</v>
      </c>
      <c r="BF11" s="135">
        <v>29.44097637392311</v>
      </c>
    </row>
    <row r="12" spans="1:58">
      <c r="A12" s="103"/>
      <c r="B12" s="3">
        <v>0</v>
      </c>
      <c r="C12" s="3">
        <v>0</v>
      </c>
      <c r="D12" s="3">
        <v>0.3</v>
      </c>
      <c r="E12" s="13" cm="1">
        <f t="array" ref="E12">((B12-INDEX($AO$4:$AR$53,MATCH(B12,$AO$4:$AO$53,1),1))/(INDEX($AO$4:$AR$53,MATCH(B12,$AO$4:$AO$53,1)+1,1)-INDEX($AO$4:$AR$53,MATCH(B12,$AO$4:$AO$53,1),1)))*(INDEX($AO$4:$AR$53,MATCH(B12,$AO$4:$AO$53,1)+1,4)-INDEX($AO$4:$AR$53,MATCH(B12,$AO$4:$AO$53,1),4))+INDEX($AO$4:$AR$53,MATCH(B12,$AO$4:$AO$53,1),4)</f>
        <v>101.325</v>
      </c>
      <c r="F12" s="13" cm="1">
        <f t="array" ref="F12">C12+((B12-INDEX($AO$4:$AR$53,MATCH(B12,$AO$4:$AO$53,1),1))/(INDEX($AO$4:$AR$53,MATCH(B12,$AO$4:$AO$53,1)+1,1)-INDEX($AO$4:$AR$53,MATCH(B12,$AO$4:$AO$53,1),1)))*(INDEX($AO$4:$AR$53,MATCH(B12,$AO$4:$AO$53,1)+1,3)-INDEX($AO$4:$AR$53,MATCH(B12,$AO$4:$AO$53,1),3))+INDEX($AO$4:$AR$53,MATCH(B12,$AO$4:$AO$53,1),3)</f>
        <v>288.14999999999998</v>
      </c>
      <c r="G12" s="4">
        <f t="shared" si="1"/>
        <v>1.2252256827617731</v>
      </c>
      <c r="H12" s="6">
        <f t="shared" si="2"/>
        <v>0</v>
      </c>
      <c r="I12" s="13">
        <f t="shared" si="3"/>
        <v>102.07879456576669</v>
      </c>
      <c r="J12" s="13">
        <f t="shared" si="11"/>
        <v>198.42484402871992</v>
      </c>
      <c r="K12" s="13">
        <f t="shared" si="4"/>
        <v>198.42484402871992</v>
      </c>
      <c r="L12" s="13">
        <f t="shared" si="12"/>
        <v>198.42484402872003</v>
      </c>
      <c r="M12" s="13">
        <f t="shared" si="13"/>
        <v>6.5283987444464655</v>
      </c>
      <c r="N12" s="13">
        <f t="shared" si="14"/>
        <v>6.3834749999999998</v>
      </c>
      <c r="O12" s="4">
        <f t="shared" si="5"/>
        <v>1.018</v>
      </c>
      <c r="P12" s="4">
        <f t="shared" si="6"/>
        <v>1.0644302861529382</v>
      </c>
      <c r="Q12" s="4">
        <f t="shared" si="7"/>
        <v>1.018</v>
      </c>
      <c r="R12" s="4">
        <f t="shared" si="8"/>
        <v>1.0644302861529382</v>
      </c>
      <c r="S12" s="4">
        <f t="shared" si="9"/>
        <v>1</v>
      </c>
      <c r="T12" s="1"/>
      <c r="U12" s="132">
        <f t="shared" si="29"/>
        <v>1.0644302861529382</v>
      </c>
      <c r="V12" s="132">
        <f t="shared" si="30"/>
        <v>1.018</v>
      </c>
      <c r="W12" s="132">
        <f t="shared" si="15"/>
        <v>5.2748891600000007</v>
      </c>
      <c r="X12" s="132">
        <f t="shared" si="16"/>
        <v>374.64279931934783</v>
      </c>
      <c r="Y12" s="132">
        <f t="shared" si="17"/>
        <v>0.1040674442553744</v>
      </c>
      <c r="Z12" s="132">
        <f t="shared" si="18"/>
        <v>1.9728839999999997E-2</v>
      </c>
      <c r="AA12" s="132">
        <f t="shared" si="10"/>
        <v>3.9261138102849511</v>
      </c>
      <c r="AB12" s="132">
        <f t="shared" si="19"/>
        <v>0.53845432692082962</v>
      </c>
      <c r="AC12" s="132">
        <f t="shared" si="20"/>
        <v>3.3876594833641214</v>
      </c>
      <c r="AD12" s="132">
        <f t="shared" si="21"/>
        <v>30.719570478208169</v>
      </c>
      <c r="AE12" s="132">
        <f t="shared" si="22"/>
        <v>642.22382321377938</v>
      </c>
      <c r="AF12" s="132"/>
      <c r="AG12" s="132">
        <f t="shared" si="23"/>
        <v>825.94500823542057</v>
      </c>
      <c r="AH12" s="132">
        <f t="shared" si="24"/>
        <v>761.57634079560478</v>
      </c>
      <c r="AI12" s="132">
        <f t="shared" si="25"/>
        <v>1.0845203087225255</v>
      </c>
      <c r="AJ12" s="132">
        <f t="shared" si="26"/>
        <v>65.488698947150311</v>
      </c>
      <c r="AL12" s="5">
        <f t="shared" si="27"/>
        <v>0.94516474620950874</v>
      </c>
      <c r="AM12" s="5">
        <f t="shared" si="28"/>
        <v>1.13627538191944</v>
      </c>
      <c r="AO12" s="32">
        <f t="shared" si="0"/>
        <v>6561.68</v>
      </c>
      <c r="AP12" s="17">
        <v>2000</v>
      </c>
      <c r="AQ12" s="17">
        <v>275.2</v>
      </c>
      <c r="AR12" s="17">
        <v>79.5</v>
      </c>
      <c r="AS12" s="17">
        <v>0.82169999999999999</v>
      </c>
      <c r="AT12" s="17">
        <v>1.7150000000000001</v>
      </c>
      <c r="AU12" s="17">
        <v>2.431</v>
      </c>
      <c r="AV12" s="33">
        <v>332.5</v>
      </c>
      <c r="AZ12" s="133">
        <v>25000</v>
      </c>
      <c r="BA12" s="133">
        <v>0</v>
      </c>
      <c r="BB12" s="133">
        <v>0.6</v>
      </c>
      <c r="BC12" s="133">
        <v>1.69</v>
      </c>
      <c r="BD12" s="135">
        <v>1.4083114959077527</v>
      </c>
      <c r="BE12" s="133">
        <v>31.741499999999998</v>
      </c>
      <c r="BF12" s="135">
        <v>30.7424315181959</v>
      </c>
    </row>
    <row r="13" spans="1:58">
      <c r="B13" s="3">
        <v>0</v>
      </c>
      <c r="C13" s="3">
        <v>0</v>
      </c>
      <c r="D13" s="3">
        <v>0.4</v>
      </c>
      <c r="E13" s="13" cm="1">
        <f t="array" ref="E13">((B13-INDEX($AO$4:$AR$53,MATCH(B13,$AO$4:$AO$53,1),1))/(INDEX($AO$4:$AR$53,MATCH(B13,$AO$4:$AO$53,1)+1,1)-INDEX($AO$4:$AR$53,MATCH(B13,$AO$4:$AO$53,1),1)))*(INDEX($AO$4:$AR$53,MATCH(B13,$AO$4:$AO$53,1)+1,4)-INDEX($AO$4:$AR$53,MATCH(B13,$AO$4:$AO$53,1),4))+INDEX($AO$4:$AR$53,MATCH(B13,$AO$4:$AO$53,1),4)</f>
        <v>101.325</v>
      </c>
      <c r="F13" s="13" cm="1">
        <f t="array" ref="F13">C13+((B13-INDEX($AO$4:$AR$53,MATCH(B13,$AO$4:$AO$53,1),1))/(INDEX($AO$4:$AR$53,MATCH(B13,$AO$4:$AO$53,1)+1,1)-INDEX($AO$4:$AR$53,MATCH(B13,$AO$4:$AO$53,1),1)))*(INDEX($AO$4:$AR$53,MATCH(B13,$AO$4:$AO$53,1)+1,3)-INDEX($AO$4:$AR$53,MATCH(B13,$AO$4:$AO$53,1),3))+INDEX($AO$4:$AR$53,MATCH(B13,$AO$4:$AO$53,1),3)</f>
        <v>288.14999999999998</v>
      </c>
      <c r="G13" s="4">
        <f t="shared" si="1"/>
        <v>1.2252256827617731</v>
      </c>
      <c r="H13" s="6">
        <f t="shared" si="2"/>
        <v>0</v>
      </c>
      <c r="I13" s="13">
        <f t="shared" si="3"/>
        <v>136.10505942102225</v>
      </c>
      <c r="J13" s="13">
        <f t="shared" si="11"/>
        <v>264.56645870495987</v>
      </c>
      <c r="K13" s="13">
        <f t="shared" si="4"/>
        <v>264.56645870495987</v>
      </c>
      <c r="L13" s="13">
        <f t="shared" si="12"/>
        <v>264.56645870495998</v>
      </c>
      <c r="M13" s="13">
        <f t="shared" si="13"/>
        <v>11.809627935673259</v>
      </c>
      <c r="N13" s="13">
        <f t="shared" si="14"/>
        <v>11.3484</v>
      </c>
      <c r="O13" s="4">
        <f t="shared" si="5"/>
        <v>1.032</v>
      </c>
      <c r="P13" s="4">
        <f t="shared" si="6"/>
        <v>1.1165519658097534</v>
      </c>
      <c r="Q13" s="4">
        <f t="shared" si="7"/>
        <v>1.032</v>
      </c>
      <c r="R13" s="4">
        <f t="shared" si="8"/>
        <v>1.1165519658097534</v>
      </c>
      <c r="S13" s="4">
        <f t="shared" si="9"/>
        <v>1</v>
      </c>
      <c r="T13" s="1"/>
      <c r="U13" s="132">
        <f t="shared" si="29"/>
        <v>1.1165519658097534</v>
      </c>
      <c r="V13" s="132">
        <f t="shared" si="30"/>
        <v>1.032</v>
      </c>
      <c r="W13" s="132">
        <f t="shared" si="15"/>
        <v>5.4955238399999997</v>
      </c>
      <c r="X13" s="132">
        <f t="shared" si="16"/>
        <v>395.68088190173182</v>
      </c>
      <c r="Y13" s="132">
        <f t="shared" si="17"/>
        <v>0.1099113560838144</v>
      </c>
      <c r="Z13" s="132">
        <f t="shared" si="18"/>
        <v>2.0000160000000003E-2</v>
      </c>
      <c r="AA13" s="132">
        <f t="shared" si="10"/>
        <v>4.2027092307617631</v>
      </c>
      <c r="AB13" s="132">
        <f t="shared" si="19"/>
        <v>0.74796859879284427</v>
      </c>
      <c r="AC13" s="132">
        <f t="shared" si="20"/>
        <v>3.4547406319689187</v>
      </c>
      <c r="AD13" s="132">
        <f t="shared" si="21"/>
        <v>31.814647695035198</v>
      </c>
      <c r="AE13" s="132">
        <f t="shared" si="22"/>
        <v>628.64628242044319</v>
      </c>
      <c r="AF13" s="132"/>
      <c r="AG13" s="132">
        <f t="shared" si="23"/>
        <v>872.32598585819596</v>
      </c>
      <c r="AH13" s="132">
        <f t="shared" si="24"/>
        <v>776.65678673230059</v>
      </c>
      <c r="AI13" s="132">
        <f t="shared" si="25"/>
        <v>1.1231807933185174</v>
      </c>
      <c r="AJ13" s="132">
        <f t="shared" si="26"/>
        <v>64.104173102238676</v>
      </c>
      <c r="AL13" s="5">
        <f t="shared" si="27"/>
        <v>0.96388054013975744</v>
      </c>
      <c r="AM13" s="5">
        <f t="shared" si="28"/>
        <v>1.1767808077249244</v>
      </c>
      <c r="AO13" s="32">
        <f t="shared" si="0"/>
        <v>8202.1</v>
      </c>
      <c r="AP13" s="17">
        <v>2500</v>
      </c>
      <c r="AQ13" s="17">
        <v>271.89999999999998</v>
      </c>
      <c r="AR13" s="17">
        <v>74.69</v>
      </c>
      <c r="AS13" s="17">
        <v>0.78120000000000001</v>
      </c>
      <c r="AT13" s="17">
        <v>1.7869999999999999</v>
      </c>
      <c r="AU13" s="17">
        <v>2.4049999999999998</v>
      </c>
      <c r="AV13" s="33">
        <v>330.6</v>
      </c>
      <c r="AZ13" s="133">
        <v>20000</v>
      </c>
      <c r="BA13" s="133">
        <v>0</v>
      </c>
      <c r="BB13" s="133">
        <v>0.6</v>
      </c>
      <c r="BC13" s="133">
        <v>1.98</v>
      </c>
      <c r="BD13" s="135">
        <v>1.7430816024503848</v>
      </c>
      <c r="BE13" s="133">
        <v>32.076099999999997</v>
      </c>
      <c r="BF13" s="135">
        <v>31.370824859537258</v>
      </c>
    </row>
    <row r="14" spans="1:58">
      <c r="B14" s="3">
        <v>0</v>
      </c>
      <c r="C14" s="3">
        <v>0</v>
      </c>
      <c r="D14" s="3">
        <v>0.5</v>
      </c>
      <c r="E14" s="13" cm="1">
        <f t="array" ref="E14">((B14-INDEX($AO$4:$AR$53,MATCH(B14,$AO$4:$AO$53,1),1))/(INDEX($AO$4:$AR$53,MATCH(B14,$AO$4:$AO$53,1)+1,1)-INDEX($AO$4:$AR$53,MATCH(B14,$AO$4:$AO$53,1),1)))*(INDEX($AO$4:$AR$53,MATCH(B14,$AO$4:$AO$53,1)+1,4)-INDEX($AO$4:$AR$53,MATCH(B14,$AO$4:$AO$53,1),4))+INDEX($AO$4:$AR$53,MATCH(B14,$AO$4:$AO$53,1),4)</f>
        <v>101.325</v>
      </c>
      <c r="F14" s="13" cm="1">
        <f t="array" ref="F14">C14+((B14-INDEX($AO$4:$AR$53,MATCH(B14,$AO$4:$AO$53,1),1))/(INDEX($AO$4:$AR$53,MATCH(B14,$AO$4:$AO$53,1)+1,1)-INDEX($AO$4:$AR$53,MATCH(B14,$AO$4:$AO$53,1),1)))*(INDEX($AO$4:$AR$53,MATCH(B14,$AO$4:$AO$53,1)+1,3)-INDEX($AO$4:$AR$53,MATCH(B14,$AO$4:$AO$53,1),3))+INDEX($AO$4:$AR$53,MATCH(B14,$AO$4:$AO$53,1),3)</f>
        <v>288.14999999999998</v>
      </c>
      <c r="G14" s="4">
        <f t="shared" si="1"/>
        <v>1.2252256827617731</v>
      </c>
      <c r="H14" s="6">
        <f t="shared" si="2"/>
        <v>0</v>
      </c>
      <c r="I14" s="13">
        <f t="shared" si="3"/>
        <v>170.13132427627781</v>
      </c>
      <c r="J14" s="13">
        <f t="shared" si="11"/>
        <v>330.70807338119988</v>
      </c>
      <c r="K14" s="13">
        <f t="shared" si="4"/>
        <v>330.70807338119988</v>
      </c>
      <c r="L14" s="13">
        <f t="shared" si="12"/>
        <v>330.70807338120005</v>
      </c>
      <c r="M14" s="13">
        <f t="shared" si="13"/>
        <v>18.867995549848654</v>
      </c>
      <c r="N14" s="13">
        <f t="shared" si="14"/>
        <v>17.731874999999999</v>
      </c>
      <c r="O14" s="4">
        <f t="shared" si="5"/>
        <v>1.05</v>
      </c>
      <c r="P14" s="4">
        <f t="shared" si="6"/>
        <v>1.1862126380443982</v>
      </c>
      <c r="Q14" s="4">
        <f t="shared" si="7"/>
        <v>1.05</v>
      </c>
      <c r="R14" s="4">
        <f t="shared" si="8"/>
        <v>1.1862126380443982</v>
      </c>
      <c r="S14" s="4">
        <f t="shared" si="9"/>
        <v>1</v>
      </c>
      <c r="T14" s="1"/>
      <c r="U14" s="132">
        <f t="shared" si="29"/>
        <v>1.1862126380443982</v>
      </c>
      <c r="V14" s="132">
        <f t="shared" si="30"/>
        <v>1.05</v>
      </c>
      <c r="W14" s="132">
        <f t="shared" si="15"/>
        <v>5.7881250000000009</v>
      </c>
      <c r="X14" s="132">
        <f t="shared" si="16"/>
        <v>424.01720025000009</v>
      </c>
      <c r="Y14" s="132">
        <f t="shared" si="17"/>
        <v>0.11778255562500002</v>
      </c>
      <c r="Z14" s="132">
        <f t="shared" si="18"/>
        <v>2.0348999999999999E-2</v>
      </c>
      <c r="AA14" s="132">
        <f t="shared" si="10"/>
        <v>4.5723792616261587</v>
      </c>
      <c r="AB14" s="132">
        <f t="shared" si="19"/>
        <v>0.98474137132663064</v>
      </c>
      <c r="AC14" s="132">
        <f t="shared" si="20"/>
        <v>3.5876378902995283</v>
      </c>
      <c r="AD14" s="132">
        <f t="shared" si="21"/>
        <v>32.830112521519411</v>
      </c>
      <c r="AE14" s="132">
        <f t="shared" si="22"/>
        <v>619.82729991137512</v>
      </c>
      <c r="AF14" s="132"/>
      <c r="AG14" s="132">
        <f t="shared" si="23"/>
        <v>934.7968000151551</v>
      </c>
      <c r="AH14" s="132">
        <f t="shared" si="24"/>
        <v>806.53328648034665</v>
      </c>
      <c r="AI14" s="132">
        <f t="shared" si="25"/>
        <v>1.1590306509165185</v>
      </c>
      <c r="AJ14" s="132">
        <f t="shared" si="26"/>
        <v>63.204885860500369</v>
      </c>
      <c r="AL14" s="5">
        <f t="shared" si="27"/>
        <v>1.0009591792588384</v>
      </c>
      <c r="AM14" s="5">
        <f t="shared" si="28"/>
        <v>1.2143414788403497</v>
      </c>
      <c r="AO14" s="32">
        <f t="shared" si="0"/>
        <v>9842.52</v>
      </c>
      <c r="AP14" s="17">
        <v>3000</v>
      </c>
      <c r="AQ14" s="17">
        <v>268.7</v>
      </c>
      <c r="AR14" s="17">
        <v>70.12</v>
      </c>
      <c r="AS14" s="17">
        <v>0.74229999999999996</v>
      </c>
      <c r="AT14" s="17">
        <v>1.863</v>
      </c>
      <c r="AU14" s="17">
        <v>2.379</v>
      </c>
      <c r="AV14" s="33">
        <v>328.6</v>
      </c>
      <c r="AZ14" s="133">
        <v>15000</v>
      </c>
      <c r="BA14" s="133">
        <v>0</v>
      </c>
      <c r="BB14" s="133">
        <v>0.6</v>
      </c>
      <c r="BC14" s="133">
        <v>2.29</v>
      </c>
      <c r="BD14" s="135">
        <v>2.1394339232014468</v>
      </c>
      <c r="BE14" s="133">
        <v>32.346400000000003</v>
      </c>
      <c r="BF14" s="135">
        <v>31.987766750941976</v>
      </c>
    </row>
    <row r="15" spans="1:58">
      <c r="B15" s="3">
        <v>0</v>
      </c>
      <c r="C15" s="3">
        <v>0</v>
      </c>
      <c r="D15" s="3">
        <v>0.6</v>
      </c>
      <c r="E15" s="13" cm="1">
        <f t="array" ref="E15">((B15-INDEX($AO$4:$AR$53,MATCH(B15,$AO$4:$AO$53,1),1))/(INDEX($AO$4:$AR$53,MATCH(B15,$AO$4:$AO$53,1)+1,1)-INDEX($AO$4:$AR$53,MATCH(B15,$AO$4:$AO$53,1),1)))*(INDEX($AO$4:$AR$53,MATCH(B15,$AO$4:$AO$53,1)+1,4)-INDEX($AO$4:$AR$53,MATCH(B15,$AO$4:$AO$53,1),4))+INDEX($AO$4:$AR$53,MATCH(B15,$AO$4:$AO$53,1),4)</f>
        <v>101.325</v>
      </c>
      <c r="F15" s="13" cm="1">
        <f t="array" ref="F15">C15+((B15-INDEX($AO$4:$AR$53,MATCH(B15,$AO$4:$AO$53,1),1))/(INDEX($AO$4:$AR$53,MATCH(B15,$AO$4:$AO$53,1)+1,1)-INDEX($AO$4:$AR$53,MATCH(B15,$AO$4:$AO$53,1),1)))*(INDEX($AO$4:$AR$53,MATCH(B15,$AO$4:$AO$53,1)+1,3)-INDEX($AO$4:$AR$53,MATCH(B15,$AO$4:$AO$53,1),3))+INDEX($AO$4:$AR$53,MATCH(B15,$AO$4:$AO$53,1),3)</f>
        <v>288.14999999999998</v>
      </c>
      <c r="G15" s="4">
        <f t="shared" si="1"/>
        <v>1.2252256827617731</v>
      </c>
      <c r="H15" s="6">
        <f t="shared" si="2"/>
        <v>0</v>
      </c>
      <c r="I15" s="13">
        <f t="shared" si="3"/>
        <v>204.15758913153337</v>
      </c>
      <c r="J15" s="13">
        <f t="shared" si="11"/>
        <v>396.84968805743983</v>
      </c>
      <c r="K15" s="13">
        <f t="shared" si="4"/>
        <v>396.84968805743983</v>
      </c>
      <c r="L15" s="13">
        <f t="shared" si="12"/>
        <v>396.84968805744006</v>
      </c>
      <c r="M15" s="13">
        <f t="shared" si="13"/>
        <v>27.915420137720865</v>
      </c>
      <c r="N15" s="13">
        <f t="shared" si="14"/>
        <v>25.533899999999999</v>
      </c>
      <c r="O15" s="4">
        <f t="shared" si="5"/>
        <v>1.0720000000000001</v>
      </c>
      <c r="P15" s="4">
        <f t="shared" si="6"/>
        <v>1.2755037763406945</v>
      </c>
      <c r="Q15" s="4">
        <f t="shared" si="7"/>
        <v>1.0720000000000001</v>
      </c>
      <c r="R15" s="4">
        <f t="shared" si="8"/>
        <v>1.2755037763406945</v>
      </c>
      <c r="S15" s="4">
        <f t="shared" si="9"/>
        <v>1</v>
      </c>
      <c r="T15" s="1"/>
      <c r="U15" s="132">
        <f t="shared" si="29"/>
        <v>1.2755037763406945</v>
      </c>
      <c r="V15" s="132">
        <f t="shared" si="30"/>
        <v>1.0720000000000001</v>
      </c>
      <c r="W15" s="132">
        <f t="shared" si="15"/>
        <v>6.1596262400000015</v>
      </c>
      <c r="X15" s="132">
        <f t="shared" si="16"/>
        <v>460.68642936520712</v>
      </c>
      <c r="Y15" s="132">
        <f t="shared" si="17"/>
        <v>0.12796845260144643</v>
      </c>
      <c r="Z15" s="132">
        <f t="shared" si="18"/>
        <v>2.077536E-2</v>
      </c>
      <c r="AA15" s="132">
        <f t="shared" si="10"/>
        <v>5.0462227775015727</v>
      </c>
      <c r="AB15" s="132">
        <f t="shared" si="19"/>
        <v>1.2575344431097322</v>
      </c>
      <c r="AC15" s="132">
        <f t="shared" si="20"/>
        <v>3.7886883343918405</v>
      </c>
      <c r="AD15" s="132">
        <f t="shared" si="21"/>
        <v>33.776452773856342</v>
      </c>
      <c r="AE15" s="132">
        <f t="shared" si="22"/>
        <v>615.08412796030939</v>
      </c>
      <c r="AF15" s="132"/>
      <c r="AG15" s="132">
        <f t="shared" si="23"/>
        <v>1015.6385159071228</v>
      </c>
      <c r="AH15" s="132">
        <f t="shared" si="24"/>
        <v>851.7312357662953</v>
      </c>
      <c r="AI15" s="132">
        <f t="shared" si="25"/>
        <v>1.1924401422161788</v>
      </c>
      <c r="AJ15" s="132">
        <f t="shared" si="26"/>
        <v>62.721216228932519</v>
      </c>
      <c r="AL15" s="5">
        <f t="shared" si="27"/>
        <v>1.0570527131275711</v>
      </c>
      <c r="AM15" s="5">
        <f t="shared" si="28"/>
        <v>1.2493453254082139</v>
      </c>
      <c r="AO15" s="32">
        <f t="shared" si="0"/>
        <v>11482.94</v>
      </c>
      <c r="AP15" s="17">
        <v>3500</v>
      </c>
      <c r="AQ15" s="17">
        <v>265.39999999999998</v>
      </c>
      <c r="AR15" s="17">
        <v>65.78</v>
      </c>
      <c r="AS15" s="17">
        <v>0.70479999999999998</v>
      </c>
      <c r="AT15" s="17">
        <v>1.9430000000000001</v>
      </c>
      <c r="AU15" s="17">
        <v>2.3530000000000002</v>
      </c>
      <c r="AV15" s="33">
        <v>326.60000000000002</v>
      </c>
      <c r="AZ15" s="133">
        <v>10000</v>
      </c>
      <c r="BA15" s="133">
        <v>0</v>
      </c>
      <c r="BB15" s="133">
        <v>0.6</v>
      </c>
      <c r="BC15" s="133">
        <v>2.61</v>
      </c>
      <c r="BD15" s="135">
        <v>2.6063095001970447</v>
      </c>
      <c r="BE15" s="133">
        <v>32.621400000000001</v>
      </c>
      <c r="BF15" s="135">
        <v>32.597357065173568</v>
      </c>
    </row>
    <row r="16" spans="1:58">
      <c r="B16" s="3">
        <v>0</v>
      </c>
      <c r="C16" s="3">
        <v>0</v>
      </c>
      <c r="D16" s="3">
        <v>0.7</v>
      </c>
      <c r="E16" s="13" cm="1">
        <f t="array" ref="E16">((B16-INDEX($AO$4:$AR$53,MATCH(B16,$AO$4:$AO$53,1),1))/(INDEX($AO$4:$AR$53,MATCH(B16,$AO$4:$AO$53,1)+1,1)-INDEX($AO$4:$AR$53,MATCH(B16,$AO$4:$AO$53,1),1)))*(INDEX($AO$4:$AR$53,MATCH(B16,$AO$4:$AO$53,1)+1,4)-INDEX($AO$4:$AR$53,MATCH(B16,$AO$4:$AO$53,1),4))+INDEX($AO$4:$AR$53,MATCH(B16,$AO$4:$AO$53,1),4)</f>
        <v>101.325</v>
      </c>
      <c r="F16" s="13" cm="1">
        <f t="array" ref="F16">C16+((B16-INDEX($AO$4:$AR$53,MATCH(B16,$AO$4:$AO$53,1),1))/(INDEX($AO$4:$AR$53,MATCH(B16,$AO$4:$AO$53,1)+1,1)-INDEX($AO$4:$AR$53,MATCH(B16,$AO$4:$AO$53,1),1)))*(INDEX($AO$4:$AR$53,MATCH(B16,$AO$4:$AO$53,1)+1,3)-INDEX($AO$4:$AR$53,MATCH(B16,$AO$4:$AO$53,1),3))+INDEX($AO$4:$AR$53,MATCH(B16,$AO$4:$AO$53,1),3)</f>
        <v>288.14999999999998</v>
      </c>
      <c r="G16" s="4">
        <f t="shared" si="1"/>
        <v>1.2252256827617731</v>
      </c>
      <c r="H16" s="6">
        <f t="shared" si="2"/>
        <v>0</v>
      </c>
      <c r="I16" s="13">
        <f t="shared" si="3"/>
        <v>238.1838539867889</v>
      </c>
      <c r="J16" s="13">
        <f t="shared" si="11"/>
        <v>462.99130273367973</v>
      </c>
      <c r="K16" s="13">
        <f t="shared" si="4"/>
        <v>462.99130273367973</v>
      </c>
      <c r="L16" s="13">
        <f t="shared" si="12"/>
        <v>462.99130273367945</v>
      </c>
      <c r="M16" s="13">
        <f t="shared" si="13"/>
        <v>39.223042990859284</v>
      </c>
      <c r="N16" s="13">
        <f t="shared" si="14"/>
        <v>34.754474999999992</v>
      </c>
      <c r="O16" s="4">
        <f t="shared" si="5"/>
        <v>1.0979999999999999</v>
      </c>
      <c r="P16" s="4">
        <f t="shared" si="6"/>
        <v>1.3871013371908145</v>
      </c>
      <c r="Q16" s="4">
        <f t="shared" si="7"/>
        <v>1.0979999999999999</v>
      </c>
      <c r="R16" s="4">
        <f t="shared" si="8"/>
        <v>1.3871013371908143</v>
      </c>
      <c r="S16" s="4">
        <f t="shared" si="9"/>
        <v>1</v>
      </c>
      <c r="T16" s="1"/>
      <c r="U16" s="132">
        <f t="shared" si="29"/>
        <v>1.3871013371908143</v>
      </c>
      <c r="V16" s="132">
        <f t="shared" si="30"/>
        <v>1.0979999999999999</v>
      </c>
      <c r="W16" s="132">
        <f t="shared" si="15"/>
        <v>6.6187659599999966</v>
      </c>
      <c r="X16" s="132">
        <f t="shared" si="16"/>
        <v>507.03231372001306</v>
      </c>
      <c r="Y16" s="132">
        <f t="shared" si="17"/>
        <v>0.1408423093666703</v>
      </c>
      <c r="Z16" s="132">
        <f t="shared" si="18"/>
        <v>2.1279239999999998E-2</v>
      </c>
      <c r="AA16" s="132">
        <f t="shared" si="10"/>
        <v>5.6384403436039259</v>
      </c>
      <c r="AB16" s="132">
        <f t="shared" si="19"/>
        <v>1.5764831849893679</v>
      </c>
      <c r="AC16" s="132">
        <f t="shared" si="20"/>
        <v>4.0619571586145575</v>
      </c>
      <c r="AD16" s="132">
        <f t="shared" si="21"/>
        <v>34.673509312616297</v>
      </c>
      <c r="AE16" s="132">
        <f t="shared" si="22"/>
        <v>613.70309558650104</v>
      </c>
      <c r="AF16" s="132"/>
      <c r="AG16" s="132">
        <f t="shared" si="23"/>
        <v>1117.8135794734151</v>
      </c>
      <c r="AH16" s="132">
        <f t="shared" si="24"/>
        <v>913.16452687098001</v>
      </c>
      <c r="AI16" s="132">
        <f t="shared" si="25"/>
        <v>1.2241097267583081</v>
      </c>
      <c r="AJ16" s="132">
        <f t="shared" si="26"/>
        <v>62.58038991558896</v>
      </c>
      <c r="AL16" s="5">
        <f t="shared" si="27"/>
        <v>1.1332953402752517</v>
      </c>
      <c r="AM16" s="5">
        <f t="shared" si="28"/>
        <v>1.2825262340379706</v>
      </c>
      <c r="AO16" s="32">
        <f t="shared" si="0"/>
        <v>13123.36</v>
      </c>
      <c r="AP16" s="17">
        <v>4000</v>
      </c>
      <c r="AQ16" s="17">
        <v>262.2</v>
      </c>
      <c r="AR16" s="17">
        <v>61.66</v>
      </c>
      <c r="AS16" s="17">
        <v>0.66890000000000005</v>
      </c>
      <c r="AT16" s="17">
        <v>2.028</v>
      </c>
      <c r="AU16" s="17">
        <v>2.327</v>
      </c>
      <c r="AV16" s="33">
        <v>324.60000000000002</v>
      </c>
      <c r="AZ16" s="133">
        <v>10000</v>
      </c>
      <c r="BA16" s="133">
        <v>0</v>
      </c>
      <c r="BB16" s="133">
        <v>0.3</v>
      </c>
      <c r="BC16" s="133">
        <v>2.5499999999999998</v>
      </c>
      <c r="BD16" s="135">
        <v>2.3304342599987971</v>
      </c>
      <c r="BE16" s="133">
        <v>30.151199999999999</v>
      </c>
      <c r="BF16" s="135">
        <v>29.647186887013849</v>
      </c>
    </row>
    <row r="17" spans="2:58">
      <c r="B17" s="3">
        <v>0</v>
      </c>
      <c r="C17" s="3">
        <v>0</v>
      </c>
      <c r="D17" s="3">
        <v>0.8</v>
      </c>
      <c r="E17" s="13" cm="1">
        <f t="array" ref="E17">((B17-INDEX($AO$4:$AR$53,MATCH(B17,$AO$4:$AO$53,1),1))/(INDEX($AO$4:$AR$53,MATCH(B17,$AO$4:$AO$53,1)+1,1)-INDEX($AO$4:$AR$53,MATCH(B17,$AO$4:$AO$53,1),1)))*(INDEX($AO$4:$AR$53,MATCH(B17,$AO$4:$AO$53,1)+1,4)-INDEX($AO$4:$AR$53,MATCH(B17,$AO$4:$AO$53,1),4))+INDEX($AO$4:$AR$53,MATCH(B17,$AO$4:$AO$53,1),4)</f>
        <v>101.325</v>
      </c>
      <c r="F17" s="13" cm="1">
        <f t="array" ref="F17">C17+((B17-INDEX($AO$4:$AR$53,MATCH(B17,$AO$4:$AO$53,1),1))/(INDEX($AO$4:$AR$53,MATCH(B17,$AO$4:$AO$53,1)+1,1)-INDEX($AO$4:$AR$53,MATCH(B17,$AO$4:$AO$53,1),1)))*(INDEX($AO$4:$AR$53,MATCH(B17,$AO$4:$AO$53,1)+1,3)-INDEX($AO$4:$AR$53,MATCH(B17,$AO$4:$AO$53,1),3))+INDEX($AO$4:$AR$53,MATCH(B17,$AO$4:$AO$53,1),3)</f>
        <v>288.14999999999998</v>
      </c>
      <c r="G17" s="4">
        <f t="shared" si="1"/>
        <v>1.2252256827617731</v>
      </c>
      <c r="H17" s="6">
        <f t="shared" si="2"/>
        <v>0</v>
      </c>
      <c r="I17" s="13">
        <f t="shared" si="3"/>
        <v>272.21011884204449</v>
      </c>
      <c r="J17" s="13">
        <f t="shared" si="11"/>
        <v>529.13291740991974</v>
      </c>
      <c r="K17" s="13">
        <f t="shared" si="4"/>
        <v>529.13291740991974</v>
      </c>
      <c r="L17" s="13">
        <f t="shared" si="12"/>
        <v>529.13291740991997</v>
      </c>
      <c r="M17" s="13">
        <f t="shared" si="13"/>
        <v>53.128751468530069</v>
      </c>
      <c r="N17" s="13">
        <f t="shared" si="14"/>
        <v>45.393599999999999</v>
      </c>
      <c r="O17" s="4">
        <f t="shared" si="5"/>
        <v>1.1280000000000001</v>
      </c>
      <c r="P17" s="4">
        <f t="shared" si="6"/>
        <v>1.5243400095586486</v>
      </c>
      <c r="Q17" s="4">
        <f t="shared" si="7"/>
        <v>1.1280000000000001</v>
      </c>
      <c r="R17" s="4">
        <f t="shared" si="8"/>
        <v>1.5243400095586486</v>
      </c>
      <c r="S17" s="4">
        <f t="shared" si="9"/>
        <v>1</v>
      </c>
      <c r="T17" s="1"/>
      <c r="U17" s="132">
        <f t="shared" si="29"/>
        <v>1.5243400095586486</v>
      </c>
      <c r="V17" s="132">
        <f t="shared" si="30"/>
        <v>1.1280000000000001</v>
      </c>
      <c r="W17" s="132">
        <f t="shared" si="15"/>
        <v>7.1762457600000022</v>
      </c>
      <c r="X17" s="132">
        <f t="shared" si="16"/>
        <v>564.75837039919122</v>
      </c>
      <c r="Y17" s="132">
        <f t="shared" si="17"/>
        <v>0.15687732511088645</v>
      </c>
      <c r="Z17" s="132">
        <f t="shared" si="18"/>
        <v>2.1860640000000001E-2</v>
      </c>
      <c r="AA17" s="132">
        <f t="shared" si="10"/>
        <v>6.3667282372251197</v>
      </c>
      <c r="AB17" s="132">
        <f t="shared" si="19"/>
        <v>1.9534467111693186</v>
      </c>
      <c r="AC17" s="132">
        <f t="shared" si="20"/>
        <v>4.4132815260558012</v>
      </c>
      <c r="AD17" s="132">
        <f t="shared" si="21"/>
        <v>35.546638977071886</v>
      </c>
      <c r="AE17" s="132">
        <f t="shared" si="22"/>
        <v>614.98472511284217</v>
      </c>
      <c r="AF17" s="132"/>
      <c r="AG17" s="132">
        <f t="shared" si="23"/>
        <v>1245.0775985494649</v>
      </c>
      <c r="AH17" s="132">
        <f t="shared" si="24"/>
        <v>992.14540659107854</v>
      </c>
      <c r="AI17" s="132">
        <f t="shared" si="25"/>
        <v>1.2549345995839849</v>
      </c>
      <c r="AJ17" s="132">
        <f t="shared" si="26"/>
        <v>62.711079944794548</v>
      </c>
      <c r="AL17" s="5">
        <f t="shared" si="27"/>
        <v>1.2313156425578375</v>
      </c>
      <c r="AM17" s="5">
        <f t="shared" si="28"/>
        <v>1.3148221199341701</v>
      </c>
      <c r="AO17" s="32">
        <f t="shared" si="0"/>
        <v>14763.78</v>
      </c>
      <c r="AP17" s="17">
        <v>4500</v>
      </c>
      <c r="AQ17" s="17">
        <v>258.89999999999998</v>
      </c>
      <c r="AR17" s="17">
        <v>57.75</v>
      </c>
      <c r="AS17" s="17">
        <v>0.63429999999999997</v>
      </c>
      <c r="AT17" s="17">
        <v>2.117</v>
      </c>
      <c r="AU17" s="17">
        <v>2.3010000000000002</v>
      </c>
      <c r="AV17" s="33">
        <v>322.60000000000002</v>
      </c>
      <c r="AZ17" s="133">
        <v>8000</v>
      </c>
      <c r="BA17" s="133">
        <v>0</v>
      </c>
      <c r="BB17" s="133">
        <v>0.3</v>
      </c>
      <c r="BC17" s="133">
        <v>2.69</v>
      </c>
      <c r="BD17" s="135">
        <v>2.5169680657679212</v>
      </c>
      <c r="BE17" s="133">
        <v>30.2271</v>
      </c>
      <c r="BF17" s="135">
        <v>29.863099374391417</v>
      </c>
    </row>
    <row r="18" spans="2:58">
      <c r="B18" s="3">
        <v>0</v>
      </c>
      <c r="C18" s="3">
        <v>0</v>
      </c>
      <c r="D18" s="3">
        <v>0.9</v>
      </c>
      <c r="E18" s="13" cm="1">
        <f t="array" ref="E18">((B18-INDEX($AO$4:$AR$53,MATCH(B18,$AO$4:$AO$53,1),1))/(INDEX($AO$4:$AR$53,MATCH(B18,$AO$4:$AO$53,1)+1,1)-INDEX($AO$4:$AR$53,MATCH(B18,$AO$4:$AO$53,1),1)))*(INDEX($AO$4:$AR$53,MATCH(B18,$AO$4:$AO$53,1)+1,4)-INDEX($AO$4:$AR$53,MATCH(B18,$AO$4:$AO$53,1),4))+INDEX($AO$4:$AR$53,MATCH(B18,$AO$4:$AO$53,1),4)</f>
        <v>101.325</v>
      </c>
      <c r="F18" s="13" cm="1">
        <f t="array" ref="F18">C18+((B18-INDEX($AO$4:$AR$53,MATCH(B18,$AO$4:$AO$53,1),1))/(INDEX($AO$4:$AR$53,MATCH(B18,$AO$4:$AO$53,1)+1,1)-INDEX($AO$4:$AR$53,MATCH(B18,$AO$4:$AO$53,1),1)))*(INDEX($AO$4:$AR$53,MATCH(B18,$AO$4:$AO$53,1)+1,3)-INDEX($AO$4:$AR$53,MATCH(B18,$AO$4:$AO$53,1),3))+INDEX($AO$4:$AR$53,MATCH(B18,$AO$4:$AO$53,1),3)</f>
        <v>288.14999999999998</v>
      </c>
      <c r="G18" s="4">
        <f t="shared" si="1"/>
        <v>1.2252256827617731</v>
      </c>
      <c r="H18" s="6">
        <f t="shared" si="2"/>
        <v>0</v>
      </c>
      <c r="I18" s="13">
        <f t="shared" si="3"/>
        <v>306.23638369730008</v>
      </c>
      <c r="J18" s="13">
        <f t="shared" si="11"/>
        <v>595.27453208615975</v>
      </c>
      <c r="K18" s="13">
        <f t="shared" si="4"/>
        <v>595.27453208615975</v>
      </c>
      <c r="L18" s="13">
        <f t="shared" si="12"/>
        <v>595.27453208615952</v>
      </c>
      <c r="M18" s="13">
        <f t="shared" si="13"/>
        <v>70.046287909620588</v>
      </c>
      <c r="N18" s="13">
        <f t="shared" si="14"/>
        <v>57.45127500000001</v>
      </c>
      <c r="O18" s="4">
        <f t="shared" si="5"/>
        <v>1.1619999999999999</v>
      </c>
      <c r="P18" s="4">
        <f t="shared" si="6"/>
        <v>1.691303112850931</v>
      </c>
      <c r="Q18" s="4">
        <f t="shared" si="7"/>
        <v>1.1619999999999999</v>
      </c>
      <c r="R18" s="4">
        <f t="shared" si="8"/>
        <v>1.6913031128509313</v>
      </c>
      <c r="S18" s="4">
        <f t="shared" si="9"/>
        <v>1</v>
      </c>
      <c r="T18" s="1"/>
      <c r="U18" s="132">
        <f t="shared" si="29"/>
        <v>1.6913031128509313</v>
      </c>
      <c r="V18" s="132">
        <f t="shared" si="30"/>
        <v>1.1619999999999999</v>
      </c>
      <c r="W18" s="132">
        <f t="shared" si="15"/>
        <v>7.844917640000002</v>
      </c>
      <c r="X18" s="132">
        <f t="shared" si="16"/>
        <v>635.99073656053815</v>
      </c>
      <c r="Y18" s="132">
        <f t="shared" si="17"/>
        <v>0.17666409348903839</v>
      </c>
      <c r="Z18" s="132">
        <f t="shared" si="18"/>
        <v>2.2519559999999994E-2</v>
      </c>
      <c r="AA18" s="132">
        <f t="shared" si="10"/>
        <v>7.2527555115438567</v>
      </c>
      <c r="AB18" s="132">
        <f t="shared" si="19"/>
        <v>2.4023992084767585</v>
      </c>
      <c r="AC18" s="132">
        <f t="shared" si="20"/>
        <v>4.8503563030670982</v>
      </c>
      <c r="AD18" s="132">
        <f t="shared" si="21"/>
        <v>36.422910493673577</v>
      </c>
      <c r="AE18" s="132">
        <f t="shared" si="22"/>
        <v>618.28007961943331</v>
      </c>
      <c r="AF18" s="132"/>
      <c r="AG18" s="132">
        <f t="shared" si="23"/>
        <v>1402.1178976360934</v>
      </c>
      <c r="AH18" s="132">
        <f t="shared" si="24"/>
        <v>1090.4037501362113</v>
      </c>
      <c r="AI18" s="132">
        <f t="shared" si="25"/>
        <v>1.2858703920093297</v>
      </c>
      <c r="AJ18" s="132">
        <f t="shared" si="26"/>
        <v>63.047113071261798</v>
      </c>
      <c r="AL18" s="5">
        <f t="shared" si="27"/>
        <v>1.3532605052918638</v>
      </c>
      <c r="AM18" s="5">
        <f t="shared" si="28"/>
        <v>1.3472342186937549</v>
      </c>
      <c r="AO18" s="32">
        <f t="shared" si="0"/>
        <v>16404.2</v>
      </c>
      <c r="AP18" s="17">
        <v>5000</v>
      </c>
      <c r="AQ18" s="17">
        <v>255.7</v>
      </c>
      <c r="AR18" s="17">
        <v>54.05</v>
      </c>
      <c r="AS18" s="17">
        <v>0.60119999999999996</v>
      </c>
      <c r="AT18" s="17">
        <v>2.2109999999999999</v>
      </c>
      <c r="AU18" s="17">
        <v>2.2749999999999999</v>
      </c>
      <c r="AV18" s="33">
        <v>320.5</v>
      </c>
      <c r="AZ18" s="133">
        <v>6000</v>
      </c>
      <c r="BA18" s="133">
        <v>0</v>
      </c>
      <c r="BB18" s="133">
        <v>0.3</v>
      </c>
      <c r="BC18" s="133">
        <v>2.83</v>
      </c>
      <c r="BD18" s="135">
        <v>2.7158963735079777</v>
      </c>
      <c r="BE18" s="133">
        <v>30.307200000000002</v>
      </c>
      <c r="BF18" s="135">
        <v>30.081041908671033</v>
      </c>
    </row>
    <row r="19" spans="2:58">
      <c r="B19" s="3">
        <v>0</v>
      </c>
      <c r="C19" s="3">
        <v>0</v>
      </c>
      <c r="D19" s="3">
        <v>0.95</v>
      </c>
      <c r="E19" s="13" cm="1">
        <f t="array" ref="E19">((B19-INDEX($AO$4:$AR$53,MATCH(B19,$AO$4:$AO$53,1),1))/(INDEX($AO$4:$AR$53,MATCH(B19,$AO$4:$AO$53,1)+1,1)-INDEX($AO$4:$AR$53,MATCH(B19,$AO$4:$AO$53,1),1)))*(INDEX($AO$4:$AR$53,MATCH(B19,$AO$4:$AO$53,1)+1,4)-INDEX($AO$4:$AR$53,MATCH(B19,$AO$4:$AO$53,1),4))+INDEX($AO$4:$AR$53,MATCH(B19,$AO$4:$AO$53,1),4)</f>
        <v>101.325</v>
      </c>
      <c r="F19" s="13" cm="1">
        <f t="array" ref="F19">C19+((B19-INDEX($AO$4:$AR$53,MATCH(B19,$AO$4:$AO$53,1),1))/(INDEX($AO$4:$AR$53,MATCH(B19,$AO$4:$AO$53,1)+1,1)-INDEX($AO$4:$AR$53,MATCH(B19,$AO$4:$AO$53,1),1)))*(INDEX($AO$4:$AR$53,MATCH(B19,$AO$4:$AO$53,1)+1,3)-INDEX($AO$4:$AR$53,MATCH(B19,$AO$4:$AO$53,1),3))+INDEX($AO$4:$AR$53,MATCH(B19,$AO$4:$AO$53,1),3)</f>
        <v>288.14999999999998</v>
      </c>
      <c r="G19" s="4">
        <f t="shared" si="1"/>
        <v>1.2252256827617731</v>
      </c>
      <c r="H19" s="6">
        <f t="shared" si="2"/>
        <v>0</v>
      </c>
      <c r="I19" s="13">
        <f t="shared" si="3"/>
        <v>323.24951612492782</v>
      </c>
      <c r="J19" s="13">
        <f t="shared" si="11"/>
        <v>628.3453394242797</v>
      </c>
      <c r="K19" s="13">
        <f t="shared" si="4"/>
        <v>628.3453394242797</v>
      </c>
      <c r="L19" s="13">
        <f t="shared" si="12"/>
        <v>628.34533942427959</v>
      </c>
      <c r="M19" s="13">
        <f t="shared" si="13"/>
        <v>79.787148419239259</v>
      </c>
      <c r="N19" s="13">
        <f t="shared" si="14"/>
        <v>64.012068749999997</v>
      </c>
      <c r="O19" s="4">
        <f t="shared" si="5"/>
        <v>1.1804999999999999</v>
      </c>
      <c r="P19" s="4">
        <f t="shared" si="6"/>
        <v>1.7874379315987097</v>
      </c>
      <c r="Q19" s="4">
        <f t="shared" si="7"/>
        <v>1.1804999999999999</v>
      </c>
      <c r="R19" s="4">
        <f t="shared" si="8"/>
        <v>1.7874379315987099</v>
      </c>
      <c r="S19" s="4">
        <f t="shared" si="9"/>
        <v>1</v>
      </c>
      <c r="T19" s="1"/>
      <c r="U19" s="132">
        <f t="shared" si="29"/>
        <v>1.7874379315987099</v>
      </c>
      <c r="V19" s="132">
        <f t="shared" si="30"/>
        <v>1.1804999999999999</v>
      </c>
      <c r="W19" s="132">
        <f t="shared" si="15"/>
        <v>8.2256074256250002</v>
      </c>
      <c r="X19" s="132">
        <f t="shared" si="16"/>
        <v>677.47027315722119</v>
      </c>
      <c r="Y19" s="132">
        <f t="shared" si="17"/>
        <v>0.18818618698811698</v>
      </c>
      <c r="Z19" s="132">
        <f t="shared" si="18"/>
        <v>2.287808999999999E-2</v>
      </c>
      <c r="AA19" s="132">
        <f t="shared" si="10"/>
        <v>7.7629165575631633</v>
      </c>
      <c r="AB19" s="132">
        <f t="shared" si="19"/>
        <v>2.6589236201668944</v>
      </c>
      <c r="AC19" s="132">
        <f t="shared" si="20"/>
        <v>5.1039929373962689</v>
      </c>
      <c r="AD19" s="132">
        <f t="shared" si="21"/>
        <v>36.8703854602349</v>
      </c>
      <c r="AE19" s="132">
        <f t="shared" si="22"/>
        <v>620.50042912283232</v>
      </c>
      <c r="AF19" s="132"/>
      <c r="AG19" s="132">
        <f t="shared" si="23"/>
        <v>1493.5645136078729</v>
      </c>
      <c r="AH19" s="132">
        <f t="shared" si="24"/>
        <v>1147.4235482631177</v>
      </c>
      <c r="AI19" s="132">
        <f t="shared" si="25"/>
        <v>1.3016679985945181</v>
      </c>
      <c r="AJ19" s="132">
        <f t="shared" si="26"/>
        <v>63.273526036539096</v>
      </c>
      <c r="AL19" s="5">
        <f t="shared" si="27"/>
        <v>1.4240257065443527</v>
      </c>
      <c r="AM19" s="5">
        <f t="shared" si="28"/>
        <v>1.3637857127613411</v>
      </c>
      <c r="AO19" s="32">
        <f t="shared" si="0"/>
        <v>18044.62</v>
      </c>
      <c r="AP19" s="17">
        <v>5500</v>
      </c>
      <c r="AQ19" s="17">
        <v>252.4</v>
      </c>
      <c r="AR19" s="17">
        <v>50.54</v>
      </c>
      <c r="AS19" s="17">
        <v>0.56940000000000002</v>
      </c>
      <c r="AT19" s="17">
        <v>2.3109999999999999</v>
      </c>
      <c r="AU19" s="17">
        <v>2.2480000000000002</v>
      </c>
      <c r="AV19" s="33">
        <v>318.5</v>
      </c>
      <c r="AZ19" s="133">
        <v>4000</v>
      </c>
      <c r="BA19" s="133">
        <v>0</v>
      </c>
      <c r="BB19" s="133">
        <v>0.3</v>
      </c>
      <c r="BC19" s="133">
        <v>2.98</v>
      </c>
      <c r="BD19" s="135">
        <v>2.9270351661474763</v>
      </c>
      <c r="BE19" s="133">
        <v>30.386399999999998</v>
      </c>
      <c r="BF19" s="135">
        <v>30.295713102205688</v>
      </c>
    </row>
    <row r="20" spans="2:58">
      <c r="Q20" s="15"/>
      <c r="R20" s="15"/>
      <c r="S20" s="15"/>
      <c r="T20" s="15"/>
      <c r="U20" s="15"/>
      <c r="AO20" s="32">
        <f t="shared" si="0"/>
        <v>19685.04</v>
      </c>
      <c r="AP20" s="17">
        <v>6000</v>
      </c>
      <c r="AQ20" s="17">
        <v>249.2</v>
      </c>
      <c r="AR20" s="17">
        <v>47.22</v>
      </c>
      <c r="AS20" s="17">
        <v>0.53890000000000005</v>
      </c>
      <c r="AT20" s="17">
        <v>2.4159999999999999</v>
      </c>
      <c r="AU20" s="17">
        <v>2.222</v>
      </c>
      <c r="AV20" s="33">
        <v>316.5</v>
      </c>
      <c r="AZ20" s="133">
        <v>2000</v>
      </c>
      <c r="BA20" s="133">
        <v>0</v>
      </c>
      <c r="BB20" s="133">
        <v>0.3</v>
      </c>
      <c r="BC20" s="133">
        <v>3.13</v>
      </c>
      <c r="BD20" s="135">
        <v>3.1506775894358712</v>
      </c>
      <c r="BE20" s="133">
        <v>30.474399999999999</v>
      </c>
      <c r="BF20" s="135">
        <v>30.508212572149709</v>
      </c>
    </row>
    <row r="21" spans="2:58">
      <c r="AO21" s="32">
        <f t="shared" si="0"/>
        <v>21325.46</v>
      </c>
      <c r="AP21" s="17">
        <v>6500</v>
      </c>
      <c r="AQ21" s="17">
        <v>245.9</v>
      </c>
      <c r="AR21" s="17">
        <v>44.08</v>
      </c>
      <c r="AS21" s="17">
        <v>0.50960000000000005</v>
      </c>
      <c r="AT21" s="17">
        <v>2.528</v>
      </c>
      <c r="AU21" s="17">
        <v>2.1949999999999998</v>
      </c>
      <c r="AV21" s="33">
        <v>314.39999999999998</v>
      </c>
      <c r="AZ21" s="133">
        <v>1000</v>
      </c>
      <c r="BA21" s="133">
        <v>0</v>
      </c>
      <c r="BB21" s="133">
        <v>0.2</v>
      </c>
      <c r="BC21" s="133">
        <v>3.26</v>
      </c>
      <c r="BD21" s="135">
        <v>3.2663165152644567</v>
      </c>
      <c r="BE21" s="133">
        <v>29.436900000000001</v>
      </c>
      <c r="BF21" s="135">
        <v>29.444777131712161</v>
      </c>
    </row>
    <row r="22" spans="2:58">
      <c r="AO22" s="32">
        <f t="shared" si="0"/>
        <v>22965.88</v>
      </c>
      <c r="AP22" s="17">
        <v>7000</v>
      </c>
      <c r="AQ22" s="17">
        <v>242.7</v>
      </c>
      <c r="AR22" s="17">
        <v>41.11</v>
      </c>
      <c r="AS22" s="17">
        <v>0.48170000000000002</v>
      </c>
      <c r="AT22" s="17">
        <v>2.6459999999999999</v>
      </c>
      <c r="AU22" s="17">
        <v>2.169</v>
      </c>
      <c r="AV22" s="33">
        <v>312.3</v>
      </c>
      <c r="AZ22" s="133">
        <v>0</v>
      </c>
      <c r="BA22" s="133">
        <v>0</v>
      </c>
      <c r="BB22" s="133">
        <v>0</v>
      </c>
      <c r="BC22" s="133">
        <v>3.58</v>
      </c>
      <c r="BD22" s="135">
        <v>3.5842000000000001</v>
      </c>
      <c r="BE22" s="133">
        <v>27.036200000000001</v>
      </c>
      <c r="BF22" s="135">
        <v>27.035321689637851</v>
      </c>
    </row>
    <row r="23" spans="2:58">
      <c r="AO23" s="32">
        <f t="shared" si="0"/>
        <v>24606.3</v>
      </c>
      <c r="AP23" s="17">
        <v>7500</v>
      </c>
      <c r="AQ23" s="17">
        <v>239.5</v>
      </c>
      <c r="AR23" s="17">
        <v>38.299999999999997</v>
      </c>
      <c r="AS23" s="17">
        <v>0.45490000000000003</v>
      </c>
      <c r="AT23" s="17">
        <v>2.7709999999999999</v>
      </c>
      <c r="AU23" s="17">
        <v>2.1419999999999999</v>
      </c>
      <c r="AV23" s="33">
        <v>310.2</v>
      </c>
    </row>
    <row r="24" spans="2:58">
      <c r="AO24" s="32">
        <f t="shared" si="0"/>
        <v>26246.720000000001</v>
      </c>
      <c r="AP24" s="17">
        <v>8000</v>
      </c>
      <c r="AQ24" s="17">
        <v>236.2</v>
      </c>
      <c r="AR24" s="17">
        <v>35.65</v>
      </c>
      <c r="AS24" s="17">
        <v>0.42920000000000003</v>
      </c>
      <c r="AT24" s="17">
        <v>2.9039999999999999</v>
      </c>
      <c r="AU24" s="17">
        <v>2.1150000000000002</v>
      </c>
      <c r="AV24" s="33">
        <v>308.10000000000002</v>
      </c>
    </row>
    <row r="25" spans="2:58">
      <c r="AO25" s="32">
        <f t="shared" si="0"/>
        <v>27887.14</v>
      </c>
      <c r="AP25" s="17">
        <v>8500</v>
      </c>
      <c r="AQ25" s="17">
        <v>233</v>
      </c>
      <c r="AR25" s="17">
        <v>33.15</v>
      </c>
      <c r="AS25" s="17">
        <v>0.4047</v>
      </c>
      <c r="AT25" s="17">
        <v>3.0459999999999998</v>
      </c>
      <c r="AU25" s="17">
        <v>2.0880000000000001</v>
      </c>
      <c r="AV25" s="33">
        <v>306</v>
      </c>
    </row>
    <row r="26" spans="2:58">
      <c r="AO26" s="32">
        <f t="shared" si="0"/>
        <v>29527.56</v>
      </c>
      <c r="AP26" s="17">
        <v>9000</v>
      </c>
      <c r="AQ26" s="17">
        <v>229.7</v>
      </c>
      <c r="AR26" s="17">
        <v>30.8</v>
      </c>
      <c r="AS26" s="17">
        <v>0.38129999999999997</v>
      </c>
      <c r="AT26" s="17">
        <v>3.1960000000000002</v>
      </c>
      <c r="AU26" s="17">
        <v>2.0609999999999999</v>
      </c>
      <c r="AV26" s="33">
        <v>303.8</v>
      </c>
    </row>
    <row r="27" spans="2:58">
      <c r="AO27" s="32">
        <f t="shared" si="0"/>
        <v>31167.98</v>
      </c>
      <c r="AP27" s="17">
        <v>9500</v>
      </c>
      <c r="AQ27" s="17">
        <v>226.5</v>
      </c>
      <c r="AR27" s="17">
        <v>28.58</v>
      </c>
      <c r="AS27" s="17">
        <v>0.3589</v>
      </c>
      <c r="AT27" s="17">
        <v>3.355</v>
      </c>
      <c r="AU27" s="17">
        <v>2.0339999999999998</v>
      </c>
      <c r="AV27" s="33">
        <v>301.7</v>
      </c>
    </row>
    <row r="28" spans="2:58">
      <c r="AO28" s="32">
        <f t="shared" si="0"/>
        <v>32808.400000000001</v>
      </c>
      <c r="AP28" s="17">
        <v>10000</v>
      </c>
      <c r="AQ28" s="17">
        <v>223.3</v>
      </c>
      <c r="AR28" s="17">
        <v>26.5</v>
      </c>
      <c r="AS28" s="17">
        <v>0.33760000000000001</v>
      </c>
      <c r="AT28" s="17">
        <v>3.5249999999999999</v>
      </c>
      <c r="AU28" s="17">
        <v>2.0070000000000001</v>
      </c>
      <c r="AV28" s="33">
        <v>299.8</v>
      </c>
    </row>
    <row r="29" spans="2:58">
      <c r="AO29" s="32">
        <f t="shared" si="0"/>
        <v>34448.82</v>
      </c>
      <c r="AP29" s="17">
        <v>10500</v>
      </c>
      <c r="AQ29" s="17">
        <v>220</v>
      </c>
      <c r="AR29" s="17">
        <v>24.54</v>
      </c>
      <c r="AS29" s="17">
        <v>0.31719999999999998</v>
      </c>
      <c r="AT29" s="17">
        <v>3.706</v>
      </c>
      <c r="AU29" s="17">
        <v>1.98</v>
      </c>
      <c r="AV29" s="33">
        <v>297.39999999999998</v>
      </c>
    </row>
    <row r="30" spans="2:58">
      <c r="AO30" s="32">
        <f t="shared" si="0"/>
        <v>36089.24</v>
      </c>
      <c r="AP30" s="17">
        <v>11000</v>
      </c>
      <c r="AQ30" s="17">
        <v>216.8</v>
      </c>
      <c r="AR30" s="17">
        <v>22.7</v>
      </c>
      <c r="AS30" s="17">
        <v>0.29780000000000001</v>
      </c>
      <c r="AT30" s="17">
        <v>3.899</v>
      </c>
      <c r="AU30" s="17">
        <v>1.9530000000000001</v>
      </c>
      <c r="AV30" s="33">
        <v>295.2</v>
      </c>
    </row>
    <row r="31" spans="2:58">
      <c r="AO31" s="32">
        <f t="shared" si="0"/>
        <v>37729.659999999996</v>
      </c>
      <c r="AP31" s="17">
        <v>11500</v>
      </c>
      <c r="AQ31" s="17">
        <v>216.7</v>
      </c>
      <c r="AR31" s="17">
        <v>20.98</v>
      </c>
      <c r="AS31" s="17">
        <v>0.27550000000000002</v>
      </c>
      <c r="AT31" s="17">
        <v>4.2130000000000001</v>
      </c>
      <c r="AU31" s="17">
        <v>1.952</v>
      </c>
      <c r="AV31" s="33">
        <v>295.10000000000002</v>
      </c>
    </row>
    <row r="32" spans="2:58">
      <c r="AO32" s="32">
        <f t="shared" si="0"/>
        <v>39370.080000000002</v>
      </c>
      <c r="AP32" s="17">
        <v>12000</v>
      </c>
      <c r="AQ32" s="17">
        <v>216.7</v>
      </c>
      <c r="AR32" s="17">
        <v>19.399999999999999</v>
      </c>
      <c r="AS32" s="17">
        <v>0.25459999999999999</v>
      </c>
      <c r="AT32" s="17">
        <v>4.5570000000000004</v>
      </c>
      <c r="AU32" s="17">
        <v>1.952</v>
      </c>
      <c r="AV32" s="33">
        <v>295.10000000000002</v>
      </c>
    </row>
    <row r="33" spans="41:48">
      <c r="AO33" s="32">
        <f t="shared" si="0"/>
        <v>41010.5</v>
      </c>
      <c r="AP33" s="17">
        <v>12500</v>
      </c>
      <c r="AQ33" s="17">
        <v>216.7</v>
      </c>
      <c r="AR33" s="17">
        <v>17.93</v>
      </c>
      <c r="AS33" s="17">
        <v>0.2354</v>
      </c>
      <c r="AT33" s="17">
        <v>4.93</v>
      </c>
      <c r="AU33" s="17">
        <v>1.952</v>
      </c>
      <c r="AV33" s="33">
        <v>295.10000000000002</v>
      </c>
    </row>
    <row r="34" spans="41:48">
      <c r="AO34" s="32">
        <f t="shared" si="0"/>
        <v>42650.92</v>
      </c>
      <c r="AP34" s="17">
        <v>13000</v>
      </c>
      <c r="AQ34" s="17">
        <v>216.7</v>
      </c>
      <c r="AR34" s="17">
        <v>16.579999999999998</v>
      </c>
      <c r="AS34" s="17">
        <v>0.21759999999999999</v>
      </c>
      <c r="AT34" s="17">
        <v>5.3330000000000002</v>
      </c>
      <c r="AU34" s="17">
        <v>1.952</v>
      </c>
      <c r="AV34" s="33">
        <v>295.10000000000002</v>
      </c>
    </row>
    <row r="35" spans="41:48">
      <c r="AO35" s="32">
        <f t="shared" si="0"/>
        <v>44291.34</v>
      </c>
      <c r="AP35" s="17">
        <v>13500</v>
      </c>
      <c r="AQ35" s="17">
        <v>216.7</v>
      </c>
      <c r="AR35" s="17">
        <v>15.33</v>
      </c>
      <c r="AS35" s="17">
        <v>0.20119999999999999</v>
      </c>
      <c r="AT35" s="17">
        <v>5.7679999999999998</v>
      </c>
      <c r="AU35" s="17">
        <v>1.952</v>
      </c>
      <c r="AV35" s="33">
        <v>295.10000000000002</v>
      </c>
    </row>
    <row r="36" spans="41:48">
      <c r="AO36" s="32">
        <f t="shared" si="0"/>
        <v>45931.76</v>
      </c>
      <c r="AP36" s="17">
        <v>14000</v>
      </c>
      <c r="AQ36" s="17">
        <v>216.7</v>
      </c>
      <c r="AR36" s="17">
        <v>14.17</v>
      </c>
      <c r="AS36" s="17">
        <v>0.186</v>
      </c>
      <c r="AT36" s="17">
        <v>6.2389999999999999</v>
      </c>
      <c r="AU36" s="17">
        <v>1.952</v>
      </c>
      <c r="AV36" s="33">
        <v>295.10000000000002</v>
      </c>
    </row>
    <row r="37" spans="41:48">
      <c r="AO37" s="32">
        <f t="shared" si="0"/>
        <v>47572.18</v>
      </c>
      <c r="AP37" s="17">
        <v>14500</v>
      </c>
      <c r="AQ37" s="17">
        <v>216.7</v>
      </c>
      <c r="AR37" s="17">
        <v>13.1</v>
      </c>
      <c r="AS37" s="17">
        <v>0.17199999999999999</v>
      </c>
      <c r="AT37" s="17">
        <v>6.7489999999999997</v>
      </c>
      <c r="AU37" s="17">
        <v>1.952</v>
      </c>
      <c r="AV37" s="33">
        <v>295.10000000000002</v>
      </c>
    </row>
    <row r="38" spans="41:48">
      <c r="AO38" s="32">
        <f t="shared" si="0"/>
        <v>49212.6</v>
      </c>
      <c r="AP38" s="17">
        <v>15000</v>
      </c>
      <c r="AQ38" s="17">
        <v>216.7</v>
      </c>
      <c r="AR38" s="17">
        <v>12.11</v>
      </c>
      <c r="AS38" s="17">
        <v>0.159</v>
      </c>
      <c r="AT38" s="17">
        <v>7.3</v>
      </c>
      <c r="AU38" s="17">
        <v>1.952</v>
      </c>
      <c r="AV38" s="33">
        <v>295.10000000000002</v>
      </c>
    </row>
    <row r="39" spans="41:48">
      <c r="AO39" s="32">
        <f t="shared" si="0"/>
        <v>50853.02</v>
      </c>
      <c r="AP39" s="17">
        <v>15500</v>
      </c>
      <c r="AQ39" s="17">
        <v>216.7</v>
      </c>
      <c r="AR39" s="17">
        <v>11.2</v>
      </c>
      <c r="AS39" s="17">
        <v>0.14699999999999999</v>
      </c>
      <c r="AT39" s="17">
        <v>7.8949999999999996</v>
      </c>
      <c r="AU39" s="17">
        <v>1.952</v>
      </c>
      <c r="AV39" s="33">
        <v>295.10000000000002</v>
      </c>
    </row>
    <row r="40" spans="41:48">
      <c r="AO40" s="32">
        <f t="shared" si="0"/>
        <v>52493.440000000002</v>
      </c>
      <c r="AP40" s="17">
        <v>16000</v>
      </c>
      <c r="AQ40" s="17">
        <v>216.7</v>
      </c>
      <c r="AR40" s="17">
        <v>10.35</v>
      </c>
      <c r="AS40" s="17">
        <v>0.13589999999999999</v>
      </c>
      <c r="AT40" s="17">
        <v>8.5399999999999991</v>
      </c>
      <c r="AU40" s="17">
        <v>1.952</v>
      </c>
      <c r="AV40" s="33">
        <v>295.10000000000002</v>
      </c>
    </row>
    <row r="41" spans="41:48">
      <c r="AO41" s="32">
        <f t="shared" si="0"/>
        <v>54133.86</v>
      </c>
      <c r="AP41" s="17">
        <v>16500</v>
      </c>
      <c r="AQ41" s="17">
        <v>216.7</v>
      </c>
      <c r="AR41" s="17">
        <v>9.5719999999999992</v>
      </c>
      <c r="AS41" s="17">
        <v>0.12559999999999999</v>
      </c>
      <c r="AT41" s="17">
        <v>9.2370000000000001</v>
      </c>
      <c r="AU41" s="17">
        <v>1.952</v>
      </c>
      <c r="AV41" s="33">
        <v>295.10000000000002</v>
      </c>
    </row>
    <row r="42" spans="41:48">
      <c r="AO42" s="32">
        <f t="shared" si="0"/>
        <v>55774.28</v>
      </c>
      <c r="AP42" s="17">
        <v>17000</v>
      </c>
      <c r="AQ42" s="17">
        <v>216.7</v>
      </c>
      <c r="AR42" s="17">
        <v>8.85</v>
      </c>
      <c r="AS42" s="17">
        <v>0.1162</v>
      </c>
      <c r="AT42" s="17">
        <v>9.99</v>
      </c>
      <c r="AU42" s="17">
        <v>1.952</v>
      </c>
      <c r="AV42" s="33">
        <v>295.10000000000002</v>
      </c>
    </row>
    <row r="43" spans="41:48">
      <c r="AO43" s="32">
        <f t="shared" si="0"/>
        <v>57414.7</v>
      </c>
      <c r="AP43" s="17">
        <v>17500</v>
      </c>
      <c r="AQ43" s="17">
        <v>216.7</v>
      </c>
      <c r="AR43" s="17">
        <v>8.1820000000000004</v>
      </c>
      <c r="AS43" s="17">
        <v>0.1074</v>
      </c>
      <c r="AT43" s="17">
        <v>10.805</v>
      </c>
      <c r="AU43" s="17">
        <v>1.952</v>
      </c>
      <c r="AV43" s="33">
        <v>295.10000000000002</v>
      </c>
    </row>
    <row r="44" spans="41:48">
      <c r="AO44" s="32">
        <f t="shared" si="0"/>
        <v>59055.12</v>
      </c>
      <c r="AP44" s="17">
        <v>18000</v>
      </c>
      <c r="AQ44" s="17">
        <v>216.7</v>
      </c>
      <c r="AR44" s="17">
        <v>7.5650000000000004</v>
      </c>
      <c r="AS44" s="17">
        <v>9.9299999999999999E-2</v>
      </c>
      <c r="AT44" s="17">
        <v>11.686</v>
      </c>
      <c r="AU44" s="17">
        <v>1.952</v>
      </c>
      <c r="AV44" s="33">
        <v>295.10000000000002</v>
      </c>
    </row>
    <row r="45" spans="41:48">
      <c r="AO45" s="32">
        <f t="shared" si="0"/>
        <v>60695.54</v>
      </c>
      <c r="AP45" s="17">
        <v>18500</v>
      </c>
      <c r="AQ45" s="17">
        <v>216.7</v>
      </c>
      <c r="AR45" s="17">
        <v>6.9950000000000001</v>
      </c>
      <c r="AS45" s="17">
        <v>9.1819999999999999E-2</v>
      </c>
      <c r="AT45" s="17">
        <v>12.638999999999999</v>
      </c>
      <c r="AU45" s="17">
        <v>1.952</v>
      </c>
      <c r="AV45" s="33">
        <v>295.10000000000002</v>
      </c>
    </row>
    <row r="46" spans="41:48">
      <c r="AO46" s="32">
        <f t="shared" si="0"/>
        <v>62335.96</v>
      </c>
      <c r="AP46" s="17">
        <v>19000</v>
      </c>
      <c r="AQ46" s="17">
        <v>216.7</v>
      </c>
      <c r="AR46" s="17">
        <v>6.4669999999999996</v>
      </c>
      <c r="AS46" s="17">
        <v>8.4889999999999993E-2</v>
      </c>
      <c r="AT46" s="17">
        <v>13.67</v>
      </c>
      <c r="AU46" s="17">
        <v>1.952</v>
      </c>
      <c r="AV46" s="33">
        <v>295.10000000000002</v>
      </c>
    </row>
    <row r="47" spans="41:48">
      <c r="AO47" s="32">
        <f t="shared" si="0"/>
        <v>63976.38</v>
      </c>
      <c r="AP47" s="17">
        <v>19500</v>
      </c>
      <c r="AQ47" s="17">
        <v>216.7</v>
      </c>
      <c r="AR47" s="17">
        <v>5.98</v>
      </c>
      <c r="AS47" s="17">
        <v>7.85E-2</v>
      </c>
      <c r="AT47" s="17">
        <v>14.784000000000001</v>
      </c>
      <c r="AU47" s="17">
        <v>1.952</v>
      </c>
      <c r="AV47" s="33">
        <v>295.10000000000002</v>
      </c>
    </row>
    <row r="48" spans="41:48">
      <c r="AO48" s="32">
        <f t="shared" si="0"/>
        <v>65616.800000000003</v>
      </c>
      <c r="AP48" s="17">
        <v>20000</v>
      </c>
      <c r="AQ48" s="17">
        <v>216.7</v>
      </c>
      <c r="AR48" s="17">
        <v>5.5289999999999999</v>
      </c>
      <c r="AS48" s="17">
        <v>7.2580000000000006E-2</v>
      </c>
      <c r="AT48" s="17">
        <v>15.989000000000001</v>
      </c>
      <c r="AU48" s="17">
        <v>1.952</v>
      </c>
      <c r="AV48" s="33">
        <v>295.10000000000002</v>
      </c>
    </row>
    <row r="49" spans="41:48">
      <c r="AO49" s="32">
        <f t="shared" si="0"/>
        <v>72178.48</v>
      </c>
      <c r="AP49" s="17">
        <v>22000</v>
      </c>
      <c r="AQ49" s="17">
        <v>218.6</v>
      </c>
      <c r="AR49" s="17">
        <v>4.0469999999999997</v>
      </c>
      <c r="AS49" s="17">
        <v>5.2659999999999998E-2</v>
      </c>
      <c r="AT49" s="17">
        <v>22.201000000000001</v>
      </c>
      <c r="AU49" s="17">
        <v>1.968</v>
      </c>
      <c r="AV49" s="33">
        <v>296.39999999999998</v>
      </c>
    </row>
    <row r="50" spans="41:48">
      <c r="AO50" s="32">
        <f t="shared" si="0"/>
        <v>78740.160000000003</v>
      </c>
      <c r="AP50" s="17">
        <v>24000</v>
      </c>
      <c r="AQ50" s="17">
        <v>220.6</v>
      </c>
      <c r="AR50" s="17">
        <v>2.972</v>
      </c>
      <c r="AS50" s="17">
        <v>3.832E-2</v>
      </c>
      <c r="AT50" s="17">
        <v>30.742999999999999</v>
      </c>
      <c r="AU50" s="17">
        <v>1.9850000000000001</v>
      </c>
      <c r="AV50" s="33">
        <v>297.7</v>
      </c>
    </row>
    <row r="51" spans="41:48">
      <c r="AO51" s="32">
        <f t="shared" si="0"/>
        <v>85301.84</v>
      </c>
      <c r="AP51" s="17">
        <v>26000</v>
      </c>
      <c r="AQ51" s="17">
        <v>222.5</v>
      </c>
      <c r="AR51" s="17">
        <v>2.1880000000000002</v>
      </c>
      <c r="AS51" s="17">
        <v>2.7969999999999998E-2</v>
      </c>
      <c r="AT51" s="17">
        <v>42.439</v>
      </c>
      <c r="AU51" s="17">
        <v>2.0009999999999999</v>
      </c>
      <c r="AV51" s="33">
        <v>299.10000000000002</v>
      </c>
    </row>
    <row r="52" spans="41:48">
      <c r="AO52" s="32">
        <f t="shared" si="0"/>
        <v>91863.52</v>
      </c>
      <c r="AP52" s="17">
        <v>28000</v>
      </c>
      <c r="AQ52" s="17">
        <v>224.5</v>
      </c>
      <c r="AR52" s="17">
        <v>1.6160000000000001</v>
      </c>
      <c r="AS52" s="17">
        <v>2.0469999999999999E-2</v>
      </c>
      <c r="AT52" s="17">
        <v>58.405000000000001</v>
      </c>
      <c r="AU52" s="17">
        <v>2.0179999999999998</v>
      </c>
      <c r="AV52" s="33">
        <v>300.39999999999998</v>
      </c>
    </row>
    <row r="53" spans="41:48" ht="15" thickBot="1">
      <c r="AO53" s="34">
        <f t="shared" si="0"/>
        <v>98425.2</v>
      </c>
      <c r="AP53" s="35">
        <v>30000</v>
      </c>
      <c r="AQ53" s="35">
        <v>226.5</v>
      </c>
      <c r="AR53" s="35">
        <v>1.1970000000000001</v>
      </c>
      <c r="AS53" s="35">
        <v>1.503E-2</v>
      </c>
      <c r="AT53" s="35">
        <v>80.134</v>
      </c>
      <c r="AU53" s="35">
        <v>2.0339999999999998</v>
      </c>
      <c r="AV53" s="36">
        <v>301.7</v>
      </c>
    </row>
  </sheetData>
  <mergeCells count="6">
    <mergeCell ref="AZ8:BB8"/>
    <mergeCell ref="B1:E1"/>
    <mergeCell ref="AO2:AV2"/>
    <mergeCell ref="B5:S5"/>
    <mergeCell ref="U5:AJ5"/>
    <mergeCell ref="AZ6:BF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8249B-C70B-46F5-A2D9-07A50F68B27F}">
  <sheetPr codeName="Sheet2">
    <pageSetUpPr fitToPage="1"/>
  </sheetPr>
  <dimension ref="B2:M49"/>
  <sheetViews>
    <sheetView topLeftCell="A21" workbookViewId="0">
      <selection activeCell="H36" sqref="H36"/>
    </sheetView>
  </sheetViews>
  <sheetFormatPr defaultRowHeight="14.4"/>
  <cols>
    <col min="3" max="3" width="27.44140625" customWidth="1"/>
    <col min="6" max="6" width="10.33203125" customWidth="1"/>
    <col min="7" max="7" width="10.44140625" customWidth="1"/>
    <col min="8" max="8" width="16.6640625" customWidth="1"/>
    <col min="9" max="9" width="11" customWidth="1"/>
    <col min="11" max="11" width="14.6640625" customWidth="1"/>
  </cols>
  <sheetData>
    <row r="2" spans="2:11">
      <c r="B2" s="349" t="s">
        <v>83</v>
      </c>
      <c r="C2" s="2" t="s">
        <v>269</v>
      </c>
      <c r="D2" s="3">
        <v>100</v>
      </c>
      <c r="F2" s="5"/>
      <c r="G2" s="271" t="s">
        <v>270</v>
      </c>
      <c r="H2" s="271"/>
      <c r="J2" s="2" t="s">
        <v>50</v>
      </c>
      <c r="K2" s="2" t="s">
        <v>271</v>
      </c>
    </row>
    <row r="3" spans="2:11">
      <c r="B3" s="349"/>
      <c r="C3" s="2" t="s">
        <v>272</v>
      </c>
      <c r="D3" s="3">
        <v>2.2999999999999998</v>
      </c>
      <c r="F3" s="5"/>
      <c r="G3" s="2" t="s">
        <v>273</v>
      </c>
      <c r="H3" s="2" t="s">
        <v>274</v>
      </c>
      <c r="J3" s="3">
        <v>9.81</v>
      </c>
      <c r="K3" s="9">
        <v>1.2252256827617731</v>
      </c>
    </row>
    <row r="4" spans="2:11">
      <c r="B4" s="349"/>
      <c r="C4" s="2" t="s">
        <v>275</v>
      </c>
      <c r="D4" s="3">
        <v>1</v>
      </c>
      <c r="F4" s="2" t="s">
        <v>276</v>
      </c>
      <c r="G4" s="10">
        <f>D2</f>
        <v>100</v>
      </c>
      <c r="H4" s="10">
        <f>G4/1.94384</f>
        <v>51.444563338546381</v>
      </c>
    </row>
    <row r="5" spans="2:11">
      <c r="B5" s="349"/>
      <c r="C5" s="2" t="s">
        <v>277</v>
      </c>
      <c r="D5" s="3">
        <v>0.9</v>
      </c>
      <c r="F5" s="2" t="s">
        <v>278</v>
      </c>
      <c r="G5" s="10">
        <f>H5*1.94384</f>
        <v>125.3259991459492</v>
      </c>
      <c r="H5" s="10">
        <f>((F18*$J$3)/(D7*0.5*D8*K3))^0.5</f>
        <v>64.473413010303929</v>
      </c>
    </row>
    <row r="6" spans="2:11">
      <c r="F6" s="2" t="s">
        <v>279</v>
      </c>
      <c r="G6" s="10">
        <f>D2*1.3</f>
        <v>130</v>
      </c>
      <c r="H6" s="10">
        <f t="shared" ref="H6:H8" si="0">G6/1.94384</f>
        <v>66.877932340110291</v>
      </c>
      <c r="J6" s="2" t="s">
        <v>276</v>
      </c>
      <c r="K6" t="s">
        <v>280</v>
      </c>
    </row>
    <row r="7" spans="2:11">
      <c r="B7" s="349" t="s">
        <v>78</v>
      </c>
      <c r="C7" s="2" t="s">
        <v>281</v>
      </c>
      <c r="D7" s="3">
        <v>1.6</v>
      </c>
      <c r="F7" s="2" t="s">
        <v>282</v>
      </c>
      <c r="G7" s="10">
        <f>G4*1.15</f>
        <v>114.99999999999999</v>
      </c>
      <c r="H7" s="10">
        <f t="shared" si="0"/>
        <v>59.161247839328333</v>
      </c>
      <c r="J7" s="2" t="s">
        <v>278</v>
      </c>
      <c r="K7" t="s">
        <v>283</v>
      </c>
    </row>
    <row r="8" spans="2:11">
      <c r="B8" s="349"/>
      <c r="C8" s="2" t="s">
        <v>284</v>
      </c>
      <c r="D8" s="3">
        <v>0.91522000000000003</v>
      </c>
      <c r="F8" s="2" t="s">
        <v>285</v>
      </c>
      <c r="G8" s="10">
        <f>D2*D10</f>
        <v>120</v>
      </c>
      <c r="H8" s="10">
        <f t="shared" si="0"/>
        <v>61.733476006255657</v>
      </c>
      <c r="J8" s="2" t="s">
        <v>279</v>
      </c>
      <c r="K8" t="s">
        <v>286</v>
      </c>
    </row>
    <row r="9" spans="2:11">
      <c r="B9" s="349"/>
      <c r="C9" s="2" t="s">
        <v>287</v>
      </c>
      <c r="D9" s="3">
        <v>1</v>
      </c>
      <c r="J9" s="2" t="s">
        <v>282</v>
      </c>
      <c r="K9" t="s">
        <v>288</v>
      </c>
    </row>
    <row r="10" spans="2:11">
      <c r="B10" s="349"/>
      <c r="C10" s="2" t="s">
        <v>289</v>
      </c>
      <c r="D10" s="3">
        <v>1.2</v>
      </c>
      <c r="F10" s="5"/>
      <c r="G10" s="271" t="s">
        <v>290</v>
      </c>
      <c r="H10" s="271"/>
      <c r="J10" s="2" t="s">
        <v>285</v>
      </c>
      <c r="K10" t="s">
        <v>291</v>
      </c>
    </row>
    <row r="11" spans="2:11">
      <c r="B11" s="349"/>
      <c r="C11" s="2" t="s">
        <v>292</v>
      </c>
      <c r="D11" s="3">
        <v>1</v>
      </c>
      <c r="F11" s="5"/>
      <c r="G11" s="2" t="s">
        <v>293</v>
      </c>
      <c r="H11" s="2" t="s">
        <v>294</v>
      </c>
    </row>
    <row r="12" spans="2:11">
      <c r="B12" s="349"/>
      <c r="C12" s="2" t="s">
        <v>295</v>
      </c>
      <c r="D12" s="3">
        <v>3</v>
      </c>
      <c r="F12" s="2" t="s">
        <v>296</v>
      </c>
      <c r="G12" s="10">
        <f>H12/3.28084</f>
        <v>761.99997561600082</v>
      </c>
      <c r="H12" s="10">
        <f>D13</f>
        <v>2500</v>
      </c>
    </row>
    <row r="13" spans="2:11">
      <c r="B13" s="349"/>
      <c r="C13" s="2" t="s">
        <v>297</v>
      </c>
      <c r="D13" s="3">
        <v>2500</v>
      </c>
      <c r="F13" s="2" t="s">
        <v>298</v>
      </c>
      <c r="G13" s="10">
        <f>G12-H8*D12</f>
        <v>576.79954759723387</v>
      </c>
      <c r="H13" s="10">
        <f>G13*3.28084</f>
        <v>1892.3870277389087</v>
      </c>
    </row>
    <row r="14" spans="2:11">
      <c r="I14" s="12"/>
    </row>
    <row r="15" spans="2:11">
      <c r="F15" s="271" t="s">
        <v>299</v>
      </c>
      <c r="G15" s="271"/>
      <c r="H15" s="271"/>
      <c r="I15" s="12"/>
      <c r="J15" t="s">
        <v>300</v>
      </c>
    </row>
    <row r="16" spans="2:11">
      <c r="F16" s="271" t="s">
        <v>301</v>
      </c>
      <c r="G16" s="271"/>
      <c r="H16" s="2" t="s">
        <v>73</v>
      </c>
      <c r="J16" t="s">
        <v>302</v>
      </c>
    </row>
    <row r="17" spans="6:13">
      <c r="F17" s="2" t="s">
        <v>72</v>
      </c>
      <c r="G17" s="2" t="s">
        <v>70</v>
      </c>
      <c r="H17" s="2" t="s">
        <v>303</v>
      </c>
    </row>
    <row r="18" spans="6:13">
      <c r="F18" s="13">
        <f>(0.5*K3*D4*H4^2*D3)/9.81</f>
        <v>380.12277870126024</v>
      </c>
      <c r="G18" s="13">
        <f>F18*2.20462/10.7639</f>
        <v>77.855264391193927</v>
      </c>
      <c r="H18" s="14">
        <f>(D10^2*(D9)^2)/(G13*D11*D4*J3*K3*D7)*F18*$J$3</f>
        <v>0.48408920917585579</v>
      </c>
    </row>
    <row r="20" spans="6:13">
      <c r="F20" s="347" t="s">
        <v>304</v>
      </c>
      <c r="G20" s="271" t="s">
        <v>305</v>
      </c>
      <c r="H20" s="271"/>
      <c r="K20" s="289" t="s">
        <v>306</v>
      </c>
      <c r="L20" s="289"/>
      <c r="M20" t="s">
        <v>307</v>
      </c>
    </row>
    <row r="21" spans="6:13">
      <c r="F21" s="347"/>
      <c r="G21" s="2" t="s">
        <v>293</v>
      </c>
      <c r="H21" s="2" t="s">
        <v>294</v>
      </c>
      <c r="K21" s="55">
        <f>G18</f>
        <v>77.855264391193927</v>
      </c>
      <c r="L21" s="5">
        <v>0</v>
      </c>
    </row>
    <row r="22" spans="6:13">
      <c r="F22" s="2" t="s">
        <v>308</v>
      </c>
      <c r="G22" s="6">
        <f>(5*D5/(D4*D3))*F18+305</f>
        <v>1048.7184800676832</v>
      </c>
      <c r="H22" s="6">
        <f>G22*3.28084</f>
        <v>3440.677538145258</v>
      </c>
      <c r="K22" s="55">
        <f>K21</f>
        <v>77.855264391193927</v>
      </c>
      <c r="L22" s="56">
        <f>H18</f>
        <v>0.48408920917585579</v>
      </c>
    </row>
    <row r="23" spans="6:13">
      <c r="F23" s="2" t="s">
        <v>309</v>
      </c>
      <c r="G23" s="6">
        <f>H23/3.28084</f>
        <v>1217.6400580266024</v>
      </c>
      <c r="H23" s="6">
        <f>118*D5*G18/(D4*D3)+400</f>
        <v>3994.882207975998</v>
      </c>
      <c r="K23" s="55">
        <f>K22</f>
        <v>77.855264391193927</v>
      </c>
      <c r="L23" s="5">
        <v>4</v>
      </c>
    </row>
    <row r="24" spans="6:13">
      <c r="F24" s="348" t="s">
        <v>310</v>
      </c>
      <c r="G24" s="348"/>
      <c r="H24" s="348"/>
    </row>
    <row r="27" spans="6:13">
      <c r="F27" s="321" t="s">
        <v>68</v>
      </c>
      <c r="G27" s="322"/>
      <c r="H27" s="2" t="s">
        <v>69</v>
      </c>
    </row>
    <row r="28" spans="6:13">
      <c r="F28" s="2" t="s">
        <v>70</v>
      </c>
      <c r="G28" s="2" t="s">
        <v>72</v>
      </c>
      <c r="H28" s="8" t="s">
        <v>73</v>
      </c>
    </row>
    <row r="29" spans="6:13">
      <c r="F29" s="4">
        <v>20</v>
      </c>
      <c r="G29" s="4">
        <f>F29/(2.20462/10.7639)</f>
        <v>97.648574357485643</v>
      </c>
      <c r="H29" s="14">
        <f t="shared" ref="H29:H49" si="1">($D$10^2*($D$9)^2)/($G$13*$D$11*$D$4*$J$3*$K$3*$D$7)*G29*$J$3</f>
        <v>0.12435619170040613</v>
      </c>
    </row>
    <row r="30" spans="6:13">
      <c r="F30" s="4">
        <f>F29+5</f>
        <v>25</v>
      </c>
      <c r="G30" s="4">
        <f t="shared" ref="G30:G49" si="2">F30/(2.20462/10.7639)</f>
        <v>122.06071794685705</v>
      </c>
      <c r="H30" s="14">
        <f t="shared" si="1"/>
        <v>0.15544523962550766</v>
      </c>
    </row>
    <row r="31" spans="6:13">
      <c r="F31" s="4">
        <f t="shared" ref="F31:F49" si="3">F30+5</f>
        <v>30</v>
      </c>
      <c r="G31" s="4">
        <f t="shared" si="2"/>
        <v>146.47286153622846</v>
      </c>
      <c r="H31" s="14">
        <f t="shared" si="1"/>
        <v>0.18653428755060919</v>
      </c>
    </row>
    <row r="32" spans="6:13">
      <c r="F32" s="4">
        <f t="shared" si="3"/>
        <v>35</v>
      </c>
      <c r="G32" s="4">
        <f t="shared" si="2"/>
        <v>170.88500512559989</v>
      </c>
      <c r="H32" s="14">
        <f t="shared" si="1"/>
        <v>0.21762333547571075</v>
      </c>
    </row>
    <row r="33" spans="6:8">
      <c r="F33" s="4">
        <f t="shared" si="3"/>
        <v>40</v>
      </c>
      <c r="G33" s="4">
        <f t="shared" si="2"/>
        <v>195.29714871497129</v>
      </c>
      <c r="H33" s="14">
        <f t="shared" si="1"/>
        <v>0.24871238340081225</v>
      </c>
    </row>
    <row r="34" spans="6:8">
      <c r="F34" s="4">
        <f t="shared" si="3"/>
        <v>45</v>
      </c>
      <c r="G34" s="4">
        <f t="shared" si="2"/>
        <v>219.70929230434271</v>
      </c>
      <c r="H34" s="14">
        <f t="shared" si="1"/>
        <v>0.27980143132591384</v>
      </c>
    </row>
    <row r="35" spans="6:8">
      <c r="F35" s="4">
        <f t="shared" si="3"/>
        <v>50</v>
      </c>
      <c r="G35" s="4">
        <f t="shared" si="2"/>
        <v>244.12143589371411</v>
      </c>
      <c r="H35" s="14">
        <f t="shared" si="1"/>
        <v>0.31089047925101532</v>
      </c>
    </row>
    <row r="36" spans="6:8">
      <c r="F36" s="4">
        <v>57.5</v>
      </c>
      <c r="G36" s="4">
        <f t="shared" si="2"/>
        <v>280.73965127777126</v>
      </c>
      <c r="H36" s="14">
        <f t="shared" si="1"/>
        <v>0.35752405113866764</v>
      </c>
    </row>
    <row r="37" spans="6:8">
      <c r="F37" s="4">
        <v>60</v>
      </c>
      <c r="G37" s="4">
        <f t="shared" si="2"/>
        <v>292.94572307245693</v>
      </c>
      <c r="H37" s="14">
        <f t="shared" si="1"/>
        <v>0.37306857510121838</v>
      </c>
    </row>
    <row r="38" spans="6:8">
      <c r="F38" s="4">
        <f t="shared" si="3"/>
        <v>65</v>
      </c>
      <c r="G38" s="4">
        <f t="shared" si="2"/>
        <v>317.35786666182838</v>
      </c>
      <c r="H38" s="14">
        <f t="shared" si="1"/>
        <v>0.40415762302632002</v>
      </c>
    </row>
    <row r="39" spans="6:8">
      <c r="F39" s="4">
        <f t="shared" si="3"/>
        <v>70</v>
      </c>
      <c r="G39" s="4">
        <f t="shared" si="2"/>
        <v>341.77001025119978</v>
      </c>
      <c r="H39" s="14">
        <f t="shared" si="1"/>
        <v>0.4352466709514215</v>
      </c>
    </row>
    <row r="40" spans="6:8">
      <c r="F40" s="4">
        <f t="shared" si="3"/>
        <v>75</v>
      </c>
      <c r="G40" s="4">
        <f t="shared" si="2"/>
        <v>366.18215384057117</v>
      </c>
      <c r="H40" s="14">
        <f t="shared" si="1"/>
        <v>0.46633571887652303</v>
      </c>
    </row>
    <row r="41" spans="6:8">
      <c r="F41" s="4">
        <f t="shared" si="3"/>
        <v>80</v>
      </c>
      <c r="G41" s="4">
        <f t="shared" si="2"/>
        <v>390.59429742994257</v>
      </c>
      <c r="H41" s="14">
        <f t="shared" si="1"/>
        <v>0.49742476680162451</v>
      </c>
    </row>
    <row r="42" spans="6:8">
      <c r="F42" s="4">
        <f t="shared" si="3"/>
        <v>85</v>
      </c>
      <c r="G42" s="4">
        <f t="shared" si="2"/>
        <v>415.00644101931402</v>
      </c>
      <c r="H42" s="14">
        <f t="shared" si="1"/>
        <v>0.52851381472672609</v>
      </c>
    </row>
    <row r="43" spans="6:8">
      <c r="F43" s="4">
        <f t="shared" si="3"/>
        <v>90</v>
      </c>
      <c r="G43" s="4">
        <f t="shared" si="2"/>
        <v>439.41858460868542</v>
      </c>
      <c r="H43" s="14">
        <f t="shared" si="1"/>
        <v>0.55960286265182768</v>
      </c>
    </row>
    <row r="44" spans="6:8">
      <c r="F44" s="4">
        <f t="shared" si="3"/>
        <v>95</v>
      </c>
      <c r="G44" s="4">
        <f t="shared" si="2"/>
        <v>463.83072819805682</v>
      </c>
      <c r="H44" s="14">
        <f t="shared" si="1"/>
        <v>0.59069191057692916</v>
      </c>
    </row>
    <row r="45" spans="6:8">
      <c r="F45" s="4">
        <f t="shared" si="3"/>
        <v>100</v>
      </c>
      <c r="G45" s="4">
        <f t="shared" si="2"/>
        <v>488.24287178742821</v>
      </c>
      <c r="H45" s="14">
        <f t="shared" si="1"/>
        <v>0.62178095850203063</v>
      </c>
    </row>
    <row r="46" spans="6:8">
      <c r="F46" s="4">
        <f t="shared" si="3"/>
        <v>105</v>
      </c>
      <c r="G46" s="4">
        <f t="shared" si="2"/>
        <v>512.65501537679961</v>
      </c>
      <c r="H46" s="14">
        <f t="shared" si="1"/>
        <v>0.65287000642713211</v>
      </c>
    </row>
    <row r="47" spans="6:8">
      <c r="F47" s="4">
        <f t="shared" si="3"/>
        <v>110</v>
      </c>
      <c r="G47" s="4">
        <f t="shared" si="2"/>
        <v>537.06715896617106</v>
      </c>
      <c r="H47" s="14">
        <f t="shared" si="1"/>
        <v>0.6839590543522337</v>
      </c>
    </row>
    <row r="48" spans="6:8">
      <c r="F48" s="4">
        <f t="shared" si="3"/>
        <v>115</v>
      </c>
      <c r="G48" s="4">
        <f t="shared" si="2"/>
        <v>561.47930255554252</v>
      </c>
      <c r="H48" s="14">
        <f t="shared" si="1"/>
        <v>0.71504810227733528</v>
      </c>
    </row>
    <row r="49" spans="6:8">
      <c r="F49" s="4">
        <f t="shared" si="3"/>
        <v>120</v>
      </c>
      <c r="G49" s="4">
        <f t="shared" si="2"/>
        <v>585.89144614491386</v>
      </c>
      <c r="H49" s="14">
        <f t="shared" si="1"/>
        <v>0.74613715020243676</v>
      </c>
    </row>
  </sheetData>
  <mergeCells count="11">
    <mergeCell ref="F16:G16"/>
    <mergeCell ref="B2:B5"/>
    <mergeCell ref="G2:H2"/>
    <mergeCell ref="B7:B13"/>
    <mergeCell ref="G10:H10"/>
    <mergeCell ref="F15:H15"/>
    <mergeCell ref="F20:F21"/>
    <mergeCell ref="G20:H20"/>
    <mergeCell ref="K20:L20"/>
    <mergeCell ref="F24:H24"/>
    <mergeCell ref="F27:G27"/>
  </mergeCells>
  <pageMargins left="0.7" right="0.7" top="0.75" bottom="0.75" header="0.3" footer="0.3"/>
  <pageSetup scale="68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3303-9F61-4769-A95F-D9B227FC8CA0}">
  <sheetPr codeName="Sheet5"/>
  <dimension ref="D1:O104"/>
  <sheetViews>
    <sheetView workbookViewId="0">
      <selection activeCell="K56" sqref="K56"/>
    </sheetView>
  </sheetViews>
  <sheetFormatPr defaultRowHeight="14.4"/>
  <cols>
    <col min="4" max="4" width="12.6640625" customWidth="1"/>
    <col min="5" max="5" width="14.44140625" customWidth="1"/>
    <col min="15" max="15" width="10.44140625" customWidth="1"/>
  </cols>
  <sheetData>
    <row r="1" spans="4:15" ht="15" thickBot="1">
      <c r="D1" s="350" t="s">
        <v>311</v>
      </c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2"/>
    </row>
    <row r="3" spans="4:15">
      <c r="D3" s="2" t="s">
        <v>312</v>
      </c>
      <c r="E3" s="4">
        <v>2.4723833000000001E-2</v>
      </c>
      <c r="I3" s="289" t="s">
        <v>313</v>
      </c>
      <c r="J3" s="289"/>
      <c r="N3" s="2" t="s">
        <v>314</v>
      </c>
      <c r="O3" s="2" t="s">
        <v>315</v>
      </c>
    </row>
    <row r="4" spans="4:15">
      <c r="D4" s="2" t="s">
        <v>316</v>
      </c>
      <c r="E4" s="2" t="s">
        <v>317</v>
      </c>
      <c r="I4" s="73" t="s">
        <v>318</v>
      </c>
      <c r="J4" s="5">
        <v>439</v>
      </c>
      <c r="N4" s="5">
        <f>$J$4</f>
        <v>439</v>
      </c>
      <c r="O4" s="4">
        <f>($E$8+$E$9*(N4/1000)+$E$10*(N4/1000)^2+$E$11*(N4/1000)^3+$E$12*(N4/1000)^4+$E$13*(N4/1000)^5+$E$14*(N4/1000)^6+$E$15*(N4/1000)^7+$E$16*(N4/1000)^8+($E$17+$E$18*(N4/1000)+$E$19*(N4/1000)^2+$E$20*(N4/1000)^3+$E$21*(N4/1000)^4+$E$22*(N4/1000)^5+$E$23*(N4/1000)^6+$E$24*(N4/1000)^7)*($E$3/(1+$E$3)))*($E$25+$E$26*$E$3+$E$27*$E$3^2)</f>
        <v>1069.9326886200049</v>
      </c>
    </row>
    <row r="5" spans="4:15">
      <c r="D5" s="4">
        <v>298</v>
      </c>
      <c r="E5" s="4">
        <f>($E$8+$E$9*(D5/1000)+$E$10*(D5/1000)^2+$E$11*(D5/1000)^3+$E$12*(D5/1000)^4+$E$13*(D5/1000)^5+$E$14*(D5/1000)^6+$E$15*(D5/1000)^7+$E$16*(D5/1000)^8+($E$17+$E$18*(D5/1000)+$E$19*(D5/1000)^2+$E$20*(D5/1000)^3+$E$21*(D5/1000)^4+$E$22*(D5/1000)^5+$E$23*(D5/1000)^6+$E$24*(D5/1000)^7)*($E$3/(1+$E$3)))*($E$25+$E$26*$E$3+$E$27*$E$3^2)</f>
        <v>1046.7305839998114</v>
      </c>
      <c r="I5" s="73" t="s">
        <v>319</v>
      </c>
      <c r="J5" s="5">
        <v>1321</v>
      </c>
      <c r="N5" s="5">
        <f>N4+($J$5-$J$4)*1/100</f>
        <v>447.82</v>
      </c>
      <c r="O5" s="4">
        <f t="shared" ref="O5:O68" si="0">($E$8+$E$9*(N5/1000)+$E$10*(N5/1000)^2+$E$11*(N5/1000)^3+$E$12*(N5/1000)^4+$E$13*(N5/1000)^5+$E$14*(N5/1000)^6+$E$15*(N5/1000)^7+$E$16*(N5/1000)^8+($E$17+$E$18*(N5/1000)+$E$19*(N5/1000)^2+$E$20*(N5/1000)^3+$E$21*(N5/1000)^4+$E$22*(N5/1000)^5+$E$23*(N5/1000)^6+$E$24*(N5/1000)^7)*($E$3/(1+$E$3)))*($E$25+$E$26*$E$3+$E$27*$E$3^2)</f>
        <v>1071.7747318725501</v>
      </c>
    </row>
    <row r="6" spans="4:15" ht="15" thickBot="1">
      <c r="N6" s="5">
        <f t="shared" ref="N6:N69" si="1">N5+($J$5-$J$4)*1/100</f>
        <v>456.64</v>
      </c>
      <c r="O6" s="4">
        <f t="shared" si="0"/>
        <v>1073.6587169570234</v>
      </c>
    </row>
    <row r="7" spans="4:15" ht="15" thickBot="1">
      <c r="D7" s="353" t="s">
        <v>0</v>
      </c>
      <c r="E7" s="354"/>
      <c r="N7" s="5">
        <f t="shared" si="1"/>
        <v>465.46</v>
      </c>
      <c r="O7" s="4">
        <f t="shared" si="0"/>
        <v>1075.5834156886399</v>
      </c>
    </row>
    <row r="8" spans="4:15">
      <c r="D8" s="74" t="s">
        <v>320</v>
      </c>
      <c r="E8" s="75">
        <f>0.992313*1000</f>
        <v>992.31299999999999</v>
      </c>
      <c r="N8" s="5">
        <f t="shared" si="1"/>
        <v>474.28</v>
      </c>
      <c r="O8" s="4">
        <f t="shared" si="0"/>
        <v>1077.5475236571251</v>
      </c>
    </row>
    <row r="9" spans="4:15">
      <c r="D9" s="74" t="s">
        <v>321</v>
      </c>
      <c r="E9" s="75">
        <f>0.236688*1000</f>
        <v>236.68800000000002</v>
      </c>
      <c r="N9" s="5">
        <f t="shared" si="1"/>
        <v>483.09999999999997</v>
      </c>
      <c r="O9" s="4">
        <f t="shared" si="0"/>
        <v>1079.5496687111354</v>
      </c>
    </row>
    <row r="10" spans="4:15">
      <c r="D10" s="74" t="s">
        <v>322</v>
      </c>
      <c r="E10" s="75">
        <f>-1.852148*1000</f>
        <v>-1852.1479999999999</v>
      </c>
      <c r="N10" s="5">
        <f t="shared" si="1"/>
        <v>491.91999999999996</v>
      </c>
      <c r="O10" s="4">
        <f t="shared" si="0"/>
        <v>1081.5884190438865</v>
      </c>
    </row>
    <row r="11" spans="4:15">
      <c r="D11" s="74" t="s">
        <v>323</v>
      </c>
      <c r="E11" s="75">
        <f>6.083152*1000</f>
        <v>6083.152</v>
      </c>
      <c r="N11" s="5">
        <f t="shared" si="1"/>
        <v>500.73999999999995</v>
      </c>
      <c r="O11" s="4">
        <f t="shared" si="0"/>
        <v>1083.6622908904153</v>
      </c>
    </row>
    <row r="12" spans="4:15">
      <c r="D12" s="74" t="s">
        <v>324</v>
      </c>
      <c r="E12" s="75">
        <f>-8.893933*1000</f>
        <v>-8893.9330000000009</v>
      </c>
      <c r="N12" s="5">
        <f t="shared" si="1"/>
        <v>509.55999999999995</v>
      </c>
      <c r="O12" s="4">
        <f t="shared" si="0"/>
        <v>1085.7697558467339</v>
      </c>
    </row>
    <row r="13" spans="4:15">
      <c r="D13" s="74" t="s">
        <v>325</v>
      </c>
      <c r="E13" s="75">
        <f>7.097112*1000</f>
        <v>7097.1120000000001</v>
      </c>
      <c r="N13" s="5">
        <f t="shared" si="1"/>
        <v>518.38</v>
      </c>
      <c r="O13" s="4">
        <f t="shared" si="0"/>
        <v>1087.9092478210569</v>
      </c>
    </row>
    <row r="14" spans="4:15">
      <c r="D14" s="74" t="s">
        <v>326</v>
      </c>
      <c r="E14" s="75">
        <f>-3.234725*1000</f>
        <v>-3234.7249999999999</v>
      </c>
      <c r="N14" s="5">
        <f t="shared" si="1"/>
        <v>527.20000000000005</v>
      </c>
      <c r="O14" s="4">
        <f t="shared" si="0"/>
        <v>1090.0791696271203</v>
      </c>
    </row>
    <row r="15" spans="4:15">
      <c r="D15" s="74" t="s">
        <v>327</v>
      </c>
      <c r="E15" s="75">
        <f>0.794571*1000</f>
        <v>794.57100000000003</v>
      </c>
      <c r="N15" s="5">
        <f t="shared" si="1"/>
        <v>536.0200000000001</v>
      </c>
      <c r="O15" s="4">
        <f t="shared" si="0"/>
        <v>1092.2778992295123</v>
      </c>
    </row>
    <row r="16" spans="4:15">
      <c r="D16" s="74" t="s">
        <v>328</v>
      </c>
      <c r="E16" s="75">
        <f>-0.081873*1000</f>
        <v>-81.873000000000005</v>
      </c>
      <c r="N16" s="5">
        <f t="shared" si="1"/>
        <v>544.84000000000015</v>
      </c>
      <c r="O16" s="4">
        <f t="shared" si="0"/>
        <v>1094.5037956508031</v>
      </c>
    </row>
    <row r="17" spans="4:15">
      <c r="D17" s="74" t="s">
        <v>329</v>
      </c>
      <c r="E17" s="75">
        <f>-0.718874*1000</f>
        <v>-718.87400000000002</v>
      </c>
      <c r="N17" s="5">
        <f t="shared" si="1"/>
        <v>553.6600000000002</v>
      </c>
      <c r="O17" s="4">
        <f t="shared" si="0"/>
        <v>1096.7552045501373</v>
      </c>
    </row>
    <row r="18" spans="4:15">
      <c r="D18" s="74" t="s">
        <v>330</v>
      </c>
      <c r="E18" s="75">
        <f>8.747481*1000</f>
        <v>8747.4809999999998</v>
      </c>
      <c r="N18" s="5">
        <f t="shared" si="1"/>
        <v>562.48000000000025</v>
      </c>
      <c r="O18" s="4">
        <f t="shared" si="0"/>
        <v>1099.0304634828303</v>
      </c>
    </row>
    <row r="19" spans="4:15">
      <c r="D19" s="74" t="s">
        <v>331</v>
      </c>
      <c r="E19" s="75">
        <f>-15.863157*1000</f>
        <v>-15863.156999999999</v>
      </c>
      <c r="N19" s="5">
        <f t="shared" si="1"/>
        <v>571.3000000000003</v>
      </c>
      <c r="O19" s="4">
        <f t="shared" si="0"/>
        <v>1101.3279068503871</v>
      </c>
    </row>
    <row r="20" spans="4:15">
      <c r="D20" s="74" t="s">
        <v>332</v>
      </c>
      <c r="E20" s="75">
        <f>17.254096*1000</f>
        <v>17254.096000000001</v>
      </c>
      <c r="N20" s="5">
        <f t="shared" si="1"/>
        <v>580.12000000000035</v>
      </c>
      <c r="O20" s="4">
        <f t="shared" si="0"/>
        <v>1103.6458705502366</v>
      </c>
    </row>
    <row r="21" spans="4:15">
      <c r="D21" s="74" t="s">
        <v>333</v>
      </c>
      <c r="E21" s="75">
        <f>-10.233795*1000</f>
        <v>-10233.795</v>
      </c>
      <c r="N21" s="5">
        <f t="shared" si="1"/>
        <v>588.9400000000004</v>
      </c>
      <c r="O21" s="4">
        <f t="shared" si="0"/>
        <v>1105.9826963343562</v>
      </c>
    </row>
    <row r="22" spans="4:15">
      <c r="D22" s="74" t="s">
        <v>334</v>
      </c>
      <c r="E22" s="75">
        <f>3.081778*1000</f>
        <v>3081.7779999999998</v>
      </c>
      <c r="G22" s="355" t="s">
        <v>335</v>
      </c>
      <c r="H22" s="355"/>
      <c r="I22" s="355"/>
      <c r="J22" s="355"/>
      <c r="K22" s="355"/>
      <c r="L22" s="355"/>
      <c r="N22" s="5">
        <f t="shared" si="1"/>
        <v>597.76000000000045</v>
      </c>
      <c r="O22" s="4">
        <f t="shared" si="0"/>
        <v>1108.3367358858245</v>
      </c>
    </row>
    <row r="23" spans="4:15">
      <c r="D23" s="74" t="s">
        <v>336</v>
      </c>
      <c r="E23" s="75">
        <f>-0.361112*1000</f>
        <v>-361.11199999999997</v>
      </c>
      <c r="H23" s="355" t="s">
        <v>337</v>
      </c>
      <c r="I23" s="355"/>
      <c r="J23" s="355"/>
      <c r="K23" s="355"/>
      <c r="N23" s="5">
        <f t="shared" si="1"/>
        <v>606.5800000000005</v>
      </c>
      <c r="O23" s="4">
        <f t="shared" si="0"/>
        <v>1110.706354622238</v>
      </c>
    </row>
    <row r="24" spans="4:15">
      <c r="D24" s="74" t="s">
        <v>338</v>
      </c>
      <c r="E24" s="75">
        <f>-0.003919*1000</f>
        <v>-3.9189999999999996</v>
      </c>
      <c r="N24" s="5">
        <f t="shared" si="1"/>
        <v>615.40000000000055</v>
      </c>
      <c r="O24" s="4">
        <f t="shared" si="0"/>
        <v>1113.089935234784</v>
      </c>
    </row>
    <row r="25" spans="4:15">
      <c r="D25" s="74" t="s">
        <v>339</v>
      </c>
      <c r="E25" s="75">
        <v>1.0001</v>
      </c>
      <c r="N25" s="5">
        <f t="shared" si="1"/>
        <v>624.2200000000006</v>
      </c>
      <c r="O25" s="4">
        <f t="shared" si="0"/>
        <v>1115.4858809716459</v>
      </c>
    </row>
    <row r="26" spans="4:15">
      <c r="D26" s="74" t="s">
        <v>340</v>
      </c>
      <c r="E26" s="75">
        <v>0.92479999999999996</v>
      </c>
      <c r="N26" s="5">
        <f t="shared" si="1"/>
        <v>633.04000000000065</v>
      </c>
      <c r="O26" s="4">
        <f t="shared" si="0"/>
        <v>1117.8926186743004</v>
      </c>
    </row>
    <row r="27" spans="4:15" ht="15" thickBot="1">
      <c r="D27" s="76" t="s">
        <v>341</v>
      </c>
      <c r="E27" s="77">
        <v>-2.2078000000000002</v>
      </c>
      <c r="N27" s="5">
        <f t="shared" si="1"/>
        <v>641.8600000000007</v>
      </c>
      <c r="O27" s="4">
        <f t="shared" si="0"/>
        <v>1120.3086015751312</v>
      </c>
    </row>
    <row r="28" spans="4:15">
      <c r="N28" s="5">
        <f t="shared" si="1"/>
        <v>650.68000000000075</v>
      </c>
      <c r="O28" s="4">
        <f t="shared" si="0"/>
        <v>1122.7323118646646</v>
      </c>
    </row>
    <row r="29" spans="4:15">
      <c r="N29" s="5">
        <f t="shared" si="1"/>
        <v>659.5000000000008</v>
      </c>
      <c r="O29" s="4">
        <f t="shared" si="0"/>
        <v>1125.1622630366139</v>
      </c>
    </row>
    <row r="30" spans="4:15">
      <c r="N30" s="5">
        <f t="shared" si="1"/>
        <v>668.32000000000085</v>
      </c>
      <c r="O30" s="4">
        <f t="shared" si="0"/>
        <v>1127.5970020187899</v>
      </c>
    </row>
    <row r="31" spans="4:15">
      <c r="N31" s="5">
        <f t="shared" si="1"/>
        <v>677.1400000000009</v>
      </c>
      <c r="O31" s="4">
        <f t="shared" si="0"/>
        <v>1130.0351110978108</v>
      </c>
    </row>
    <row r="32" spans="4:15">
      <c r="N32" s="5">
        <f t="shared" si="1"/>
        <v>685.96000000000095</v>
      </c>
      <c r="O32" s="4">
        <f t="shared" si="0"/>
        <v>1132.4752096454279</v>
      </c>
    </row>
    <row r="33" spans="14:15">
      <c r="N33" s="5">
        <f t="shared" si="1"/>
        <v>694.780000000001</v>
      </c>
      <c r="O33" s="4">
        <f t="shared" si="0"/>
        <v>1134.9159556541513</v>
      </c>
    </row>
    <row r="34" spans="14:15">
      <c r="N34" s="5">
        <f t="shared" si="1"/>
        <v>703.60000000000105</v>
      </c>
      <c r="O34" s="4">
        <f t="shared" si="0"/>
        <v>1137.3560470897457</v>
      </c>
    </row>
    <row r="35" spans="14:15">
      <c r="N35" s="5">
        <f t="shared" si="1"/>
        <v>712.4200000000011</v>
      </c>
      <c r="O35" s="4">
        <f t="shared" si="0"/>
        <v>1139.7942230680308</v>
      </c>
    </row>
    <row r="36" spans="14:15">
      <c r="N36" s="5">
        <f t="shared" si="1"/>
        <v>721.24000000000115</v>
      </c>
      <c r="O36" s="4">
        <f t="shared" si="0"/>
        <v>1142.2292648633118</v>
      </c>
    </row>
    <row r="37" spans="14:15">
      <c r="N37" s="5">
        <f t="shared" si="1"/>
        <v>730.0600000000012</v>
      </c>
      <c r="O37" s="4">
        <f t="shared" si="0"/>
        <v>1144.6599967556353</v>
      </c>
    </row>
    <row r="38" spans="14:15">
      <c r="N38" s="5">
        <f t="shared" si="1"/>
        <v>738.88000000000125</v>
      </c>
      <c r="O38" s="4">
        <f t="shared" si="0"/>
        <v>1147.0852867239266</v>
      </c>
    </row>
    <row r="39" spans="14:15">
      <c r="N39" s="5">
        <f t="shared" si="1"/>
        <v>747.7000000000013</v>
      </c>
      <c r="O39" s="4">
        <f t="shared" si="0"/>
        <v>1149.5040469919807</v>
      </c>
    </row>
    <row r="40" spans="14:15">
      <c r="N40" s="5">
        <f t="shared" si="1"/>
        <v>756.52000000000135</v>
      </c>
      <c r="O40" s="4">
        <f t="shared" si="0"/>
        <v>1151.9152344341092</v>
      </c>
    </row>
    <row r="41" spans="14:15">
      <c r="N41" s="5">
        <f t="shared" si="1"/>
        <v>765.3400000000014</v>
      </c>
      <c r="O41" s="4">
        <f t="shared" si="0"/>
        <v>1154.3178508471501</v>
      </c>
    </row>
    <row r="42" spans="14:15">
      <c r="N42" s="5">
        <f t="shared" si="1"/>
        <v>774.16000000000145</v>
      </c>
      <c r="O42" s="4">
        <f t="shared" si="0"/>
        <v>1156.7109430954308</v>
      </c>
    </row>
    <row r="43" spans="14:15">
      <c r="N43" s="5">
        <f t="shared" si="1"/>
        <v>782.9800000000015</v>
      </c>
      <c r="O43" s="4">
        <f t="shared" si="0"/>
        <v>1159.0936031351164</v>
      </c>
    </row>
    <row r="44" spans="14:15">
      <c r="N44" s="5">
        <f t="shared" si="1"/>
        <v>791.80000000000155</v>
      </c>
      <c r="O44" s="4">
        <f t="shared" si="0"/>
        <v>1161.4649679242846</v>
      </c>
    </row>
    <row r="45" spans="14:15">
      <c r="N45" s="5">
        <f t="shared" si="1"/>
        <v>800.6200000000016</v>
      </c>
      <c r="O45" s="4">
        <f t="shared" si="0"/>
        <v>1163.8242192249361</v>
      </c>
    </row>
    <row r="46" spans="14:15">
      <c r="N46" s="5">
        <f t="shared" si="1"/>
        <v>809.44000000000165</v>
      </c>
      <c r="O46" s="4">
        <f t="shared" si="0"/>
        <v>1166.1705833030226</v>
      </c>
    </row>
    <row r="47" spans="14:15">
      <c r="N47" s="5">
        <f t="shared" si="1"/>
        <v>818.2600000000017</v>
      </c>
      <c r="O47" s="4">
        <f t="shared" si="0"/>
        <v>1168.50333053244</v>
      </c>
    </row>
    <row r="48" spans="14:15">
      <c r="N48" s="5">
        <f t="shared" si="1"/>
        <v>827.08000000000175</v>
      </c>
      <c r="O48" s="4">
        <f t="shared" si="0"/>
        <v>1170.8217749088396</v>
      </c>
    </row>
    <row r="49" spans="14:15">
      <c r="N49" s="5">
        <f t="shared" si="1"/>
        <v>835.9000000000018</v>
      </c>
      <c r="O49" s="4">
        <f t="shared" si="0"/>
        <v>1173.1252734789628</v>
      </c>
    </row>
    <row r="50" spans="14:15">
      <c r="N50" s="5">
        <f t="shared" si="1"/>
        <v>844.72000000000185</v>
      </c>
      <c r="O50" s="4">
        <f t="shared" si="0"/>
        <v>1175.4132256910841</v>
      </c>
    </row>
    <row r="51" spans="14:15">
      <c r="N51" s="5">
        <f t="shared" si="1"/>
        <v>853.5400000000019</v>
      </c>
      <c r="O51" s="4">
        <f t="shared" si="0"/>
        <v>1177.6850726720331</v>
      </c>
    </row>
    <row r="52" spans="14:15">
      <c r="N52" s="5">
        <f t="shared" si="1"/>
        <v>862.36000000000195</v>
      </c>
      <c r="O52" s="4">
        <f t="shared" si="0"/>
        <v>1179.9402964361391</v>
      </c>
    </row>
    <row r="53" spans="14:15">
      <c r="N53" s="5">
        <f t="shared" si="1"/>
        <v>871.180000000002</v>
      </c>
      <c r="O53" s="4">
        <f t="shared" si="0"/>
        <v>1182.1784190313008</v>
      </c>
    </row>
    <row r="54" spans="14:15">
      <c r="N54" s="5">
        <f t="shared" si="1"/>
        <v>880.00000000000205</v>
      </c>
      <c r="O54" s="4">
        <f t="shared" si="0"/>
        <v>1184.3990016273151</v>
      </c>
    </row>
    <row r="55" spans="14:15">
      <c r="N55" s="5">
        <f t="shared" si="1"/>
        <v>888.8200000000021</v>
      </c>
    </row>
    <row r="56" spans="14:15">
      <c r="N56" s="5">
        <f t="shared" si="1"/>
        <v>897.64000000000215</v>
      </c>
      <c r="O56" s="4">
        <f t="shared" si="0"/>
        <v>1188.7859812756799</v>
      </c>
    </row>
    <row r="57" spans="14:15">
      <c r="N57" s="5">
        <f t="shared" si="1"/>
        <v>906.4600000000022</v>
      </c>
      <c r="O57" s="4">
        <f t="shared" si="0"/>
        <v>1190.9516873617056</v>
      </c>
    </row>
    <row r="58" spans="14:15">
      <c r="N58" s="5">
        <f t="shared" si="1"/>
        <v>915.28000000000225</v>
      </c>
      <c r="O58" s="4">
        <f t="shared" si="0"/>
        <v>1193.0984693660046</v>
      </c>
    </row>
    <row r="59" spans="14:15">
      <c r="N59" s="5">
        <f t="shared" si="1"/>
        <v>924.1000000000023</v>
      </c>
      <c r="O59" s="4">
        <f t="shared" si="0"/>
        <v>1195.2260687117466</v>
      </c>
    </row>
    <row r="60" spans="14:15">
      <c r="N60" s="5">
        <f t="shared" si="1"/>
        <v>932.92000000000235</v>
      </c>
      <c r="O60" s="4">
        <f t="shared" si="0"/>
        <v>1197.3342595305157</v>
      </c>
    </row>
    <row r="61" spans="14:15">
      <c r="N61" s="5">
        <f t="shared" si="1"/>
        <v>941.7400000000024</v>
      </c>
      <c r="O61" s="4">
        <f t="shared" si="0"/>
        <v>1199.4228474785366</v>
      </c>
    </row>
    <row r="62" spans="14:15">
      <c r="N62" s="5">
        <f t="shared" si="1"/>
        <v>950.56000000000245</v>
      </c>
      <c r="O62" s="4">
        <f t="shared" si="0"/>
        <v>1201.4916685314472</v>
      </c>
    </row>
    <row r="63" spans="14:15">
      <c r="N63" s="5">
        <f t="shared" si="1"/>
        <v>959.3800000000025</v>
      </c>
      <c r="O63" s="4">
        <f t="shared" si="0"/>
        <v>1203.5405877616017</v>
      </c>
    </row>
    <row r="64" spans="14:15">
      <c r="N64" s="5">
        <f t="shared" si="1"/>
        <v>968.20000000000255</v>
      </c>
      <c r="O64" s="4">
        <f t="shared" si="0"/>
        <v>1205.5694981017618</v>
      </c>
    </row>
    <row r="65" spans="14:15">
      <c r="N65" s="5">
        <f t="shared" si="1"/>
        <v>977.0200000000026</v>
      </c>
      <c r="O65" s="4">
        <f t="shared" si="0"/>
        <v>1207.5783190989234</v>
      </c>
    </row>
    <row r="66" spans="14:15">
      <c r="N66" s="5">
        <f t="shared" si="1"/>
        <v>985.84000000000265</v>
      </c>
      <c r="O66" s="4">
        <f t="shared" si="0"/>
        <v>1209.5669956618581</v>
      </c>
    </row>
    <row r="67" spans="14:15">
      <c r="N67" s="5">
        <f t="shared" si="1"/>
        <v>994.6600000000027</v>
      </c>
      <c r="O67" s="4">
        <f t="shared" si="0"/>
        <v>1211.5354968059207</v>
      </c>
    </row>
    <row r="68" spans="14:15">
      <c r="N68" s="5">
        <f t="shared" si="1"/>
        <v>1003.4800000000027</v>
      </c>
      <c r="O68" s="4">
        <f t="shared" si="0"/>
        <v>1213.4838143984016</v>
      </c>
    </row>
    <row r="69" spans="14:15">
      <c r="N69" s="5">
        <f t="shared" si="1"/>
        <v>1012.3000000000028</v>
      </c>
      <c r="O69" s="4">
        <f t="shared" ref="O69:O104" si="2">($E$8+$E$9*(N69/1000)+$E$10*(N69/1000)^2+$E$11*(N69/1000)^3+$E$12*(N69/1000)^4+$E$13*(N69/1000)^5+$E$14*(N69/1000)^6+$E$15*(N69/1000)^7+$E$16*(N69/1000)^8+($E$17+$E$18*(N69/1000)+$E$19*(N69/1000)^2+$E$20*(N69/1000)^3+$E$21*(N69/1000)^4+$E$22*(N69/1000)^5+$E$23*(N69/1000)^6+$E$24*(N69/1000)^7)*($E$3/(1+$E$3)))*($E$25+$E$26*$E$3+$E$27*$E$3^2)</f>
        <v>1215.4119619077633</v>
      </c>
    </row>
    <row r="70" spans="14:15">
      <c r="N70" s="5">
        <f t="shared" ref="N70:N77" si="3">N69+($J$5-$J$4)*1/100</f>
        <v>1021.1200000000028</v>
      </c>
      <c r="O70" s="4">
        <f t="shared" si="2"/>
        <v>1217.3199731598038</v>
      </c>
    </row>
    <row r="71" spans="14:15">
      <c r="N71" s="5">
        <f t="shared" si="3"/>
        <v>1029.9400000000028</v>
      </c>
      <c r="O71" s="4">
        <f t="shared" si="2"/>
        <v>1219.2079011037729</v>
      </c>
    </row>
    <row r="72" spans="14:15">
      <c r="N72" s="5">
        <f t="shared" si="3"/>
        <v>1038.7600000000027</v>
      </c>
      <c r="O72" s="4">
        <f t="shared" si="2"/>
        <v>1221.0758165913107</v>
      </c>
    </row>
    <row r="73" spans="14:15">
      <c r="N73" s="5">
        <f t="shared" si="3"/>
        <v>1047.5800000000027</v>
      </c>
      <c r="O73" s="4">
        <f t="shared" si="2"/>
        <v>1222.9238071709885</v>
      </c>
    </row>
    <row r="74" spans="14:15">
      <c r="N74" s="5">
        <f t="shared" si="3"/>
        <v>1056.4000000000026</v>
      </c>
      <c r="O74" s="4">
        <f t="shared" si="2"/>
        <v>1224.7519759009738</v>
      </c>
    </row>
    <row r="75" spans="14:15">
      <c r="N75" s="5">
        <f t="shared" si="3"/>
        <v>1065.2200000000025</v>
      </c>
      <c r="O75" s="4">
        <f t="shared" si="2"/>
        <v>1226.5604401824694</v>
      </c>
    </row>
    <row r="76" spans="14:15">
      <c r="N76" s="5">
        <f t="shared" si="3"/>
        <v>1074.0400000000025</v>
      </c>
      <c r="O76" s="4">
        <f t="shared" si="2"/>
        <v>1228.3493306161806</v>
      </c>
    </row>
    <row r="77" spans="14:15">
      <c r="N77" s="5">
        <f t="shared" si="3"/>
        <v>1082.8600000000024</v>
      </c>
      <c r="O77" s="4">
        <f t="shared" si="2"/>
        <v>1230.1187898841079</v>
      </c>
    </row>
    <row r="78" spans="14:15">
      <c r="N78" s="5">
        <f>N77+($J$5-$J$4)*1/100</f>
        <v>1091.6800000000023</v>
      </c>
      <c r="O78" s="4">
        <f t="shared" si="2"/>
        <v>1231.8689716588497</v>
      </c>
    </row>
    <row r="79" spans="14:15">
      <c r="N79" s="5">
        <f t="shared" ref="N79:N95" si="4">N78+($J$5-$J$4)*1/100</f>
        <v>1100.5000000000023</v>
      </c>
      <c r="O79" s="4">
        <f t="shared" si="2"/>
        <v>1233.6000395422916</v>
      </c>
    </row>
    <row r="80" spans="14:15">
      <c r="N80" s="5">
        <f t="shared" si="4"/>
        <v>1109.3200000000022</v>
      </c>
      <c r="O80" s="4">
        <f t="shared" si="2"/>
        <v>1235.3121660357197</v>
      </c>
    </row>
    <row r="81" spans="14:15">
      <c r="N81" s="5">
        <f t="shared" si="4"/>
        <v>1118.1400000000021</v>
      </c>
      <c r="O81" s="4">
        <f t="shared" si="2"/>
        <v>1237.0055315429934</v>
      </c>
    </row>
    <row r="82" spans="14:15">
      <c r="N82" s="5">
        <f t="shared" si="4"/>
        <v>1126.9600000000021</v>
      </c>
      <c r="O82" s="4">
        <f t="shared" si="2"/>
        <v>1238.680323408513</v>
      </c>
    </row>
    <row r="83" spans="14:15">
      <c r="N83" s="5">
        <f t="shared" si="4"/>
        <v>1135.780000000002</v>
      </c>
      <c r="O83" s="4">
        <f t="shared" si="2"/>
        <v>1240.3367349913981</v>
      </c>
    </row>
    <row r="84" spans="14:15">
      <c r="N84" s="5">
        <f t="shared" si="4"/>
        <v>1144.600000000002</v>
      </c>
      <c r="O84" s="4">
        <f t="shared" si="2"/>
        <v>1241.9749647773301</v>
      </c>
    </row>
    <row r="85" spans="14:15">
      <c r="N85" s="5">
        <f t="shared" si="4"/>
        <v>1153.4200000000019</v>
      </c>
      <c r="O85" s="4">
        <f t="shared" si="2"/>
        <v>1243.595215529353</v>
      </c>
    </row>
    <row r="86" spans="14:15">
      <c r="N86" s="5">
        <f t="shared" si="4"/>
        <v>1162.2400000000018</v>
      </c>
      <c r="O86" s="4">
        <f t="shared" si="2"/>
        <v>1245.1976934786603</v>
      </c>
    </row>
    <row r="87" spans="14:15">
      <c r="N87" s="5">
        <f t="shared" si="4"/>
        <v>1171.0600000000018</v>
      </c>
      <c r="O87" s="4">
        <f t="shared" si="2"/>
        <v>1246.7826075565235</v>
      </c>
    </row>
    <row r="88" spans="14:15">
      <c r="N88" s="5">
        <f t="shared" si="4"/>
        <v>1179.8800000000017</v>
      </c>
      <c r="O88" s="4">
        <f t="shared" si="2"/>
        <v>1248.3501686681723</v>
      </c>
    </row>
    <row r="89" spans="14:15">
      <c r="N89" s="5">
        <f t="shared" si="4"/>
        <v>1188.7000000000016</v>
      </c>
      <c r="O89" s="4">
        <f t="shared" si="2"/>
        <v>1249.9005890093863</v>
      </c>
    </row>
    <row r="90" spans="14:15">
      <c r="N90" s="5">
        <f t="shared" si="4"/>
        <v>1197.5200000000016</v>
      </c>
      <c r="O90" s="4">
        <f t="shared" si="2"/>
        <v>1251.4340814265431</v>
      </c>
    </row>
    <row r="91" spans="14:15">
      <c r="N91" s="5">
        <f t="shared" si="4"/>
        <v>1206.3400000000015</v>
      </c>
      <c r="O91" s="4">
        <f t="shared" si="2"/>
        <v>1252.950858820559</v>
      </c>
    </row>
    <row r="92" spans="14:15">
      <c r="N92" s="5">
        <f t="shared" si="4"/>
        <v>1215.1600000000014</v>
      </c>
      <c r="O92" s="4">
        <f t="shared" si="2"/>
        <v>1254.4511335951149</v>
      </c>
    </row>
    <row r="93" spans="14:15">
      <c r="N93" s="5">
        <f t="shared" si="4"/>
        <v>1223.9800000000014</v>
      </c>
      <c r="O93" s="4">
        <f t="shared" si="2"/>
        <v>1255.9351171495414</v>
      </c>
    </row>
    <row r="94" spans="14:15">
      <c r="N94" s="5">
        <f t="shared" si="4"/>
        <v>1232.8000000000013</v>
      </c>
      <c r="O94" s="4">
        <f t="shared" si="2"/>
        <v>1257.4030194164104</v>
      </c>
    </row>
    <row r="95" spans="14:15">
      <c r="N95" s="5">
        <f t="shared" si="4"/>
        <v>1241.6200000000013</v>
      </c>
      <c r="O95" s="4">
        <f t="shared" si="2"/>
        <v>1258.8550484439593</v>
      </c>
    </row>
    <row r="96" spans="14:15">
      <c r="N96" s="5">
        <f>N95+($J$5-$J$4)*1/100</f>
        <v>1250.4400000000012</v>
      </c>
      <c r="O96" s="4">
        <f t="shared" si="2"/>
        <v>1260.2914100231594</v>
      </c>
    </row>
    <row r="97" spans="14:15">
      <c r="N97" s="5">
        <f t="shared" ref="N97:N104" si="5">N96+($J$5-$J$4)*1/100</f>
        <v>1259.2600000000011</v>
      </c>
      <c r="O97" s="4">
        <f t="shared" si="2"/>
        <v>1261.7123073592661</v>
      </c>
    </row>
    <row r="98" spans="14:15">
      <c r="N98" s="5">
        <f t="shared" si="5"/>
        <v>1268.0800000000011</v>
      </c>
      <c r="O98" s="4">
        <f t="shared" si="2"/>
        <v>1263.1179407875738</v>
      </c>
    </row>
    <row r="99" spans="14:15">
      <c r="N99" s="5">
        <f t="shared" si="5"/>
        <v>1276.900000000001</v>
      </c>
      <c r="O99" s="4">
        <f t="shared" si="2"/>
        <v>1264.5085075327358</v>
      </c>
    </row>
    <row r="100" spans="14:15">
      <c r="N100" s="5">
        <f t="shared" si="5"/>
        <v>1285.7200000000009</v>
      </c>
      <c r="O100" s="4">
        <f t="shared" si="2"/>
        <v>1265.8842015112577</v>
      </c>
    </row>
    <row r="101" spans="14:15">
      <c r="N101" s="5">
        <f t="shared" si="5"/>
        <v>1294.5400000000009</v>
      </c>
      <c r="O101" s="4">
        <f t="shared" si="2"/>
        <v>1267.2452131763346</v>
      </c>
    </row>
    <row r="102" spans="14:15">
      <c r="N102" s="5">
        <f t="shared" si="5"/>
        <v>1303.3600000000008</v>
      </c>
      <c r="O102" s="4">
        <f t="shared" si="2"/>
        <v>1268.5917294042511</v>
      </c>
    </row>
    <row r="103" spans="14:15">
      <c r="N103" s="5">
        <f t="shared" si="5"/>
        <v>1312.1800000000007</v>
      </c>
      <c r="O103" s="4">
        <f t="shared" si="2"/>
        <v>1269.9239334213428</v>
      </c>
    </row>
    <row r="104" spans="14:15">
      <c r="N104" s="5">
        <f t="shared" si="5"/>
        <v>1321.0000000000007</v>
      </c>
      <c r="O104" s="4">
        <f t="shared" si="2"/>
        <v>1271.2420047704857</v>
      </c>
    </row>
  </sheetData>
  <mergeCells count="5">
    <mergeCell ref="D1:O1"/>
    <mergeCell ref="I3:J3"/>
    <mergeCell ref="D7:E7"/>
    <mergeCell ref="G22:L22"/>
    <mergeCell ref="H23:K23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C1CC-3134-45F3-A5D8-0FFD7DFE204E}">
  <sheetPr codeName="Sheet6"/>
  <dimension ref="B1:AE55"/>
  <sheetViews>
    <sheetView topLeftCell="A47" zoomScale="85" zoomScaleNormal="85" workbookViewId="0">
      <selection activeCell="V71" sqref="V71"/>
    </sheetView>
  </sheetViews>
  <sheetFormatPr defaultRowHeight="14.4"/>
  <cols>
    <col min="2" max="2" width="12.6640625" customWidth="1"/>
    <col min="3" max="3" width="14.44140625" customWidth="1"/>
    <col min="10" max="10" width="10.44140625" customWidth="1"/>
    <col min="11" max="11" width="10.6640625" customWidth="1"/>
    <col min="13" max="13" width="10.44140625" customWidth="1"/>
    <col min="16" max="16" width="11" customWidth="1"/>
    <col min="26" max="26" width="8.33203125" customWidth="1"/>
    <col min="27" max="27" width="11.6640625" customWidth="1"/>
    <col min="28" max="28" width="11" bestFit="1" customWidth="1"/>
    <col min="31" max="31" width="12.33203125" customWidth="1"/>
  </cols>
  <sheetData>
    <row r="1" spans="2:31" ht="15" thickBot="1">
      <c r="B1" s="350" t="s">
        <v>342</v>
      </c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2"/>
    </row>
    <row r="2" spans="2:31" ht="48" customHeight="1" thickBot="1">
      <c r="G2" s="356" t="s">
        <v>343</v>
      </c>
      <c r="H2" s="357"/>
      <c r="I2" s="357"/>
      <c r="J2" s="357"/>
      <c r="K2" s="357"/>
      <c r="L2" s="357"/>
      <c r="M2" s="357"/>
      <c r="N2" s="357"/>
      <c r="O2" s="357"/>
      <c r="P2" s="358"/>
    </row>
    <row r="3" spans="2:31">
      <c r="B3" s="2" t="s">
        <v>312</v>
      </c>
      <c r="C3" s="4">
        <v>0</v>
      </c>
      <c r="G3" s="289" t="s">
        <v>344</v>
      </c>
      <c r="H3" s="289"/>
      <c r="I3" s="289"/>
      <c r="J3" s="289"/>
      <c r="K3" t="s">
        <v>345</v>
      </c>
      <c r="AB3" s="12"/>
      <c r="AC3" s="12"/>
      <c r="AD3" s="12"/>
      <c r="AE3" s="12"/>
    </row>
    <row r="4" spans="2:31">
      <c r="B4" s="2" t="s">
        <v>316</v>
      </c>
      <c r="C4" s="2" t="s">
        <v>317</v>
      </c>
      <c r="G4" s="271" t="s">
        <v>346</v>
      </c>
      <c r="H4" s="271"/>
      <c r="I4" s="271"/>
      <c r="J4" s="271"/>
      <c r="K4" t="s">
        <v>347</v>
      </c>
      <c r="AA4" s="289" t="s">
        <v>348</v>
      </c>
      <c r="AB4" s="289"/>
      <c r="AC4" s="289"/>
      <c r="AD4" s="289"/>
      <c r="AE4" s="289"/>
    </row>
    <row r="5" spans="2:31">
      <c r="B5" s="4">
        <v>1000</v>
      </c>
      <c r="C5" s="4">
        <f>($C$8+$C$9*(B5/1000)+$C$10*(B5/1000)^2+$C$11*(B5/1000)^3+$C$12*(B5/1000)^4+$C$13*(B5/1000)^5+$C$14*(B5/1000)^6+$C$15*(B5/1000)^7+$C$16*(B5/1000)^8+($C$17+$C$18*(B5/1000)+$C$19*(B5/1000)^2+$C$20*(B5/1000)^3+$C$21*(B5/1000)^4+$C$22*(B5/1000)^5+$C$23*(B5/1000)^6+$C$24*(B5/1000)^7)*($C$3/(1+$C$3)))</f>
        <v>1141.1569999999992</v>
      </c>
      <c r="G5" s="78" t="s">
        <v>349</v>
      </c>
      <c r="H5" s="78" t="s">
        <v>224</v>
      </c>
      <c r="I5" s="78" t="s">
        <v>316</v>
      </c>
      <c r="J5" s="78" t="s">
        <v>350</v>
      </c>
      <c r="K5" s="47" t="s">
        <v>317</v>
      </c>
      <c r="L5" s="47" t="s">
        <v>351</v>
      </c>
      <c r="M5" s="47" t="s">
        <v>352</v>
      </c>
      <c r="N5" s="47" t="s">
        <v>353</v>
      </c>
      <c r="O5" s="47" t="s">
        <v>354</v>
      </c>
      <c r="P5" s="47" t="s">
        <v>355</v>
      </c>
    </row>
    <row r="6" spans="2:31" ht="15" thickBot="1">
      <c r="G6" s="5">
        <v>0</v>
      </c>
      <c r="H6" s="175">
        <v>0</v>
      </c>
      <c r="I6" s="174">
        <v>216.65</v>
      </c>
      <c r="J6" s="24">
        <v>20.645820539999999</v>
      </c>
      <c r="K6" s="4">
        <f>($C$8+$C$9*(I6/1000)+$C$10*(I6/1000)^2+$C$11*(I6/1000)^3+$C$12*(I6/1000)^4+$C$13*(I6/1000)^5+$C$14*(I6/1000)^6+$C$15*(I6/1000)^7+$C$16*(I6/1000)^8+($C$17+$C$18*(I6/1000)+$C$19*(I6/1000)^2+$C$20*(I6/1000)^3+$C$21*(I6/1000)^4+$C$22*(I6/1000)^5+$C$23*(I6/1000)^6+$C$24*(I6/1000)^7)*(H6/(1+H6)))</f>
        <v>1001.992163297327</v>
      </c>
      <c r="L6" s="5">
        <f t="shared" ref="L6:L35" si="0">287.05-0.0099*H6+0.0000001*H6^2</f>
        <v>287.05</v>
      </c>
      <c r="M6" s="5">
        <f>K6/(K6-L6)</f>
        <v>1.4015010090831963</v>
      </c>
      <c r="N6" s="4">
        <f>($C$8*(I6/1000)+$C$9*(I6/1000)*(I6/1000)/2+($C$10*(I6/1000)*(I6/1000)^2)/3+($C$11*(I6/1000)*(I6/1000)^3)/4+($C$12*(I6/1000)*(I6/1000)^4)/5+($C$13*(I6/1000)*(I6/1000)^5)/6+($C$14*(I6/1000)*(I6/1000)^6)/7+($C$15*(I6/1000)*(I6/1000)^7)/8+($C$16*(I6/1000)*(I6/1000)^8)/9+$C$29+($C$17*(I6/1000)+$C$18*(I6/1000)*(I6/1000)/2+($C$19*(I6/1000)*(I6/1000)^2)/3+($C$20*(I6/1000)*(I6/1000)^3)/4+($C$21*(I6/1000)*(I6/1000)^4)/5+($C$22*(I6/1000)*(I6/1000)^5)/6+($C$23*(I6/1000)*(I6/1000)^6)/7+($C$24*(I6/1000)*(I6/1000)^7)/8+$C$30)*(H6/(1+H6)))-$C$35</f>
        <v>216.87508636133009</v>
      </c>
      <c r="O6" s="4">
        <f>($C$8*LN(I6/1000)+$C$9*(I6/1000)+($C$10*(I6/1000)*(I6/1000))/2+($C$11*(I6/1000)*(I6/1000)^2)/3+($C$12*(I6/1000)*(I6/1000)^3)/4+($C$13*(I6/1000)*(I6/1000)^4)/5+($C$14*(I6/1000)*(I6/1000)^5)/6+($C$15*(I6/1000)*(I6/1000)^6)/7+($C$16*(I6/1000)*(I6/1000)^7)/8+$C$29+($C$17*LN(I6/1000)+$C$18*(I6/1000)+($C$19*(I6/1000)*(I6/1000))/2+($C$20*(I6/1000)*(I6/1000)^2)/3+($C$21*(I6/1000)*(I6/1000)^3)/4+($C$22*(I6/1000)*(I6/1000)^4)/5+($C$23*(I6/1000)*(I6/1000)^5)/6+($C$24*(I6/1000)*(I6/1000)^6)/7+$C$30)*(H6/(1+H6)))-$C$36</f>
        <v>-960.74234656636418</v>
      </c>
      <c r="P6" s="4">
        <f>O6-L6*LN(J6/101.325)</f>
        <v>-504.09738842185476</v>
      </c>
    </row>
    <row r="7" spans="2:31" ht="15" thickBot="1">
      <c r="B7" s="359" t="s">
        <v>356</v>
      </c>
      <c r="C7" s="360"/>
      <c r="G7" s="5">
        <v>1</v>
      </c>
      <c r="H7" s="175">
        <v>0</v>
      </c>
      <c r="I7" s="174">
        <v>235.02428850000001</v>
      </c>
      <c r="J7" s="24">
        <v>27.431357380000001</v>
      </c>
      <c r="K7" s="4">
        <f t="shared" ref="K7:K35" si="1">($C$8+$C$9*(I7/1000)+$C$10*(I7/1000)^2+$C$11*(I7/1000)^3+$C$12*(I7/1000)^4+$C$13*(I7/1000)^5+$C$14*(I7/1000)^6+$C$15*(I7/1000)^7+$C$16*(I7/1000)^8+($C$17+$C$18*(I7/1000)+$C$19*(I7/1000)^2+$C$20*(I7/1000)^3+$C$21*(I7/1000)^4+$C$22*(I7/1000)^5+$C$23*(I7/1000)^6+$C$24*(I7/1000)^7)*(H7/(1+H7)))</f>
        <v>1002.0440543543945</v>
      </c>
      <c r="L7" s="5">
        <f t="shared" si="0"/>
        <v>287.05</v>
      </c>
      <c r="M7" s="5">
        <f t="shared" ref="M7:M35" si="2">K7/(K7-L7)</f>
        <v>1.4014718699432998</v>
      </c>
      <c r="N7" s="4">
        <f t="shared" ref="N7:N40" si="3">($C$8*(I7/1000)+$C$9*(I7/1000)*(I7/1000)/2+($C$10*(I7/1000)*(I7/1000)^2)/3+($C$11*(I7/1000)*(I7/1000)^3)/4+($C$12*(I7/1000)*(I7/1000)^4)/5+($C$13*(I7/1000)*(I7/1000)^5)/6+($C$14*(I7/1000)*(I7/1000)^6)/7+($C$15*(I7/1000)*(I7/1000)^7)/8+($C$16*(I7/1000)*(I7/1000)^8)/9+$C$29+($C$17*(I7/1000)+$C$18*(I7/1000)*(I7/1000)/2+($C$19*(I7/1000)*(I7/1000)^2)/3+($C$20*(I7/1000)*(I7/1000)^3)/4+($C$21*(I7/1000)*(I7/1000)^4)/5+($C$22*(I7/1000)*(I7/1000)^5)/6+($C$23*(I7/1000)*(I7/1000)^6)/7+($C$24*(I7/1000)*(I7/1000)^7)/8+$C$30)*(H7/(1+H7)))-$C$35</f>
        <v>235.28619974454739</v>
      </c>
      <c r="O7" s="4">
        <f t="shared" ref="O7:O35" si="4">($C$8*LN(I7/1000)+$C$9*(I7/1000)+($C$10*(I7/1000)*(I7/1000))/2+($C$11*(I7/1000)*(I7/1000)^2)/3+($C$12*(I7/1000)*(I7/1000)^3)/4+($C$13*(I7/1000)*(I7/1000)^4)/5+($C$14*(I7/1000)*(I7/1000)^5)/6+($C$15*(I7/1000)*(I7/1000)^6)/7+($C$16*(I7/1000)*(I7/1000)^7)/8+$C$29+($C$17*LN(I7/1000)+$C$18*(I7/1000)+($C$19*(I7/1000)*(I7/1000))/2+($C$20*(I7/1000)*(I7/1000)^2)/3+($C$21*(I7/1000)*(I7/1000)^3)/4+($C$22*(I7/1000)*(I7/1000)^4)/5+($C$23*(I7/1000)*(I7/1000)^5)/6+($C$24*(I7/1000)*(I7/1000)^6)/7+$C$30)*(H7/(1+H7)))-$C$36</f>
        <v>-879.17350919173111</v>
      </c>
      <c r="P7" s="4">
        <f t="shared" ref="P7:P35" si="5">O7-L7*LN(J7/101.325)</f>
        <v>-504.10066479253521</v>
      </c>
      <c r="AA7" s="289" t="s">
        <v>357</v>
      </c>
      <c r="AB7" s="289"/>
      <c r="AC7" s="6">
        <f t="shared" ref="AC7" si="6">W7+(120*X7)</f>
        <v>0</v>
      </c>
      <c r="AD7" s="289" t="s">
        <v>358</v>
      </c>
      <c r="AE7" s="289"/>
    </row>
    <row r="8" spans="2:31">
      <c r="B8" s="74" t="s">
        <v>320</v>
      </c>
      <c r="C8" s="75">
        <f>0.992313*1000</f>
        <v>992.31299999999999</v>
      </c>
      <c r="G8" s="5">
        <v>2</v>
      </c>
      <c r="H8" s="175">
        <v>0</v>
      </c>
      <c r="I8" s="174">
        <v>235.02428850000001</v>
      </c>
      <c r="J8" s="24">
        <v>26.882730240000001</v>
      </c>
      <c r="K8" s="4">
        <f t="shared" si="1"/>
        <v>1002.0440543543945</v>
      </c>
      <c r="L8" s="5">
        <f t="shared" si="0"/>
        <v>287.05</v>
      </c>
      <c r="M8" s="5">
        <f t="shared" si="2"/>
        <v>1.4014718699432998</v>
      </c>
      <c r="N8" s="4">
        <f t="shared" si="3"/>
        <v>235.28619974454739</v>
      </c>
      <c r="O8" s="4">
        <f t="shared" si="4"/>
        <v>-879.17350919173111</v>
      </c>
      <c r="P8" s="4">
        <f t="shared" si="5"/>
        <v>-498.301477738193</v>
      </c>
      <c r="AA8" t="s">
        <v>314</v>
      </c>
      <c r="AB8" s="177">
        <v>775.75440000000003</v>
      </c>
      <c r="AD8" t="s">
        <v>359</v>
      </c>
      <c r="AE8" s="24">
        <v>811</v>
      </c>
    </row>
    <row r="9" spans="2:31">
      <c r="B9" s="74" t="s">
        <v>321</v>
      </c>
      <c r="C9" s="75">
        <f>0.236688*1000</f>
        <v>236.68800000000002</v>
      </c>
      <c r="G9" s="5">
        <v>12.1</v>
      </c>
      <c r="H9" s="175">
        <v>0</v>
      </c>
      <c r="I9" s="174">
        <v>312.62311019999999</v>
      </c>
      <c r="J9" s="24">
        <v>67.206825589999994</v>
      </c>
      <c r="K9" s="4">
        <f t="shared" si="1"/>
        <v>1004.5978913119068</v>
      </c>
      <c r="L9" s="5">
        <f t="shared" si="0"/>
        <v>287.05</v>
      </c>
      <c r="M9" s="5">
        <f t="shared" si="2"/>
        <v>1.4000429845528231</v>
      </c>
      <c r="N9" s="4">
        <f t="shared" si="3"/>
        <v>313.11556476641204</v>
      </c>
      <c r="O9" s="4">
        <f t="shared" si="4"/>
        <v>-593.03325943363836</v>
      </c>
      <c r="P9" s="4">
        <f t="shared" si="5"/>
        <v>-475.18248252186498</v>
      </c>
      <c r="AA9" t="s">
        <v>224</v>
      </c>
      <c r="AB9" s="24">
        <v>2.1000000000000001E-2</v>
      </c>
      <c r="AD9" t="s">
        <v>224</v>
      </c>
      <c r="AE9" s="24">
        <v>2.1000000000000001E-2</v>
      </c>
    </row>
    <row r="10" spans="2:31">
      <c r="B10" s="74" t="s">
        <v>322</v>
      </c>
      <c r="C10" s="75">
        <f>-1.852148*1000</f>
        <v>-1852.1479999999999</v>
      </c>
      <c r="G10" s="5">
        <v>21</v>
      </c>
      <c r="H10" s="175">
        <v>0</v>
      </c>
      <c r="I10" s="174">
        <v>312.62311019999999</v>
      </c>
      <c r="J10" s="24">
        <v>67.206825589999994</v>
      </c>
      <c r="K10" s="4">
        <f t="shared" si="1"/>
        <v>1004.5978913119068</v>
      </c>
      <c r="L10" s="5">
        <f t="shared" si="0"/>
        <v>287.05</v>
      </c>
      <c r="M10" s="5">
        <f t="shared" si="2"/>
        <v>1.4000429845528231</v>
      </c>
      <c r="N10" s="4">
        <f t="shared" si="3"/>
        <v>313.11556476641204</v>
      </c>
      <c r="O10" s="4">
        <f t="shared" si="4"/>
        <v>-593.03325943363836</v>
      </c>
      <c r="P10" s="4">
        <f t="shared" si="5"/>
        <v>-475.18248252186498</v>
      </c>
      <c r="AA10" t="s">
        <v>353</v>
      </c>
      <c r="AB10" cm="1">
        <f t="array" ref="AB10">ht(AB8,AB9)</f>
        <v>810.99994555345154</v>
      </c>
      <c r="AD10" t="s">
        <v>360</v>
      </c>
      <c r="AE10" s="24">
        <v>2500</v>
      </c>
    </row>
    <row r="11" spans="2:31">
      <c r="B11" s="74" t="s">
        <v>323</v>
      </c>
      <c r="C11" s="75">
        <f>6.083152*1000</f>
        <v>6083.152</v>
      </c>
      <c r="G11" s="5">
        <v>2.6</v>
      </c>
      <c r="H11" s="175">
        <v>0</v>
      </c>
      <c r="I11" s="174">
        <v>312.62311019999999</v>
      </c>
      <c r="J11" s="24">
        <v>65.862689079999996</v>
      </c>
      <c r="K11" s="4">
        <f t="shared" si="1"/>
        <v>1004.5978913119068</v>
      </c>
      <c r="L11" s="5">
        <f t="shared" si="0"/>
        <v>287.05</v>
      </c>
      <c r="M11" s="5">
        <f t="shared" si="2"/>
        <v>1.4000429845528231</v>
      </c>
      <c r="N11" s="4">
        <f t="shared" si="3"/>
        <v>313.11556476641204</v>
      </c>
      <c r="O11" s="4">
        <f t="shared" si="4"/>
        <v>-593.03325943363836</v>
      </c>
      <c r="P11" s="4">
        <f t="shared" si="5"/>
        <v>-469.38329539421602</v>
      </c>
      <c r="AA11" t="s">
        <v>361</v>
      </c>
      <c r="AB11" cm="1">
        <f t="array" ref="AB11">cp(AB8,AB9)</f>
        <v>1126.7663949158932</v>
      </c>
      <c r="AD11" t="s">
        <v>362</v>
      </c>
      <c r="AE11" s="24">
        <v>500</v>
      </c>
    </row>
    <row r="12" spans="2:31">
      <c r="B12" s="74" t="s">
        <v>324</v>
      </c>
      <c r="C12" s="75">
        <f>-8.893933*1000</f>
        <v>-8893.9330000000009</v>
      </c>
      <c r="G12" s="5">
        <v>3</v>
      </c>
      <c r="H12" s="175">
        <v>0</v>
      </c>
      <c r="I12" s="174">
        <v>573.95118760000003</v>
      </c>
      <c r="J12" s="24">
        <v>461.0388236</v>
      </c>
      <c r="K12" s="4">
        <f t="shared" si="1"/>
        <v>1044.7646980467957</v>
      </c>
      <c r="L12" s="5">
        <f t="shared" si="0"/>
        <v>287.05</v>
      </c>
      <c r="M12" s="5">
        <f t="shared" si="2"/>
        <v>1.3788365208434588</v>
      </c>
      <c r="N12" s="4">
        <f t="shared" si="3"/>
        <v>579.94888850925383</v>
      </c>
      <c r="O12" s="4">
        <f t="shared" si="4"/>
        <v>26.091876312224713</v>
      </c>
      <c r="P12" s="4">
        <f t="shared" si="5"/>
        <v>-408.83166795958533</v>
      </c>
      <c r="AA12" t="s">
        <v>363</v>
      </c>
      <c r="AB12" cm="1">
        <f t="array" ref="AB12">Rgas(AB9)</f>
        <v>287.0497921000441</v>
      </c>
      <c r="AD12" t="s">
        <v>314</v>
      </c>
      <c r="AE12" cm="1">
        <f t="array" ref="AE12">TfromH(AE8,AE9,AE10,AE11)</f>
        <v>775.75444802641869</v>
      </c>
    </row>
    <row r="13" spans="2:31">
      <c r="B13" s="74" t="s">
        <v>325</v>
      </c>
      <c r="C13" s="75">
        <f>7.097112*1000</f>
        <v>7097.1120000000001</v>
      </c>
      <c r="G13" s="5">
        <v>3.1</v>
      </c>
      <c r="H13" s="175">
        <v>0</v>
      </c>
      <c r="I13" s="174">
        <v>573.95118760000003</v>
      </c>
      <c r="J13" s="24">
        <v>461.0388236</v>
      </c>
      <c r="K13" s="4">
        <f t="shared" si="1"/>
        <v>1044.7646980467957</v>
      </c>
      <c r="L13" s="5">
        <f t="shared" si="0"/>
        <v>287.05</v>
      </c>
      <c r="M13" s="5">
        <f t="shared" si="2"/>
        <v>1.3788365208434588</v>
      </c>
      <c r="N13" s="4">
        <f t="shared" si="3"/>
        <v>579.94888850925383</v>
      </c>
      <c r="O13" s="4">
        <f t="shared" si="4"/>
        <v>26.091876312224713</v>
      </c>
      <c r="P13" s="4">
        <f t="shared" si="5"/>
        <v>-408.83166795958533</v>
      </c>
    </row>
    <row r="14" spans="2:31">
      <c r="B14" s="74" t="s">
        <v>326</v>
      </c>
      <c r="C14" s="75">
        <f>-3.234725*1000</f>
        <v>-3234.7249999999999</v>
      </c>
      <c r="G14" s="5">
        <v>4</v>
      </c>
      <c r="H14" s="175">
        <v>2.8665288000000001E-2</v>
      </c>
      <c r="I14" s="174">
        <v>1700</v>
      </c>
      <c r="J14" s="24">
        <v>451.8180471</v>
      </c>
      <c r="K14" s="4">
        <f t="shared" si="1"/>
        <v>1298.1690787231751</v>
      </c>
      <c r="L14" s="5">
        <f t="shared" si="0"/>
        <v>287.04971621373102</v>
      </c>
      <c r="M14" s="5">
        <f t="shared" si="2"/>
        <v>1.2838930069554968</v>
      </c>
      <c r="N14" s="4">
        <f t="shared" si="3"/>
        <v>1955.6476425900651</v>
      </c>
      <c r="O14" s="4">
        <f t="shared" si="4"/>
        <v>1422.6002803452441</v>
      </c>
      <c r="P14" s="4">
        <f t="shared" si="5"/>
        <v>993.47634747197139</v>
      </c>
    </row>
    <row r="15" spans="2:31">
      <c r="B15" s="74" t="s">
        <v>327</v>
      </c>
      <c r="C15" s="75">
        <f>0.794571*1000</f>
        <v>794.57100000000003</v>
      </c>
      <c r="G15" s="5">
        <v>4.05</v>
      </c>
      <c r="H15" s="175">
        <v>2.8665288000000001E-2</v>
      </c>
      <c r="I15" s="174">
        <v>1645.0061439999999</v>
      </c>
      <c r="J15" s="24">
        <v>451.8180471</v>
      </c>
      <c r="K15" s="4">
        <f t="shared" si="1"/>
        <v>1292.6869001096377</v>
      </c>
      <c r="L15" s="5">
        <f t="shared" si="0"/>
        <v>287.04971621373102</v>
      </c>
      <c r="M15" s="5">
        <f t="shared" si="2"/>
        <v>1.2854406348636402</v>
      </c>
      <c r="N15" s="4">
        <f t="shared" si="3"/>
        <v>1884.4057198489822</v>
      </c>
      <c r="O15" s="4">
        <f t="shared" si="4"/>
        <v>1380.0009467287955</v>
      </c>
      <c r="P15" s="4">
        <f t="shared" si="5"/>
        <v>950.87701385552282</v>
      </c>
      <c r="AA15" s="289" t="s">
        <v>364</v>
      </c>
      <c r="AB15" s="289"/>
      <c r="AD15" s="289" t="s">
        <v>365</v>
      </c>
      <c r="AE15" s="289"/>
    </row>
    <row r="16" spans="2:31">
      <c r="B16" s="74" t="s">
        <v>328</v>
      </c>
      <c r="C16" s="75">
        <f>-0.081873*1000</f>
        <v>-81.873000000000005</v>
      </c>
      <c r="G16" s="5">
        <v>4.0999999999999996</v>
      </c>
      <c r="H16" s="175">
        <v>2.8665288000000001E-2</v>
      </c>
      <c r="I16" s="174">
        <v>1522.9326619999999</v>
      </c>
      <c r="J16" s="24">
        <v>451.8180471</v>
      </c>
      <c r="K16" s="4">
        <f t="shared" si="1"/>
        <v>1279.325614536388</v>
      </c>
      <c r="L16" s="5">
        <f t="shared" si="0"/>
        <v>287.04971621373102</v>
      </c>
      <c r="M16" s="5">
        <f t="shared" si="2"/>
        <v>1.2892841766074938</v>
      </c>
      <c r="N16" s="4">
        <f t="shared" si="3"/>
        <v>1727.4001913467278</v>
      </c>
      <c r="O16" s="4">
        <f t="shared" si="4"/>
        <v>1280.8368931781135</v>
      </c>
      <c r="P16" s="4">
        <f t="shared" si="5"/>
        <v>851.71296030484086</v>
      </c>
      <c r="AA16" t="s">
        <v>366</v>
      </c>
      <c r="AB16" s="24">
        <v>1700</v>
      </c>
      <c r="AD16" t="s">
        <v>35</v>
      </c>
      <c r="AE16" s="24">
        <v>1.2</v>
      </c>
    </row>
    <row r="17" spans="2:31">
      <c r="B17" s="74" t="s">
        <v>329</v>
      </c>
      <c r="C17" s="75">
        <f>-0.718874*1000</f>
        <v>-718.87400000000002</v>
      </c>
      <c r="G17" s="5">
        <v>4.4000000000000004</v>
      </c>
      <c r="H17" s="175">
        <v>2.8665288000000001E-2</v>
      </c>
      <c r="I17" s="174">
        <v>1402.008652</v>
      </c>
      <c r="J17" s="24">
        <v>299.94238410000003</v>
      </c>
      <c r="K17" s="4">
        <f t="shared" si="1"/>
        <v>1264.1125962502083</v>
      </c>
      <c r="L17" s="5">
        <f t="shared" si="0"/>
        <v>287.04971621373102</v>
      </c>
      <c r="M17" s="5">
        <f t="shared" si="2"/>
        <v>1.2937883754247366</v>
      </c>
      <c r="N17" s="4">
        <f t="shared" si="3"/>
        <v>1573.5970137263134</v>
      </c>
      <c r="O17" s="4">
        <f t="shared" si="4"/>
        <v>1175.6189152222864</v>
      </c>
      <c r="P17" s="4">
        <f t="shared" si="5"/>
        <v>864.09613513172974</v>
      </c>
      <c r="AA17" t="s">
        <v>367</v>
      </c>
      <c r="AB17" s="24">
        <v>500</v>
      </c>
      <c r="AD17" t="s">
        <v>4</v>
      </c>
      <c r="AE17" s="24">
        <v>1.4</v>
      </c>
    </row>
    <row r="18" spans="2:31">
      <c r="B18" s="74" t="s">
        <v>330</v>
      </c>
      <c r="C18" s="75">
        <f>8.747481*1000</f>
        <v>8747.4809999999998</v>
      </c>
      <c r="G18" s="5">
        <v>4.8</v>
      </c>
      <c r="H18" s="175">
        <v>2.8665288000000001E-2</v>
      </c>
      <c r="I18" s="174">
        <v>1402.008652</v>
      </c>
      <c r="J18" s="24">
        <v>269.9481457</v>
      </c>
      <c r="K18" s="4">
        <f t="shared" si="1"/>
        <v>1264.1125962502083</v>
      </c>
      <c r="L18" s="5">
        <f t="shared" si="0"/>
        <v>287.04971621373102</v>
      </c>
      <c r="M18" s="5">
        <f t="shared" si="2"/>
        <v>1.2937883754247366</v>
      </c>
      <c r="N18" s="4">
        <f t="shared" si="3"/>
        <v>1573.5970137263134</v>
      </c>
      <c r="O18" s="4">
        <f t="shared" si="4"/>
        <v>1175.6189152222864</v>
      </c>
      <c r="P18" s="4">
        <f t="shared" si="5"/>
        <v>894.33984124080769</v>
      </c>
      <c r="AA18" t="s">
        <v>368</v>
      </c>
      <c r="AB18" s="176">
        <v>43150000</v>
      </c>
      <c r="AD18" t="s">
        <v>369</v>
      </c>
      <c r="AE18" s="24">
        <v>1</v>
      </c>
    </row>
    <row r="19" spans="2:31">
      <c r="B19" s="74" t="s">
        <v>331</v>
      </c>
      <c r="C19" s="75">
        <f>-15.863157*1000</f>
        <v>-15863.156999999999</v>
      </c>
      <c r="G19" s="5">
        <v>5</v>
      </c>
      <c r="H19" s="175">
        <v>2.8665288000000001E-2</v>
      </c>
      <c r="I19" s="174">
        <v>1372.4911850000001</v>
      </c>
      <c r="J19" s="24">
        <v>269.9481457</v>
      </c>
      <c r="K19" s="4">
        <f t="shared" si="1"/>
        <v>1260.0568043776461</v>
      </c>
      <c r="L19" s="5">
        <f t="shared" si="0"/>
        <v>287.04971621373102</v>
      </c>
      <c r="M19" s="5">
        <f t="shared" si="2"/>
        <v>1.2950129754505693</v>
      </c>
      <c r="N19" s="4">
        <f t="shared" si="3"/>
        <v>1536.3431196341658</v>
      </c>
      <c r="O19" s="4">
        <f t="shared" si="4"/>
        <v>1148.763561382764</v>
      </c>
      <c r="P19" s="4">
        <f t="shared" si="5"/>
        <v>867.48448740128526</v>
      </c>
      <c r="AA19" t="s">
        <v>370</v>
      </c>
      <c r="AB19" s="24">
        <v>0.99</v>
      </c>
      <c r="AD19" t="s">
        <v>371</v>
      </c>
      <c r="AE19" cm="1">
        <f t="array" ref="AE19">MNfromPTPS(AE16,AE17,AE18)</f>
        <v>0.5170711949467659</v>
      </c>
    </row>
    <row r="20" spans="2:31">
      <c r="B20" s="74" t="s">
        <v>332</v>
      </c>
      <c r="C20" s="75">
        <f>17.254096*1000</f>
        <v>17254.096000000001</v>
      </c>
      <c r="G20" s="5">
        <v>15</v>
      </c>
      <c r="H20" s="175">
        <v>0</v>
      </c>
      <c r="I20" s="174">
        <v>312.62311019999999</v>
      </c>
      <c r="J20" s="24">
        <v>65.862689079999996</v>
      </c>
      <c r="K20" s="4">
        <f t="shared" si="1"/>
        <v>1004.5978913119068</v>
      </c>
      <c r="L20" s="5">
        <f t="shared" si="0"/>
        <v>287.05</v>
      </c>
      <c r="M20" s="5">
        <f t="shared" si="2"/>
        <v>1.4000429845528231</v>
      </c>
      <c r="N20" s="4">
        <f t="shared" si="3"/>
        <v>313.11556476641204</v>
      </c>
      <c r="O20" s="4">
        <f t="shared" si="4"/>
        <v>-593.03325943363836</v>
      </c>
      <c r="P20" s="4">
        <f t="shared" si="5"/>
        <v>-469.38329539421602</v>
      </c>
      <c r="AA20" t="s">
        <v>224</v>
      </c>
      <c r="AB20" cm="1">
        <f t="array" ref="AB20">burn(AB16,AB17,AB18,AB19)</f>
        <v>3.4336567157879472E-2</v>
      </c>
    </row>
    <row r="21" spans="2:31">
      <c r="B21" s="74" t="s">
        <v>333</v>
      </c>
      <c r="C21" s="75">
        <f>-10.233795*1000</f>
        <v>-10233.795</v>
      </c>
      <c r="G21" s="5">
        <v>6</v>
      </c>
      <c r="H21" s="175">
        <v>1.3135889E-2</v>
      </c>
      <c r="I21" s="174">
        <v>798.30840809999995</v>
      </c>
      <c r="J21" s="24">
        <v>64.545435299999994</v>
      </c>
      <c r="K21" s="4">
        <f t="shared" si="1"/>
        <v>1119.828227660397</v>
      </c>
      <c r="L21" s="5">
        <f t="shared" si="0"/>
        <v>287.0498699547162</v>
      </c>
      <c r="M21" s="5">
        <f t="shared" si="2"/>
        <v>1.3446893970029956</v>
      </c>
      <c r="N21" s="4">
        <f t="shared" si="3"/>
        <v>830.51982153638471</v>
      </c>
      <c r="O21" s="4">
        <f t="shared" si="4"/>
        <v>433.73218574040834</v>
      </c>
      <c r="P21" s="4">
        <f t="shared" si="5"/>
        <v>563.18127826249713</v>
      </c>
    </row>
    <row r="22" spans="2:31">
      <c r="B22" s="74" t="s">
        <v>334</v>
      </c>
      <c r="C22" s="75">
        <f>3.081778*1000</f>
        <v>3081.7779999999998</v>
      </c>
      <c r="G22" s="5">
        <v>7</v>
      </c>
      <c r="H22" s="175">
        <v>1.3135889E-2</v>
      </c>
      <c r="I22" s="174">
        <v>798.30840809999995</v>
      </c>
      <c r="J22" s="24">
        <v>64.545435299999994</v>
      </c>
      <c r="K22" s="4">
        <f t="shared" si="1"/>
        <v>1119.828227660397</v>
      </c>
      <c r="L22" s="5">
        <f t="shared" si="0"/>
        <v>287.0498699547162</v>
      </c>
      <c r="M22" s="5">
        <f t="shared" si="2"/>
        <v>1.3446893970029956</v>
      </c>
      <c r="N22" s="4">
        <f t="shared" si="3"/>
        <v>830.51982153638471</v>
      </c>
      <c r="O22" s="4">
        <f t="shared" si="4"/>
        <v>433.73218574040834</v>
      </c>
      <c r="P22" s="4">
        <f t="shared" si="5"/>
        <v>563.18127826249713</v>
      </c>
      <c r="AA22" s="289" t="s">
        <v>372</v>
      </c>
      <c r="AB22" s="289"/>
      <c r="AD22" s="289" t="s">
        <v>373</v>
      </c>
      <c r="AE22" s="289"/>
    </row>
    <row r="23" spans="2:31">
      <c r="B23" s="74" t="s">
        <v>336</v>
      </c>
      <c r="C23" s="75">
        <f>-0.361112*1000</f>
        <v>-361.11199999999997</v>
      </c>
      <c r="G23" s="5">
        <v>8</v>
      </c>
      <c r="H23" s="175">
        <v>1.3135889E-2</v>
      </c>
      <c r="I23" s="174">
        <v>798.30840809999995</v>
      </c>
      <c r="J23" s="24">
        <v>64.545435299999994</v>
      </c>
      <c r="K23" s="4">
        <f t="shared" si="1"/>
        <v>1119.828227660397</v>
      </c>
      <c r="L23" s="5">
        <f t="shared" si="0"/>
        <v>287.0498699547162</v>
      </c>
      <c r="M23" s="5">
        <f t="shared" si="2"/>
        <v>1.3446893970029956</v>
      </c>
      <c r="N23" s="4">
        <f t="shared" si="3"/>
        <v>830.51982153638471</v>
      </c>
      <c r="O23" s="4">
        <f t="shared" si="4"/>
        <v>433.73218574040834</v>
      </c>
      <c r="P23" s="4">
        <f t="shared" si="5"/>
        <v>563.18127826249713</v>
      </c>
      <c r="AA23" t="s">
        <v>367</v>
      </c>
      <c r="AB23" s="24">
        <v>1700</v>
      </c>
      <c r="AD23" t="s">
        <v>367</v>
      </c>
      <c r="AE23" s="24">
        <v>300</v>
      </c>
    </row>
    <row r="24" spans="2:31">
      <c r="B24" s="74" t="s">
        <v>338</v>
      </c>
      <c r="C24" s="75">
        <f>-0.003919*1000</f>
        <v>-3.9189999999999996</v>
      </c>
      <c r="G24" s="5">
        <v>9</v>
      </c>
      <c r="H24" s="175">
        <v>1.3135889E-2</v>
      </c>
      <c r="I24" s="174">
        <v>798.30840809999995</v>
      </c>
      <c r="J24" s="24">
        <v>64.545435299999994</v>
      </c>
      <c r="K24" s="4">
        <f t="shared" si="1"/>
        <v>1119.828227660397</v>
      </c>
      <c r="L24" s="5">
        <f t="shared" si="0"/>
        <v>287.0498699547162</v>
      </c>
      <c r="M24" s="5">
        <f t="shared" si="2"/>
        <v>1.3446893970029956</v>
      </c>
      <c r="N24" s="4">
        <f t="shared" si="3"/>
        <v>830.51982153638471</v>
      </c>
      <c r="O24" s="4">
        <f t="shared" si="4"/>
        <v>433.73218574040834</v>
      </c>
      <c r="P24" s="4">
        <f t="shared" si="5"/>
        <v>563.18127826249713</v>
      </c>
      <c r="AA24" t="s">
        <v>374</v>
      </c>
      <c r="AB24" s="24">
        <v>18</v>
      </c>
      <c r="AD24" t="s">
        <v>374</v>
      </c>
      <c r="AE24" s="24">
        <v>1</v>
      </c>
    </row>
    <row r="25" spans="2:31">
      <c r="B25" s="74" t="s">
        <v>339</v>
      </c>
      <c r="C25" s="75">
        <v>1.0001</v>
      </c>
      <c r="G25" s="5"/>
      <c r="H25" s="175"/>
      <c r="I25" s="174"/>
      <c r="J25" s="24"/>
      <c r="K25" s="4">
        <f t="shared" si="1"/>
        <v>992.31299999999999</v>
      </c>
      <c r="L25" s="5">
        <f t="shared" si="0"/>
        <v>287.05</v>
      </c>
      <c r="M25" s="5">
        <f t="shared" si="2"/>
        <v>1.4070112851517804</v>
      </c>
      <c r="N25" s="4">
        <f t="shared" si="3"/>
        <v>0</v>
      </c>
      <c r="O25" s="4" t="e">
        <f t="shared" si="4"/>
        <v>#NUM!</v>
      </c>
      <c r="P25" s="4" t="e">
        <f t="shared" si="5"/>
        <v>#NUM!</v>
      </c>
      <c r="AA25" t="s">
        <v>366</v>
      </c>
      <c r="AB25" s="24">
        <v>1000</v>
      </c>
      <c r="AD25" t="s">
        <v>375</v>
      </c>
      <c r="AE25" s="24">
        <v>4</v>
      </c>
    </row>
    <row r="26" spans="2:31">
      <c r="B26" s="74" t="s">
        <v>340</v>
      </c>
      <c r="C26" s="75">
        <v>0.92479999999999996</v>
      </c>
      <c r="G26" s="5"/>
      <c r="H26" s="175"/>
      <c r="I26" s="174"/>
      <c r="J26" s="24"/>
      <c r="K26" s="4">
        <f t="shared" si="1"/>
        <v>992.31299999999999</v>
      </c>
      <c r="L26" s="5">
        <f t="shared" si="0"/>
        <v>287.05</v>
      </c>
      <c r="M26" s="5">
        <f t="shared" si="2"/>
        <v>1.4070112851517804</v>
      </c>
      <c r="N26" s="4">
        <f t="shared" si="3"/>
        <v>0</v>
      </c>
      <c r="O26" s="4" t="e">
        <f t="shared" si="4"/>
        <v>#NUM!</v>
      </c>
      <c r="P26" s="4" t="e">
        <f t="shared" si="5"/>
        <v>#NUM!</v>
      </c>
      <c r="AA26" t="s">
        <v>224</v>
      </c>
      <c r="AB26" s="24">
        <v>0.02</v>
      </c>
      <c r="AD26" t="s">
        <v>224</v>
      </c>
      <c r="AE26" s="24">
        <v>0.02</v>
      </c>
    </row>
    <row r="27" spans="2:31">
      <c r="B27" s="74" t="s">
        <v>341</v>
      </c>
      <c r="C27" s="75">
        <v>-2.2078000000000002</v>
      </c>
      <c r="G27" s="5"/>
      <c r="H27" s="175"/>
      <c r="I27" s="174"/>
      <c r="J27" s="24"/>
      <c r="K27" s="4">
        <f t="shared" si="1"/>
        <v>992.31299999999999</v>
      </c>
      <c r="L27" s="5">
        <f t="shared" si="0"/>
        <v>287.05</v>
      </c>
      <c r="M27" s="5">
        <f t="shared" si="2"/>
        <v>1.4070112851517804</v>
      </c>
      <c r="N27" s="4">
        <f t="shared" si="3"/>
        <v>0</v>
      </c>
      <c r="O27" s="4" t="e">
        <f t="shared" si="4"/>
        <v>#NUM!</v>
      </c>
      <c r="P27" s="4" t="e">
        <f t="shared" si="5"/>
        <v>#NUM!</v>
      </c>
      <c r="AA27" t="s">
        <v>376</v>
      </c>
      <c r="AB27" s="24">
        <v>0.9</v>
      </c>
      <c r="AD27" t="s">
        <v>376</v>
      </c>
      <c r="AE27" s="24">
        <v>0.9</v>
      </c>
    </row>
    <row r="28" spans="2:31">
      <c r="B28" s="74"/>
      <c r="C28" s="75"/>
      <c r="G28" s="5"/>
      <c r="H28" s="175"/>
      <c r="I28" s="174"/>
      <c r="J28" s="24"/>
      <c r="K28" s="4">
        <f t="shared" si="1"/>
        <v>992.31299999999999</v>
      </c>
      <c r="L28" s="5">
        <f t="shared" si="0"/>
        <v>287.05</v>
      </c>
      <c r="M28" s="5">
        <f t="shared" si="2"/>
        <v>1.4070112851517804</v>
      </c>
      <c r="N28" s="4">
        <f t="shared" si="3"/>
        <v>0</v>
      </c>
      <c r="O28" s="4" t="e">
        <f t="shared" si="4"/>
        <v>#NUM!</v>
      </c>
      <c r="P28" s="4" t="e">
        <f t="shared" si="5"/>
        <v>#NUM!</v>
      </c>
      <c r="AA28" t="s">
        <v>375</v>
      </c>
      <c r="AB28" cm="1">
        <f t="array" ref="AB28">PtProc(AB23,AB24,AB25,AB26,AB27)</f>
        <v>2.2935430881993977</v>
      </c>
      <c r="AD28" t="s">
        <v>366</v>
      </c>
      <c r="AE28" cm="1">
        <f t="array" ref="AE28">TtProc(AE23,AE24,AE25,AE26,AE27)</f>
        <v>460.54202443416852</v>
      </c>
    </row>
    <row r="29" spans="2:31">
      <c r="B29" s="74" t="s">
        <v>377</v>
      </c>
      <c r="C29" s="75">
        <v>422.178</v>
      </c>
      <c r="G29" s="5"/>
      <c r="H29" s="175"/>
      <c r="I29" s="174"/>
      <c r="J29" s="24"/>
      <c r="K29" s="4">
        <f t="shared" si="1"/>
        <v>992.31299999999999</v>
      </c>
      <c r="L29" s="5">
        <f t="shared" si="0"/>
        <v>287.05</v>
      </c>
      <c r="M29" s="5">
        <f t="shared" si="2"/>
        <v>1.4070112851517804</v>
      </c>
      <c r="N29" s="4">
        <f t="shared" si="3"/>
        <v>0</v>
      </c>
      <c r="O29" s="4" t="e">
        <f t="shared" si="4"/>
        <v>#NUM!</v>
      </c>
      <c r="P29" s="4" t="e">
        <f t="shared" si="5"/>
        <v>#NUM!</v>
      </c>
    </row>
    <row r="30" spans="2:31">
      <c r="B30" s="74" t="s">
        <v>378</v>
      </c>
      <c r="C30" s="75">
        <v>55.593000000000004</v>
      </c>
      <c r="G30" s="5"/>
      <c r="H30" s="175"/>
      <c r="I30" s="174"/>
      <c r="J30" s="24"/>
      <c r="K30" s="4">
        <f t="shared" si="1"/>
        <v>992.31299999999999</v>
      </c>
      <c r="L30" s="5">
        <f t="shared" si="0"/>
        <v>287.05</v>
      </c>
      <c r="M30" s="5">
        <f t="shared" si="2"/>
        <v>1.4070112851517804</v>
      </c>
      <c r="N30" s="4">
        <f t="shared" si="3"/>
        <v>0</v>
      </c>
      <c r="O30" s="4" t="e">
        <f t="shared" si="4"/>
        <v>#NUM!</v>
      </c>
      <c r="P30" s="4" t="e">
        <f t="shared" si="5"/>
        <v>#NUM!</v>
      </c>
      <c r="AA30" s="289" t="s">
        <v>379</v>
      </c>
      <c r="AB30" s="289"/>
    </row>
    <row r="31" spans="2:31">
      <c r="B31" s="74"/>
      <c r="C31" s="75"/>
      <c r="G31" s="5"/>
      <c r="H31" s="175"/>
      <c r="I31" s="174"/>
      <c r="J31" s="24"/>
      <c r="K31" s="4">
        <f t="shared" si="1"/>
        <v>992.31299999999999</v>
      </c>
      <c r="L31" s="5">
        <f t="shared" si="0"/>
        <v>287.05</v>
      </c>
      <c r="M31" s="5">
        <f t="shared" si="2"/>
        <v>1.4070112851517804</v>
      </c>
      <c r="N31" s="4">
        <f t="shared" si="3"/>
        <v>0</v>
      </c>
      <c r="O31" s="4" t="e">
        <f t="shared" si="4"/>
        <v>#NUM!</v>
      </c>
      <c r="P31" s="4" t="e">
        <f t="shared" si="5"/>
        <v>#NUM!</v>
      </c>
      <c r="AA31" t="s">
        <v>231</v>
      </c>
      <c r="AB31" s="24">
        <v>200</v>
      </c>
    </row>
    <row r="32" spans="2:31">
      <c r="B32" s="74" t="s">
        <v>380</v>
      </c>
      <c r="C32" s="75">
        <v>1.0529999999999999</v>
      </c>
      <c r="G32" s="5"/>
      <c r="H32" s="175"/>
      <c r="I32" s="174"/>
      <c r="J32" s="24"/>
      <c r="K32" s="4">
        <f t="shared" si="1"/>
        <v>992.31299999999999</v>
      </c>
      <c r="L32" s="5">
        <f t="shared" si="0"/>
        <v>287.05</v>
      </c>
      <c r="M32" s="5">
        <f t="shared" si="2"/>
        <v>1.4070112851517804</v>
      </c>
      <c r="N32" s="4">
        <f t="shared" si="3"/>
        <v>0</v>
      </c>
      <c r="O32" s="4" t="e">
        <f t="shared" si="4"/>
        <v>#NUM!</v>
      </c>
      <c r="P32" s="4" t="e">
        <f t="shared" si="5"/>
        <v>#NUM!</v>
      </c>
      <c r="AA32" t="s">
        <v>381</v>
      </c>
      <c r="AB32" s="24">
        <v>101325</v>
      </c>
    </row>
    <row r="33" spans="2:28">
      <c r="B33" s="74" t="s">
        <v>382</v>
      </c>
      <c r="C33" s="75">
        <v>1.6079000000000001</v>
      </c>
      <c r="G33" s="5"/>
      <c r="H33" s="175"/>
      <c r="I33" s="174"/>
      <c r="J33" s="24"/>
      <c r="K33" s="4">
        <f t="shared" si="1"/>
        <v>992.31299999999999</v>
      </c>
      <c r="L33" s="5">
        <f t="shared" si="0"/>
        <v>287.05</v>
      </c>
      <c r="M33" s="5">
        <f t="shared" si="2"/>
        <v>1.4070112851517804</v>
      </c>
      <c r="N33" s="4">
        <f t="shared" si="3"/>
        <v>0</v>
      </c>
      <c r="O33" s="4" t="e">
        <f t="shared" si="4"/>
        <v>#NUM!</v>
      </c>
      <c r="P33" s="4" t="e">
        <f t="shared" si="5"/>
        <v>#NUM!</v>
      </c>
      <c r="AA33" t="s">
        <v>383</v>
      </c>
      <c r="AB33" s="24">
        <v>288.14999999999998</v>
      </c>
    </row>
    <row r="34" spans="2:28">
      <c r="B34" s="74"/>
      <c r="C34" s="75"/>
      <c r="G34" s="5"/>
      <c r="H34" s="175"/>
      <c r="I34" s="174"/>
      <c r="J34" s="24"/>
      <c r="K34" s="4">
        <f t="shared" si="1"/>
        <v>992.31299999999999</v>
      </c>
      <c r="L34" s="5">
        <f t="shared" si="0"/>
        <v>287.05</v>
      </c>
      <c r="M34" s="5">
        <f t="shared" si="2"/>
        <v>1.4070112851517804</v>
      </c>
      <c r="N34" s="4">
        <f t="shared" si="3"/>
        <v>0</v>
      </c>
      <c r="O34" s="4" t="e">
        <f t="shared" si="4"/>
        <v>#NUM!</v>
      </c>
      <c r="P34" s="4" t="e">
        <f t="shared" si="5"/>
        <v>#NUM!</v>
      </c>
      <c r="AA34" t="s">
        <v>384</v>
      </c>
      <c r="AB34" s="24">
        <v>1</v>
      </c>
    </row>
    <row r="35" spans="2:28">
      <c r="B35" s="74" t="s">
        <v>385</v>
      </c>
      <c r="C35" s="75">
        <v>422.178</v>
      </c>
      <c r="G35" s="5"/>
      <c r="H35" s="175"/>
      <c r="I35" s="174"/>
      <c r="J35" s="24"/>
      <c r="K35" s="4">
        <f t="shared" si="1"/>
        <v>992.31299999999999</v>
      </c>
      <c r="L35" s="5">
        <f t="shared" si="0"/>
        <v>287.05</v>
      </c>
      <c r="M35" s="5">
        <f t="shared" si="2"/>
        <v>1.4070112851517804</v>
      </c>
      <c r="N35" s="4">
        <f t="shared" si="3"/>
        <v>0</v>
      </c>
      <c r="O35" s="4" t="e">
        <f t="shared" si="4"/>
        <v>#NUM!</v>
      </c>
      <c r="P35" s="4" t="e">
        <f t="shared" si="5"/>
        <v>#NUM!</v>
      </c>
      <c r="AA35" t="s">
        <v>4</v>
      </c>
      <c r="AB35" s="24">
        <v>1.4</v>
      </c>
    </row>
    <row r="36" spans="2:28" ht="15" thickBot="1">
      <c r="B36" s="76" t="s">
        <v>386</v>
      </c>
      <c r="C36" s="77">
        <v>-110.63818813177113</v>
      </c>
      <c r="G36" s="5"/>
      <c r="H36" s="175"/>
      <c r="I36" s="174"/>
      <c r="J36" s="24"/>
      <c r="K36" s="4">
        <f t="shared" ref="K36:K45" si="7">($C$8+$C$9*(I36/1000)+$C$10*(I36/1000)^2+$C$11*(I36/1000)^3+$C$12*(I36/1000)^4+$C$13*(I36/1000)^5+$C$14*(I36/1000)^6+$C$15*(I36/1000)^7+$C$16*(I36/1000)^8+($C$17+$C$18*(I36/1000)+$C$19*(I36/1000)^2+$C$20*(I36/1000)^3+$C$21*(I36/1000)^4+$C$22*(I36/1000)^5+$C$23*(I36/1000)^6+$C$24*(I36/1000)^7)*(H36/(1+H36)))</f>
        <v>992.31299999999999</v>
      </c>
      <c r="L36" s="5">
        <f t="shared" ref="L36:L45" si="8">287.05-0.0099*H36+0.0000001*H36^2</f>
        <v>287.05</v>
      </c>
      <c r="M36" s="5">
        <f t="shared" ref="M36:M45" si="9">K36/(K36-L36)</f>
        <v>1.4070112851517804</v>
      </c>
      <c r="N36" s="4">
        <f t="shared" si="3"/>
        <v>0</v>
      </c>
      <c r="O36" s="4" t="e">
        <f t="shared" ref="O36:O45" si="10">($C$8*LN(I36/1000)+$C$9*(I36/1000)+($C$10*(I36/1000)*(I36/1000))/2+($C$11*(I36/1000)*(I36/1000)^2)/3+($C$12*(I36/1000)*(I36/1000)^3)/4+($C$13*(I36/1000)*(I36/1000)^4)/5+($C$14*(I36/1000)*(I36/1000)^5)/6+($C$15*(I36/1000)*(I36/1000)^6)/7+($C$16*(I36/1000)*(I36/1000)^7)/8+$C$29+($C$17*LN(I36/1000)+$C$18*(I36/1000)+($C$19*(I36/1000)*(I36/1000))/2+($C$20*(I36/1000)*(I36/1000)^2)/3+($C$21*(I36/1000)*(I36/1000)^3)/4+($C$22*(I36/1000)*(I36/1000)^4)/5+($C$23*(I36/1000)*(I36/1000)^5)/6+($C$24*(I36/1000)*(I36/1000)^6)/7+$C$30)*(H36/(1+H36)))-$C$36</f>
        <v>#NUM!</v>
      </c>
      <c r="P36" s="4" t="e">
        <f t="shared" ref="P36:P45" si="11">O36-L36*LN(J36/101.325)</f>
        <v>#NUM!</v>
      </c>
      <c r="AA36" t="s">
        <v>363</v>
      </c>
      <c r="AB36" s="24">
        <v>287</v>
      </c>
    </row>
    <row r="37" spans="2:28">
      <c r="G37" s="5"/>
      <c r="H37" s="175"/>
      <c r="I37" s="174"/>
      <c r="J37" s="24"/>
      <c r="K37" s="4">
        <f t="shared" si="7"/>
        <v>992.31299999999999</v>
      </c>
      <c r="L37" s="5">
        <f t="shared" si="8"/>
        <v>287.05</v>
      </c>
      <c r="M37" s="5">
        <f t="shared" si="9"/>
        <v>1.4070112851517804</v>
      </c>
      <c r="N37" s="4">
        <f t="shared" si="3"/>
        <v>0</v>
      </c>
      <c r="O37" s="4" t="e">
        <f t="shared" si="10"/>
        <v>#NUM!</v>
      </c>
      <c r="P37" s="4" t="e">
        <f t="shared" si="11"/>
        <v>#NUM!</v>
      </c>
      <c r="AA37" t="s">
        <v>371</v>
      </c>
      <c r="AB37" cm="1">
        <f t="array" ref="AB37">MNfromQ(AB31,AB32,AB33,AB34,AB35,AB36)</f>
        <v>0.58521948326283513</v>
      </c>
    </row>
    <row r="38" spans="2:28">
      <c r="G38" s="5"/>
      <c r="H38" s="175"/>
      <c r="I38" s="174"/>
      <c r="J38" s="24"/>
      <c r="K38" s="4">
        <f t="shared" si="7"/>
        <v>992.31299999999999</v>
      </c>
      <c r="L38" s="5">
        <f t="shared" si="8"/>
        <v>287.05</v>
      </c>
      <c r="M38" s="5">
        <f t="shared" si="9"/>
        <v>1.4070112851517804</v>
      </c>
      <c r="N38" s="4">
        <f t="shared" si="3"/>
        <v>0</v>
      </c>
      <c r="O38" s="4" t="e">
        <f t="shared" si="10"/>
        <v>#NUM!</v>
      </c>
      <c r="P38" s="4" t="e">
        <f t="shared" si="11"/>
        <v>#NUM!</v>
      </c>
    </row>
    <row r="39" spans="2:28">
      <c r="G39" s="5"/>
      <c r="H39" s="175"/>
      <c r="I39" s="174"/>
      <c r="J39" s="24"/>
      <c r="K39" s="4">
        <f t="shared" si="7"/>
        <v>992.31299999999999</v>
      </c>
      <c r="L39" s="5">
        <f t="shared" si="8"/>
        <v>287.05</v>
      </c>
      <c r="M39" s="5">
        <f t="shared" si="9"/>
        <v>1.4070112851517804</v>
      </c>
      <c r="N39" s="4">
        <f t="shared" si="3"/>
        <v>0</v>
      </c>
      <c r="O39" s="4" t="e">
        <f t="shared" si="10"/>
        <v>#NUM!</v>
      </c>
      <c r="P39" s="4" t="e">
        <f t="shared" si="11"/>
        <v>#NUM!</v>
      </c>
    </row>
    <row r="40" spans="2:28">
      <c r="G40" s="5"/>
      <c r="H40" s="175"/>
      <c r="I40" s="174"/>
      <c r="J40" s="24"/>
      <c r="K40" s="4">
        <f t="shared" si="7"/>
        <v>992.31299999999999</v>
      </c>
      <c r="L40" s="5">
        <f t="shared" si="8"/>
        <v>287.05</v>
      </c>
      <c r="M40" s="5">
        <f t="shared" si="9"/>
        <v>1.4070112851517804</v>
      </c>
      <c r="N40" s="4">
        <f t="shared" si="3"/>
        <v>0</v>
      </c>
      <c r="O40" s="4" t="e">
        <f t="shared" si="10"/>
        <v>#NUM!</v>
      </c>
      <c r="P40" s="4" t="e">
        <f t="shared" si="11"/>
        <v>#NUM!</v>
      </c>
    </row>
    <row r="43" spans="2:28">
      <c r="G43" s="78" t="s">
        <v>349</v>
      </c>
      <c r="H43" s="78" t="s">
        <v>224</v>
      </c>
      <c r="I43" s="78" t="s">
        <v>316</v>
      </c>
      <c r="J43" s="78" t="s">
        <v>350</v>
      </c>
      <c r="K43" s="47" t="s">
        <v>317</v>
      </c>
      <c r="L43" s="47" t="s">
        <v>351</v>
      </c>
      <c r="M43" s="47" t="s">
        <v>352</v>
      </c>
      <c r="N43" s="47" t="s">
        <v>353</v>
      </c>
      <c r="O43" s="47" t="s">
        <v>354</v>
      </c>
      <c r="P43" s="47" t="s">
        <v>355</v>
      </c>
    </row>
    <row r="44" spans="2:28">
      <c r="G44" s="5"/>
      <c r="H44" s="24">
        <v>0</v>
      </c>
      <c r="I44" s="79">
        <v>1650</v>
      </c>
      <c r="J44" s="24">
        <v>3946</v>
      </c>
      <c r="K44" s="4">
        <f t="shared" si="7"/>
        <v>1224.8195025370969</v>
      </c>
      <c r="L44" s="5">
        <f t="shared" si="8"/>
        <v>287.05</v>
      </c>
      <c r="M44" s="5">
        <f t="shared" si="9"/>
        <v>1.3060986726731867</v>
      </c>
      <c r="N44" s="4">
        <f t="shared" ref="N44:N45" si="12">($C$8*(I44/1000)+$C$9*(I44/1000)*(I44/1000)/2+($C$10*(I44/1000)*(I44/1000)^2)/3+($C$11*(I44/1000)*(I44/1000)^3)/4+($C$12*(I44/1000)*(I44/1000)^4)/5+($C$13*(I44/1000)*(I44/1000)^5)/6+($C$14*(I44/1000)*(I44/1000)^6)/7+($C$15*(I44/1000)*(I44/1000)^7)/8+($C$16*(I44/1000)*(I44/1000)^8)/9+$C$29+($C$17*(I44/1000)+$C$18*(I44/1000)*(I44/1000)/2+($C$19*(I44/1000)*(I44/1000)^2)/3+($C$20*(I44/1000)*(I44/1000)^3)/4+($C$21*(I44/1000)*(I44/1000)^4)/5+($C$22*(I44/1000)*(I44/1000)^5)/6+($C$23*(I44/1000)*(I44/1000)^6)/7+($C$24*(I44/1000)*(I44/1000)^7)/8+$C$30)*(H44/(1+H44)))-$C$35</f>
        <v>1818.8461144777475</v>
      </c>
      <c r="O44" s="4">
        <f t="shared" si="10"/>
        <v>1224.7295910498365</v>
      </c>
      <c r="P44" s="4">
        <f t="shared" si="11"/>
        <v>173.51674928656303</v>
      </c>
    </row>
    <row r="45" spans="2:28">
      <c r="G45" s="5"/>
      <c r="H45" s="24">
        <v>0</v>
      </c>
      <c r="I45" s="79">
        <v>1155.9133691860184</v>
      </c>
      <c r="J45" s="24">
        <v>894.05</v>
      </c>
      <c r="K45" s="4">
        <f t="shared" si="7"/>
        <v>1167.9600660517406</v>
      </c>
      <c r="L45" s="5">
        <f t="shared" si="8"/>
        <v>287.05</v>
      </c>
      <c r="M45" s="5">
        <f t="shared" si="9"/>
        <v>1.3258561924335417</v>
      </c>
      <c r="N45" s="4">
        <f t="shared" si="12"/>
        <v>1226.3325038157736</v>
      </c>
      <c r="O45" s="4">
        <f t="shared" si="10"/>
        <v>798.54760869816471</v>
      </c>
      <c r="P45" s="4">
        <f t="shared" si="11"/>
        <v>173.51674930322633</v>
      </c>
    </row>
    <row r="47" spans="2:28">
      <c r="M47" s="73" t="s">
        <v>387</v>
      </c>
      <c r="N47" s="138">
        <f>N45-N44</f>
        <v>-592.51361066197387</v>
      </c>
      <c r="P47" s="106">
        <f>(P44-P45)*1000</f>
        <v>-1.6663307178532705E-5</v>
      </c>
      <c r="Q47" s="137" t="s">
        <v>388</v>
      </c>
    </row>
    <row r="48" spans="2:28">
      <c r="W48" t="e" cm="1">
        <f t="array" aca="1" ref="W48" ca="1">TtProc(Cycle!N10,Cycle!N9,Cycle!O9,Cycle!O8,Inputs!C44)</f>
        <v>#NAME?</v>
      </c>
    </row>
    <row r="52" spans="5:15">
      <c r="E52" s="6" t="e">
        <f t="shared" ref="E52" si="13">#REF!+(120*#REF!)</f>
        <v>#REF!</v>
      </c>
    </row>
    <row r="55" spans="5:15">
      <c r="O55" s="6">
        <f t="shared" ref="O55" si="14">I55+(120*J55)</f>
        <v>0</v>
      </c>
    </row>
  </sheetData>
  <mergeCells count="13">
    <mergeCell ref="AA30:AB30"/>
    <mergeCell ref="AA4:AE4"/>
    <mergeCell ref="AA7:AB7"/>
    <mergeCell ref="AD7:AE7"/>
    <mergeCell ref="AA15:AB15"/>
    <mergeCell ref="AD15:AE15"/>
    <mergeCell ref="AA22:AB22"/>
    <mergeCell ref="AD22:AE22"/>
    <mergeCell ref="B1:P1"/>
    <mergeCell ref="G2:P2"/>
    <mergeCell ref="G3:J3"/>
    <mergeCell ref="G4:J4"/>
    <mergeCell ref="B7:C7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725F-1CCE-4BDC-8D57-3A3F6304FB51}">
  <sheetPr codeName="Sheet7"/>
  <dimension ref="B1:R153"/>
  <sheetViews>
    <sheetView topLeftCell="C1" workbookViewId="0">
      <selection activeCell="K56" sqref="K56"/>
    </sheetView>
  </sheetViews>
  <sheetFormatPr defaultRowHeight="14.4"/>
  <cols>
    <col min="4" max="4" width="11.33203125" customWidth="1"/>
    <col min="7" max="7" width="14" customWidth="1"/>
    <col min="8" max="8" width="13.44140625" customWidth="1"/>
    <col min="9" max="9" width="19.33203125" customWidth="1"/>
    <col min="12" max="12" width="9.6640625" customWidth="1"/>
  </cols>
  <sheetData>
    <row r="1" spans="2:18" ht="15" thickBot="1">
      <c r="D1" s="350" t="s">
        <v>389</v>
      </c>
      <c r="E1" s="351"/>
      <c r="F1" s="351"/>
      <c r="G1" s="351"/>
      <c r="H1" s="351"/>
      <c r="I1" s="352"/>
    </row>
    <row r="2" spans="2:18" ht="15" thickBot="1">
      <c r="D2" s="350" t="s">
        <v>390</v>
      </c>
      <c r="E2" s="351"/>
      <c r="F2" s="351"/>
      <c r="G2" s="351"/>
      <c r="H2" s="351"/>
      <c r="I2" s="352"/>
    </row>
    <row r="3" spans="2:18" ht="15" thickBot="1">
      <c r="M3" s="62" t="s">
        <v>371</v>
      </c>
      <c r="N3" s="63" t="s">
        <v>34</v>
      </c>
      <c r="O3" s="63" t="s">
        <v>35</v>
      </c>
      <c r="P3" s="63" t="s">
        <v>391</v>
      </c>
      <c r="Q3" s="63" t="s">
        <v>392</v>
      </c>
      <c r="R3" s="64" t="s">
        <v>393</v>
      </c>
    </row>
    <row r="4" spans="2:18" ht="15" thickBot="1">
      <c r="D4" s="80" t="s">
        <v>394</v>
      </c>
      <c r="E4" s="81">
        <v>1.4</v>
      </c>
      <c r="F4" s="65"/>
      <c r="G4" s="65"/>
      <c r="H4" s="82" t="s">
        <v>395</v>
      </c>
      <c r="I4" s="83">
        <v>287.05287424699998</v>
      </c>
      <c r="M4">
        <f>0.01</f>
        <v>0.01</v>
      </c>
      <c r="N4">
        <f>(1+($E$4-1)/2*M4^2)</f>
        <v>1.0000199999999999</v>
      </c>
      <c r="O4">
        <f>N4^($E$4/($E$4-1))</f>
        <v>1.0000700017500173</v>
      </c>
      <c r="P4">
        <f t="shared" ref="P4:P67" si="0">1000*SQRT(2*$E$4/(($E$4-1)*$I$4)*O4^(-2/$E$4)*(1-(O4)^((1-$E$4)/$E$4)))</f>
        <v>0.69832406817831461</v>
      </c>
      <c r="Q4">
        <f>O4*P4</f>
        <v>0.69837295208516625</v>
      </c>
      <c r="R4">
        <f t="shared" ref="R4:R67" si="1">M4*SQRT($E$4*$I$4)/SQRT(N4)</f>
        <v>0.20046595387398514</v>
      </c>
    </row>
    <row r="5" spans="2:18" ht="15" thickBot="1">
      <c r="B5" s="84" t="s">
        <v>396</v>
      </c>
      <c r="D5" s="12"/>
      <c r="H5" s="12"/>
      <c r="M5">
        <f>M4+0.01</f>
        <v>0.02</v>
      </c>
      <c r="N5">
        <f t="shared" ref="N5:N68" si="2">(1+($E$4-1)/2*M5^2)</f>
        <v>1.0000800000000001</v>
      </c>
      <c r="O5">
        <f t="shared" ref="O5:O68" si="3">N5^($E$4/($E$4-1))</f>
        <v>1.0002800280011204</v>
      </c>
      <c r="P5">
        <f t="shared" si="0"/>
        <v>1.3963967748884585</v>
      </c>
      <c r="Q5">
        <f t="shared" ref="Q5:Q68" si="4">O5*P5</f>
        <v>1.3967878050861013</v>
      </c>
      <c r="R5">
        <f t="shared" si="1"/>
        <v>0.40091988057250155</v>
      </c>
    </row>
    <row r="6" spans="2:18">
      <c r="B6" s="85" t="s">
        <v>397</v>
      </c>
      <c r="D6" s="40" t="s">
        <v>398</v>
      </c>
      <c r="E6" s="41" t="s">
        <v>399</v>
      </c>
      <c r="F6" s="41" t="s">
        <v>400</v>
      </c>
      <c r="G6" s="41" t="s">
        <v>401</v>
      </c>
      <c r="H6" s="40" t="s">
        <v>402</v>
      </c>
      <c r="I6" s="86" t="s">
        <v>403</v>
      </c>
      <c r="M6">
        <f t="shared" ref="M6:M69" si="5">M5+0.01</f>
        <v>0.03</v>
      </c>
      <c r="N6">
        <f t="shared" si="2"/>
        <v>1.0001800000000001</v>
      </c>
      <c r="O6">
        <f t="shared" si="3"/>
        <v>1.0006301417627581</v>
      </c>
      <c r="P6">
        <f t="shared" si="0"/>
        <v>2.0939669596846047</v>
      </c>
      <c r="Q6">
        <f t="shared" si="4"/>
        <v>2.0952864557157374</v>
      </c>
      <c r="R6">
        <f t="shared" si="1"/>
        <v>0.60134975652766187</v>
      </c>
    </row>
    <row r="7" spans="2:18" ht="15" thickBot="1">
      <c r="B7" s="87" t="s">
        <v>404</v>
      </c>
      <c r="D7" s="88" t="s">
        <v>405</v>
      </c>
      <c r="E7" s="89" t="s">
        <v>406</v>
      </c>
      <c r="F7" s="89" t="s">
        <v>407</v>
      </c>
      <c r="G7" s="89" t="s">
        <v>408</v>
      </c>
      <c r="H7" s="88" t="s">
        <v>409</v>
      </c>
      <c r="I7" s="90" t="s">
        <v>410</v>
      </c>
      <c r="M7">
        <f t="shared" si="5"/>
        <v>0.04</v>
      </c>
      <c r="N7">
        <f t="shared" si="2"/>
        <v>1.0003200000000001</v>
      </c>
      <c r="O7">
        <f t="shared" si="3"/>
        <v>1.0011204480716831</v>
      </c>
      <c r="P7">
        <f t="shared" si="0"/>
        <v>2.7907838639216087</v>
      </c>
      <c r="Q7">
        <f t="shared" si="4"/>
        <v>2.7939107923204238</v>
      </c>
      <c r="R7">
        <f t="shared" si="1"/>
        <v>0.8017435653842172</v>
      </c>
    </row>
    <row r="8" spans="2:18" ht="15" thickBot="1">
      <c r="B8" s="91" t="s">
        <v>411</v>
      </c>
      <c r="D8" s="92">
        <v>200</v>
      </c>
      <c r="E8" s="93">
        <v>101.325</v>
      </c>
      <c r="F8" s="93">
        <v>288</v>
      </c>
      <c r="G8" s="94">
        <v>1</v>
      </c>
      <c r="H8" s="95">
        <f>E8*1000/(I4*F8)</f>
        <v>1.2256380208335211</v>
      </c>
      <c r="I8" s="96">
        <f>D8*SQRT(F8)/(E8*G8)</f>
        <v>33.49728645147227</v>
      </c>
      <c r="M8">
        <f t="shared" si="5"/>
        <v>0.05</v>
      </c>
      <c r="N8">
        <f t="shared" si="2"/>
        <v>1.0004999999999999</v>
      </c>
      <c r="O8">
        <f t="shared" si="3"/>
        <v>1.0017510940234544</v>
      </c>
      <c r="P8">
        <f t="shared" si="0"/>
        <v>3.4865973309331362</v>
      </c>
      <c r="Q8">
        <f t="shared" si="4"/>
        <v>3.4927026906815253</v>
      </c>
      <c r="R8">
        <f t="shared" si="1"/>
        <v>1.0020893015995678</v>
      </c>
    </row>
    <row r="9" spans="2:18" ht="15" thickBot="1">
      <c r="I9" s="12"/>
      <c r="M9">
        <f t="shared" si="5"/>
        <v>6.0000000000000005E-2</v>
      </c>
      <c r="N9">
        <f t="shared" si="2"/>
        <v>1.0007200000000001</v>
      </c>
      <c r="O9">
        <f t="shared" si="3"/>
        <v>1.0025222688165536</v>
      </c>
      <c r="P9">
        <f t="shared" si="0"/>
        <v>4.18115800538716</v>
      </c>
      <c r="Q9">
        <f t="shared" si="4"/>
        <v>4.1917040098412315</v>
      </c>
      <c r="R9">
        <f t="shared" si="1"/>
        <v>1.2023749740362133</v>
      </c>
    </row>
    <row r="10" spans="2:18">
      <c r="D10" s="40" t="s">
        <v>412</v>
      </c>
      <c r="E10" s="41" t="s">
        <v>413</v>
      </c>
      <c r="F10" s="41" t="s">
        <v>414</v>
      </c>
      <c r="G10" s="41" t="s">
        <v>415</v>
      </c>
      <c r="H10" s="40" t="s">
        <v>416</v>
      </c>
      <c r="I10" s="86" t="s">
        <v>417</v>
      </c>
      <c r="M10">
        <f t="shared" si="5"/>
        <v>7.0000000000000007E-2</v>
      </c>
      <c r="N10">
        <f t="shared" si="2"/>
        <v>1.00098</v>
      </c>
      <c r="O10">
        <f t="shared" si="3"/>
        <v>1.0034342038091095</v>
      </c>
      <c r="P10">
        <f t="shared" si="0"/>
        <v>4.8742175315129597</v>
      </c>
      <c r="Q10">
        <f t="shared" si="4"/>
        <v>4.8909565879261097</v>
      </c>
      <c r="R10">
        <f t="shared" si="1"/>
        <v>1.4025886095441349</v>
      </c>
    </row>
    <row r="11" spans="2:18" ht="15" thickBot="1">
      <c r="D11" s="88" t="s">
        <v>418</v>
      </c>
      <c r="E11" s="89" t="s">
        <v>406</v>
      </c>
      <c r="F11" s="89" t="s">
        <v>407</v>
      </c>
      <c r="G11" s="89" t="s">
        <v>419</v>
      </c>
      <c r="H11" s="88" t="s">
        <v>409</v>
      </c>
      <c r="I11" s="97" t="s">
        <v>420</v>
      </c>
      <c r="M11">
        <f t="shared" si="5"/>
        <v>0.08</v>
      </c>
      <c r="N11">
        <f t="shared" si="2"/>
        <v>1.0012799999999999</v>
      </c>
      <c r="O11">
        <f t="shared" si="3"/>
        <v>1.0044871725882538</v>
      </c>
      <c r="P11">
        <f t="shared" si="0"/>
        <v>5.565528749942751</v>
      </c>
      <c r="Q11">
        <f t="shared" si="4"/>
        <v>5.5905022379886331</v>
      </c>
      <c r="R11">
        <f t="shared" si="1"/>
        <v>1.6027182565306215</v>
      </c>
    </row>
    <row r="12" spans="2:18" ht="15" thickBot="1">
      <c r="D12" s="95">
        <f>(-$E$4*I4)/(1-$E$4)</f>
        <v>1004.6850598645001</v>
      </c>
      <c r="E12" s="98">
        <f>E8/F16</f>
        <v>80.364487587575425</v>
      </c>
      <c r="F12" s="98">
        <f>F8/E16</f>
        <v>269.54709143686648</v>
      </c>
      <c r="G12" s="98">
        <f>I16*SQRT(F12)</f>
        <v>186.28739336402913</v>
      </c>
      <c r="H12" s="95">
        <f>E12*1000/(I4*F12)</f>
        <v>1.0386461849453379</v>
      </c>
      <c r="I12" s="99">
        <f>(I8-G16)/G16*1000</f>
        <v>-4.4570206955046228E-5</v>
      </c>
      <c r="M12">
        <f t="shared" si="5"/>
        <v>0.09</v>
      </c>
      <c r="N12">
        <f t="shared" si="2"/>
        <v>1.00162</v>
      </c>
      <c r="O12">
        <f t="shared" si="3"/>
        <v>1.0056814910521004</v>
      </c>
      <c r="P12">
        <f t="shared" si="0"/>
        <v>6.254845892879227</v>
      </c>
      <c r="Q12">
        <f t="shared" si="4"/>
        <v>6.2903827438518869</v>
      </c>
      <c r="R12">
        <f t="shared" si="1"/>
        <v>1.8027519885150551</v>
      </c>
    </row>
    <row r="13" spans="2:18">
      <c r="M13">
        <f t="shared" si="5"/>
        <v>9.9999999999999992E-2</v>
      </c>
      <c r="N13">
        <f t="shared" si="2"/>
        <v>1.002</v>
      </c>
      <c r="O13">
        <f t="shared" si="3"/>
        <v>1.0070175175043741</v>
      </c>
      <c r="P13">
        <f t="shared" si="0"/>
        <v>6.9419247773301391</v>
      </c>
      <c r="Q13">
        <f t="shared" si="4"/>
        <v>6.9906398559691016</v>
      </c>
      <c r="R13">
        <f t="shared" si="1"/>
        <v>2.0026779076662051</v>
      </c>
    </row>
    <row r="14" spans="2:18" ht="15" thickBot="1">
      <c r="G14" s="361" t="s">
        <v>421</v>
      </c>
      <c r="H14" s="361"/>
      <c r="M14">
        <f t="shared" si="5"/>
        <v>0.10999999999999999</v>
      </c>
      <c r="N14">
        <f t="shared" si="2"/>
        <v>1.0024200000000001</v>
      </c>
      <c r="O14">
        <f t="shared" si="3"/>
        <v>1.0084956527616937</v>
      </c>
      <c r="P14">
        <f t="shared" si="0"/>
        <v>7.6265229961429473</v>
      </c>
      <c r="Q14">
        <f t="shared" si="4"/>
        <v>7.6913152872972494</v>
      </c>
      <c r="R14">
        <f t="shared" si="1"/>
        <v>2.2024841483195892</v>
      </c>
    </row>
    <row r="15" spans="2:18" ht="15" thickBot="1">
      <c r="D15" s="62" t="s">
        <v>371</v>
      </c>
      <c r="E15" s="63" t="s">
        <v>34</v>
      </c>
      <c r="F15" s="63" t="s">
        <v>35</v>
      </c>
      <c r="G15" s="63" t="s">
        <v>391</v>
      </c>
      <c r="H15" s="63" t="s">
        <v>392</v>
      </c>
      <c r="I15" s="64" t="s">
        <v>393</v>
      </c>
      <c r="M15">
        <f t="shared" si="5"/>
        <v>0.11999999999999998</v>
      </c>
      <c r="N15">
        <f t="shared" si="2"/>
        <v>1.00288</v>
      </c>
      <c r="O15">
        <f t="shared" si="3"/>
        <v>1.0101163402735263</v>
      </c>
      <c r="P15">
        <f t="shared" si="0"/>
        <v>8.3084001065797253</v>
      </c>
      <c r="Q15">
        <f t="shared" si="4"/>
        <v>8.3924507091864875</v>
      </c>
      <c r="R15">
        <f t="shared" si="1"/>
        <v>2.4021588804724936</v>
      </c>
    </row>
    <row r="16" spans="2:18" ht="15" thickBot="1">
      <c r="D16" s="100">
        <v>0.58505957600977965</v>
      </c>
      <c r="E16" s="98">
        <f>(1+($E$4-1)/2*D16^2)</f>
        <v>1.0684589414961487</v>
      </c>
      <c r="F16" s="98">
        <f>E16^($E$4/($E$4-1))</f>
        <v>1.2608180931855419</v>
      </c>
      <c r="G16" s="98">
        <f>1000*SQRT(2*$E$4/(($E$4-1)*$I$4)*F16^(-2/$E$4)*(1-(F16)^((1-$E$4)/$E$4)))</f>
        <v>33.497287944453326</v>
      </c>
      <c r="H16" s="98">
        <f>F16*G16</f>
        <v>42.233986713012683</v>
      </c>
      <c r="I16" s="101">
        <f>D16*SQRT($E$4*$I$4)/SQRT(E16)</f>
        <v>11.346610343214195</v>
      </c>
      <c r="M16">
        <f t="shared" si="5"/>
        <v>0.12999999999999998</v>
      </c>
      <c r="N16">
        <f t="shared" si="2"/>
        <v>1.0033799999999999</v>
      </c>
      <c r="O16">
        <f t="shared" si="3"/>
        <v>1.0118800662548335</v>
      </c>
      <c r="P16">
        <f t="shared" si="0"/>
        <v>8.9873178161771818</v>
      </c>
      <c r="Q16">
        <f t="shared" si="4"/>
        <v>9.0940877472866131</v>
      </c>
      <c r="R16">
        <f t="shared" si="1"/>
        <v>2.6016903132542626</v>
      </c>
    </row>
    <row r="17" spans="13:18">
      <c r="M17">
        <f t="shared" si="5"/>
        <v>0.13999999999999999</v>
      </c>
      <c r="N17">
        <f t="shared" si="2"/>
        <v>1.0039199999999999</v>
      </c>
      <c r="O17">
        <f t="shared" si="3"/>
        <v>1.0137873598314202</v>
      </c>
      <c r="P17">
        <f t="shared" si="0"/>
        <v>9.6630401656425597</v>
      </c>
      <c r="Q17">
        <f t="shared" si="4"/>
        <v>9.7962679774717394</v>
      </c>
      <c r="R17">
        <f t="shared" si="1"/>
        <v>2.8010666983695192</v>
      </c>
    </row>
    <row r="18" spans="13:18">
      <c r="M18">
        <f t="shared" si="5"/>
        <v>0.15</v>
      </c>
      <c r="N18">
        <f t="shared" si="2"/>
        <v>1.0044999999999999</v>
      </c>
      <c r="O18">
        <f t="shared" si="3"/>
        <v>1.0158387931980133</v>
      </c>
      <c r="P18">
        <f t="shared" si="0"/>
        <v>10.335333708544605</v>
      </c>
      <c r="Q18">
        <f t="shared" si="4"/>
        <v>10.499032921786698</v>
      </c>
      <c r="R18">
        <f t="shared" si="1"/>
        <v>3.0002763335119744</v>
      </c>
    </row>
    <row r="19" spans="13:18">
      <c r="M19">
        <f t="shared" si="5"/>
        <v>0.16</v>
      </c>
      <c r="N19">
        <f t="shared" si="2"/>
        <v>1.00512</v>
      </c>
      <c r="O19">
        <f t="shared" si="3"/>
        <v>1.0180349817890888</v>
      </c>
      <c r="P19">
        <f t="shared" si="0"/>
        <v>11.003967687562698</v>
      </c>
      <c r="Q19">
        <f t="shared" si="4"/>
        <v>11.202424044415613</v>
      </c>
      <c r="R19">
        <f t="shared" si="1"/>
        <v>3.1993075657465688</v>
      </c>
    </row>
    <row r="20" spans="13:18">
      <c r="M20">
        <f t="shared" si="5"/>
        <v>0.17</v>
      </c>
      <c r="N20">
        <f t="shared" si="2"/>
        <v>1.0057799999999999</v>
      </c>
      <c r="O20">
        <f t="shared" si="3"/>
        <v>1.0203765844624704</v>
      </c>
      <c r="P20">
        <f t="shared" si="0"/>
        <v>11.668714207064561</v>
      </c>
      <c r="Q20">
        <f t="shared" si="4"/>
        <v>11.906482747673239</v>
      </c>
      <c r="R20">
        <f t="shared" si="1"/>
        <v>3.3981487948576801</v>
      </c>
    </row>
    <row r="21" spans="13:18">
      <c r="M21">
        <f t="shared" si="5"/>
        <v>0.18000000000000002</v>
      </c>
      <c r="N21">
        <f t="shared" si="2"/>
        <v>1.00648</v>
      </c>
      <c r="O21">
        <f t="shared" si="3"/>
        <v>1.0228643036957314</v>
      </c>
      <c r="P21">
        <f t="shared" si="0"/>
        <v>12.329348401795396</v>
      </c>
      <c r="Q21">
        <f t="shared" si="4"/>
        <v>12.611250368024528</v>
      </c>
      <c r="R21">
        <f t="shared" si="1"/>
        <v>3.5967884766612088</v>
      </c>
    </row>
    <row r="22" spans="13:18">
      <c r="M22">
        <f t="shared" si="5"/>
        <v>0.19000000000000003</v>
      </c>
      <c r="N22">
        <f t="shared" si="2"/>
        <v>1.00722</v>
      </c>
      <c r="O22">
        <f t="shared" si="3"/>
        <v>1.0254988857954128</v>
      </c>
      <c r="P22">
        <f t="shared" si="0"/>
        <v>12.985648601459348</v>
      </c>
      <c r="Q22">
        <f t="shared" si="4"/>
        <v>13.316768172127322</v>
      </c>
      <c r="R22">
        <f t="shared" si="1"/>
        <v>3.7952151262783791</v>
      </c>
    </row>
    <row r="23" spans="13:18">
      <c r="M23">
        <f t="shared" si="5"/>
        <v>0.20000000000000004</v>
      </c>
      <c r="N23">
        <f t="shared" si="2"/>
        <v>1.008</v>
      </c>
      <c r="O23">
        <f t="shared" si="3"/>
        <v>1.0282811211191059</v>
      </c>
      <c r="P23">
        <f t="shared" si="0"/>
        <v>13.637396490996297</v>
      </c>
      <c r="Q23">
        <f t="shared" si="4"/>
        <v>14.023077352907432</v>
      </c>
      <c r="R23">
        <f t="shared" si="1"/>
        <v>3.9934173213691451</v>
      </c>
    </row>
    <row r="24" spans="13:18">
      <c r="M24">
        <f t="shared" si="5"/>
        <v>0.21000000000000005</v>
      </c>
      <c r="N24">
        <f t="shared" si="2"/>
        <v>1.0088200000000001</v>
      </c>
      <c r="O24">
        <f t="shared" si="3"/>
        <v>1.0312118443104115</v>
      </c>
      <c r="P24">
        <f t="shared" si="0"/>
        <v>14.284377266353284</v>
      </c>
      <c r="Q24">
        <f t="shared" si="4"/>
        <v>14.730219025661883</v>
      </c>
      <c r="R24">
        <f t="shared" si="1"/>
        <v>4.1913837053231342</v>
      </c>
    </row>
    <row r="25" spans="13:18">
      <c r="M25">
        <f t="shared" si="5"/>
        <v>0.22000000000000006</v>
      </c>
      <c r="N25">
        <f t="shared" si="2"/>
        <v>1.0096799999999999</v>
      </c>
      <c r="O25">
        <f t="shared" si="3"/>
        <v>1.0342919345468207</v>
      </c>
      <c r="P25">
        <f t="shared" si="0"/>
        <v>14.926379785566235</v>
      </c>
      <c r="Q25">
        <f t="shared" si="4"/>
        <v>15.438234224193859</v>
      </c>
      <c r="R25">
        <f t="shared" si="1"/>
        <v>4.3891029904061414</v>
      </c>
    </row>
    <row r="26" spans="13:18">
      <c r="M26">
        <f t="shared" si="5"/>
        <v>0.23000000000000007</v>
      </c>
      <c r="N26">
        <f t="shared" si="2"/>
        <v>1.01058</v>
      </c>
      <c r="O26">
        <f t="shared" si="3"/>
        <v>1.037522315800548</v>
      </c>
      <c r="P26">
        <f t="shared" si="0"/>
        <v>15.563196714976634</v>
      </c>
      <c r="Q26">
        <f t="shared" si="4"/>
        <v>16.14716389698204</v>
      </c>
      <c r="R26">
        <f t="shared" si="1"/>
        <v>4.5865639608601692</v>
      </c>
    </row>
    <row r="27" spans="13:18">
      <c r="M27">
        <f t="shared" si="5"/>
        <v>0.24000000000000007</v>
      </c>
      <c r="N27">
        <f t="shared" si="2"/>
        <v>1.01152</v>
      </c>
      <c r="O27">
        <f t="shared" si="3"/>
        <v>1.0409039571123431</v>
      </c>
      <c r="P27">
        <f t="shared" si="0"/>
        <v>16.194624670413379</v>
      </c>
      <c r="Q27">
        <f t="shared" si="4"/>
        <v>16.857048903382459</v>
      </c>
      <c r="R27">
        <f t="shared" si="1"/>
        <v>4.7837554759551733</v>
      </c>
    </row>
    <row r="28" spans="13:18">
      <c r="M28">
        <f t="shared" si="5"/>
        <v>0.25000000000000006</v>
      </c>
      <c r="N28">
        <f t="shared" si="2"/>
        <v>1.0125</v>
      </c>
      <c r="O28">
        <f t="shared" si="3"/>
        <v>1.0444378728783388</v>
      </c>
      <c r="P28">
        <f t="shared" si="0"/>
        <v>16.820464353187326</v>
      </c>
      <c r="Q28">
        <f t="shared" si="4"/>
        <v>17.567930009868892</v>
      </c>
      <c r="R28">
        <f t="shared" si="1"/>
        <v>4.980666472990622</v>
      </c>
    </row>
    <row r="29" spans="13:18">
      <c r="M29">
        <f t="shared" si="5"/>
        <v>0.26000000000000006</v>
      </c>
      <c r="N29">
        <f t="shared" si="2"/>
        <v>1.01352</v>
      </c>
      <c r="O29">
        <f t="shared" si="3"/>
        <v>1.0481251231499533</v>
      </c>
      <c r="P29">
        <f t="shared" si="0"/>
        <v>17.440520680748268</v>
      </c>
      <c r="Q29">
        <f t="shared" si="4"/>
        <v>18.279847886308588</v>
      </c>
      <c r="R29">
        <f t="shared" si="1"/>
        <v>5.1772859702451077</v>
      </c>
    </row>
    <row r="30" spans="13:18">
      <c r="M30">
        <f t="shared" si="5"/>
        <v>0.27000000000000007</v>
      </c>
      <c r="N30">
        <f t="shared" si="2"/>
        <v>1.01458</v>
      </c>
      <c r="O30">
        <f t="shared" si="3"/>
        <v>1.0519668139468996</v>
      </c>
      <c r="P30">
        <f t="shared" si="0"/>
        <v>18.054602911871029</v>
      </c>
      <c r="Q30">
        <f t="shared" si="4"/>
        <v>18.992843102277384</v>
      </c>
      <c r="R30">
        <f t="shared" si="1"/>
        <v>5.3736030698722796</v>
      </c>
    </row>
    <row r="31" spans="13:18">
      <c r="M31">
        <f t="shared" si="5"/>
        <v>0.28000000000000008</v>
      </c>
      <c r="N31">
        <f t="shared" si="2"/>
        <v>1.0156799999999999</v>
      </c>
      <c r="O31">
        <f t="shared" si="3"/>
        <v>1.0559640975833409</v>
      </c>
      <c r="P31">
        <f t="shared" si="0"/>
        <v>18.662524766245575</v>
      </c>
      <c r="Q31">
        <f t="shared" si="4"/>
        <v>19.706956123415257</v>
      </c>
      <c r="R31">
        <f t="shared" si="1"/>
        <v>5.5696069607414476</v>
      </c>
    </row>
    <row r="32" spans="13:18">
      <c r="M32">
        <f t="shared" si="5"/>
        <v>0.29000000000000009</v>
      </c>
      <c r="N32">
        <f t="shared" si="2"/>
        <v>1.0168200000000001</v>
      </c>
      <c r="O32">
        <f t="shared" si="3"/>
        <v>1.0601181730072402</v>
      </c>
      <c r="P32">
        <f t="shared" si="0"/>
        <v>19.264104538356648</v>
      </c>
      <c r="Q32">
        <f t="shared" si="4"/>
        <v>20.422227307823135</v>
      </c>
      <c r="R32">
        <f t="shared" si="1"/>
        <v>5.7652869212212536</v>
      </c>
    </row>
    <row r="33" spans="13:18">
      <c r="M33">
        <f t="shared" si="5"/>
        <v>0.3000000000000001</v>
      </c>
      <c r="N33">
        <f t="shared" si="2"/>
        <v>1.018</v>
      </c>
      <c r="O33">
        <f t="shared" si="3"/>
        <v>1.0644302861529382</v>
      </c>
      <c r="P33">
        <f t="shared" si="0"/>
        <v>19.859165205549328</v>
      </c>
      <c r="Q33">
        <f t="shared" si="4"/>
        <v>21.138696902501344</v>
      </c>
      <c r="R33">
        <f t="shared" si="1"/>
        <v>5.9606323219048782</v>
      </c>
    </row>
    <row r="34" spans="13:18">
      <c r="M34">
        <f t="shared" si="5"/>
        <v>0.31000000000000011</v>
      </c>
      <c r="N34">
        <f t="shared" si="2"/>
        <v>1.01922</v>
      </c>
      <c r="O34">
        <f t="shared" si="3"/>
        <v>1.0689017303070252</v>
      </c>
      <c r="P34">
        <f t="shared" si="0"/>
        <v>20.447534530190648</v>
      </c>
      <c r="Q34">
        <f t="shared" si="4"/>
        <v>21.85640503983343</v>
      </c>
      <c r="R34">
        <f t="shared" si="1"/>
        <v>6.1556326282753417</v>
      </c>
    </row>
    <row r="35" spans="13:18">
      <c r="M35">
        <f t="shared" si="5"/>
        <v>0.32000000000000012</v>
      </c>
      <c r="N35">
        <f t="shared" si="2"/>
        <v>1.0204800000000001</v>
      </c>
      <c r="O35">
        <f t="shared" si="3"/>
        <v>1.0735338464875384</v>
      </c>
      <c r="P35">
        <f t="shared" si="0"/>
        <v>21.029045155844162</v>
      </c>
      <c r="Q35">
        <f t="shared" si="4"/>
        <v>22.57539173411352</v>
      </c>
      <c r="R35">
        <f t="shared" si="1"/>
        <v>6.3502774033094633</v>
      </c>
    </row>
    <row r="36" spans="13:18">
      <c r="M36">
        <f t="shared" si="5"/>
        <v>0.33000000000000013</v>
      </c>
      <c r="N36">
        <f t="shared" si="2"/>
        <v>1.0217799999999999</v>
      </c>
      <c r="O36">
        <f t="shared" si="3"/>
        <v>1.0783280238365451</v>
      </c>
      <c r="P36">
        <f t="shared" si="0"/>
        <v>21.603534697389943</v>
      </c>
      <c r="Q36">
        <f t="shared" si="4"/>
        <v>23.295696878120733</v>
      </c>
      <c r="R36">
        <f t="shared" si="1"/>
        <v>6.5445563100192121</v>
      </c>
    </row>
    <row r="37" spans="13:18">
      <c r="M37">
        <f t="shared" si="5"/>
        <v>0.34000000000000014</v>
      </c>
      <c r="N37">
        <f t="shared" si="2"/>
        <v>1.02312</v>
      </c>
      <c r="O37">
        <f t="shared" si="3"/>
        <v>1.083285700026166</v>
      </c>
      <c r="P37">
        <f t="shared" si="0"/>
        <v>22.170845825030831</v>
      </c>
      <c r="Q37">
        <f t="shared" si="4"/>
        <v>24.017360239740722</v>
      </c>
      <c r="R37">
        <f t="shared" si="1"/>
        <v>6.7384591139291414</v>
      </c>
    </row>
    <row r="38" spans="13:18">
      <c r="M38">
        <f t="shared" si="5"/>
        <v>0.35000000000000014</v>
      </c>
      <c r="N38">
        <f t="shared" si="2"/>
        <v>1.0245</v>
      </c>
      <c r="O38">
        <f t="shared" si="3"/>
        <v>1.0884083616780784</v>
      </c>
      <c r="P38">
        <f t="shared" si="0"/>
        <v>22.730826342137387</v>
      </c>
      <c r="Q38">
        <f t="shared" si="4"/>
        <v>24.74042145863466</v>
      </c>
      <c r="R38">
        <f t="shared" si="1"/>
        <v>6.9319756854887675</v>
      </c>
    </row>
    <row r="39" spans="13:18">
      <c r="M39">
        <f t="shared" si="5"/>
        <v>0.36000000000000015</v>
      </c>
      <c r="N39">
        <f t="shared" si="2"/>
        <v>1.0259199999999999</v>
      </c>
      <c r="O39">
        <f t="shared" si="3"/>
        <v>1.0936975447965784</v>
      </c>
      <c r="P39">
        <f t="shared" si="0"/>
        <v>23.283329256897375</v>
      </c>
      <c r="Q39">
        <f t="shared" si="4"/>
        <v>25.464920042959001</v>
      </c>
      <c r="R39">
        <f t="shared" si="1"/>
        <v>7.1250960024187355</v>
      </c>
    </row>
    <row r="40" spans="13:18">
      <c r="M40">
        <f t="shared" si="5"/>
        <v>0.37000000000000016</v>
      </c>
      <c r="N40">
        <f t="shared" si="2"/>
        <v>1.02738</v>
      </c>
      <c r="O40">
        <f t="shared" si="3"/>
        <v>1.0991548352152345</v>
      </c>
      <c r="P40">
        <f t="shared" si="0"/>
        <v>23.828212847742801</v>
      </c>
      <c r="Q40">
        <f t="shared" si="4"/>
        <v>26.190895366134271</v>
      </c>
      <c r="R40">
        <f t="shared" si="1"/>
        <v>7.3178101519898009</v>
      </c>
    </row>
    <row r="41" spans="13:18">
      <c r="M41">
        <f t="shared" si="5"/>
        <v>0.38000000000000017</v>
      </c>
      <c r="N41">
        <f t="shared" si="2"/>
        <v>1.02888</v>
      </c>
      <c r="O41">
        <f t="shared" si="3"/>
        <v>1.1047818690572084</v>
      </c>
      <c r="P41">
        <f t="shared" si="0"/>
        <v>24.36534072254209</v>
      </c>
      <c r="Q41">
        <f t="shared" si="4"/>
        <v>26.918386663665764</v>
      </c>
      <c r="R41">
        <f t="shared" si="1"/>
        <v>7.5101083332335863</v>
      </c>
    </row>
    <row r="42" spans="13:18">
      <c r="M42">
        <f t="shared" si="5"/>
        <v>0.39000000000000018</v>
      </c>
      <c r="N42">
        <f t="shared" si="2"/>
        <v>1.0304200000000001</v>
      </c>
      <c r="O42">
        <f t="shared" si="3"/>
        <v>1.1105803332092965</v>
      </c>
      <c r="P42">
        <f t="shared" si="0"/>
        <v>24.894581871553815</v>
      </c>
      <c r="Q42">
        <f t="shared" si="4"/>
        <v>27.647433030016348</v>
      </c>
      <c r="R42">
        <f t="shared" si="1"/>
        <v>7.7019808590842818</v>
      </c>
    </row>
    <row r="43" spans="13:18">
      <c r="M43">
        <f t="shared" si="5"/>
        <v>0.40000000000000019</v>
      </c>
      <c r="N43">
        <f t="shared" si="2"/>
        <v>1.032</v>
      </c>
      <c r="O43">
        <f t="shared" si="3"/>
        <v>1.1165519658097534</v>
      </c>
      <c r="P43">
        <f t="shared" si="0"/>
        <v>25.415810714149352</v>
      </c>
      <c r="Q43">
        <f t="shared" si="4"/>
        <v>28.37807341553205</v>
      </c>
      <c r="R43">
        <f t="shared" si="1"/>
        <v>7.8934181584504373</v>
      </c>
    </row>
    <row r="44" spans="13:18">
      <c r="M44">
        <f t="shared" si="5"/>
        <v>0.4100000000000002</v>
      </c>
      <c r="N44">
        <f t="shared" si="2"/>
        <v>1.03362</v>
      </c>
      <c r="O44">
        <f t="shared" si="3"/>
        <v>1.1226985567499683</v>
      </c>
      <c r="P44">
        <f t="shared" si="0"/>
        <v>25.928907139323119</v>
      </c>
      <c r="Q44">
        <f t="shared" si="4"/>
        <v>29.110346623422014</v>
      </c>
      <c r="R44">
        <f t="shared" si="1"/>
        <v>8.0844107782161174</v>
      </c>
    </row>
    <row r="45" spans="13:18">
      <c r="M45">
        <f t="shared" si="5"/>
        <v>0.42000000000000021</v>
      </c>
      <c r="N45">
        <f t="shared" si="2"/>
        <v>1.03528</v>
      </c>
      <c r="O45">
        <f t="shared" si="3"/>
        <v>1.1290219481900454</v>
      </c>
      <c r="P45">
        <f t="shared" si="0"/>
        <v>26.433756540018102</v>
      </c>
      <c r="Q45">
        <f t="shared" si="4"/>
        <v>29.844291306792591</v>
      </c>
      <c r="R45">
        <f t="shared" si="1"/>
        <v>8.2749493851707498</v>
      </c>
    </row>
    <row r="46" spans="13:18">
      <c r="M46">
        <f t="shared" si="5"/>
        <v>0.43000000000000022</v>
      </c>
      <c r="N46">
        <f t="shared" si="2"/>
        <v>1.03698</v>
      </c>
      <c r="O46">
        <f t="shared" si="3"/>
        <v>1.1355240350883702</v>
      </c>
      <c r="P46">
        <f t="shared" si="0"/>
        <v>26.930249841305415</v>
      </c>
      <c r="Q46">
        <f t="shared" si="4"/>
        <v>30.579945965737064</v>
      </c>
      <c r="R46">
        <f t="shared" si="1"/>
        <v>8.4650247678670496</v>
      </c>
    </row>
    <row r="47" spans="13:18">
      <c r="M47">
        <f t="shared" si="5"/>
        <v>0.44000000000000022</v>
      </c>
      <c r="N47">
        <f t="shared" si="2"/>
        <v>1.0387200000000001</v>
      </c>
      <c r="O47">
        <f t="shared" si="3"/>
        <v>1.1422067657452177</v>
      </c>
      <c r="P47">
        <f t="shared" si="0"/>
        <v>27.41828352246613</v>
      </c>
      <c r="Q47">
        <f t="shared" si="4"/>
        <v>31.317348944481434</v>
      </c>
      <c r="R47">
        <f t="shared" si="1"/>
        <v>8.6546278384065349</v>
      </c>
    </row>
    <row r="48" spans="13:18">
      <c r="M48">
        <f t="shared" si="5"/>
        <v>0.45000000000000023</v>
      </c>
      <c r="N48">
        <f t="shared" si="2"/>
        <v>1.0405</v>
      </c>
      <c r="O48">
        <f t="shared" si="3"/>
        <v>1.1490721423604813</v>
      </c>
      <c r="P48">
        <f t="shared" si="0"/>
        <v>27.897759633033004</v>
      </c>
      <c r="Q48">
        <f t="shared" si="4"/>
        <v>32.05653842858699</v>
      </c>
      <c r="R48">
        <f t="shared" si="1"/>
        <v>8.8437496341521431</v>
      </c>
    </row>
    <row r="49" spans="13:18">
      <c r="M49">
        <f t="shared" si="5"/>
        <v>0.46000000000000024</v>
      </c>
      <c r="N49">
        <f t="shared" si="2"/>
        <v>1.0423200000000001</v>
      </c>
      <c r="O49">
        <f t="shared" si="3"/>
        <v>1.1561222216055884</v>
      </c>
      <c r="P49">
        <f t="shared" si="0"/>
        <v>28.368585802859318</v>
      </c>
      <c r="Q49">
        <f t="shared" si="4"/>
        <v>32.797552442210467</v>
      </c>
      <c r="R49">
        <f t="shared" si="1"/>
        <v>9.0323813193675839</v>
      </c>
    </row>
    <row r="50" spans="13:18">
      <c r="M50">
        <f t="shared" si="5"/>
        <v>0.47000000000000025</v>
      </c>
      <c r="N50">
        <f t="shared" si="2"/>
        <v>1.0441800000000001</v>
      </c>
      <c r="O50">
        <f t="shared" si="3"/>
        <v>1.1633591152096723</v>
      </c>
      <c r="P50">
        <f t="shared" si="0"/>
        <v>28.830675246290212</v>
      </c>
      <c r="Q50">
        <f t="shared" si="4"/>
        <v>33.54042884542158</v>
      </c>
      <c r="R50">
        <f t="shared" si="1"/>
        <v>9.2205141867831575</v>
      </c>
    </row>
    <row r="51" spans="13:18">
      <c r="M51">
        <f t="shared" si="5"/>
        <v>0.48000000000000026</v>
      </c>
      <c r="N51">
        <f t="shared" si="2"/>
        <v>1.0460800000000001</v>
      </c>
      <c r="O51">
        <f t="shared" si="3"/>
        <v>1.1707849905600851</v>
      </c>
      <c r="P51">
        <f t="shared" si="0"/>
        <v>29.283946760521861</v>
      </c>
      <c r="Q51">
        <f t="shared" si="4"/>
        <v>34.285205331579625</v>
      </c>
      <c r="R51">
        <f t="shared" si="1"/>
        <v>9.4081396590877304</v>
      </c>
    </row>
    <row r="52" spans="13:18">
      <c r="M52">
        <f t="shared" si="5"/>
        <v>0.49000000000000027</v>
      </c>
      <c r="N52">
        <f t="shared" si="2"/>
        <v>1.04802</v>
      </c>
      <c r="O52">
        <f t="shared" si="3"/>
        <v>1.1784020713173153</v>
      </c>
      <c r="P52">
        <f t="shared" si="0"/>
        <v>29.728324718240984</v>
      </c>
      <c r="Q52">
        <f t="shared" si="4"/>
        <v>35.031919424768923</v>
      </c>
      <c r="R52">
        <f t="shared" si="1"/>
        <v>9.5952492903467892</v>
      </c>
    </row>
    <row r="53" spans="13:18">
      <c r="M53">
        <f t="shared" si="5"/>
        <v>0.50000000000000022</v>
      </c>
      <c r="N53">
        <f t="shared" si="2"/>
        <v>1.05</v>
      </c>
      <c r="O53">
        <f t="shared" si="3"/>
        <v>1.1862126380443982</v>
      </c>
      <c r="P53">
        <f t="shared" si="0"/>
        <v>30.163739054645319</v>
      </c>
      <c r="Q53">
        <f t="shared" si="4"/>
        <v>35.780608477293669</v>
      </c>
      <c r="R53">
        <f t="shared" si="1"/>
        <v>9.7818347673463961</v>
      </c>
    </row>
    <row r="54" spans="13:18">
      <c r="M54">
        <f t="shared" si="5"/>
        <v>0.51000000000000023</v>
      </c>
      <c r="N54">
        <f t="shared" si="2"/>
        <v>1.05202</v>
      </c>
      <c r="O54">
        <f t="shared" si="3"/>
        <v>1.1942190288508823</v>
      </c>
      <c r="P54">
        <f t="shared" si="0"/>
        <v>30.590125248953548</v>
      </c>
      <c r="Q54">
        <f t="shared" si="4"/>
        <v>36.531309667232158</v>
      </c>
      <c r="R54">
        <f t="shared" si="1"/>
        <v>9.9678879108631122</v>
      </c>
    </row>
    <row r="55" spans="13:18">
      <c r="M55">
        <f t="shared" si="5"/>
        <v>0.52000000000000024</v>
      </c>
      <c r="N55">
        <f t="shared" si="2"/>
        <v>1.0540800000000001</v>
      </c>
      <c r="P55" t="e">
        <f t="shared" si="0"/>
        <v>#DIV/0!</v>
      </c>
      <c r="Q55" t="e">
        <f t="shared" si="4"/>
        <v>#DIV/0!</v>
      </c>
      <c r="R55">
        <f t="shared" si="1"/>
        <v>10.153400676859832</v>
      </c>
    </row>
    <row r="56" spans="13:18">
      <c r="M56">
        <f t="shared" si="5"/>
        <v>0.53000000000000025</v>
      </c>
      <c r="N56">
        <f t="shared" si="2"/>
        <v>1.0561800000000001</v>
      </c>
      <c r="O56">
        <f t="shared" si="3"/>
        <v>1.2108289268392765</v>
      </c>
      <c r="P56">
        <f t="shared" si="0"/>
        <v>31.415582699682183</v>
      </c>
      <c r="Q56">
        <f t="shared" si="4"/>
        <v>38.038896286286715</v>
      </c>
      <c r="R56">
        <f t="shared" si="1"/>
        <v>10.338365157607727</v>
      </c>
    </row>
    <row r="57" spans="13:18">
      <c r="M57">
        <f t="shared" si="5"/>
        <v>0.54000000000000026</v>
      </c>
      <c r="N57">
        <f t="shared" si="2"/>
        <v>1.0583200000000001</v>
      </c>
      <c r="O57">
        <f t="shared" si="3"/>
        <v>1.21943740397415</v>
      </c>
      <c r="P57">
        <f t="shared" si="0"/>
        <v>31.814552393450541</v>
      </c>
      <c r="Q57">
        <f t="shared" si="4"/>
        <v>38.795855179268905</v>
      </c>
      <c r="R57">
        <f t="shared" si="1"/>
        <v>10.522773582734414</v>
      </c>
    </row>
    <row r="58" spans="13:18">
      <c r="M58">
        <f t="shared" si="5"/>
        <v>0.55000000000000027</v>
      </c>
      <c r="N58">
        <f t="shared" si="2"/>
        <v>1.0605</v>
      </c>
      <c r="O58">
        <f t="shared" si="3"/>
        <v>1.2282516464855568</v>
      </c>
      <c r="P58">
        <f t="shared" si="0"/>
        <v>32.204290746208962</v>
      </c>
      <c r="Q58">
        <f t="shared" si="4"/>
        <v>39.554973132930741</v>
      </c>
      <c r="R58">
        <f t="shared" si="1"/>
        <v>10.706618320198617</v>
      </c>
    </row>
    <row r="59" spans="13:18">
      <c r="M59">
        <f t="shared" si="5"/>
        <v>0.56000000000000028</v>
      </c>
      <c r="N59">
        <f t="shared" si="2"/>
        <v>1.0627200000000001</v>
      </c>
      <c r="O59">
        <f t="shared" si="3"/>
        <v>1.2372742903906933</v>
      </c>
      <c r="P59">
        <f t="shared" si="0"/>
        <v>32.584760495533054</v>
      </c>
      <c r="Q59">
        <f t="shared" si="4"/>
        <v>40.316286419661353</v>
      </c>
      <c r="R59">
        <f t="shared" si="1"/>
        <v>10.889891877191614</v>
      </c>
    </row>
    <row r="60" spans="13:18">
      <c r="M60">
        <f t="shared" si="5"/>
        <v>0.57000000000000028</v>
      </c>
      <c r="N60">
        <f t="shared" si="2"/>
        <v>1.06498</v>
      </c>
      <c r="O60">
        <f t="shared" si="3"/>
        <v>1.2465080334275589</v>
      </c>
      <c r="P60">
        <f t="shared" si="0"/>
        <v>32.955929703291368</v>
      </c>
      <c r="Q60">
        <f t="shared" si="4"/>
        <v>41.079831124226594</v>
      </c>
      <c r="R60">
        <f t="shared" si="1"/>
        <v>11.072586900965849</v>
      </c>
    </row>
    <row r="61" spans="13:18">
      <c r="M61">
        <f t="shared" si="5"/>
        <v>0.58000000000000029</v>
      </c>
      <c r="N61">
        <f t="shared" si="2"/>
        <v>1.06728</v>
      </c>
      <c r="O61">
        <f t="shared" si="3"/>
        <v>1.2559556358032122</v>
      </c>
      <c r="P61">
        <f t="shared" si="0"/>
        <v>33.317771702174866</v>
      </c>
      <c r="Q61">
        <f t="shared" si="4"/>
        <v>41.84564314175131</v>
      </c>
      <c r="R61">
        <f t="shared" si="1"/>
        <v>11.254696179591086</v>
      </c>
    </row>
    <row r="62" spans="13:18">
      <c r="M62">
        <f t="shared" si="5"/>
        <v>0.5900000000000003</v>
      </c>
      <c r="N62">
        <f t="shared" si="2"/>
        <v>1.06962</v>
      </c>
      <c r="O62">
        <f t="shared" si="3"/>
        <v>1.2656199209572612</v>
      </c>
      <c r="P62">
        <f t="shared" si="0"/>
        <v>33.670265037809365</v>
      </c>
      <c r="Q62">
        <f t="shared" si="4"/>
        <v>42.613758175762321</v>
      </c>
      <c r="R62">
        <f t="shared" si="1"/>
        <v>11.436212642638672</v>
      </c>
    </row>
    <row r="63" spans="13:18">
      <c r="M63">
        <f t="shared" si="5"/>
        <v>0.60000000000000031</v>
      </c>
      <c r="N63">
        <f t="shared" si="2"/>
        <v>1.0720000000000001</v>
      </c>
      <c r="O63">
        <f t="shared" si="3"/>
        <v>1.2755037763406945</v>
      </c>
      <c r="P63">
        <f t="shared" si="0"/>
        <v>34.013393406610774</v>
      </c>
      <c r="Q63">
        <f t="shared" si="4"/>
        <v>43.384211736293722</v>
      </c>
      <c r="R63">
        <f t="shared" si="1"/>
        <v>11.617129361794346</v>
      </c>
    </row>
    <row r="64" spans="13:18">
      <c r="M64">
        <f t="shared" si="5"/>
        <v>0.61000000000000032</v>
      </c>
      <c r="N64">
        <f t="shared" si="2"/>
        <v>1.0744200000000002</v>
      </c>
      <c r="O64">
        <f t="shared" si="3"/>
        <v>1.2856101542101386</v>
      </c>
      <c r="P64">
        <f t="shared" si="0"/>
        <v>34.347145589545271</v>
      </c>
      <c r="Q64">
        <f t="shared" si="4"/>
        <v>44.157039138053378</v>
      </c>
      <c r="R64">
        <f t="shared" si="1"/>
        <v>11.797439551400275</v>
      </c>
    </row>
    <row r="65" spans="13:18">
      <c r="M65">
        <f t="shared" si="5"/>
        <v>0.62000000000000033</v>
      </c>
      <c r="N65">
        <f t="shared" si="2"/>
        <v>1.0768800000000001</v>
      </c>
      <c r="O65">
        <f t="shared" si="3"/>
        <v>1.2959420724376367</v>
      </c>
      <c r="P65">
        <f t="shared" si="0"/>
        <v>34.671515381960823</v>
      </c>
      <c r="Q65">
        <f t="shared" si="4"/>
        <v>44.932275498651705</v>
      </c>
      <c r="R65">
        <f t="shared" si="1"/>
        <v>11.977136568926921</v>
      </c>
    </row>
    <row r="66" spans="13:18">
      <c r="M66">
        <f t="shared" si="5"/>
        <v>0.63000000000000034</v>
      </c>
      <c r="N66">
        <f t="shared" si="2"/>
        <v>1.07938</v>
      </c>
      <c r="O66">
        <f t="shared" si="3"/>
        <v>1.3065026153360473</v>
      </c>
      <c r="P66">
        <f t="shared" si="0"/>
        <v>34.986501519658042</v>
      </c>
      <c r="Q66">
        <f t="shared" si="4"/>
        <v>45.709955736891821</v>
      </c>
      <c r="R66">
        <f t="shared" si="1"/>
        <v>12.156213915375451</v>
      </c>
    </row>
    <row r="67" spans="13:18">
      <c r="M67">
        <f t="shared" si="5"/>
        <v>0.64000000000000035</v>
      </c>
      <c r="N67">
        <f t="shared" si="2"/>
        <v>1.08192</v>
      </c>
      <c r="O67">
        <f t="shared" si="3"/>
        <v>1.3172949345001499</v>
      </c>
      <c r="P67">
        <f t="shared" si="0"/>
        <v>35.292107601371754</v>
      </c>
      <c r="Q67">
        <f t="shared" si="4"/>
        <v>46.490114571121246</v>
      </c>
      <c r="R67">
        <f t="shared" si="1"/>
        <v>12.334665235611405</v>
      </c>
    </row>
    <row r="68" spans="13:18">
      <c r="M68">
        <f t="shared" si="5"/>
        <v>0.65000000000000036</v>
      </c>
      <c r="N68">
        <f t="shared" si="2"/>
        <v>1.0845</v>
      </c>
      <c r="O68">
        <f t="shared" si="3"/>
        <v>1.328322249663566</v>
      </c>
      <c r="P68">
        <f t="shared" ref="P68:P131" si="6">1000*SQRT(2*$E$4/(($E$4-1)*$I$4)*O68^(-2/$E$4)*(1-(O68)^((1-$E$4)/$E$4)))</f>
        <v>35.588342007835855</v>
      </c>
      <c r="Q68">
        <f t="shared" si="4"/>
        <v>47.272786517644917</v>
      </c>
      <c r="R68">
        <f t="shared" ref="R68:R131" si="7">M68*SQRT($E$4*$I$4)/SQRT(N68)</f>
        <v>12.512484318630525</v>
      </c>
    </row>
    <row r="69" spans="13:18">
      <c r="M69">
        <f t="shared" si="5"/>
        <v>0.66000000000000036</v>
      </c>
      <c r="N69">
        <f t="shared" ref="N69:N132" si="8">(1+($E$4-1)/2*M69^2)</f>
        <v>1.0871200000000001</v>
      </c>
      <c r="O69">
        <f t="shared" ref="O69:O132" si="9">N69^($E$4/($E$4-1))</f>
        <v>1.3395878495715867</v>
      </c>
      <c r="P69">
        <f t="shared" si="6"/>
        <v>35.875217817606554</v>
      </c>
      <c r="Q69">
        <f t="shared" ref="Q69:Q132" si="10">O69*P69</f>
        <v>48.058005889199833</v>
      </c>
      <c r="R69">
        <f t="shared" si="7"/>
        <v>12.689665097757437</v>
      </c>
    </row>
    <row r="70" spans="13:18">
      <c r="M70">
        <f t="shared" ref="M70:M133" si="11">M69+0.01</f>
        <v>0.67000000000000037</v>
      </c>
      <c r="N70">
        <f t="shared" si="8"/>
        <v>1.0897800000000002</v>
      </c>
      <c r="O70">
        <f t="shared" si="9"/>
        <v>1.3510950928700107</v>
      </c>
      <c r="P70">
        <f t="shared" si="6"/>
        <v>36.152752719819098</v>
      </c>
      <c r="Q70">
        <f t="shared" si="10"/>
        <v>48.845806793490517</v>
      </c>
      <c r="R70">
        <f t="shared" si="7"/>
        <v>12.86620165077821</v>
      </c>
    </row>
    <row r="71" spans="13:18">
      <c r="M71">
        <f t="shared" si="11"/>
        <v>0.68000000000000038</v>
      </c>
      <c r="N71">
        <f t="shared" si="8"/>
        <v>1.0924800000000001</v>
      </c>
      <c r="O71">
        <f t="shared" si="9"/>
        <v>1.3628474090100922</v>
      </c>
      <c r="P71">
        <f t="shared" si="6"/>
        <v>36.420968924054769</v>
      </c>
      <c r="Q71">
        <f t="shared" si="10"/>
        <v>49.636223131785123</v>
      </c>
      <c r="R71">
        <f t="shared" si="7"/>
        <v>13.042088200007635</v>
      </c>
    </row>
    <row r="72" spans="13:18">
      <c r="M72">
        <f t="shared" si="11"/>
        <v>0.69000000000000039</v>
      </c>
      <c r="N72">
        <f t="shared" si="8"/>
        <v>1.0952200000000001</v>
      </c>
      <c r="O72">
        <f t="shared" si="9"/>
        <v>1.3748482991697044</v>
      </c>
      <c r="P72">
        <f t="shared" si="6"/>
        <v>36.67989306749547</v>
      </c>
      <c r="Q72">
        <f t="shared" si="10"/>
        <v>50.429288597572778</v>
      </c>
      <c r="R72">
        <f t="shared" si="7"/>
        <v>13.217319112292259</v>
      </c>
    </row>
    <row r="73" spans="13:18">
      <c r="M73">
        <f t="shared" si="11"/>
        <v>0.7000000000000004</v>
      </c>
      <c r="N73">
        <f t="shared" si="8"/>
        <v>1.0980000000000001</v>
      </c>
      <c r="O73">
        <f t="shared" si="9"/>
        <v>1.3871013371908156</v>
      </c>
      <c r="P73">
        <f t="shared" si="6"/>
        <v>36.929556119542319</v>
      </c>
      <c r="Q73">
        <f t="shared" si="10"/>
        <v>51.225036675280421</v>
      </c>
      <c r="R73">
        <f t="shared" si="7"/>
        <v>13.391888898950119</v>
      </c>
    </row>
    <row r="74" spans="13:18">
      <c r="M74">
        <f t="shared" si="11"/>
        <v>0.71000000000000041</v>
      </c>
      <c r="N74">
        <f t="shared" si="8"/>
        <v>1.1008200000000001</v>
      </c>
      <c r="O74">
        <f t="shared" si="9"/>
        <v>1.3996101705333894</v>
      </c>
      <c r="P74">
        <f t="shared" si="6"/>
        <v>37.16999328407568</v>
      </c>
      <c r="Q74">
        <f t="shared" si="10"/>
        <v>52.023500639050106</v>
      </c>
      <c r="R74">
        <f t="shared" si="7"/>
        <v>13.565792215648308</v>
      </c>
    </row>
    <row r="75" spans="13:18">
      <c r="M75">
        <f t="shared" si="11"/>
        <v>0.72000000000000042</v>
      </c>
      <c r="N75">
        <f t="shared" si="8"/>
        <v>1.1036800000000002</v>
      </c>
      <c r="O75">
        <f t="shared" si="9"/>
        <v>1.4123785212458138</v>
      </c>
      <c r="P75">
        <f t="shared" si="6"/>
        <v>37.401243899532503</v>
      </c>
      <c r="Q75">
        <f t="shared" si="10"/>
        <v>52.824713551575726</v>
      </c>
      <c r="R75">
        <f t="shared" si="7"/>
        <v>13.739023862219353</v>
      </c>
    </row>
    <row r="76" spans="13:18">
      <c r="M76">
        <f t="shared" si="11"/>
        <v>0.73000000000000043</v>
      </c>
      <c r="N76">
        <f t="shared" si="8"/>
        <v>1.1065800000000001</v>
      </c>
      <c r="O76">
        <f t="shared" si="9"/>
        <v>1.425410186951962</v>
      </c>
      <c r="P76">
        <f t="shared" si="6"/>
        <v>37.623351336976469</v>
      </c>
      <c r="Q76">
        <f t="shared" si="10"/>
        <v>53.628708262998977</v>
      </c>
      <c r="R76">
        <f t="shared" si="7"/>
        <v>13.911578782417619</v>
      </c>
    </row>
    <row r="77" spans="13:18">
      <c r="M77">
        <f t="shared" si="11"/>
        <v>0.74000000000000044</v>
      </c>
      <c r="N77">
        <f t="shared" si="8"/>
        <v>1.1095200000000001</v>
      </c>
      <c r="O77">
        <f t="shared" si="9"/>
        <v>1.4387090418550035</v>
      </c>
      <c r="P77">
        <f t="shared" si="6"/>
        <v>37.836362896334897</v>
      </c>
      <c r="Q77">
        <f t="shared" si="10"/>
        <v>54.435517409864183</v>
      </c>
      <c r="R77">
        <f t="shared" si="7"/>
        <v>14.083452063616813</v>
      </c>
    </row>
    <row r="78" spans="13:18">
      <c r="M78">
        <f t="shared" si="11"/>
        <v>0.75000000000000044</v>
      </c>
      <c r="N78">
        <f t="shared" si="8"/>
        <v>1.1125</v>
      </c>
      <c r="O78">
        <f t="shared" si="9"/>
        <v>1.4522790377580601</v>
      </c>
      <c r="P78">
        <f t="shared" si="6"/>
        <v>38.040329700975128</v>
      </c>
      <c r="Q78">
        <f t="shared" si="10"/>
        <v>55.245173414131514</v>
      </c>
      <c r="R78">
        <f t="shared" si="7"/>
        <v>14.254638936449805</v>
      </c>
    </row>
    <row r="79" spans="13:18">
      <c r="M79">
        <f t="shared" si="11"/>
        <v>0.76000000000000045</v>
      </c>
      <c r="N79">
        <f t="shared" si="8"/>
        <v>1.1155200000000001</v>
      </c>
      <c r="O79">
        <f t="shared" si="9"/>
        <v>1.4661242051018313</v>
      </c>
      <c r="P79">
        <f t="shared" si="6"/>
        <v>38.235306590790763</v>
      </c>
      <c r="Q79">
        <f t="shared" si="10"/>
        <v>56.057708482247918</v>
      </c>
      <c r="R79">
        <f t="shared" si="7"/>
        <v>14.425134774391942</v>
      </c>
    </row>
    <row r="80" spans="13:18">
      <c r="M80">
        <f t="shared" si="11"/>
        <v>0.77000000000000046</v>
      </c>
      <c r="N80">
        <f t="shared" si="8"/>
        <v>1.1185800000000001</v>
      </c>
      <c r="O80">
        <f t="shared" si="9"/>
        <v>1.4802486540192938</v>
      </c>
      <c r="P80">
        <f t="shared" si="6"/>
        <v>38.421352013966711</v>
      </c>
      <c r="Q80">
        <f t="shared" si="10"/>
        <v>56.873154604275712</v>
      </c>
      <c r="R80">
        <f t="shared" si="7"/>
        <v>14.594935093289115</v>
      </c>
    </row>
    <row r="81" spans="13:18">
      <c r="M81">
        <f t="shared" si="11"/>
        <v>0.78000000000000047</v>
      </c>
      <c r="N81">
        <f t="shared" si="8"/>
        <v>1.12168</v>
      </c>
      <c r="O81">
        <f t="shared" si="9"/>
        <v>1.4946565754075896</v>
      </c>
      <c r="P81">
        <f t="shared" si="6"/>
        <v>38.598527917589003</v>
      </c>
      <c r="Q81">
        <f t="shared" si="10"/>
        <v>57.691543553077821</v>
      </c>
      <c r="R81">
        <f t="shared" si="7"/>
        <v>14.764035550831771</v>
      </c>
    </row>
    <row r="82" spans="13:18">
      <c r="M82">
        <f t="shared" si="11"/>
        <v>0.79000000000000048</v>
      </c>
      <c r="N82">
        <f t="shared" si="8"/>
        <v>1.1248200000000002</v>
      </c>
      <c r="O82">
        <f t="shared" si="9"/>
        <v>1.5093522420172196</v>
      </c>
      <c r="P82">
        <f t="shared" si="6"/>
        <v>38.766899637263343</v>
      </c>
      <c r="Q82">
        <f t="shared" si="10"/>
        <v>58.512906883559964</v>
      </c>
      <c r="R82">
        <f t="shared" si="7"/>
        <v>14.9324319459762</v>
      </c>
    </row>
    <row r="83" spans="13:18">
      <c r="M83">
        <f t="shared" si="11"/>
        <v>0.80000000000000049</v>
      </c>
      <c r="N83">
        <f t="shared" si="8"/>
        <v>1.1280000000000001</v>
      </c>
      <c r="O83">
        <f t="shared" si="9"/>
        <v>1.5243400095586486</v>
      </c>
      <c r="P83">
        <f t="shared" si="6"/>
        <v>38.926535785902367</v>
      </c>
      <c r="Q83">
        <f t="shared" si="10"/>
        <v>59.33727593196749</v>
      </c>
      <c r="R83">
        <f t="shared" si="7"/>
        <v>15.10012021831437</v>
      </c>
    </row>
    <row r="84" spans="13:18">
      <c r="M84">
        <f t="shared" si="11"/>
        <v>0.8100000000000005</v>
      </c>
      <c r="N84">
        <f t="shared" si="8"/>
        <v>1.1312200000000001</v>
      </c>
      <c r="O84">
        <f t="shared" si="9"/>
        <v>1.5396243178264526</v>
      </c>
      <c r="P84">
        <f t="shared" si="6"/>
        <v>39.077508141840624</v>
      </c>
      <c r="Q84">
        <f t="shared" si="10"/>
        <v>60.164681815239021</v>
      </c>
      <c r="R84">
        <f t="shared" si="7"/>
        <v>15.267096447393584</v>
      </c>
    </row>
    <row r="85" spans="13:18">
      <c r="M85">
        <f t="shared" si="11"/>
        <v>0.82000000000000051</v>
      </c>
      <c r="N85">
        <f t="shared" si="8"/>
        <v>1.1344800000000002</v>
      </c>
      <c r="O85">
        <f t="shared" si="9"/>
        <v>1.5552096918411111</v>
      </c>
      <c r="P85">
        <f t="shared" si="6"/>
        <v>39.219891536430069</v>
      </c>
      <c r="Q85">
        <f t="shared" si="10"/>
        <v>60.995155430413213</v>
      </c>
      <c r="R85">
        <f t="shared" si="7"/>
        <v>15.433356851987355</v>
      </c>
    </row>
    <row r="86" spans="13:18">
      <c r="M86">
        <f t="shared" si="11"/>
        <v>0.83000000000000052</v>
      </c>
      <c r="N86">
        <f t="shared" si="8"/>
        <v>1.1377800000000002</v>
      </c>
      <c r="O86">
        <f t="shared" si="9"/>
        <v>1.5711007430085719</v>
      </c>
      <c r="P86">
        <f t="shared" si="6"/>
        <v>39.353763741268317</v>
      </c>
      <c r="Q86">
        <f t="shared" si="10"/>
        <v>61.828727454090448</v>
      </c>
      <c r="R86">
        <f t="shared" si="7"/>
        <v>15.59889778931872</v>
      </c>
    </row>
    <row r="87" spans="13:18">
      <c r="M87">
        <f t="shared" si="11"/>
        <v>0.84000000000000052</v>
      </c>
      <c r="N87">
        <f t="shared" si="8"/>
        <v>1.1411200000000001</v>
      </c>
      <c r="O87">
        <f t="shared" si="9"/>
        <v>1.5873021702977026</v>
      </c>
      <c r="P87">
        <f t="shared" si="6"/>
        <v>39.479205355206311</v>
      </c>
      <c r="Q87">
        <f t="shared" si="10"/>
        <v>62.66542834194766</v>
      </c>
      <c r="R87">
        <f t="shared" si="7"/>
        <v>15.763715754237493</v>
      </c>
    </row>
    <row r="88" spans="13:18">
      <c r="M88">
        <f t="shared" si="11"/>
        <v>0.85000000000000053</v>
      </c>
      <c r="N88">
        <f t="shared" si="8"/>
        <v>1.1445000000000001</v>
      </c>
      <c r="O88">
        <f t="shared" si="9"/>
        <v>1.6038187614357571</v>
      </c>
      <c r="P88">
        <f t="shared" si="6"/>
        <v>39.596299691278737</v>
      </c>
      <c r="Q88">
        <f t="shared" si="10"/>
        <v>63.505288328305717</v>
      </c>
      <c r="R88">
        <f t="shared" si="7"/>
        <v>15.927807378352659</v>
      </c>
    </row>
    <row r="89" spans="13:18">
      <c r="M89">
        <f t="shared" si="11"/>
        <v>0.86000000000000054</v>
      </c>
      <c r="N89">
        <f t="shared" si="8"/>
        <v>1.1479200000000001</v>
      </c>
      <c r="O89">
        <f t="shared" si="9"/>
        <v>1.6206553941219635</v>
      </c>
      <c r="P89">
        <f t="shared" si="6"/>
        <v>39.705132663697171</v>
      </c>
      <c r="Q89">
        <f t="shared" si="10"/>
        <v>64.34833742574898</v>
      </c>
      <c r="R89">
        <f t="shared" si="7"/>
        <v>16.091169429121411</v>
      </c>
    </row>
    <row r="90" spans="13:18">
      <c r="M90">
        <f t="shared" si="11"/>
        <v>0.87000000000000055</v>
      </c>
      <c r="N90">
        <f t="shared" si="8"/>
        <v>1.1513800000000001</v>
      </c>
      <c r="O90">
        <f t="shared" si="9"/>
        <v>1.6378170372593728</v>
      </c>
      <c r="P90">
        <f t="shared" si="6"/>
        <v>39.805792675040756</v>
      </c>
      <c r="Q90">
        <f t="shared" si="10"/>
        <v>65.194605424796094</v>
      </c>
      <c r="R90">
        <f t="shared" si="7"/>
        <v>16.253798808896089</v>
      </c>
    </row>
    <row r="91" spans="13:18">
      <c r="M91">
        <f t="shared" si="11"/>
        <v>0.88000000000000056</v>
      </c>
      <c r="N91">
        <f t="shared" si="8"/>
        <v>1.1548800000000001</v>
      </c>
      <c r="O91">
        <f t="shared" si="9"/>
        <v>1.6553087522050787</v>
      </c>
      <c r="P91">
        <f t="shared" si="6"/>
        <v>39.898370503776064</v>
      </c>
      <c r="Q91">
        <f t="shared" si="10"/>
        <v>66.04412189362148</v>
      </c>
      <c r="R91">
        <f t="shared" si="7"/>
        <v>16.415692553930509</v>
      </c>
    </row>
    <row r="92" spans="13:18">
      <c r="M92">
        <f t="shared" si="11"/>
        <v>0.89000000000000057</v>
      </c>
      <c r="N92">
        <f t="shared" si="8"/>
        <v>1.1584200000000002</v>
      </c>
      <c r="O92">
        <f t="shared" si="9"/>
        <v>1.6731356940389412</v>
      </c>
      <c r="P92">
        <f t="shared" si="6"/>
        <v>39.982959192232613</v>
      </c>
      <c r="Q92">
        <f t="shared" si="10"/>
        <v>66.896916177826782</v>
      </c>
      <c r="R92">
        <f t="shared" si="7"/>
        <v>16.576847833346971</v>
      </c>
    </row>
    <row r="93" spans="13:18">
      <c r="M93">
        <f t="shared" si="11"/>
        <v>0.90000000000000058</v>
      </c>
      <c r="N93">
        <f t="shared" si="8"/>
        <v>1.1620000000000001</v>
      </c>
      <c r="O93">
        <f t="shared" si="9"/>
        <v>1.6913031128509322</v>
      </c>
      <c r="P93">
        <f t="shared" si="6"/>
        <v>40.059653935156412</v>
      </c>
      <c r="Q93">
        <f t="shared" si="10"/>
        <v>67.753017400261129</v>
      </c>
      <c r="R93">
        <f t="shared" si="7"/>
        <v>16.737261948065367</v>
      </c>
    </row>
    <row r="94" spans="13:18">
      <c r="M94">
        <f t="shared" si="11"/>
        <v>0.91000000000000059</v>
      </c>
      <c r="N94">
        <f t="shared" si="8"/>
        <v>1.1656200000000001</v>
      </c>
      <c r="O94">
        <f t="shared" si="9"/>
        <v>1.7098163550472374</v>
      </c>
      <c r="P94">
        <f t="shared" si="6"/>
        <v>40.128551968959805</v>
      </c>
      <c r="Q94">
        <f t="shared" si="10"/>
        <v>68.61245446089049</v>
      </c>
      <c r="R94">
        <f t="shared" si="7"/>
        <v>16.896932329695797</v>
      </c>
    </row>
    <row r="95" spans="13:18">
      <c r="M95">
        <f t="shared" si="11"/>
        <v>0.9200000000000006</v>
      </c>
      <c r="N95">
        <f t="shared" si="8"/>
        <v>1.1692800000000001</v>
      </c>
      <c r="O95">
        <f t="shared" si="9"/>
        <v>1.7286808646752323</v>
      </c>
      <c r="P95">
        <f t="shared" si="6"/>
        <v>40.189752461780337</v>
      </c>
      <c r="Q95">
        <f t="shared" si="10"/>
        <v>69.475256036713972</v>
      </c>
      <c r="R95">
        <f t="shared" si="7"/>
        <v>17.055856539396025</v>
      </c>
    </row>
    <row r="96" spans="13:18">
      <c r="M96">
        <f t="shared" si="11"/>
        <v>0.9300000000000006</v>
      </c>
      <c r="N96">
        <f t="shared" si="8"/>
        <v>1.1729800000000001</v>
      </c>
      <c r="O96">
        <f t="shared" si="9"/>
        <v>1.7479021847674667</v>
      </c>
      <c r="P96">
        <f t="shared" si="6"/>
        <v>40.243356404457664</v>
      </c>
      <c r="Q96">
        <f t="shared" si="10"/>
        <v>70.341450581727372</v>
      </c>
      <c r="R96">
        <f t="shared" si="7"/>
        <v>17.214032266695213</v>
      </c>
    </row>
    <row r="97" spans="13:18">
      <c r="M97">
        <f t="shared" si="11"/>
        <v>0.94000000000000061</v>
      </c>
      <c r="N97">
        <f t="shared" si="8"/>
        <v>1.1767200000000002</v>
      </c>
      <c r="O97">
        <f t="shared" si="9"/>
        <v>1.7674859587047853</v>
      </c>
      <c r="P97">
        <f t="shared" si="6"/>
        <v>40.28946650253237</v>
      </c>
      <c r="Q97">
        <f t="shared" si="10"/>
        <v>71.211066326932766</v>
      </c>
      <c r="R97">
        <f t="shared" si="7"/>
        <v>17.371457328285231</v>
      </c>
    </row>
    <row r="98" spans="13:18">
      <c r="M98">
        <f t="shared" si="11"/>
        <v>0.95000000000000062</v>
      </c>
      <c r="N98">
        <f t="shared" si="8"/>
        <v>1.1805000000000001</v>
      </c>
      <c r="O98">
        <f t="shared" si="9"/>
        <v>1.7874379315987108</v>
      </c>
      <c r="P98">
        <f t="shared" si="6"/>
        <v>40.328187069365974</v>
      </c>
      <c r="Q98">
        <f t="shared" si="10"/>
        <v>72.084131280393393</v>
      </c>
      <c r="R98">
        <f t="shared" si="7"/>
        <v>17.528129666781027</v>
      </c>
    </row>
    <row r="99" spans="13:18">
      <c r="M99">
        <f t="shared" si="11"/>
        <v>0.96000000000000063</v>
      </c>
      <c r="N99">
        <f t="shared" si="8"/>
        <v>1.1843200000000003</v>
      </c>
      <c r="O99">
        <f t="shared" si="9"/>
        <v>1.8077639516932307</v>
      </c>
      <c r="P99">
        <f t="shared" si="6"/>
        <v>40.359623920476487</v>
      </c>
      <c r="Q99">
        <f t="shared" si="10"/>
        <v>72.960673227333217</v>
      </c>
      <c r="R99">
        <f t="shared" si="7"/>
        <v>17.684047349451269</v>
      </c>
    </row>
    <row r="100" spans="13:18">
      <c r="M100">
        <f t="shared" si="11"/>
        <v>0.97000000000000064</v>
      </c>
      <c r="N100">
        <f t="shared" si="8"/>
        <v>1.1881800000000002</v>
      </c>
      <c r="O100">
        <f t="shared" si="9"/>
        <v>1.8284699717860959</v>
      </c>
      <c r="P100">
        <f t="shared" si="6"/>
        <v>40.383884269179532</v>
      </c>
      <c r="Q100">
        <f t="shared" si="10"/>
        <v>73.840719730279659</v>
      </c>
      <c r="R100">
        <f t="shared" si="7"/>
        <v>17.839208566920782</v>
      </c>
    </row>
    <row r="101" spans="13:18">
      <c r="M101">
        <f t="shared" si="11"/>
        <v>0.98000000000000065</v>
      </c>
      <c r="N101">
        <f t="shared" si="8"/>
        <v>1.1920800000000003</v>
      </c>
      <c r="O101">
        <f t="shared" si="9"/>
        <v>1.8495620506697996</v>
      </c>
      <c r="P101">
        <f t="shared" si="6"/>
        <v>40.401076623619893</v>
      </c>
      <c r="Q101">
        <f t="shared" si="10"/>
        <v>74.724298129250116</v>
      </c>
      <c r="R101">
        <f t="shared" si="7"/>
        <v>17.99361163184598</v>
      </c>
    </row>
    <row r="102" spans="13:18">
      <c r="M102">
        <f t="shared" si="11"/>
        <v>0.99000000000000066</v>
      </c>
      <c r="N102">
        <f t="shared" si="8"/>
        <v>1.1960200000000003</v>
      </c>
      <c r="O102">
        <f t="shared" si="9"/>
        <v>1.8710463545923286</v>
      </c>
      <c r="P102">
        <f t="shared" si="6"/>
        <v>40.411310685273762</v>
      </c>
      <c r="Q102">
        <f t="shared" si="10"/>
        <v>75.611435541979489</v>
      </c>
      <c r="R102">
        <f t="shared" si="7"/>
        <v>18.147254977564732</v>
      </c>
    </row>
    <row r="103" spans="13:18">
      <c r="M103">
        <f t="shared" si="11"/>
        <v>1.0000000000000007</v>
      </c>
      <c r="N103">
        <f t="shared" si="8"/>
        <v>1.2000000000000002</v>
      </c>
      <c r="O103">
        <f t="shared" si="9"/>
        <v>1.8929291587378552</v>
      </c>
      <c r="P103">
        <f t="shared" si="6"/>
        <v>40.414697248997413</v>
      </c>
      <c r="Q103">
        <f t="shared" si="10"/>
        <v>76.502158864189781</v>
      </c>
      <c r="R103">
        <f t="shared" si="7"/>
        <v>18.300137156721906</v>
      </c>
    </row>
    <row r="104" spans="13:18">
      <c r="M104">
        <f t="shared" si="11"/>
        <v>1.0100000000000007</v>
      </c>
      <c r="N104">
        <f t="shared" si="8"/>
        <v>1.2040200000000003</v>
      </c>
      <c r="O104">
        <f t="shared" si="9"/>
        <v>1.9152168487274885</v>
      </c>
      <c r="P104">
        <f t="shared" si="6"/>
        <v>40.411348104693126</v>
      </c>
      <c r="Q104">
        <f t="shared" si="10"/>
        <v>77.396494769899931</v>
      </c>
      <c r="R104">
        <f t="shared" si="7"/>
        <v>18.452256839871986</v>
      </c>
    </row>
    <row r="105" spans="13:18">
      <c r="M105">
        <f t="shared" si="11"/>
        <v>1.0200000000000007</v>
      </c>
      <c r="N105">
        <f t="shared" si="8"/>
        <v>1.2080800000000003</v>
      </c>
      <c r="O105">
        <f t="shared" si="9"/>
        <v>1.9379159221402122</v>
      </c>
      <c r="P105">
        <f t="shared" si="6"/>
        <v>40.401375940658511</v>
      </c>
      <c r="Q105">
        <f t="shared" si="10"/>
        <v>78.294469711774624</v>
      </c>
      <c r="R105">
        <f t="shared" si="7"/>
        <v>18.603612814059982</v>
      </c>
    </row>
    <row r="106" spans="13:18">
      <c r="M106">
        <f t="shared" si="11"/>
        <v>1.0300000000000007</v>
      </c>
      <c r="N106">
        <f t="shared" si="8"/>
        <v>1.2121800000000003</v>
      </c>
      <c r="O106">
        <f t="shared" si="9"/>
        <v>1.961032990054173</v>
      </c>
      <c r="P106">
        <f t="shared" si="6"/>
        <v>40.384894248681199</v>
      </c>
      <c r="Q106">
        <f t="shared" si="10"/>
        <v>79.196109921512871</v>
      </c>
      <c r="R106">
        <f t="shared" si="7"/>
        <v>18.754203981381984</v>
      </c>
    </row>
    <row r="107" spans="13:18">
      <c r="M107">
        <f t="shared" si="11"/>
        <v>1.0400000000000007</v>
      </c>
      <c r="N107">
        <f t="shared" si="8"/>
        <v>1.2163200000000003</v>
      </c>
      <c r="O107">
        <f t="shared" si="9"/>
        <v>1.9845747786084253</v>
      </c>
      <c r="P107">
        <f t="shared" si="6"/>
        <v>40.362017230935621</v>
      </c>
      <c r="Q107">
        <f t="shared" si="10"/>
        <v>80.101441410273509</v>
      </c>
      <c r="R107">
        <f t="shared" si="7"/>
        <v>18.904029357526529</v>
      </c>
    </row>
    <row r="108" spans="13:18">
      <c r="M108">
        <f t="shared" si="11"/>
        <v>1.0500000000000007</v>
      </c>
      <c r="N108">
        <f t="shared" si="8"/>
        <v>1.2205000000000004</v>
      </c>
      <c r="O108">
        <f t="shared" si="9"/>
        <v>2.0085481305852921</v>
      </c>
      <c r="P108">
        <f t="shared" si="6"/>
        <v>40.332859708734951</v>
      </c>
      <c r="Q108">
        <f t="shared" si="10"/>
        <v>81.010489969138433</v>
      </c>
      <c r="R108">
        <f t="shared" si="7"/>
        <v>19.053088070298184</v>
      </c>
    </row>
    <row r="109" spans="13:18">
      <c r="M109">
        <f t="shared" si="11"/>
        <v>1.0600000000000007</v>
      </c>
      <c r="N109">
        <f t="shared" si="8"/>
        <v>1.2247200000000003</v>
      </c>
      <c r="O109">
        <f t="shared" si="9"/>
        <v>2.0329600070134677</v>
      </c>
      <c r="P109">
        <f t="shared" si="6"/>
        <v>40.297537033186146</v>
      </c>
      <c r="Q109">
        <f t="shared" si="10"/>
        <v>81.923281169611585</v>
      </c>
      <c r="R109">
        <f t="shared" si="7"/>
        <v>19.201379358124409</v>
      </c>
    </row>
    <row r="110" spans="13:18">
      <c r="M110">
        <f t="shared" si="11"/>
        <v>1.0700000000000007</v>
      </c>
      <c r="N110">
        <f t="shared" si="8"/>
        <v>1.2289800000000002</v>
      </c>
      <c r="O110">
        <f t="shared" si="9"/>
        <v>2.0578174887920153</v>
      </c>
      <c r="P110">
        <f t="shared" si="6"/>
        <v>40.256164997792169</v>
      </c>
      <c r="Q110">
        <f t="shared" si="10"/>
        <v>82.839840364153702</v>
      </c>
      <c r="R110">
        <f t="shared" si="7"/>
        <v>19.348902568547057</v>
      </c>
    </row>
    <row r="111" spans="13:18">
      <c r="M111">
        <f t="shared" si="11"/>
        <v>1.0800000000000007</v>
      </c>
      <c r="N111">
        <f t="shared" si="8"/>
        <v>1.2332800000000004</v>
      </c>
      <c r="O111">
        <f t="shared" si="9"/>
        <v>2.0831277783353843</v>
      </c>
      <c r="P111">
        <f t="shared" si="6"/>
        <v>40.208859753040997</v>
      </c>
      <c r="Q111">
        <f t="shared" si="10"/>
        <v>83.760192686751338</v>
      </c>
      <c r="R111">
        <f t="shared" si="7"/>
        <v>19.495657156699618</v>
      </c>
    </row>
    <row r="112" spans="13:18">
      <c r="M112">
        <f t="shared" si="11"/>
        <v>1.0900000000000007</v>
      </c>
      <c r="N112">
        <f t="shared" si="8"/>
        <v>1.2376200000000002</v>
      </c>
      <c r="O112">
        <f t="shared" si="9"/>
        <v>2.1088982012395907</v>
      </c>
      <c r="P112">
        <f t="shared" si="6"/>
        <v>40.155737723017019</v>
      </c>
      <c r="Q112">
        <f t="shared" si="10"/>
        <v>84.684363053519363</v>
      </c>
      <c r="R112">
        <f t="shared" si="7"/>
        <v>19.641642683771423</v>
      </c>
    </row>
    <row r="113" spans="13:18">
      <c r="M113">
        <f t="shared" si="11"/>
        <v>1.1000000000000008</v>
      </c>
      <c r="N113">
        <f t="shared" si="8"/>
        <v>1.2420000000000002</v>
      </c>
      <c r="O113">
        <f t="shared" si="9"/>
        <v>2.1351362079697278</v>
      </c>
      <c r="P113">
        <f t="shared" si="6"/>
        <v>40.096915524066162</v>
      </c>
      <c r="Q113">
        <f t="shared" si="10"/>
        <v>85.612376163337132</v>
      </c>
      <c r="R113">
        <f t="shared" si="7"/>
        <v>19.786858815459961</v>
      </c>
    </row>
    <row r="114" spans="13:18">
      <c r="M114">
        <f t="shared" si="11"/>
        <v>1.1100000000000008</v>
      </c>
      <c r="N114">
        <f t="shared" si="8"/>
        <v>1.2464200000000003</v>
      </c>
      <c r="O114">
        <f t="shared" si="9"/>
        <v>2.1618493755688979</v>
      </c>
      <c r="P114">
        <f t="shared" si="6"/>
        <v>40.032509885542382</v>
      </c>
      <c r="Q114">
        <f t="shared" si="10"/>
        <v>86.544256498515523</v>
      </c>
      <c r="R114">
        <f t="shared" si="7"/>
        <v>19.931305320412452</v>
      </c>
    </row>
    <row r="115" spans="13:18">
      <c r="M115">
        <f t="shared" si="11"/>
        <v>1.1200000000000008</v>
      </c>
      <c r="N115">
        <f t="shared" si="8"/>
        <v>1.2508800000000002</v>
      </c>
      <c r="O115">
        <f t="shared" si="9"/>
        <v>2.1890454093887635</v>
      </c>
      <c r="P115">
        <f t="shared" si="6"/>
        <v>39.962637572658927</v>
      </c>
      <c r="Q115">
        <f t="shared" si="10"/>
        <v>87.480028325495937</v>
      </c>
      <c r="R115">
        <f t="shared" si="7"/>
        <v>20.074982068657732</v>
      </c>
    </row>
    <row r="116" spans="13:18">
      <c r="M116">
        <f t="shared" si="11"/>
        <v>1.1300000000000008</v>
      </c>
      <c r="N116">
        <f t="shared" si="8"/>
        <v>1.2553800000000002</v>
      </c>
      <c r="O116">
        <f t="shared" si="9"/>
        <v>2.2167321448418269</v>
      </c>
      <c r="P116">
        <f t="shared" si="6"/>
        <v>39.887415311464544</v>
      </c>
      <c r="Q116">
        <f t="shared" si="10"/>
        <v>88.419715695579526</v>
      </c>
      <c r="R116">
        <f t="shared" si="7"/>
        <v>20.217889030029699</v>
      </c>
    </row>
    <row r="117" spans="13:18">
      <c r="M117">
        <f t="shared" si="11"/>
        <v>1.1400000000000008</v>
      </c>
      <c r="N117">
        <f t="shared" si="8"/>
        <v>1.2599200000000004</v>
      </c>
      <c r="O117">
        <f t="shared" si="9"/>
        <v>2.2449175491755917</v>
      </c>
      <c r="P117">
        <f t="shared" si="6"/>
        <v>39.806959715960502</v>
      </c>
      <c r="Q117">
        <f t="shared" si="10"/>
        <v>89.363342445685561</v>
      </c>
      <c r="R117">
        <f t="shared" si="7"/>
        <v>20.360026272583145</v>
      </c>
    </row>
    <row r="118" spans="13:18">
      <c r="M118">
        <f t="shared" si="11"/>
        <v>1.1500000000000008</v>
      </c>
      <c r="N118">
        <f t="shared" si="8"/>
        <v>1.2645000000000004</v>
      </c>
      <c r="O118">
        <f t="shared" si="9"/>
        <v>2.2736097232687484</v>
      </c>
      <c r="P118">
        <f t="shared" si="6"/>
        <v>39.721387217371451</v>
      </c>
      <c r="Q118">
        <f t="shared" si="10"/>
        <v>90.310932199138705</v>
      </c>
      <c r="R118">
        <f t="shared" si="7"/>
        <v>20.50139396100332</v>
      </c>
    </row>
    <row r="119" spans="13:18">
      <c r="M119">
        <f t="shared" si="11"/>
        <v>1.1600000000000008</v>
      </c>
      <c r="N119">
        <f t="shared" si="8"/>
        <v>1.2691200000000002</v>
      </c>
      <c r="O119">
        <f t="shared" si="9"/>
        <v>2.3028169034495432</v>
      </c>
      <c r="P119">
        <f t="shared" si="6"/>
        <v>39.630813995579153</v>
      </c>
      <c r="Q119">
        <f t="shared" si="10"/>
        <v>91.262508366484397</v>
      </c>
      <c r="R119">
        <f t="shared" si="7"/>
        <v>20.64199235500995</v>
      </c>
    </row>
    <row r="120" spans="13:18">
      <c r="M120">
        <f t="shared" si="11"/>
        <v>1.1700000000000008</v>
      </c>
      <c r="N120">
        <f t="shared" si="8"/>
        <v>1.2737800000000004</v>
      </c>
      <c r="O120">
        <f t="shared" si="9"/>
        <v>2.3325474633364611</v>
      </c>
      <c r="P120">
        <f t="shared" si="6"/>
        <v>39.535355912724953</v>
      </c>
      <c r="Q120">
        <f t="shared" si="10"/>
        <v>92.218094146330742</v>
      </c>
      <c r="R120">
        <f t="shared" si="7"/>
        <v>20.781821807756977</v>
      </c>
    </row>
    <row r="121" spans="13:18">
      <c r="M121">
        <f t="shared" si="11"/>
        <v>1.1800000000000008</v>
      </c>
      <c r="N121">
        <f t="shared" si="8"/>
        <v>1.2784800000000003</v>
      </c>
      <c r="O121">
        <f t="shared" si="9"/>
        <v>2.3628099157013649</v>
      </c>
      <c r="P121">
        <f t="shared" si="6"/>
        <v>39.435128448984258</v>
      </c>
      <c r="Q121">
        <f t="shared" si="10"/>
        <v>93.177712526216993</v>
      </c>
      <c r="R121">
        <f t="shared" si="7"/>
        <v>20.920882764228836</v>
      </c>
    </row>
    <row r="122" spans="13:18">
      <c r="M122">
        <f t="shared" si="11"/>
        <v>1.1900000000000008</v>
      </c>
      <c r="N122">
        <f t="shared" si="8"/>
        <v>1.2832200000000002</v>
      </c>
      <c r="O122">
        <f t="shared" si="9"/>
        <v>2.3936129143552654</v>
      </c>
      <c r="P122">
        <f t="shared" si="6"/>
        <v>39.330246640512001</v>
      </c>
      <c r="Q122">
        <f t="shared" si="10"/>
        <v>94.141386283507316</v>
      </c>
      <c r="R122">
        <f t="shared" si="7"/>
        <v>21.059175759634261</v>
      </c>
    </row>
    <row r="123" spans="13:18">
      <c r="M123">
        <f t="shared" si="11"/>
        <v>1.2000000000000008</v>
      </c>
      <c r="N123">
        <f t="shared" si="8"/>
        <v>1.2880000000000003</v>
      </c>
      <c r="O123">
        <f t="shared" si="9"/>
        <v>2.4249652560568404</v>
      </c>
      <c r="P123">
        <f t="shared" si="6"/>
        <v>39.220825019556443</v>
      </c>
      <c r="Q123">
        <f t="shared" si="10"/>
        <v>95.109137986309221</v>
      </c>
      <c r="R123">
        <f t="shared" si="7"/>
        <v>21.196701417798593</v>
      </c>
    </row>
    <row r="124" spans="13:18">
      <c r="M124">
        <f t="shared" si="11"/>
        <v>1.2100000000000009</v>
      </c>
      <c r="N124">
        <f t="shared" si="8"/>
        <v>1.2928200000000003</v>
      </c>
      <c r="O124">
        <f t="shared" si="9"/>
        <v>2.4568758824438692</v>
      </c>
      <c r="P124">
        <f t="shared" si="6"/>
        <v>39.106977556734954</v>
      </c>
      <c r="Q124">
        <f t="shared" si="10"/>
        <v>96.080989994415773</v>
      </c>
      <c r="R124">
        <f t="shared" si="7"/>
        <v>21.333460449555457</v>
      </c>
    </row>
    <row r="125" spans="13:18">
      <c r="M125">
        <f t="shared" si="11"/>
        <v>1.2200000000000009</v>
      </c>
      <c r="N125">
        <f t="shared" si="8"/>
        <v>1.2976800000000004</v>
      </c>
      <c r="O125">
        <f t="shared" si="9"/>
        <v>2.4893538819877237</v>
      </c>
      <c r="P125">
        <f t="shared" si="6"/>
        <v>38.988817605463105</v>
      </c>
      <c r="Q125">
        <f t="shared" si="10"/>
        <v>97.056964460270891</v>
      </c>
      <c r="R125">
        <f t="shared" si="7"/>
        <v>21.469453651138707</v>
      </c>
    </row>
    <row r="126" spans="13:18">
      <c r="M126">
        <f t="shared" si="11"/>
        <v>1.2300000000000009</v>
      </c>
      <c r="N126">
        <f t="shared" si="8"/>
        <v>1.3025800000000003</v>
      </c>
      <c r="O126">
        <f t="shared" si="9"/>
        <v>2.5224084919710701</v>
      </c>
      <c r="P126">
        <f t="shared" si="6"/>
        <v>38.866457848525691</v>
      </c>
      <c r="Q126">
        <f t="shared" si="10"/>
        <v>98.037083329956843</v>
      </c>
      <c r="R126">
        <f t="shared" si="7"/>
        <v>21.604681902575471</v>
      </c>
    </row>
    <row r="127" spans="13:18">
      <c r="M127">
        <f t="shared" si="11"/>
        <v>1.2400000000000009</v>
      </c>
      <c r="N127">
        <f t="shared" si="8"/>
        <v>1.3075200000000002</v>
      </c>
      <c r="O127">
        <f t="shared" si="9"/>
        <v>2.5560491004889343</v>
      </c>
      <c r="P127">
        <f t="shared" si="6"/>
        <v>38.740010246775796</v>
      </c>
      <c r="Q127">
        <f t="shared" si="10"/>
        <v>99.021368344203367</v>
      </c>
      <c r="R127">
        <f t="shared" si="7"/>
        <v>21.739146166081191</v>
      </c>
    </row>
    <row r="128" spans="13:18">
      <c r="M128">
        <f t="shared" si="11"/>
        <v>1.2500000000000009</v>
      </c>
      <c r="N128">
        <f t="shared" si="8"/>
        <v>1.3125000000000004</v>
      </c>
      <c r="O128">
        <f t="shared" si="9"/>
        <v>2.5902852484732719</v>
      </c>
      <c r="P128">
        <f t="shared" si="6"/>
        <v>38.609585989945977</v>
      </c>
      <c r="Q128">
        <f t="shared" si="10"/>
        <v>100.00984103941737</v>
      </c>
      <c r="R128">
        <f t="shared" si="7"/>
        <v>21.872847484457388</v>
      </c>
    </row>
    <row r="129" spans="13:18">
      <c r="M129">
        <f t="shared" si="11"/>
        <v>1.2600000000000009</v>
      </c>
      <c r="N129">
        <f t="shared" si="8"/>
        <v>1.3175200000000005</v>
      </c>
      <c r="O129">
        <f t="shared" si="9"/>
        <v>2.6251266317411979</v>
      </c>
      <c r="P129">
        <f t="shared" si="6"/>
        <v>38.475295449552988</v>
      </c>
      <c r="Q129">
        <f t="shared" si="10"/>
        <v>101.00252274873247</v>
      </c>
      <c r="R129">
        <f t="shared" si="7"/>
        <v>22.005786979493013</v>
      </c>
    </row>
    <row r="130" spans="13:18">
      <c r="M130">
        <f t="shared" si="11"/>
        <v>1.2700000000000009</v>
      </c>
      <c r="N130">
        <f t="shared" si="8"/>
        <v>1.3225800000000003</v>
      </c>
      <c r="O130">
        <f t="shared" si="9"/>
        <v>2.6605831030670406</v>
      </c>
      <c r="P130">
        <f t="shared" si="6"/>
        <v>38.337248133875718</v>
      </c>
      <c r="Q130">
        <f t="shared" si="10"/>
        <v>101.99943460307817</v>
      </c>
      <c r="R130">
        <f t="shared" si="7"/>
        <v>22.137965850370104</v>
      </c>
    </row>
    <row r="131" spans="13:18">
      <c r="M131">
        <f t="shared" si="11"/>
        <v>1.2800000000000009</v>
      </c>
      <c r="N131">
        <f t="shared" si="8"/>
        <v>1.3276800000000004</v>
      </c>
      <c r="O131">
        <f t="shared" si="9"/>
        <v>2.6966646742783604</v>
      </c>
      <c r="P131">
        <f t="shared" si="6"/>
        <v>38.19555264498387</v>
      </c>
      <c r="Q131">
        <f t="shared" si="10"/>
        <v>103.00059753226739</v>
      </c>
      <c r="R131">
        <f t="shared" si="7"/>
        <v>22.269385372074446</v>
      </c>
    </row>
    <row r="132" spans="13:18">
      <c r="M132">
        <f t="shared" si="11"/>
        <v>1.2900000000000009</v>
      </c>
      <c r="N132">
        <f t="shared" si="8"/>
        <v>1.3328200000000003</v>
      </c>
      <c r="O132">
        <f t="shared" si="9"/>
        <v>2.7333815183760723</v>
      </c>
      <c r="P132">
        <f t="shared" ref="P132:P153" si="12">1000*SQRT(2*$E$4/(($E$4-1)*$I$4)*O132^(-2/$E$4)*(1-(O132)^((1-$E$4)/$E$4)))</f>
        <v>38.050316637793152</v>
      </c>
      <c r="Q132">
        <f t="shared" si="10"/>
        <v>104.00603226610137</v>
      </c>
      <c r="R132">
        <f t="shared" ref="R132:R153" si="13">M132*SQRT($E$4*$I$4)/SQRT(N132)</f>
        <v>22.400046893812078</v>
      </c>
    </row>
    <row r="133" spans="13:18">
      <c r="M133">
        <f t="shared" si="11"/>
        <v>1.3000000000000009</v>
      </c>
      <c r="N133">
        <f t="shared" ref="N133:N153" si="14">(1+($E$4-1)/2*M133^2)</f>
        <v>1.3380000000000005</v>
      </c>
      <c r="O133">
        <f t="shared" ref="O133:O153" si="15">N133^($E$4/($E$4-1))</f>
        <v>2.7707439716788684</v>
      </c>
      <c r="P133">
        <f t="shared" si="12"/>
        <v>37.901646781120746</v>
      </c>
      <c r="Q133">
        <f t="shared" ref="Q133:Q153" si="16">O133*P133</f>
        <v>105.01575933549209</v>
      </c>
      <c r="R133">
        <f t="shared" si="13"/>
        <v>22.529951837432151</v>
      </c>
    </row>
    <row r="134" spans="13:18">
      <c r="M134">
        <f t="shared" ref="M134:M153" si="17">M133+0.01</f>
        <v>1.3100000000000009</v>
      </c>
      <c r="N134">
        <f t="shared" si="14"/>
        <v>1.3432200000000005</v>
      </c>
      <c r="O134">
        <f t="shared" si="15"/>
        <v>2.8087625359920412</v>
      </c>
      <c r="P134">
        <f t="shared" si="12"/>
        <v>37.749648720713829</v>
      </c>
      <c r="Q134">
        <f t="shared" si="16"/>
        <v>106.02979907360088</v>
      </c>
      <c r="R134">
        <f t="shared" si="13"/>
        <v>22.659101695856975</v>
      </c>
    </row>
    <row r="135" spans="13:18">
      <c r="M135">
        <f t="shared" si="17"/>
        <v>1.320000000000001</v>
      </c>
      <c r="N135">
        <f t="shared" si="14"/>
        <v>1.3484800000000003</v>
      </c>
      <c r="O135">
        <f t="shared" si="15"/>
        <v>2.8474478808009076</v>
      </c>
      <c r="P135">
        <f t="shared" si="12"/>
        <v>37.594427044221327</v>
      </c>
      <c r="Q135">
        <f t="shared" si="16"/>
        <v>107.04817161699235</v>
      </c>
      <c r="R135">
        <f t="shared" si="13"/>
        <v>22.787498031519767</v>
      </c>
    </row>
    <row r="136" spans="13:18">
      <c r="M136">
        <f t="shared" si="17"/>
        <v>1.330000000000001</v>
      </c>
      <c r="N136">
        <f t="shared" si="14"/>
        <v>1.3537800000000004</v>
      </c>
      <c r="O136">
        <f t="shared" si="15"/>
        <v>2.8868108454889687</v>
      </c>
      <c r="P136">
        <f t="shared" si="12"/>
        <v>37.436085248079024</v>
      </c>
      <c r="Q136">
        <f t="shared" si="16"/>
        <v>108.07089690680412</v>
      </c>
      <c r="R136">
        <f t="shared" si="13"/>
        <v>22.915142474810775</v>
      </c>
    </row>
    <row r="137" spans="13:18">
      <c r="M137">
        <f t="shared" si="17"/>
        <v>1.340000000000001</v>
      </c>
      <c r="N137">
        <f t="shared" si="14"/>
        <v>1.3591200000000003</v>
      </c>
      <c r="O137">
        <f t="shared" si="15"/>
        <v>2.9268624415809423</v>
      </c>
      <c r="P137">
        <f t="shared" si="12"/>
        <v>37.274725706275561</v>
      </c>
      <c r="Q137">
        <f t="shared" si="16"/>
        <v>109.09799468992961</v>
      </c>
      <c r="R137">
        <f t="shared" si="13"/>
        <v>23.042036722532401</v>
      </c>
    </row>
    <row r="138" spans="13:18">
      <c r="M138">
        <f t="shared" si="17"/>
        <v>1.350000000000001</v>
      </c>
      <c r="N138">
        <f t="shared" si="14"/>
        <v>1.3645000000000005</v>
      </c>
      <c r="O138">
        <f t="shared" si="15"/>
        <v>2.9676138550108782</v>
      </c>
      <c r="P138">
        <f t="shared" si="12"/>
        <v>37.110449640966486</v>
      </c>
      <c r="Q138">
        <f t="shared" si="16"/>
        <v>110.12948452021561</v>
      </c>
      <c r="R138">
        <f t="shared" si="13"/>
        <v>23.168182536363773</v>
      </c>
    </row>
    <row r="139" spans="13:18">
      <c r="M139">
        <f t="shared" si="17"/>
        <v>1.360000000000001</v>
      </c>
      <c r="N139">
        <f t="shared" si="14"/>
        <v>1.3699200000000005</v>
      </c>
      <c r="O139">
        <f t="shared" si="15"/>
        <v>3.0090764484154375</v>
      </c>
      <c r="P139">
        <f t="shared" si="12"/>
        <v>36.943357094902254</v>
      </c>
      <c r="Q139">
        <f t="shared" si="16"/>
        <v>111.16538575967174</v>
      </c>
      <c r="R139">
        <f t="shared" si="13"/>
        <v>23.293581741335469</v>
      </c>
    </row>
    <row r="140" spans="13:18">
      <c r="M140">
        <f t="shared" si="17"/>
        <v>1.370000000000001</v>
      </c>
      <c r="N140">
        <f t="shared" si="14"/>
        <v>1.3753800000000005</v>
      </c>
      <c r="O140">
        <f t="shared" si="15"/>
        <v>3.0512617634525769</v>
      </c>
      <c r="P140">
        <f t="shared" si="12"/>
        <v>36.773546905634767</v>
      </c>
      <c r="Q140">
        <f t="shared" si="16"/>
        <v>112.20571757969319</v>
      </c>
      <c r="R140">
        <f t="shared" si="13"/>
        <v>23.418236224314771</v>
      </c>
    </row>
    <row r="141" spans="13:18">
      <c r="M141">
        <f t="shared" si="17"/>
        <v>1.380000000000001</v>
      </c>
      <c r="N141">
        <f t="shared" si="14"/>
        <v>1.3808800000000003</v>
      </c>
      <c r="O141">
        <f t="shared" si="15"/>
        <v>3.0941815231457146</v>
      </c>
      <c r="P141">
        <f t="shared" si="12"/>
        <v>36.601116681466571</v>
      </c>
      <c r="Q141">
        <f t="shared" si="16"/>
        <v>113.25049896229426</v>
      </c>
      <c r="R141">
        <f t="shared" si="13"/>
        <v>23.542147932502068</v>
      </c>
    </row>
    <row r="142" spans="13:18">
      <c r="M142">
        <f t="shared" si="17"/>
        <v>1.390000000000001</v>
      </c>
      <c r="N142">
        <f t="shared" si="14"/>
        <v>1.3864200000000004</v>
      </c>
      <c r="O142">
        <f t="shared" si="15"/>
        <v>3.1378476342536024</v>
      </c>
      <c r="P142">
        <f t="shared" si="12"/>
        <v>36.426162779105766</v>
      </c>
      <c r="Q142">
        <f t="shared" si="16"/>
        <v>114.29974870135365</v>
      </c>
      <c r="R142">
        <f t="shared" si="13"/>
        <v>23.665318871938773</v>
      </c>
    </row>
    <row r="143" spans="13:18">
      <c r="M143">
        <f t="shared" si="17"/>
        <v>1.400000000000001</v>
      </c>
      <c r="N143">
        <f t="shared" si="14"/>
        <v>1.3920000000000003</v>
      </c>
      <c r="O143">
        <f t="shared" si="15"/>
        <v>3.1822721896660089</v>
      </c>
      <c r="P143">
        <f t="shared" si="12"/>
        <v>36.248780282988982</v>
      </c>
      <c r="Q143">
        <f t="shared" si="16"/>
        <v>115.3534854038694</v>
      </c>
      <c r="R143">
        <f t="shared" si="13"/>
        <v>23.787751106027343</v>
      </c>
    </row>
    <row r="144" spans="13:18">
      <c r="M144">
        <f t="shared" si="17"/>
        <v>1.410000000000001</v>
      </c>
      <c r="N144">
        <f t="shared" si="14"/>
        <v>1.3976200000000005</v>
      </c>
      <c r="O144">
        <f t="shared" si="15"/>
        <v>3.2274674708254212</v>
      </c>
      <c r="P144">
        <f t="shared" si="12"/>
        <v>36.069062986234321</v>
      </c>
      <c r="Q144">
        <f t="shared" si="16"/>
        <v>116.4117274912245</v>
      </c>
      <c r="R144">
        <f t="shared" si="13"/>
        <v>23.909446754063683</v>
      </c>
    </row>
    <row r="145" spans="13:18">
      <c r="M145">
        <f t="shared" si="17"/>
        <v>1.420000000000001</v>
      </c>
      <c r="N145">
        <f t="shared" si="14"/>
        <v>1.4032800000000005</v>
      </c>
      <c r="O145">
        <f t="shared" si="15"/>
        <v>3.2734459501748718</v>
      </c>
      <c r="P145">
        <f t="shared" si="12"/>
        <v>35.887103373185468</v>
      </c>
      <c r="Q145">
        <f t="shared" si="16"/>
        <v>117.47449320046096</v>
      </c>
      <c r="R145">
        <f t="shared" si="13"/>
        <v>24.030407989782478</v>
      </c>
    </row>
    <row r="146" spans="13:18">
      <c r="M146">
        <f t="shared" si="17"/>
        <v>1.430000000000001</v>
      </c>
      <c r="N146">
        <f t="shared" si="14"/>
        <v>1.4089800000000006</v>
      </c>
      <c r="O146">
        <f t="shared" si="15"/>
        <v>3.3202202936321092</v>
      </c>
      <c r="P146">
        <f t="shared" si="12"/>
        <v>35.702992603507568</v>
      </c>
      <c r="Q146">
        <f t="shared" si="16"/>
        <v>118.54180058556292</v>
      </c>
      <c r="R146">
        <f t="shared" si="13"/>
        <v>24.150637039915772</v>
      </c>
    </row>
    <row r="147" spans="13:18">
      <c r="M147">
        <f t="shared" si="17"/>
        <v>1.4400000000000011</v>
      </c>
      <c r="N147">
        <f t="shared" si="14"/>
        <v>1.4147200000000004</v>
      </c>
      <c r="O147">
        <f t="shared" si="15"/>
        <v>3.3678033630902093</v>
      </c>
      <c r="P147">
        <f t="shared" si="12"/>
        <v>35.516820497795734</v>
      </c>
      <c r="Q147">
        <f t="shared" si="16"/>
        <v>119.61366751874776</v>
      </c>
      <c r="R147">
        <f t="shared" si="13"/>
        <v>24.270136182765182</v>
      </c>
    </row>
    <row r="148" spans="13:18">
      <c r="M148">
        <f t="shared" si="17"/>
        <v>1.4500000000000011</v>
      </c>
      <c r="N148">
        <f t="shared" si="14"/>
        <v>1.4205000000000005</v>
      </c>
      <c r="O148">
        <f t="shared" si="15"/>
        <v>3.4162082189448522</v>
      </c>
      <c r="P148">
        <f t="shared" si="12"/>
        <v>35.328675524655736</v>
      </c>
      <c r="Q148">
        <f t="shared" si="16"/>
        <v>120.69011169176477</v>
      </c>
      <c r="R148">
        <f t="shared" si="13"/>
        <v>24.388907746788114</v>
      </c>
    </row>
    <row r="149" spans="13:18">
      <c r="M149">
        <f t="shared" si="17"/>
        <v>1.4600000000000011</v>
      </c>
      <c r="N149">
        <f t="shared" si="14"/>
        <v>1.4263200000000005</v>
      </c>
      <c r="O149">
        <f t="shared" si="15"/>
        <v>3.4654481226483562</v>
      </c>
      <c r="P149">
        <f t="shared" si="12"/>
        <v>35.13864478921726</v>
      </c>
      <c r="Q149">
        <f t="shared" si="16"/>
        <v>121.77115061720039</v>
      </c>
      <c r="R149">
        <f t="shared" si="13"/>
        <v>24.506954109198293</v>
      </c>
    </row>
    <row r="150" spans="13:18">
      <c r="M150">
        <f t="shared" si="17"/>
        <v>1.4700000000000011</v>
      </c>
      <c r="N150">
        <f t="shared" si="14"/>
        <v>1.4321800000000007</v>
      </c>
      <c r="O150">
        <f t="shared" si="15"/>
        <v>3.5155365392907045</v>
      </c>
      <c r="P150">
        <f t="shared" si="12"/>
        <v>34.946814023039067</v>
      </c>
      <c r="Q150">
        <f t="shared" si="16"/>
        <v>122.85680162979062</v>
      </c>
      <c r="R150">
        <f t="shared" si="13"/>
        <v>24.624277694580908</v>
      </c>
    </row>
    <row r="151" spans="13:18">
      <c r="M151">
        <f t="shared" si="17"/>
        <v>1.4800000000000011</v>
      </c>
      <c r="N151">
        <f t="shared" si="14"/>
        <v>1.4380800000000007</v>
      </c>
      <c r="O151">
        <f t="shared" si="15"/>
        <v>3.5664871402076477</v>
      </c>
      <c r="P151">
        <f t="shared" si="12"/>
        <v>34.753267575366017</v>
      </c>
      <c r="Q151">
        <f t="shared" si="16"/>
        <v>123.94708188773832</v>
      </c>
      <c r="R151">
        <f t="shared" si="13"/>
        <v>24.7408809735227</v>
      </c>
    </row>
    <row r="152" spans="13:18">
      <c r="M152">
        <f t="shared" si="17"/>
        <v>1.4900000000000011</v>
      </c>
      <c r="N152">
        <f t="shared" si="14"/>
        <v>1.4440200000000005</v>
      </c>
      <c r="O152">
        <f t="shared" si="15"/>
        <v>3.6183138056161184</v>
      </c>
      <c r="P152">
        <f t="shared" si="12"/>
        <v>34.558088405697276</v>
      </c>
      <c r="Q152">
        <f t="shared" si="16"/>
        <v>125.04200837403677</v>
      </c>
      <c r="R152">
        <f t="shared" si="13"/>
        <v>24.856766461257244</v>
      </c>
    </row>
    <row r="153" spans="13:18">
      <c r="M153">
        <f t="shared" si="17"/>
        <v>1.5000000000000011</v>
      </c>
      <c r="N153">
        <f t="shared" si="14"/>
        <v>1.4500000000000006</v>
      </c>
      <c r="O153">
        <f t="shared" si="15"/>
        <v>3.6710306272770721</v>
      </c>
      <c r="P153">
        <f t="shared" si="12"/>
        <v>34.361358077625567</v>
      </c>
      <c r="Q153">
        <f t="shared" si="16"/>
        <v>126.14159789779788</v>
      </c>
      <c r="R153">
        <f t="shared" si="13"/>
        <v>24.971936716325647</v>
      </c>
    </row>
  </sheetData>
  <mergeCells count="3">
    <mergeCell ref="D1:I1"/>
    <mergeCell ref="D2:I2"/>
    <mergeCell ref="G14:H1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31D8-32A5-47F9-8F38-DA3090B0C44A}">
  <sheetPr codeName="Sheet8"/>
  <dimension ref="E2:AC55"/>
  <sheetViews>
    <sheetView topLeftCell="A4" workbookViewId="0">
      <selection activeCell="K56" sqref="K56"/>
    </sheetView>
  </sheetViews>
  <sheetFormatPr defaultRowHeight="14.4"/>
  <cols>
    <col min="7" max="7" width="10.33203125" customWidth="1"/>
    <col min="8" max="8" width="9.44140625" customWidth="1"/>
  </cols>
  <sheetData>
    <row r="2" spans="6:29" ht="15" thickBot="1"/>
    <row r="3" spans="6:29">
      <c r="F3" s="272" t="s">
        <v>422</v>
      </c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4"/>
    </row>
    <row r="4" spans="6:29">
      <c r="F4" s="74"/>
      <c r="S4" s="75"/>
    </row>
    <row r="5" spans="6:29">
      <c r="F5" s="74"/>
      <c r="S5" s="75"/>
    </row>
    <row r="6" spans="6:29">
      <c r="F6" s="74"/>
      <c r="G6" s="362" t="s">
        <v>423</v>
      </c>
      <c r="H6" s="362" t="s">
        <v>424</v>
      </c>
      <c r="S6" s="75"/>
    </row>
    <row r="7" spans="6:29">
      <c r="F7" s="74"/>
      <c r="G7" s="362"/>
      <c r="H7" s="362"/>
      <c r="S7" s="75"/>
      <c r="AC7" s="14" t="e">
        <f t="shared" ref="AC7" si="0">($D$10^2*($D$9)^2)/($G$13*$D$11*$D$4*$J$3*$K$3*$D$7)*AB7*$J$3</f>
        <v>#DIV/0!</v>
      </c>
    </row>
    <row r="8" spans="6:29">
      <c r="F8" s="74"/>
      <c r="G8" s="105">
        <v>2.5</v>
      </c>
      <c r="H8" s="3">
        <v>0.9</v>
      </c>
      <c r="S8" s="75"/>
    </row>
    <row r="9" spans="6:29">
      <c r="F9" s="74"/>
      <c r="S9" s="75"/>
    </row>
    <row r="10" spans="6:29">
      <c r="F10" s="74"/>
      <c r="G10" s="5" t="s">
        <v>425</v>
      </c>
      <c r="H10" s="5">
        <f>IF(G8&lt;=2.8,0.913+0.103*G8-0.0854*G8^2+0.0154*G8^3,1.01-0.05*G8)</f>
        <v>0.87737500000000002</v>
      </c>
      <c r="S10" s="75"/>
    </row>
    <row r="11" spans="6:29">
      <c r="F11" s="74"/>
      <c r="G11" s="5" t="s">
        <v>426</v>
      </c>
      <c r="H11" s="5">
        <f>0.375+0.25*G8</f>
        <v>1</v>
      </c>
      <c r="S11" s="75"/>
    </row>
    <row r="12" spans="6:29">
      <c r="F12" s="74"/>
      <c r="G12" s="5" t="s">
        <v>407</v>
      </c>
      <c r="H12" s="5">
        <f>IF(G8&gt;2.2,0.22/G8,0.375-0.125*G8)</f>
        <v>8.7999999999999995E-2</v>
      </c>
      <c r="S12" s="75"/>
    </row>
    <row r="13" spans="6:29">
      <c r="F13" s="74"/>
      <c r="S13" s="75"/>
    </row>
    <row r="14" spans="6:29">
      <c r="F14" s="74"/>
      <c r="S14" s="75"/>
    </row>
    <row r="15" spans="6:29">
      <c r="F15" s="74"/>
      <c r="G15" s="107" t="s">
        <v>427</v>
      </c>
      <c r="H15" s="108">
        <f>H10-H12*(H8-H11)^2</f>
        <v>0.87649500000000002</v>
      </c>
      <c r="S15" s="75"/>
    </row>
    <row r="16" spans="6:29">
      <c r="F16" s="74"/>
      <c r="G16" s="347" t="s">
        <v>428</v>
      </c>
      <c r="H16" s="347"/>
      <c r="S16" s="75"/>
    </row>
    <row r="17" spans="6:19">
      <c r="F17" s="74"/>
      <c r="G17" s="347"/>
      <c r="H17" s="347"/>
      <c r="S17" s="75"/>
    </row>
    <row r="18" spans="6:19">
      <c r="F18" s="74"/>
      <c r="S18" s="75"/>
    </row>
    <row r="19" spans="6:19">
      <c r="F19" s="74"/>
      <c r="G19" s="362" t="s">
        <v>429</v>
      </c>
      <c r="H19" s="362"/>
      <c r="S19" s="75"/>
    </row>
    <row r="20" spans="6:19">
      <c r="F20" s="74"/>
      <c r="G20" s="362"/>
      <c r="H20" s="362"/>
      <c r="S20" s="75"/>
    </row>
    <row r="21" spans="6:19">
      <c r="F21" s="74"/>
      <c r="G21" s="5" t="s">
        <v>430</v>
      </c>
      <c r="H21" s="3">
        <v>0.8</v>
      </c>
      <c r="S21" s="75"/>
    </row>
    <row r="22" spans="6:19">
      <c r="F22" s="74"/>
      <c r="G22" s="5" t="s">
        <v>431</v>
      </c>
      <c r="H22" s="3">
        <v>1E-3</v>
      </c>
      <c r="S22" s="75"/>
    </row>
    <row r="23" spans="6:19">
      <c r="F23" s="74"/>
      <c r="G23" s="5" t="s">
        <v>432</v>
      </c>
      <c r="H23" s="3">
        <v>0.818106</v>
      </c>
      <c r="S23" s="75"/>
    </row>
    <row r="24" spans="6:19">
      <c r="F24" s="74"/>
      <c r="G24" s="5" t="s">
        <v>433</v>
      </c>
      <c r="H24" s="5">
        <f>1+0.586*H21^3.63</f>
        <v>1.2606839354745447</v>
      </c>
      <c r="S24" s="75"/>
    </row>
    <row r="25" spans="6:19">
      <c r="F25" s="74"/>
      <c r="G25" s="73" t="s">
        <v>427</v>
      </c>
      <c r="H25" s="109">
        <f>H15*(1-H24*H22*(2/(1+H23)))</f>
        <v>0.87527946782968236</v>
      </c>
      <c r="S25" s="75"/>
    </row>
    <row r="26" spans="6:19" ht="14.7" customHeight="1">
      <c r="F26" s="74"/>
      <c r="G26" s="347" t="s">
        <v>434</v>
      </c>
      <c r="H26" s="347"/>
      <c r="S26" s="75"/>
    </row>
    <row r="27" spans="6:19">
      <c r="F27" s="74"/>
      <c r="G27" s="347"/>
      <c r="H27" s="347"/>
      <c r="S27" s="75"/>
    </row>
    <row r="28" spans="6:19">
      <c r="F28" s="74"/>
      <c r="G28" s="110"/>
      <c r="H28" s="110"/>
      <c r="S28" s="75"/>
    </row>
    <row r="29" spans="6:19">
      <c r="F29" s="74"/>
      <c r="S29" s="75"/>
    </row>
    <row r="30" spans="6:19">
      <c r="F30" s="74"/>
      <c r="S30" s="75"/>
    </row>
    <row r="31" spans="6:19">
      <c r="F31" s="74"/>
      <c r="S31" s="75"/>
    </row>
    <row r="32" spans="6:19">
      <c r="F32" s="74"/>
      <c r="S32" s="75"/>
    </row>
    <row r="33" spans="6:19" ht="15" thickBot="1">
      <c r="F33" s="76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77"/>
    </row>
    <row r="52" spans="5:15">
      <c r="E52" s="14" t="e">
        <f t="shared" ref="E52" si="1">($D$10^2*($D$9)^2)/($G$13*$D$11*$D$4*$J$3*$K$3*$D$7)*D52*$J$3</f>
        <v>#DIV/0!</v>
      </c>
    </row>
    <row r="55" spans="5:15">
      <c r="O55" s="14" t="e">
        <f t="shared" ref="O55" si="2">($D$10^2*($D$9)^2)/($G$13*$D$11*$D$4*$J$3*$K$3*$D$7)*N55*$J$3</f>
        <v>#DIV/0!</v>
      </c>
    </row>
  </sheetData>
  <mergeCells count="6">
    <mergeCell ref="G19:H20"/>
    <mergeCell ref="G26:H27"/>
    <mergeCell ref="G6:G7"/>
    <mergeCell ref="H6:H7"/>
    <mergeCell ref="F3:S3"/>
    <mergeCell ref="G16:H1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2D2D-7F89-4DDE-A300-27861DE3CBB4}">
  <sheetPr codeName="Sheet9"/>
  <dimension ref="A1"/>
  <sheetViews>
    <sheetView topLeftCell="A4" zoomScale="55" zoomScaleNormal="55" workbookViewId="0">
      <selection activeCell="K56" sqref="K56"/>
    </sheetView>
  </sheetViews>
  <sheetFormatPr defaultRowHeight="14.4"/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B5AA-0E35-47C8-A29B-D547DBEA1938}">
  <sheetPr codeName="Sheet10"/>
  <dimension ref="C1:AI57"/>
  <sheetViews>
    <sheetView zoomScale="85" zoomScaleNormal="85" workbookViewId="0">
      <pane xSplit="7" topLeftCell="H1" activePane="topRight" state="frozen"/>
      <selection pane="topRight" activeCell="H25" sqref="H25"/>
    </sheetView>
  </sheetViews>
  <sheetFormatPr defaultRowHeight="14.4"/>
  <cols>
    <col min="2" max="2" width="11.44140625" customWidth="1"/>
    <col min="3" max="3" width="25.33203125" customWidth="1"/>
    <col min="4" max="5" width="11.44140625" customWidth="1"/>
    <col min="6" max="6" width="22.33203125" customWidth="1"/>
    <col min="7" max="7" width="18.33203125" customWidth="1"/>
    <col min="8" max="8" width="12.33203125" customWidth="1"/>
    <col min="9" max="9" width="9.6640625" customWidth="1"/>
    <col min="10" max="10" width="14.44140625" customWidth="1"/>
    <col min="11" max="11" width="15.33203125" customWidth="1"/>
    <col min="12" max="12" width="15.44140625" customWidth="1"/>
    <col min="13" max="13" width="16.6640625" customWidth="1"/>
    <col min="14" max="14" width="17.6640625" customWidth="1"/>
    <col min="15" max="15" width="18.33203125" customWidth="1"/>
    <col min="16" max="16" width="17.44140625" customWidth="1"/>
    <col min="17" max="17" width="16.33203125" customWidth="1"/>
    <col min="18" max="18" width="13.6640625" customWidth="1"/>
    <col min="19" max="24" width="11.44140625" customWidth="1"/>
    <col min="25" max="25" width="15.44140625" customWidth="1"/>
    <col min="26" max="30" width="11.44140625" customWidth="1"/>
    <col min="31" max="32" width="16.44140625" customWidth="1"/>
    <col min="33" max="33" width="14.6640625" customWidth="1"/>
    <col min="34" max="35" width="11.44140625" customWidth="1"/>
  </cols>
  <sheetData>
    <row r="1" spans="3:35">
      <c r="C1" s="271" t="s">
        <v>17</v>
      </c>
      <c r="D1" s="271"/>
      <c r="E1" s="12"/>
    </row>
    <row r="2" spans="3:35">
      <c r="C2" s="2" t="s">
        <v>212</v>
      </c>
      <c r="D2" s="111">
        <v>20.72</v>
      </c>
      <c r="F2" s="2" t="s">
        <v>435</v>
      </c>
      <c r="G2" s="2" t="s">
        <v>257</v>
      </c>
      <c r="I2" s="2" t="s">
        <v>436</v>
      </c>
      <c r="J2" s="2" t="s">
        <v>437</v>
      </c>
      <c r="K2" s="2" t="s">
        <v>438</v>
      </c>
      <c r="L2" s="2" t="s">
        <v>439</v>
      </c>
      <c r="M2" s="2" t="s">
        <v>440</v>
      </c>
      <c r="O2" s="2" t="s">
        <v>441</v>
      </c>
      <c r="P2" s="2" t="s">
        <v>442</v>
      </c>
      <c r="Q2" s="2" t="s">
        <v>443</v>
      </c>
    </row>
    <row r="3" spans="3:35">
      <c r="C3" s="2" t="s">
        <v>213</v>
      </c>
      <c r="D3" s="3">
        <v>216.7</v>
      </c>
      <c r="F3" s="114" t="e">
        <f ca="1">I3*1000/G10</f>
        <v>#VALUE!</v>
      </c>
      <c r="G3" s="114" t="e">
        <f ca="1">K31*1000/I3</f>
        <v>#VALUE!</v>
      </c>
      <c r="I3" s="115" t="e">
        <f ca="1">(O3+P3-Q3)/1000</f>
        <v>#VALUE!</v>
      </c>
      <c r="J3" s="114">
        <f>D9*(G12/101.325)/(SQRT(G13/288.15))</f>
        <v>20.154216224678116</v>
      </c>
      <c r="K3" s="114">
        <f>(H10/(((J24*1000/(J18*J23))*J22))/PI())^0.5*2</f>
        <v>0.68920777517624965</v>
      </c>
      <c r="L3" s="114" t="e">
        <f ca="1">I3*G22/1000</f>
        <v>#VALUE!</v>
      </c>
      <c r="M3" s="114" t="e">
        <f ca="1">L3/K33</f>
        <v>#VALUE!</v>
      </c>
      <c r="O3" s="114" t="e">
        <f ca="1">AA10*AA22*D35+(AA24-AB24)*AA25*1000</f>
        <v>#VALUE!</v>
      </c>
      <c r="P3" s="114">
        <f>AH22*AH10*D37+(AH24-AI24)*AH25*1000</f>
        <v>2792.4334039401906</v>
      </c>
      <c r="Q3" s="114">
        <f>G10*G22</f>
        <v>3867.9393745572479</v>
      </c>
    </row>
    <row r="4" spans="3:35">
      <c r="C4" s="2" t="s">
        <v>54</v>
      </c>
      <c r="D4" s="3">
        <v>0.65</v>
      </c>
      <c r="F4" s="2" t="s">
        <v>444</v>
      </c>
      <c r="G4" s="2" t="s">
        <v>95</v>
      </c>
      <c r="I4" s="2" t="s">
        <v>445</v>
      </c>
      <c r="J4" s="2" t="s">
        <v>446</v>
      </c>
      <c r="K4" s="2" t="s">
        <v>447</v>
      </c>
      <c r="L4" s="2" t="s">
        <v>448</v>
      </c>
      <c r="O4" s="2" t="s">
        <v>449</v>
      </c>
      <c r="P4" s="2" t="s">
        <v>450</v>
      </c>
    </row>
    <row r="5" spans="3:35">
      <c r="F5" s="114" t="e">
        <f ca="1">I5/(G10*2.20462)</f>
        <v>#VALUE!</v>
      </c>
      <c r="G5" s="114" t="e">
        <f ca="1">K31*2.20462*3600/I5</f>
        <v>#VALUE!</v>
      </c>
      <c r="I5" s="116" t="e">
        <f ca="1">I3*224.809</f>
        <v>#VALUE!</v>
      </c>
      <c r="J5" s="114">
        <f>J3*2.20462</f>
        <v>44.432388173249862</v>
      </c>
      <c r="K5" s="114">
        <f>39.3701*K3</f>
        <v>27.134179029466466</v>
      </c>
      <c r="L5" s="114" t="e">
        <f ca="1">L3*1.341*1000</f>
        <v>#VALUE!</v>
      </c>
      <c r="M5" cm="1">
        <f t="array" ref="M5">TtProc(L13,L12,M12,L15,D29)</f>
        <v>415.22909188441798</v>
      </c>
      <c r="O5" s="114" t="e">
        <f ca="1">MAX(AI22,AH22)/MAX(AA22,AB22)</f>
        <v>#VALUE!</v>
      </c>
      <c r="P5" s="114" t="e">
        <f ca="1">AF12/Y12</f>
        <v>#VALUE!</v>
      </c>
    </row>
    <row r="6" spans="3:35">
      <c r="AG6" s="321" t="s">
        <v>451</v>
      </c>
      <c r="AH6" s="363"/>
      <c r="AI6" s="322"/>
    </row>
    <row r="7" spans="3:35">
      <c r="C7" s="2" t="s">
        <v>452</v>
      </c>
      <c r="D7" s="3">
        <f>43.15*1000000</f>
        <v>43150000</v>
      </c>
      <c r="F7" s="5"/>
      <c r="G7" s="2" t="s">
        <v>453</v>
      </c>
      <c r="H7" s="2" t="s">
        <v>454</v>
      </c>
      <c r="I7" s="2"/>
      <c r="J7" s="2" t="s">
        <v>455</v>
      </c>
      <c r="K7" s="2" t="s">
        <v>456</v>
      </c>
      <c r="L7" s="2" t="s">
        <v>457</v>
      </c>
      <c r="M7" s="2" t="s">
        <v>458</v>
      </c>
      <c r="N7" s="2" t="s">
        <v>459</v>
      </c>
      <c r="O7" s="2" t="s">
        <v>460</v>
      </c>
      <c r="P7" s="2" t="s">
        <v>461</v>
      </c>
      <c r="Q7" s="2" t="s">
        <v>462</v>
      </c>
      <c r="R7" s="2" t="s">
        <v>463</v>
      </c>
      <c r="S7" s="2" t="s">
        <v>464</v>
      </c>
      <c r="T7" s="2" t="s">
        <v>465</v>
      </c>
      <c r="U7" s="2" t="s">
        <v>466</v>
      </c>
      <c r="V7" s="2" t="s">
        <v>467</v>
      </c>
      <c r="W7" s="2" t="s">
        <v>468</v>
      </c>
      <c r="X7" s="2" t="s">
        <v>469</v>
      </c>
      <c r="Y7" s="2" t="s">
        <v>470</v>
      </c>
      <c r="Z7" s="2" t="s">
        <v>471</v>
      </c>
      <c r="AA7" s="2" t="s">
        <v>472</v>
      </c>
      <c r="AB7" s="2" t="s">
        <v>473</v>
      </c>
      <c r="AC7" s="2"/>
      <c r="AD7" s="2" t="s">
        <v>474</v>
      </c>
      <c r="AE7" s="2" t="s">
        <v>475</v>
      </c>
      <c r="AF7" s="2" t="s">
        <v>476</v>
      </c>
      <c r="AG7" s="2" t="s">
        <v>477</v>
      </c>
      <c r="AH7" s="2" t="s">
        <v>478</v>
      </c>
      <c r="AI7" s="2" t="s">
        <v>479</v>
      </c>
    </row>
    <row r="8" spans="3:35">
      <c r="F8" s="5"/>
      <c r="G8" s="2">
        <v>0</v>
      </c>
      <c r="H8" s="2">
        <v>1</v>
      </c>
      <c r="I8" s="2"/>
      <c r="J8" s="2">
        <v>2</v>
      </c>
      <c r="K8" s="2">
        <v>205</v>
      </c>
      <c r="L8" s="2">
        <v>21</v>
      </c>
      <c r="M8" s="2">
        <v>24</v>
      </c>
      <c r="N8" s="2">
        <v>26</v>
      </c>
      <c r="O8" s="2">
        <v>3</v>
      </c>
      <c r="P8" s="2">
        <v>31</v>
      </c>
      <c r="Q8" s="2">
        <v>4</v>
      </c>
      <c r="R8" s="2">
        <v>405</v>
      </c>
      <c r="S8" s="2">
        <v>41</v>
      </c>
      <c r="T8" s="2">
        <v>44</v>
      </c>
      <c r="U8" s="2">
        <v>45</v>
      </c>
      <c r="V8" s="2">
        <v>47</v>
      </c>
      <c r="W8" s="2">
        <v>48</v>
      </c>
      <c r="X8" s="2">
        <v>5</v>
      </c>
      <c r="Y8" s="2">
        <v>6</v>
      </c>
      <c r="Z8" s="2">
        <v>7</v>
      </c>
      <c r="AA8" s="2">
        <v>8</v>
      </c>
      <c r="AB8" s="2">
        <v>9</v>
      </c>
      <c r="AC8" s="2"/>
      <c r="AD8" s="2">
        <v>12</v>
      </c>
      <c r="AE8" s="2">
        <v>13</v>
      </c>
      <c r="AF8" s="2">
        <v>16</v>
      </c>
      <c r="AG8" s="2">
        <v>17</v>
      </c>
      <c r="AH8" s="2">
        <v>18</v>
      </c>
      <c r="AI8" s="2">
        <v>19</v>
      </c>
    </row>
    <row r="9" spans="3:35">
      <c r="C9" s="2" t="s">
        <v>480</v>
      </c>
      <c r="D9" s="3">
        <v>67</v>
      </c>
      <c r="F9" s="73" t="s">
        <v>481</v>
      </c>
      <c r="G9" s="5"/>
      <c r="H9" s="5"/>
      <c r="I9" s="5"/>
      <c r="J9" s="5"/>
      <c r="K9" s="5"/>
      <c r="L9" s="5"/>
      <c r="M9" s="5">
        <f>-SUM(D47:D51)/100*J10</f>
        <v>-0.94053009048497893</v>
      </c>
      <c r="N9" s="5"/>
      <c r="O9" s="5">
        <f>-SUM(D44:D45)/100*J10</f>
        <v>-1.7466987394721036</v>
      </c>
      <c r="P9" s="5"/>
      <c r="Q9" s="5"/>
      <c r="R9" s="5">
        <f>D44/100*J10</f>
        <v>1.3436144149785412</v>
      </c>
      <c r="S9" s="5"/>
      <c r="T9" s="5"/>
      <c r="U9" s="5">
        <f>D48/100*J10+D47/100*J10</f>
        <v>0</v>
      </c>
      <c r="V9" s="5"/>
      <c r="W9" s="5">
        <f>D48/100*J10+D50/100*J10</f>
        <v>0.67180720748927059</v>
      </c>
      <c r="X9" s="5"/>
      <c r="Y9" s="5">
        <f>D51/100*J10</f>
        <v>0.26872288299570823</v>
      </c>
      <c r="Z9" s="5"/>
      <c r="AA9" s="5"/>
      <c r="AB9" s="5"/>
      <c r="AC9" s="5"/>
      <c r="AD9" s="5"/>
      <c r="AE9" s="5"/>
      <c r="AF9" s="5"/>
      <c r="AG9" s="5"/>
      <c r="AH9" s="5"/>
      <c r="AI9" s="5"/>
    </row>
    <row r="10" spans="3:35">
      <c r="F10" s="112" t="s">
        <v>231</v>
      </c>
      <c r="G10" s="5">
        <f>G11/SQRT(G13/288.15)*(G12/101.325)</f>
        <v>20.154216224678116</v>
      </c>
      <c r="H10" s="5">
        <f>G10</f>
        <v>20.154216224678116</v>
      </c>
      <c r="I10" s="5"/>
      <c r="J10" s="5">
        <f>H10/(D15+1)</f>
        <v>13.436144149785411</v>
      </c>
      <c r="K10" s="5">
        <f>J10</f>
        <v>13.436144149785411</v>
      </c>
      <c r="L10" s="5">
        <f>K10</f>
        <v>13.436144149785411</v>
      </c>
      <c r="M10" s="5">
        <f>L10+M9</f>
        <v>12.495614059300433</v>
      </c>
      <c r="N10" s="5">
        <f>M10</f>
        <v>12.495614059300433</v>
      </c>
      <c r="O10" s="5">
        <f>N10+O9</f>
        <v>10.748915319828329</v>
      </c>
      <c r="P10" s="5">
        <f>O10</f>
        <v>10.748915319828329</v>
      </c>
      <c r="Q10" s="5">
        <f>(Q15+1)*P10</f>
        <v>11.122353821038981</v>
      </c>
      <c r="R10" s="5">
        <f>Q10+R9</f>
        <v>12.465968236017522</v>
      </c>
      <c r="S10" s="5">
        <f>R10</f>
        <v>12.465968236017522</v>
      </c>
      <c r="T10" s="5">
        <f>S10+T9</f>
        <v>12.465968236017522</v>
      </c>
      <c r="U10" s="5">
        <f>T10+U9</f>
        <v>12.465968236017522</v>
      </c>
      <c r="V10" s="5">
        <f>U10</f>
        <v>12.465968236017522</v>
      </c>
      <c r="W10" s="5">
        <f>V10+W9</f>
        <v>13.137775443506793</v>
      </c>
      <c r="X10" s="5">
        <f>W10</f>
        <v>13.137775443506793</v>
      </c>
      <c r="Y10" s="5">
        <f>X10+Y9</f>
        <v>13.406498326502502</v>
      </c>
      <c r="Z10" s="5">
        <f>Y10</f>
        <v>13.406498326502502</v>
      </c>
      <c r="AA10" s="5">
        <f>Z10</f>
        <v>13.406498326502502</v>
      </c>
      <c r="AB10" s="5">
        <f>AA10</f>
        <v>13.406498326502502</v>
      </c>
      <c r="AC10" s="5"/>
      <c r="AD10" s="5">
        <f>G10/(D15+1)*D15</f>
        <v>6.7180720748927056</v>
      </c>
      <c r="AE10" s="5">
        <f>AD10</f>
        <v>6.7180720748927056</v>
      </c>
      <c r="AF10" s="5">
        <f>AD10</f>
        <v>6.7180720748927056</v>
      </c>
      <c r="AG10" s="5">
        <f>AE10</f>
        <v>6.7180720748927056</v>
      </c>
      <c r="AH10" s="5">
        <f>AG10</f>
        <v>6.7180720748927056</v>
      </c>
      <c r="AI10" s="5">
        <f>AH10</f>
        <v>6.7180720748927056</v>
      </c>
    </row>
    <row r="11" spans="3:35">
      <c r="C11" s="364" t="s">
        <v>482</v>
      </c>
      <c r="D11" s="364"/>
      <c r="F11" s="112" t="s">
        <v>232</v>
      </c>
      <c r="G11" s="5">
        <f>D9</f>
        <v>67</v>
      </c>
      <c r="H11" s="5">
        <f>H10*SQRT(H13/288.15)/(H12/101.325)</f>
        <v>67</v>
      </c>
      <c r="I11" s="5"/>
      <c r="J11" s="5">
        <f t="shared" ref="J11:AB11" si="0">J10*SQRT(J13/288.15)/(J12/101.325)</f>
        <v>44.801069876295564</v>
      </c>
      <c r="K11" s="5">
        <f t="shared" si="0"/>
        <v>20.69288255110736</v>
      </c>
      <c r="L11" s="5">
        <f t="shared" si="0"/>
        <v>20.868580607780672</v>
      </c>
      <c r="M11" s="5" t="e">
        <f t="shared" ca="1" si="0"/>
        <v>#NAME?</v>
      </c>
      <c r="N11" s="5" t="e">
        <f t="shared" ca="1" si="0"/>
        <v>#NAME?</v>
      </c>
      <c r="O11" s="5">
        <f t="shared" si="0"/>
        <v>2.3820689405187667</v>
      </c>
      <c r="P11" s="5">
        <f t="shared" si="0"/>
        <v>2.3820689405187667</v>
      </c>
      <c r="Q11" s="5">
        <f t="shared" si="0"/>
        <v>4.4536422995949296</v>
      </c>
      <c r="R11" s="5">
        <f t="shared" si="0"/>
        <v>4.810665231326106</v>
      </c>
      <c r="S11" s="5">
        <f t="shared" si="0"/>
        <v>4.810665231326106</v>
      </c>
      <c r="T11" s="5" t="e">
        <f ca="1">T10*SQRT(T13/288.15)/(T12/101.325)</f>
        <v>#VALUE!</v>
      </c>
      <c r="U11" s="5" t="e">
        <f t="shared" ca="1" si="0"/>
        <v>#VALUE!</v>
      </c>
      <c r="V11" s="5" t="e">
        <f t="shared" ca="1" si="0"/>
        <v>#VALUE!</v>
      </c>
      <c r="W11" s="5" t="e">
        <f t="shared" ca="1" si="0"/>
        <v>#VALUE!</v>
      </c>
      <c r="X11" s="5" t="e">
        <f t="shared" ca="1" si="0"/>
        <v>#VALUE!</v>
      </c>
      <c r="Y11" s="5" t="e">
        <f t="shared" ca="1" si="0"/>
        <v>#VALUE!</v>
      </c>
      <c r="Z11" s="5" t="e">
        <f t="shared" ca="1" si="0"/>
        <v>#VALUE!</v>
      </c>
      <c r="AA11" s="5" t="e">
        <f t="shared" ca="1" si="0"/>
        <v>#VALUE!</v>
      </c>
      <c r="AB11" s="5" t="e">
        <f t="shared" ca="1" si="0"/>
        <v>#VALUE!</v>
      </c>
      <c r="AC11" s="5"/>
      <c r="AD11" s="5">
        <f t="shared" ref="AD11:AI11" si="1">AD10*SQRT(AD13/288.15)/(AD12/101.325)</f>
        <v>22.558922558922561</v>
      </c>
      <c r="AE11" s="5">
        <f t="shared" si="1"/>
        <v>10.440210242175635</v>
      </c>
      <c r="AF11" s="5">
        <f t="shared" si="1"/>
        <v>10.763103342449108</v>
      </c>
      <c r="AG11" s="5">
        <f t="shared" si="1"/>
        <v>10.763103342449108</v>
      </c>
      <c r="AH11" s="5">
        <f t="shared" si="1"/>
        <v>10.763103342449108</v>
      </c>
      <c r="AI11" s="5">
        <f t="shared" si="1"/>
        <v>11.060557805023166</v>
      </c>
    </row>
    <row r="12" spans="3:35">
      <c r="C12" s="2" t="s">
        <v>216</v>
      </c>
      <c r="D12" s="3">
        <v>25</v>
      </c>
      <c r="F12" s="112" t="s">
        <v>483</v>
      </c>
      <c r="G12" s="5">
        <f>(G13/G23)^(G17/(G17-1))*G24</f>
        <v>27.529915850894422</v>
      </c>
      <c r="H12" s="5">
        <f>G12</f>
        <v>27.529915850894422</v>
      </c>
      <c r="I12" s="5"/>
      <c r="J12" s="5">
        <f>H12*D22</f>
        <v>27.447326103341737</v>
      </c>
      <c r="K12" s="5">
        <f>J12*D16</f>
        <v>68.618315258354343</v>
      </c>
      <c r="L12" s="5">
        <f>K12*(1-D27)</f>
        <v>67.932132105770805</v>
      </c>
      <c r="M12" s="5">
        <f>L12*H37</f>
        <v>168.68452614515158</v>
      </c>
      <c r="N12" s="5">
        <f>M12*(1-D28)</f>
        <v>165.31083562224853</v>
      </c>
      <c r="O12" s="5">
        <f>N12*H36</f>
        <v>665.73489463655392</v>
      </c>
      <c r="P12" s="5">
        <f>O12</f>
        <v>665.73489463655392</v>
      </c>
      <c r="Q12" s="5">
        <f>P12*(1-D32)</f>
        <v>632.44814990472617</v>
      </c>
      <c r="R12" s="5">
        <f>Q12</f>
        <v>632.44814990472617</v>
      </c>
      <c r="S12" s="5">
        <f>R12</f>
        <v>632.44814990472617</v>
      </c>
      <c r="T12" s="5" t="e" cm="1">
        <f t="array" aca="1" ref="T12" ca="1">PtProc(S13,S12,T13,S15,D33)</f>
        <v>#VALUE!</v>
      </c>
      <c r="U12" s="5" t="e">
        <f ca="1">T12</f>
        <v>#VALUE!</v>
      </c>
      <c r="V12" s="5" t="e">
        <f ca="1">U12/N37</f>
        <v>#VALUE!</v>
      </c>
      <c r="W12" s="5" t="e">
        <f ca="1">V12</f>
        <v>#VALUE!</v>
      </c>
      <c r="X12" s="5" t="e">
        <f ca="1">W12/N38</f>
        <v>#VALUE!</v>
      </c>
      <c r="Y12" s="5" t="e">
        <f ca="1">X12</f>
        <v>#VALUE!</v>
      </c>
      <c r="Z12" s="5" t="e">
        <f ca="1">Y12</f>
        <v>#VALUE!</v>
      </c>
      <c r="AA12" s="5" t="e">
        <f ca="1">Z12</f>
        <v>#VALUE!</v>
      </c>
      <c r="AB12" s="5" t="e">
        <f ca="1">AB24/(AB23/AB13)^(AB17/(AB17-1))</f>
        <v>#VALUE!</v>
      </c>
      <c r="AC12" s="5"/>
      <c r="AD12" s="5">
        <f>H12*D21</f>
        <v>27.254616692385479</v>
      </c>
      <c r="AE12" s="5">
        <f>AD12*D16</f>
        <v>68.1365417309637</v>
      </c>
      <c r="AF12" s="5">
        <f>AE12*(1-D23)</f>
        <v>66.092445479034794</v>
      </c>
      <c r="AG12" s="5">
        <f>AE12*(1-D23)</f>
        <v>66.092445479034794</v>
      </c>
      <c r="AH12" s="5">
        <f>AG12</f>
        <v>66.092445479034794</v>
      </c>
      <c r="AI12" s="5">
        <f>AI24/(AI23/AI13)^(AI17/(AI17-1))</f>
        <v>64.315004124201579</v>
      </c>
    </row>
    <row r="13" spans="3:35">
      <c r="C13" s="2" t="s">
        <v>484</v>
      </c>
      <c r="D13" s="3">
        <v>0.39500000000000002</v>
      </c>
      <c r="F13" s="112" t="s">
        <v>383</v>
      </c>
      <c r="G13" s="5">
        <f>G23*(1+(G17-1)/2*G21^2)</f>
        <v>235.07851854857157</v>
      </c>
      <c r="H13" s="5">
        <f>G13</f>
        <v>235.07851854857157</v>
      </c>
      <c r="I13" s="5"/>
      <c r="J13" s="5">
        <f>H13</f>
        <v>235.07851854857157</v>
      </c>
      <c r="K13" s="5">
        <f>J13*(K12/J12)^((K17-1)/(K17*D29))</f>
        <v>313.44271278370769</v>
      </c>
      <c r="L13" s="5">
        <f>K13*(L12/K12)^((L17-1)/(L17*D26))</f>
        <v>312.44415417140101</v>
      </c>
      <c r="M13" s="5" t="e" cm="1">
        <f t="array" aca="1" ref="M13" ca="1">TtComp(L13,L12,M12,L15,D29)</f>
        <v>#NAME?</v>
      </c>
      <c r="N13" s="5" t="e">
        <f ca="1">M13</f>
        <v>#NAME?</v>
      </c>
      <c r="O13" s="5">
        <f>J13*(O12/J12)^((O17-1)/(O17*D29))</f>
        <v>610.89618260612667</v>
      </c>
      <c r="P13" s="5">
        <f>O13</f>
        <v>610.89618260612667</v>
      </c>
      <c r="Q13" s="5">
        <f>D14</f>
        <v>1800</v>
      </c>
      <c r="R13" s="5">
        <f>(Q10*Q13+R9*O13)/R10</f>
        <v>1671.8353039485337</v>
      </c>
      <c r="S13" s="5">
        <f>R13</f>
        <v>1671.8353039485337</v>
      </c>
      <c r="T13" s="5" t="e" cm="1">
        <f t="array" aca="1" ref="T13" ca="1">TfromH(T14,T15,S13,800)</f>
        <v>#VALUE!</v>
      </c>
      <c r="U13" s="5" t="e">
        <f ca="1">(T10*T13+U9*M13)/U10</f>
        <v>#VALUE!</v>
      </c>
      <c r="V13" s="5" t="e" cm="1">
        <f t="array" aca="1" ref="V13" ca="1">TfromH(V14,V15,U13,G13)</f>
        <v>#VALUE!</v>
      </c>
      <c r="W13" s="5" t="e">
        <f ca="1">(V10*V13+W9*M13)/W10</f>
        <v>#VALUE!</v>
      </c>
      <c r="X13" s="5" t="e" cm="1">
        <f t="array" aca="1" ref="X13" ca="1">TfromH(X14,X15,W13,G13)</f>
        <v>#VALUE!</v>
      </c>
      <c r="Y13" s="5" t="e">
        <f ca="1">(X10*X13+Y9*M13)/Y10</f>
        <v>#VALUE!</v>
      </c>
      <c r="Z13" s="5" t="e">
        <f ca="1">Y13</f>
        <v>#VALUE!</v>
      </c>
      <c r="AA13" s="5" t="e">
        <f ca="1">Z13</f>
        <v>#VALUE!</v>
      </c>
      <c r="AB13" s="5" t="e">
        <f ca="1">AA13</f>
        <v>#VALUE!</v>
      </c>
      <c r="AC13" s="5"/>
      <c r="AD13" s="5">
        <f>H13</f>
        <v>235.07851854857157</v>
      </c>
      <c r="AE13" s="5">
        <f>AD13*(AE12/AD12)^((AD17-1)/(AD17*D25))</f>
        <v>314.68405994514995</v>
      </c>
      <c r="AF13" s="5">
        <f>AE13</f>
        <v>314.68405994514995</v>
      </c>
      <c r="AG13" s="5">
        <f>AE13</f>
        <v>314.68405994514995</v>
      </c>
      <c r="AH13" s="5">
        <f>AG13</f>
        <v>314.68405994514995</v>
      </c>
      <c r="AI13" s="5">
        <f>AH13</f>
        <v>314.68405994514995</v>
      </c>
    </row>
    <row r="14" spans="3:35">
      <c r="C14" s="2" t="s">
        <v>215</v>
      </c>
      <c r="D14" s="3">
        <v>1800</v>
      </c>
      <c r="F14" s="112" t="s">
        <v>353</v>
      </c>
      <c r="G14" s="118" cm="1">
        <f t="array" ref="G14">ht(G13,G15)</f>
        <v>235.29832285339532</v>
      </c>
      <c r="H14" s="118" cm="1">
        <f t="array" ref="H14">ht(H13,H15)</f>
        <v>235.29832285339532</v>
      </c>
      <c r="I14" s="118"/>
      <c r="J14" s="118" cm="1">
        <f t="array" ref="J14">ht(J13,J15)</f>
        <v>235.29832285339532</v>
      </c>
      <c r="K14" s="118" cm="1">
        <f t="array" ref="K14">ht(K13,K15)</f>
        <v>313.89673863582294</v>
      </c>
      <c r="L14" s="118" cm="1">
        <f t="array" ref="L14">ht(L13,L15)</f>
        <v>312.89356909738427</v>
      </c>
      <c r="M14" s="118" t="e" cm="1">
        <f t="array" aca="1" ref="M14" ca="1">ht(M13,M15)</f>
        <v>#VALUE!</v>
      </c>
      <c r="N14" s="118" t="e" cm="1">
        <f t="array" aca="1" ref="N14" ca="1">ht(N13,N15)</f>
        <v>#VALUE!</v>
      </c>
      <c r="O14" s="118" cm="1">
        <f t="array" ref="O14">ht(O13,O15)</f>
        <v>618.66031211919835</v>
      </c>
      <c r="P14" s="118" cm="1">
        <f t="array" ref="P14">ht(P13,P15)</f>
        <v>618.66031211919835</v>
      </c>
      <c r="Q14" s="118" cm="1">
        <f t="array" ref="Q14">ht(Q13,Q15)</f>
        <v>2102.7851889092713</v>
      </c>
      <c r="R14" s="118" cm="1">
        <f t="array" ref="R14">ht(R13,R15)</f>
        <v>1924.595671141705</v>
      </c>
      <c r="S14" s="118" cm="1">
        <f t="array" ref="S14">ht(S13,S15)</f>
        <v>1924.595671141705</v>
      </c>
      <c r="T14" s="119" t="e">
        <f ca="1">((S14*S10)-N32*1000)/S10</f>
        <v>#VALUE!</v>
      </c>
      <c r="U14" s="118" t="e" cm="1">
        <f t="array" aca="1" ref="U14" ca="1">ht(U13,U15)</f>
        <v>#VALUE!</v>
      </c>
      <c r="V14" s="119" t="e">
        <f ca="1">((U14*U10)-N33*1000)/U10</f>
        <v>#VALUE!</v>
      </c>
      <c r="W14" s="118" t="e" cm="1">
        <f t="array" aca="1" ref="W14" ca="1">ht(W13,W15)</f>
        <v>#VALUE!</v>
      </c>
      <c r="X14" s="119" t="e">
        <f ca="1">((W14*W10)-N34*1000)/W10</f>
        <v>#VALUE!</v>
      </c>
      <c r="Y14" s="118" t="e" cm="1">
        <f t="array" aca="1" ref="Y14" ca="1">ht(Y13,Y15)</f>
        <v>#VALUE!</v>
      </c>
      <c r="Z14" s="118" t="e" cm="1">
        <f t="array" aca="1" ref="Z14" ca="1">ht(Z13,Z15)</f>
        <v>#VALUE!</v>
      </c>
      <c r="AA14" s="118" t="e" cm="1">
        <f t="array" aca="1" ref="AA14" ca="1">ht(AA13,AA15)</f>
        <v>#VALUE!</v>
      </c>
      <c r="AB14" s="118" t="e" cm="1">
        <f t="array" aca="1" ref="AB14" ca="1">ht(AB13,AB15)</f>
        <v>#VALUE!</v>
      </c>
      <c r="AC14" s="118"/>
      <c r="AD14" s="118" cm="1">
        <f t="array" ref="AD14">ht(AD13,AD15)</f>
        <v>235.29832285339532</v>
      </c>
      <c r="AE14" s="118" cm="1">
        <f t="array" ref="AE14">ht(AE13,AE15)</f>
        <v>315.14390394264717</v>
      </c>
      <c r="AF14" s="118" cm="1">
        <f t="array" ref="AF14">ht(AF13,AF15)</f>
        <v>315.14390394264717</v>
      </c>
      <c r="AG14" s="118" cm="1">
        <f t="array" ref="AG14">ht(AG13,AG15)</f>
        <v>315.14390394264717</v>
      </c>
      <c r="AH14" s="118" cm="1">
        <f t="array" ref="AH14">ht(AH13,AH15)</f>
        <v>315.14390394264717</v>
      </c>
      <c r="AI14" s="118" cm="1">
        <f t="array" ref="AI14">ht(AI13,AI15)</f>
        <v>315.14390394264717</v>
      </c>
    </row>
    <row r="15" spans="3:35">
      <c r="C15" s="2" t="s">
        <v>218</v>
      </c>
      <c r="D15" s="3">
        <v>0.5</v>
      </c>
      <c r="F15" s="112" t="s">
        <v>224</v>
      </c>
      <c r="G15" s="5">
        <v>0</v>
      </c>
      <c r="H15" s="5">
        <v>0</v>
      </c>
      <c r="I15" s="5"/>
      <c r="J15" s="5">
        <v>0</v>
      </c>
      <c r="K15" s="5">
        <f>J15</f>
        <v>0</v>
      </c>
      <c r="L15" s="5">
        <f>K15</f>
        <v>0</v>
      </c>
      <c r="M15" s="5">
        <f>L15</f>
        <v>0</v>
      </c>
      <c r="N15" s="5">
        <f>M15</f>
        <v>0</v>
      </c>
      <c r="O15" s="5">
        <v>0</v>
      </c>
      <c r="P15" s="5">
        <v>0</v>
      </c>
      <c r="Q15" s="117">
        <f>K30</f>
        <v>3.4741970710456371E-2</v>
      </c>
      <c r="R15" s="5">
        <f t="shared" ref="R15:AB15" si="2">$K$31/(R10-$K$31)</f>
        <v>3.0881751742627885E-2</v>
      </c>
      <c r="S15" s="5">
        <f t="shared" si="2"/>
        <v>3.0881751742627885E-2</v>
      </c>
      <c r="T15" s="5">
        <f t="shared" si="2"/>
        <v>3.0881751742627885E-2</v>
      </c>
      <c r="U15" s="5">
        <f t="shared" si="2"/>
        <v>3.0881751742627885E-2</v>
      </c>
      <c r="V15" s="5">
        <f t="shared" si="2"/>
        <v>3.0881751742627885E-2</v>
      </c>
      <c r="W15" s="5">
        <f t="shared" si="2"/>
        <v>2.9256396387752733E-2</v>
      </c>
      <c r="X15" s="5">
        <f t="shared" si="2"/>
        <v>2.9256396387752733E-2</v>
      </c>
      <c r="Y15" s="5">
        <f t="shared" si="2"/>
        <v>2.8653171719964014E-2</v>
      </c>
      <c r="Z15" s="5">
        <f t="shared" si="2"/>
        <v>2.8653171719964014E-2</v>
      </c>
      <c r="AA15" s="5">
        <f t="shared" si="2"/>
        <v>2.8653171719964014E-2</v>
      </c>
      <c r="AB15" s="5">
        <f t="shared" si="2"/>
        <v>2.8653171719964014E-2</v>
      </c>
      <c r="AC15" s="5"/>
      <c r="AD15" s="5">
        <f>G15</f>
        <v>0</v>
      </c>
      <c r="AE15" s="5">
        <f>AD15</f>
        <v>0</v>
      </c>
      <c r="AF15" s="5">
        <f>AD15</f>
        <v>0</v>
      </c>
      <c r="AG15" s="5">
        <f>AE15</f>
        <v>0</v>
      </c>
      <c r="AH15" s="5">
        <f>AG15</f>
        <v>0</v>
      </c>
      <c r="AI15" s="5">
        <f>AH15</f>
        <v>0</v>
      </c>
    </row>
    <row r="16" spans="3:35">
      <c r="C16" s="2" t="s">
        <v>217</v>
      </c>
      <c r="D16" s="3">
        <v>2.5</v>
      </c>
      <c r="F16" s="112" t="s">
        <v>485</v>
      </c>
      <c r="G16" s="113">
        <v>1.0020444639999999</v>
      </c>
      <c r="H16" s="113">
        <v>1.0020444639999999</v>
      </c>
      <c r="I16" s="113"/>
      <c r="J16" s="113">
        <v>1.0020444639999999</v>
      </c>
      <c r="K16" s="113">
        <v>1.0046483500000001</v>
      </c>
      <c r="L16" s="113">
        <v>1.0045869439999999</v>
      </c>
      <c r="M16" s="113">
        <v>1.004</v>
      </c>
      <c r="N16" s="113">
        <v>1.004</v>
      </c>
      <c r="O16" s="113">
        <v>1.0532041059999999</v>
      </c>
      <c r="P16" s="113">
        <v>1.0532041059999999</v>
      </c>
      <c r="Q16" s="113">
        <v>1.321942781</v>
      </c>
      <c r="R16" s="113">
        <v>1.300553584</v>
      </c>
      <c r="S16" s="113">
        <v>1.300553584</v>
      </c>
      <c r="T16" s="113" t="e">
        <v>#VALUE!</v>
      </c>
      <c r="U16" s="113" t="e">
        <v>#VALUE!</v>
      </c>
      <c r="V16" s="113" t="e">
        <v>#VALUE!</v>
      </c>
      <c r="W16" s="113" t="e">
        <v>#VALUE!</v>
      </c>
      <c r="X16" s="113" t="e">
        <v>#VALUE!</v>
      </c>
      <c r="Y16" s="113" t="e">
        <v>#VALUE!</v>
      </c>
      <c r="Z16" s="113" t="e">
        <v>#VALUE!</v>
      </c>
      <c r="AA16" s="113" t="e">
        <v>#VALUE!</v>
      </c>
      <c r="AB16" s="113" t="e">
        <v>#VALUE!</v>
      </c>
      <c r="AC16" s="113"/>
      <c r="AD16" s="113">
        <v>1.0020444639999999</v>
      </c>
      <c r="AE16" s="113">
        <v>1.0047257730000001</v>
      </c>
      <c r="AF16" s="113">
        <v>1.0047257730000001</v>
      </c>
      <c r="AG16" s="113">
        <v>1.0047257730000001</v>
      </c>
      <c r="AH16" s="113">
        <v>1.0047257730000001</v>
      </c>
      <c r="AI16" s="113">
        <v>1.0047257730000001</v>
      </c>
    </row>
    <row r="17" spans="3:35">
      <c r="C17" s="2" t="s">
        <v>486</v>
      </c>
      <c r="D17" s="115">
        <f>D12/D16</f>
        <v>10</v>
      </c>
      <c r="F17" s="112" t="s">
        <v>4</v>
      </c>
      <c r="G17" s="5">
        <f>G16/(G16-G18/1000)</f>
        <v>1.4014716399258722</v>
      </c>
      <c r="H17" s="5">
        <f>H16/(H16-H18/1000)</f>
        <v>1.4014716399258722</v>
      </c>
      <c r="I17" s="5"/>
      <c r="J17" s="5">
        <f t="shared" ref="J17:AB17" si="3">J16/(J16-J18/1000)</f>
        <v>1.4014716399258722</v>
      </c>
      <c r="K17" s="5">
        <f t="shared" si="3"/>
        <v>1.4000148551066205</v>
      </c>
      <c r="L17" s="5">
        <f t="shared" si="3"/>
        <v>1.4000490879254297</v>
      </c>
      <c r="M17" s="5">
        <f t="shared" si="3"/>
        <v>1.4003765952995328</v>
      </c>
      <c r="N17" s="5">
        <f t="shared" si="3"/>
        <v>1.4003765952995328</v>
      </c>
      <c r="O17" s="5">
        <f t="shared" si="3"/>
        <v>1.3746635275488559</v>
      </c>
      <c r="P17" s="5">
        <f>P16/(P16-P18/1000)</f>
        <v>1.3746635275488559</v>
      </c>
      <c r="Q17" s="5">
        <f t="shared" si="3"/>
        <v>1.2773713044714234</v>
      </c>
      <c r="R17" s="5">
        <f t="shared" si="3"/>
        <v>1.2832250543680077</v>
      </c>
      <c r="S17" s="5">
        <f t="shared" si="3"/>
        <v>1.2832250543680077</v>
      </c>
      <c r="T17" s="5" t="e">
        <f t="shared" si="3"/>
        <v>#VALUE!</v>
      </c>
      <c r="U17" s="5" t="e">
        <f t="shared" si="3"/>
        <v>#VALUE!</v>
      </c>
      <c r="V17" s="5" t="e">
        <f t="shared" si="3"/>
        <v>#VALUE!</v>
      </c>
      <c r="W17" s="5" t="e">
        <f t="shared" si="3"/>
        <v>#VALUE!</v>
      </c>
      <c r="X17" s="5" t="e">
        <f t="shared" si="3"/>
        <v>#VALUE!</v>
      </c>
      <c r="Y17" s="5" t="e">
        <f t="shared" si="3"/>
        <v>#VALUE!</v>
      </c>
      <c r="Z17" s="5" t="e">
        <f t="shared" si="3"/>
        <v>#VALUE!</v>
      </c>
      <c r="AA17" s="5" t="e">
        <f t="shared" si="3"/>
        <v>#VALUE!</v>
      </c>
      <c r="AB17" s="5" t="e">
        <f t="shared" si="3"/>
        <v>#VALUE!</v>
      </c>
      <c r="AC17" s="5"/>
      <c r="AD17" s="5">
        <f t="shared" ref="AD17:AI17" si="4">AD16/(AD16-AD18/1000)</f>
        <v>1.4014716399258722</v>
      </c>
      <c r="AE17" s="5">
        <f t="shared" si="4"/>
        <v>1.3999717014273518</v>
      </c>
      <c r="AF17" s="5">
        <f t="shared" si="4"/>
        <v>1.3999717014273518</v>
      </c>
      <c r="AG17" s="5">
        <f t="shared" si="4"/>
        <v>1.3999717014273518</v>
      </c>
      <c r="AH17" s="5">
        <f t="shared" si="4"/>
        <v>1.3999717014273518</v>
      </c>
      <c r="AI17" s="5">
        <f t="shared" si="4"/>
        <v>1.3999717014273518</v>
      </c>
    </row>
    <row r="18" spans="3:35">
      <c r="F18" s="112" t="s">
        <v>351</v>
      </c>
      <c r="G18" s="5">
        <f>287.05-0.0099*G15+0.0000001*G15^ 2</f>
        <v>287.05</v>
      </c>
      <c r="H18" s="5">
        <f>287.05-0.0099*H15+0.0000001*H15^ 2</f>
        <v>287.05</v>
      </c>
      <c r="I18" s="5"/>
      <c r="J18" s="5">
        <f t="shared" ref="J18:AB18" si="5">287.05-0.0099*J15+0.0000001*J15^ 2</f>
        <v>287.05</v>
      </c>
      <c r="K18" s="5">
        <f t="shared" si="5"/>
        <v>287.05</v>
      </c>
      <c r="L18" s="5">
        <f t="shared" si="5"/>
        <v>287.05</v>
      </c>
      <c r="M18" s="5">
        <f t="shared" si="5"/>
        <v>287.05</v>
      </c>
      <c r="N18" s="5">
        <f t="shared" si="5"/>
        <v>287.05</v>
      </c>
      <c r="O18" s="5">
        <f t="shared" si="5"/>
        <v>287.05</v>
      </c>
      <c r="P18" s="5">
        <f t="shared" si="5"/>
        <v>287.05</v>
      </c>
      <c r="Q18" s="5">
        <f t="shared" si="5"/>
        <v>287.04965605461064</v>
      </c>
      <c r="R18" s="5">
        <f t="shared" si="5"/>
        <v>287.04969427075315</v>
      </c>
      <c r="S18" s="5">
        <f t="shared" si="5"/>
        <v>287.04969427075315</v>
      </c>
      <c r="T18" s="5">
        <f t="shared" si="5"/>
        <v>287.04969427075315</v>
      </c>
      <c r="U18" s="5">
        <f t="shared" si="5"/>
        <v>287.04969427075315</v>
      </c>
      <c r="V18" s="5">
        <f t="shared" si="5"/>
        <v>287.04969427075315</v>
      </c>
      <c r="W18" s="5">
        <f t="shared" si="5"/>
        <v>287.04971036176136</v>
      </c>
      <c r="X18" s="5">
        <f t="shared" si="5"/>
        <v>287.04971036176136</v>
      </c>
      <c r="Y18" s="5">
        <f t="shared" si="5"/>
        <v>287.04971633368206</v>
      </c>
      <c r="Z18" s="5">
        <f t="shared" si="5"/>
        <v>287.04971633368206</v>
      </c>
      <c r="AA18" s="5">
        <f t="shared" si="5"/>
        <v>287.04971633368206</v>
      </c>
      <c r="AB18" s="5">
        <f t="shared" si="5"/>
        <v>287.04971633368206</v>
      </c>
      <c r="AC18" s="5"/>
      <c r="AD18" s="5">
        <f t="shared" ref="AD18:AI18" si="6">287.05-0.0099*AD15+0.0000001*AD15^ 2</f>
        <v>287.05</v>
      </c>
      <c r="AE18" s="5">
        <f t="shared" si="6"/>
        <v>287.05</v>
      </c>
      <c r="AF18" s="5">
        <f t="shared" si="6"/>
        <v>287.05</v>
      </c>
      <c r="AG18" s="5">
        <f t="shared" si="6"/>
        <v>287.05</v>
      </c>
      <c r="AH18" s="5">
        <f t="shared" si="6"/>
        <v>287.05</v>
      </c>
      <c r="AI18" s="5">
        <f t="shared" si="6"/>
        <v>287.05</v>
      </c>
    </row>
    <row r="19" spans="3:35">
      <c r="C19" s="304" t="s">
        <v>487</v>
      </c>
      <c r="D19" s="304"/>
      <c r="F19" s="112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</row>
    <row r="20" spans="3:35">
      <c r="F20" s="112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</row>
    <row r="21" spans="3:35">
      <c r="C21" s="2" t="s">
        <v>488</v>
      </c>
      <c r="D21" s="3">
        <v>0.99</v>
      </c>
      <c r="F21" s="112" t="s">
        <v>23</v>
      </c>
      <c r="G21" s="5">
        <f>D4</f>
        <v>0.65</v>
      </c>
      <c r="H21" s="5">
        <f>R30</f>
        <v>0.65</v>
      </c>
      <c r="I21" s="5"/>
      <c r="J21" s="5">
        <f>R31</f>
        <v>0.5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 t="e" cm="1">
        <f t="array" aca="1" ref="AA21" ca="1">IF(AA31&gt;AA30,1,MNfromPTPS(AA12/AB24,AA17,1))</f>
        <v>#VALUE!</v>
      </c>
      <c r="AB21" s="5" t="e">
        <f ca="1">AA35</f>
        <v>#VALUE!</v>
      </c>
      <c r="AC21" s="5"/>
      <c r="AD21" s="5">
        <f>R32</f>
        <v>0.5</v>
      </c>
      <c r="AE21" s="5"/>
      <c r="AF21" s="5"/>
      <c r="AG21" s="5"/>
      <c r="AH21" s="5" cm="1">
        <f t="array" ref="AH21">IF(AE31&gt;AE30,1,MNfromPTPS(AH12/AI24,AH17,1))</f>
        <v>1</v>
      </c>
      <c r="AI21" s="5">
        <f>AE35</f>
        <v>1.3822729922248982</v>
      </c>
    </row>
    <row r="22" spans="3:35">
      <c r="C22" s="2" t="s">
        <v>489</v>
      </c>
      <c r="D22" s="3">
        <v>0.997</v>
      </c>
      <c r="F22" s="112" t="s">
        <v>490</v>
      </c>
      <c r="G22" s="5">
        <f>SQRT(G17*G18*G23)*G21</f>
        <v>191.9171319508369</v>
      </c>
      <c r="H22" s="5">
        <f>H21*SQRT(H17*H18*H23)</f>
        <v>191.9171319508369</v>
      </c>
      <c r="I22" s="5"/>
      <c r="J22" s="5">
        <f>J21*SQRT(J17*J18*J23)</f>
        <v>150.04264798457066</v>
      </c>
      <c r="K22" s="5"/>
      <c r="L22" s="5"/>
      <c r="M22" s="5"/>
      <c r="N22" s="5"/>
      <c r="O22" s="5" t="e">
        <f ca="1">O21*SQRT(O17*O18*O23)</f>
        <v>#NAME?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 t="e">
        <f ca="1">AA21*SQRT(AA17*AA18*AA23)</f>
        <v>#VALUE!</v>
      </c>
      <c r="AB22" s="5" t="e">
        <f ca="1">D35*((AB13-(AB24/Z12)^((AB17-1)/AB17)*AB13)*2*(AB16*1000))^0.5</f>
        <v>#VALUE!</v>
      </c>
      <c r="AC22" s="5"/>
      <c r="AD22" s="5">
        <f>AD21*SQRT(AD17*AD18*AD23)</f>
        <v>150.04264798457066</v>
      </c>
      <c r="AE22" s="5"/>
      <c r="AF22" s="5"/>
      <c r="AG22" s="5"/>
      <c r="AH22" s="5">
        <f>AH21*SQRT(AH17*AH18*AH23)</f>
        <v>324.6292989310657</v>
      </c>
      <c r="AI22" s="5">
        <f>D37*((AI13-(AI24/AG12)^((AI17-1)/AI17)*AI13)*2*(AI16*1000))^0.5</f>
        <v>418.11764937811256</v>
      </c>
    </row>
    <row r="23" spans="3:35">
      <c r="C23" s="2" t="s">
        <v>491</v>
      </c>
      <c r="D23" s="3">
        <v>0.03</v>
      </c>
      <c r="F23" s="112" t="s">
        <v>109</v>
      </c>
      <c r="G23" s="5">
        <f>D3</f>
        <v>216.7</v>
      </c>
      <c r="H23" s="5">
        <f>H13/(1+(H17-1)/2*H21^2)</f>
        <v>216.7</v>
      </c>
      <c r="I23" s="5"/>
      <c r="J23" s="5">
        <f>J13/(1+(J17-1)/2*J21^2)</f>
        <v>223.84508678829098</v>
      </c>
      <c r="K23" s="5"/>
      <c r="L23" s="5"/>
      <c r="M23" s="5"/>
      <c r="N23" s="5"/>
      <c r="O23" s="5" t="e">
        <f ca="1">O16*(O13-N13)</f>
        <v>#NAME?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 t="e">
        <f ca="1">AA13/(1+(AA17-1)/2*AA21^2)</f>
        <v>#VALUE!</v>
      </c>
      <c r="AB23" s="5" t="e">
        <f ca="1">AB13-AB22^2/(2*AB16*1000)</f>
        <v>#VALUE!</v>
      </c>
      <c r="AC23" s="5"/>
      <c r="AD23" s="5">
        <f>AD13/(1+(AD17-1)/2*AD21^2)</f>
        <v>223.84508678829098</v>
      </c>
      <c r="AE23" s="5"/>
      <c r="AF23" s="5"/>
      <c r="AG23" s="5"/>
      <c r="AH23" s="5">
        <f>AH13/(1+(AH17-1)/2*AH21^2)</f>
        <v>262.2398087094075</v>
      </c>
      <c r="AI23" s="5">
        <f>AI13-AI22^2/(2*AI16*1000)</f>
        <v>227.68401803347589</v>
      </c>
    </row>
    <row r="24" spans="3:35">
      <c r="C24" s="2" t="s">
        <v>492</v>
      </c>
      <c r="D24" s="3">
        <v>0.01</v>
      </c>
      <c r="F24" s="112" t="s">
        <v>108</v>
      </c>
      <c r="G24" s="5">
        <f>D2</f>
        <v>20.72</v>
      </c>
      <c r="H24" s="5">
        <f>(H23/H13)^(H17/(H17-1))*H12</f>
        <v>20.72</v>
      </c>
      <c r="I24" s="5"/>
      <c r="J24" s="5">
        <f>(J23/J13)^(J17/(J17-1))*J12</f>
        <v>23.134818322342259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 t="e">
        <f ca="1">(AA23/AA13)^(AA17/(AA17-1))*AA12</f>
        <v>#VALUE!</v>
      </c>
      <c r="AB24" s="5">
        <f>G24</f>
        <v>20.72</v>
      </c>
      <c r="AC24" s="5"/>
      <c r="AD24" s="5">
        <f>(AD23/AD13)^(AD17/(AD17-1))*AD12</f>
        <v>22.972387301021904</v>
      </c>
      <c r="AE24" s="5"/>
      <c r="AF24" s="5"/>
      <c r="AG24" s="5"/>
      <c r="AH24" s="5">
        <f>(AH23/AH13)^(AH17/(AH17-1))*AH12</f>
        <v>34.915750271228113</v>
      </c>
      <c r="AI24" s="5">
        <f>G24</f>
        <v>20.72</v>
      </c>
    </row>
    <row r="25" spans="3:35">
      <c r="C25" s="2" t="s">
        <v>493</v>
      </c>
      <c r="D25" s="3">
        <v>0.9</v>
      </c>
      <c r="F25" s="112" t="s">
        <v>384</v>
      </c>
      <c r="G25" s="5">
        <f>H10/(G22*(G24*1000/(H18*G23)))</f>
        <v>0.31526726574014508</v>
      </c>
      <c r="H25" s="5">
        <f>H10/(H22*(H24*1000/(H18*H23)))</f>
        <v>0.31526726574014508</v>
      </c>
      <c r="I25" s="5"/>
      <c r="J25" s="5">
        <f>J10/(J22*(J24*1000/(J18*J23)))</f>
        <v>0.24871327071565766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 t="e">
        <f ca="1">AA10/(AA22*(AA24*1000/(AA18*AA23)))</f>
        <v>#VALUE!</v>
      </c>
      <c r="AB25" s="5" t="e">
        <f ca="1">AB10/(AB22*(AB24*1000/(AB18*AB23)))</f>
        <v>#VALUE!</v>
      </c>
      <c r="AC25" s="5"/>
      <c r="AD25" s="5">
        <f>AD10/(AD22*(AD24*1000/(AD18*AD23)))</f>
        <v>0.12523592469874278</v>
      </c>
      <c r="AE25" s="5"/>
      <c r="AF25" s="5"/>
      <c r="AG25" s="5"/>
      <c r="AH25" s="5">
        <f>AH10/(AH22*(AH24*1000/(AH18*AH23)))</f>
        <v>4.4616113574602628E-2</v>
      </c>
      <c r="AI25" s="5">
        <f>AI10/(AI22*(AI24*1000/(AI18*AI23)))</f>
        <v>5.0681155246970068E-2</v>
      </c>
    </row>
    <row r="26" spans="3:35">
      <c r="C26" s="2" t="s">
        <v>494</v>
      </c>
      <c r="D26" s="3">
        <v>0.9</v>
      </c>
      <c r="F26" s="112" t="s">
        <v>495</v>
      </c>
      <c r="G26" s="5" cm="1">
        <f t="array" ref="G26">cp(G13,G15)/1000</f>
        <v>1.0020444643415634</v>
      </c>
      <c r="H26" s="5" cm="1">
        <f t="array" ref="H26">cp(H13,H15)/1000</f>
        <v>1.0020444643415634</v>
      </c>
      <c r="I26" s="5"/>
      <c r="J26" s="5" cm="1">
        <f t="array" ref="J26">cp(J13,J15)/1000</f>
        <v>1.0020444643415634</v>
      </c>
      <c r="K26" s="5" cm="1">
        <f t="array" ref="K26">cp(K13,K15)/1000</f>
        <v>1.0046483497644436</v>
      </c>
      <c r="L26" s="5" cm="1">
        <f t="array" ref="L26">cp(L13,L15)/1000</f>
        <v>1.0045869437345105</v>
      </c>
      <c r="M26" s="5" t="e" cm="1">
        <f t="array" aca="1" ref="M26" ca="1">cp(M13,M15)/1000</f>
        <v>#VALUE!</v>
      </c>
      <c r="N26" s="5" t="e" cm="1">
        <f t="array" aca="1" ref="N26" ca="1">cp(N13,N15)/1000</f>
        <v>#VALUE!</v>
      </c>
      <c r="O26" s="5" cm="1">
        <f t="array" ref="O26">cp(O13,O15)/1000</f>
        <v>1.0532041056966608</v>
      </c>
      <c r="P26" s="5" cm="1">
        <f t="array" ref="P26">cp(P13,P15)/1000</f>
        <v>1.0532041056966608</v>
      </c>
      <c r="Q26" s="5" cm="1">
        <f t="array" ref="Q26">cp(Q13,Q15)/1000</f>
        <v>1.321942781020095</v>
      </c>
      <c r="R26" s="5" cm="1">
        <f t="array" ref="R26">cp(R13,R15)/1000</f>
        <v>1.3005535841191118</v>
      </c>
      <c r="S26" s="5" cm="1">
        <f t="array" ref="S26">cp(S13,S15)/1000</f>
        <v>1.3005535841191118</v>
      </c>
      <c r="T26" s="5" t="e" cm="1">
        <f t="array" aca="1" ref="T26" ca="1">cp(T13,T15)/1000</f>
        <v>#VALUE!</v>
      </c>
      <c r="U26" s="5" t="e" cm="1">
        <f t="array" aca="1" ref="U26" ca="1">cp(U13,U15)/1000</f>
        <v>#VALUE!</v>
      </c>
      <c r="V26" s="5" t="e" cm="1">
        <f t="array" aca="1" ref="V26" ca="1">cp(V13,V15)/1000</f>
        <v>#VALUE!</v>
      </c>
      <c r="W26" s="5" t="e" cm="1">
        <f t="array" aca="1" ref="W26" ca="1">cp(W13,W15)/1000</f>
        <v>#VALUE!</v>
      </c>
      <c r="X26" s="5" t="e" cm="1">
        <f t="array" aca="1" ref="X26" ca="1">cp(X13,X15)/1000</f>
        <v>#VALUE!</v>
      </c>
      <c r="Y26" s="5" t="e" cm="1">
        <f t="array" aca="1" ref="Y26" ca="1">cp(Y13,Y15)/1000</f>
        <v>#VALUE!</v>
      </c>
      <c r="Z26" s="5" t="e" cm="1">
        <f t="array" aca="1" ref="Z26" ca="1">cp(Z13,Z15)/1000</f>
        <v>#VALUE!</v>
      </c>
      <c r="AA26" s="5" t="e" cm="1">
        <f t="array" aca="1" ref="AA26" ca="1">cp(AA13,AA15)/1000</f>
        <v>#VALUE!</v>
      </c>
      <c r="AB26" s="5" t="e" cm="1">
        <f t="array" aca="1" ref="AB26" ca="1">cp(AB13,AB15)/1000</f>
        <v>#VALUE!</v>
      </c>
      <c r="AC26" s="5"/>
      <c r="AD26" s="5" cm="1">
        <f t="array" ref="AD26">cp(AD13,AD15)/1000</f>
        <v>1.0020444643415634</v>
      </c>
      <c r="AE26" s="5" cm="1">
        <f t="array" ref="AE26">cp(AE13,AE15)/1000</f>
        <v>1.0047257725240406</v>
      </c>
      <c r="AF26" s="5" cm="1">
        <f t="array" ref="AF26">cp(AF13,AF15)/1000</f>
        <v>1.0047257725240406</v>
      </c>
      <c r="AG26" s="5" cm="1">
        <f t="array" ref="AG26">cp(AG13,AG15)/1000</f>
        <v>1.0047257725240406</v>
      </c>
      <c r="AH26" s="5" cm="1">
        <f t="array" ref="AH26">cp(AH13,AH15)/1000</f>
        <v>1.0047257725240406</v>
      </c>
      <c r="AI26" s="5" cm="1">
        <f t="array" ref="AI26">cp(AI13,AI15)/1000</f>
        <v>1.0047257725240406</v>
      </c>
    </row>
    <row r="27" spans="3:35">
      <c r="C27" s="2" t="s">
        <v>496</v>
      </c>
      <c r="D27" s="3">
        <v>0.01</v>
      </c>
    </row>
    <row r="28" spans="3:35">
      <c r="C28" s="2" t="s">
        <v>497</v>
      </c>
      <c r="D28" s="3">
        <v>0.02</v>
      </c>
    </row>
    <row r="29" spans="3:35">
      <c r="C29" s="2" t="s">
        <v>498</v>
      </c>
      <c r="D29" s="3">
        <v>0.91</v>
      </c>
      <c r="G29" s="287" t="s">
        <v>499</v>
      </c>
      <c r="H29" s="287"/>
      <c r="J29" s="287" t="s">
        <v>500</v>
      </c>
      <c r="K29" s="287"/>
      <c r="M29" s="287" t="s">
        <v>501</v>
      </c>
      <c r="N29" s="287"/>
      <c r="Q29" t="s">
        <v>371</v>
      </c>
      <c r="Z29" s="287" t="s">
        <v>502</v>
      </c>
      <c r="AA29" s="287"/>
      <c r="AD29" s="287" t="s">
        <v>503</v>
      </c>
      <c r="AE29" s="287"/>
      <c r="AF29" s="120"/>
    </row>
    <row r="30" spans="3:35">
      <c r="C30" s="2" t="s">
        <v>504</v>
      </c>
      <c r="D30" s="3">
        <v>0.99</v>
      </c>
      <c r="G30" s="73" t="s">
        <v>505</v>
      </c>
      <c r="H30" s="5">
        <f>(-O14*O10+(J14*J10)+(-AE10*AE14+AD10*AD14))/1000</f>
        <v>-4.0248334912661443</v>
      </c>
      <c r="J30" s="73" t="s">
        <v>224</v>
      </c>
      <c r="K30" s="117" cm="1">
        <f t="array" ref="K30">burn(Q13,P13,D7,D30)</f>
        <v>3.4741970710456371E-2</v>
      </c>
      <c r="M30" s="73" t="s">
        <v>505</v>
      </c>
      <c r="N30" s="5" t="e">
        <f ca="1">SUM(N32:N34)</f>
        <v>#VALUE!</v>
      </c>
      <c r="Q30" t="s">
        <v>506</v>
      </c>
      <c r="R30">
        <v>0.65</v>
      </c>
      <c r="Z30" s="73" t="s">
        <v>507</v>
      </c>
      <c r="AA30" s="5" t="e">
        <f>(1+((AB17-1)/2))^(AB17/(AB17-1))</f>
        <v>#VALUE!</v>
      </c>
      <c r="AD30" s="73" t="s">
        <v>507</v>
      </c>
      <c r="AE30" s="5">
        <f>(1+((AI17-1)/2))^(AI17/(AI17-1))</f>
        <v>1.8929120802395432</v>
      </c>
    </row>
    <row r="31" spans="3:35">
      <c r="C31" s="2" t="s">
        <v>508</v>
      </c>
      <c r="D31" s="3">
        <v>0.8</v>
      </c>
      <c r="G31" s="12"/>
      <c r="J31" s="73" t="s">
        <v>509</v>
      </c>
      <c r="K31" s="5">
        <f>K30*P10</f>
        <v>0.37343850121065159</v>
      </c>
      <c r="Q31" t="s">
        <v>510</v>
      </c>
      <c r="R31">
        <v>0.5</v>
      </c>
      <c r="Z31" s="73" t="s">
        <v>511</v>
      </c>
      <c r="AA31" s="5" t="e">
        <f ca="1">Z12/AB24</f>
        <v>#VALUE!</v>
      </c>
      <c r="AD31" s="73" t="s">
        <v>511</v>
      </c>
      <c r="AE31" s="5">
        <f>AG12/AI24</f>
        <v>3.1897898397217568</v>
      </c>
    </row>
    <row r="32" spans="3:35">
      <c r="C32" s="2" t="s">
        <v>512</v>
      </c>
      <c r="D32" s="3">
        <v>0.05</v>
      </c>
      <c r="G32" s="73" t="s">
        <v>513</v>
      </c>
      <c r="H32" s="5" t="e">
        <f ca="1">(-O14*O10+(N14*N10))/1000</f>
        <v>#VALUE!</v>
      </c>
      <c r="J32" s="73" t="s">
        <v>514</v>
      </c>
      <c r="K32" s="5">
        <f>K31*2.20462*3600</f>
        <v>2963.8439587404955</v>
      </c>
      <c r="M32" s="73" t="s">
        <v>515</v>
      </c>
      <c r="N32" s="5" t="e">
        <f ca="1">-H32/D38</f>
        <v>#VALUE!</v>
      </c>
      <c r="Q32" t="s">
        <v>516</v>
      </c>
      <c r="R32">
        <v>0.5</v>
      </c>
      <c r="Z32" s="73" t="s">
        <v>517</v>
      </c>
      <c r="AA32" s="5" t="e">
        <f ca="1">AA25</f>
        <v>#VALUE!</v>
      </c>
      <c r="AD32" s="73" t="s">
        <v>517</v>
      </c>
      <c r="AE32" s="5">
        <f>AH25</f>
        <v>4.4616113574602628E-2</v>
      </c>
    </row>
    <row r="33" spans="3:31">
      <c r="C33" s="2" t="s">
        <v>518</v>
      </c>
      <c r="D33" s="3">
        <v>0.91</v>
      </c>
      <c r="G33" s="73" t="s">
        <v>519</v>
      </c>
      <c r="H33" s="5" t="e">
        <f ca="1">(-M14*M10+(L14*L10))/1000</f>
        <v>#VALUE!</v>
      </c>
      <c r="J33" s="73" t="s">
        <v>520</v>
      </c>
      <c r="K33" s="5">
        <f>K31*D7*1000/1000000</f>
        <v>16113.871327239616</v>
      </c>
      <c r="M33" s="73" t="s">
        <v>521</v>
      </c>
      <c r="N33" s="5" t="e">
        <f ca="1">-H33/D38</f>
        <v>#VALUE!</v>
      </c>
      <c r="Z33" s="73" t="s">
        <v>522</v>
      </c>
      <c r="AA33" s="5" t="e">
        <f ca="1">AA32/D34</f>
        <v>#VALUE!</v>
      </c>
      <c r="AD33" s="73" t="s">
        <v>522</v>
      </c>
      <c r="AE33" s="5">
        <f>AE32/D36</f>
        <v>4.9573459527336251E-2</v>
      </c>
    </row>
    <row r="34" spans="3:31">
      <c r="C34" s="2" t="s">
        <v>523</v>
      </c>
      <c r="D34" s="3">
        <v>0.9</v>
      </c>
      <c r="G34" s="73" t="s">
        <v>524</v>
      </c>
      <c r="H34" s="5">
        <f>(J10*(J14-K14)+(-AE10*AE14+AD10*AD14))/1000</f>
        <v>-1.5924680130167499</v>
      </c>
      <c r="M34" s="73" t="s">
        <v>525</v>
      </c>
      <c r="N34" s="5">
        <f>-H34/D38</f>
        <v>1.6085535485017677</v>
      </c>
      <c r="Z34" s="73"/>
      <c r="AA34" s="5"/>
      <c r="AD34" s="73"/>
      <c r="AE34" s="5"/>
    </row>
    <row r="35" spans="3:31">
      <c r="C35" s="2" t="s">
        <v>526</v>
      </c>
      <c r="D35" s="3">
        <v>0.99</v>
      </c>
      <c r="G35" s="12"/>
      <c r="Z35" s="73" t="s">
        <v>527</v>
      </c>
      <c r="AA35" s="5" t="e" cm="1">
        <f t="array" aca="1" ref="AA35" ca="1">MNfromPTPS((AB12/AB24),AB17,IF(AA31&gt;AA30,0,1))</f>
        <v>#VALUE!</v>
      </c>
      <c r="AD35" s="73" t="s">
        <v>527</v>
      </c>
      <c r="AE35" s="5" cm="1">
        <f t="array" ref="AE35">MNfromPTPS((AI12/AI24),AI17,IF(AE31&gt;AE30,0,1))</f>
        <v>1.3822729922248982</v>
      </c>
    </row>
    <row r="36" spans="3:31">
      <c r="C36" s="2" t="s">
        <v>528</v>
      </c>
      <c r="D36" s="3">
        <v>0.9</v>
      </c>
      <c r="G36" s="73" t="s">
        <v>529</v>
      </c>
      <c r="H36" s="55">
        <f>D17^(1-D13)</f>
        <v>4.0271703432545909</v>
      </c>
      <c r="M36" s="73" t="s">
        <v>530</v>
      </c>
      <c r="N36" s="5" t="e">
        <f ca="1">1/((T13/S13)^(S17/((S17-1)*D33)))</f>
        <v>#VALUE!</v>
      </c>
      <c r="O36" t="e">
        <f ca="1">S12/T12</f>
        <v>#VALUE!</v>
      </c>
      <c r="Z36" s="73" t="s">
        <v>531</v>
      </c>
      <c r="AA36" s="5" t="e">
        <f ca="1">AB25/AA25</f>
        <v>#VALUE!</v>
      </c>
      <c r="AB36" t="e">
        <f ca="1">AB22/AI22</f>
        <v>#VALUE!</v>
      </c>
      <c r="AD36" s="73" t="s">
        <v>531</v>
      </c>
      <c r="AE36" s="5">
        <f>AI25/AH25</f>
        <v>1.1359383681464339</v>
      </c>
    </row>
    <row r="37" spans="3:31">
      <c r="C37" s="2" t="s">
        <v>532</v>
      </c>
      <c r="D37" s="3">
        <v>0.99</v>
      </c>
      <c r="G37" s="73" t="s">
        <v>533</v>
      </c>
      <c r="H37" s="55">
        <f>D17^D13</f>
        <v>2.4831331052955705</v>
      </c>
      <c r="M37" s="73" t="s">
        <v>534</v>
      </c>
      <c r="N37" s="5" t="e">
        <f ca="1">1/((V13/U13)^(U17/((U17-1)*D33)))</f>
        <v>#VALUE!</v>
      </c>
    </row>
    <row r="38" spans="3:31">
      <c r="C38" s="2" t="s">
        <v>535</v>
      </c>
      <c r="D38" s="3">
        <v>0.99</v>
      </c>
      <c r="G38" s="73" t="s">
        <v>536</v>
      </c>
      <c r="H38" s="5">
        <f>D16</f>
        <v>2.5</v>
      </c>
      <c r="M38" s="73" t="s">
        <v>537</v>
      </c>
      <c r="N38" s="5" t="e">
        <f ca="1">1/((X13/W13)^(W17/((W17-1)*D33)))</f>
        <v>#VALUE!</v>
      </c>
    </row>
    <row r="40" spans="3:31">
      <c r="M40" s="73" t="s">
        <v>538</v>
      </c>
      <c r="N40" s="5" t="e">
        <f ca="1">N36*N37*N38</f>
        <v>#VALUE!</v>
      </c>
    </row>
    <row r="42" spans="3:31">
      <c r="C42" s="364" t="s">
        <v>539</v>
      </c>
      <c r="D42" s="364"/>
      <c r="G42" s="12"/>
    </row>
    <row r="43" spans="3:31">
      <c r="C43" s="12"/>
      <c r="D43" s="12" t="s">
        <v>540</v>
      </c>
      <c r="M43" s="73" t="s">
        <v>541</v>
      </c>
      <c r="N43" s="5" t="e">
        <f ca="1">S14-T14</f>
        <v>#VALUE!</v>
      </c>
    </row>
    <row r="44" spans="3:31">
      <c r="C44" s="2" t="s">
        <v>542</v>
      </c>
      <c r="D44" s="3">
        <v>10</v>
      </c>
      <c r="M44" s="73" t="s">
        <v>543</v>
      </c>
      <c r="N44" s="5" t="e">
        <f ca="1">U14-V14</f>
        <v>#VALUE!</v>
      </c>
    </row>
    <row r="45" spans="3:31">
      <c r="C45" s="2" t="s">
        <v>544</v>
      </c>
      <c r="D45" s="3">
        <v>3</v>
      </c>
      <c r="M45" s="73" t="s">
        <v>545</v>
      </c>
      <c r="N45" s="5" t="e">
        <f ca="1">W14-X14</f>
        <v>#VALUE!</v>
      </c>
    </row>
    <row r="47" spans="3:31">
      <c r="C47" s="2" t="s">
        <v>546</v>
      </c>
      <c r="D47" s="3">
        <v>0</v>
      </c>
    </row>
    <row r="48" spans="3:31">
      <c r="C48" s="2" t="s">
        <v>547</v>
      </c>
      <c r="D48" s="3">
        <v>0</v>
      </c>
    </row>
    <row r="50" spans="3:4">
      <c r="C50" s="2" t="s">
        <v>548</v>
      </c>
      <c r="D50" s="3">
        <v>5</v>
      </c>
    </row>
    <row r="51" spans="3:4">
      <c r="C51" s="2" t="s">
        <v>549</v>
      </c>
      <c r="D51" s="3">
        <v>2</v>
      </c>
    </row>
    <row r="54" spans="3:4">
      <c r="C54" s="2" t="s">
        <v>550</v>
      </c>
      <c r="D54" s="3">
        <v>1</v>
      </c>
    </row>
    <row r="57" spans="3:4">
      <c r="C57" s="73" t="s">
        <v>551</v>
      </c>
      <c r="D57" s="106">
        <f>SUM(D44:D54)</f>
        <v>21</v>
      </c>
    </row>
  </sheetData>
  <mergeCells count="10">
    <mergeCell ref="AG6:AI6"/>
    <mergeCell ref="AD29:AE29"/>
    <mergeCell ref="C42:D42"/>
    <mergeCell ref="C1:D1"/>
    <mergeCell ref="C19:D19"/>
    <mergeCell ref="C11:D11"/>
    <mergeCell ref="G29:H29"/>
    <mergeCell ref="J29:K29"/>
    <mergeCell ref="M29:N29"/>
    <mergeCell ref="Z29:AA29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D06B2-BB4C-49F9-8958-985D56BD039C}">
  <sheetPr codeName="Sheet3"/>
  <dimension ref="B1:AC54"/>
  <sheetViews>
    <sheetView zoomScale="60" zoomScaleNormal="60" workbookViewId="0">
      <pane xSplit="6" topLeftCell="G1" activePane="topRight" state="frozen"/>
      <selection pane="topRight" activeCell="B38" sqref="B38:C38"/>
    </sheetView>
  </sheetViews>
  <sheetFormatPr defaultRowHeight="14.4"/>
  <cols>
    <col min="2" max="2" width="23.6640625" bestFit="1" customWidth="1"/>
    <col min="3" max="3" width="12" bestFit="1" customWidth="1"/>
    <col min="6" max="6" width="26.6640625" customWidth="1"/>
    <col min="7" max="18" width="15.6640625" customWidth="1"/>
    <col min="19" max="19" width="18.44140625" customWidth="1"/>
    <col min="20" max="20" width="18.6640625" customWidth="1"/>
    <col min="21" max="30" width="15.6640625" customWidth="1"/>
  </cols>
  <sheetData>
    <row r="1" spans="2:29">
      <c r="B1" t="s">
        <v>552</v>
      </c>
    </row>
    <row r="3" spans="2:29">
      <c r="F3" s="194" t="s">
        <v>553</v>
      </c>
    </row>
    <row r="4" spans="2:29">
      <c r="F4" s="193" t="s">
        <v>554</v>
      </c>
    </row>
    <row r="5" spans="2:29">
      <c r="B5" s="2" t="s">
        <v>452</v>
      </c>
      <c r="C5" s="3">
        <f>43.15*1000000</f>
        <v>43150000</v>
      </c>
    </row>
    <row r="7" spans="2:29">
      <c r="B7" s="2" t="s">
        <v>480</v>
      </c>
      <c r="C7" s="3">
        <v>67</v>
      </c>
    </row>
    <row r="9" spans="2:29">
      <c r="B9" s="364" t="s">
        <v>482</v>
      </c>
      <c r="C9" s="364"/>
      <c r="F9" s="185"/>
      <c r="G9" s="184" t="s">
        <v>453</v>
      </c>
      <c r="H9" s="183" t="s">
        <v>454</v>
      </c>
      <c r="I9" s="183" t="s">
        <v>555</v>
      </c>
      <c r="J9" s="183" t="s">
        <v>556</v>
      </c>
      <c r="K9" s="183" t="s">
        <v>557</v>
      </c>
      <c r="L9" s="183" t="s">
        <v>457</v>
      </c>
      <c r="M9" s="183" t="s">
        <v>558</v>
      </c>
      <c r="N9" s="183" t="s">
        <v>459</v>
      </c>
      <c r="O9" s="183" t="s">
        <v>460</v>
      </c>
      <c r="P9" s="183" t="s">
        <v>559</v>
      </c>
      <c r="Q9" s="183" t="s">
        <v>462</v>
      </c>
      <c r="R9" s="183" t="s">
        <v>560</v>
      </c>
      <c r="S9" s="183" t="s">
        <v>561</v>
      </c>
      <c r="T9" s="183" t="s">
        <v>465</v>
      </c>
      <c r="U9" s="201" t="s">
        <v>466</v>
      </c>
      <c r="V9" s="201" t="s">
        <v>467</v>
      </c>
      <c r="W9" s="183" t="s">
        <v>468</v>
      </c>
      <c r="X9" s="183" t="s">
        <v>469</v>
      </c>
      <c r="Y9" s="183" t="s">
        <v>562</v>
      </c>
      <c r="Z9" s="183" t="s">
        <v>470</v>
      </c>
      <c r="AA9" s="183" t="s">
        <v>471</v>
      </c>
      <c r="AB9" s="183" t="s">
        <v>472</v>
      </c>
      <c r="AC9" s="183" t="s">
        <v>473</v>
      </c>
    </row>
    <row r="10" spans="2:29" ht="15" thickBot="1">
      <c r="B10" s="2" t="s">
        <v>216</v>
      </c>
      <c r="C10" s="3">
        <v>25</v>
      </c>
      <c r="F10" s="187"/>
      <c r="G10" s="188">
        <v>0</v>
      </c>
      <c r="H10" s="189">
        <v>1</v>
      </c>
      <c r="I10" s="189">
        <v>2</v>
      </c>
      <c r="J10" s="189">
        <v>2.1</v>
      </c>
      <c r="K10" s="189">
        <v>12.1</v>
      </c>
      <c r="L10" s="189">
        <v>2.2000000000000002</v>
      </c>
      <c r="M10" s="189">
        <v>2.4</v>
      </c>
      <c r="N10" s="189">
        <v>2.6</v>
      </c>
      <c r="O10" s="189">
        <v>3</v>
      </c>
      <c r="P10" s="189">
        <v>3.1</v>
      </c>
      <c r="Q10" s="189">
        <v>4</v>
      </c>
      <c r="R10" s="189">
        <v>4.05</v>
      </c>
      <c r="S10" s="189">
        <v>4.0999999999999996</v>
      </c>
      <c r="T10" s="189">
        <v>4.4000000000000004</v>
      </c>
      <c r="U10" s="202">
        <v>4.5</v>
      </c>
      <c r="V10" s="202">
        <v>4.7</v>
      </c>
      <c r="W10" s="189">
        <v>4.8</v>
      </c>
      <c r="X10" s="189">
        <v>5</v>
      </c>
      <c r="Y10" s="189">
        <v>15</v>
      </c>
      <c r="Z10" s="189">
        <v>6</v>
      </c>
      <c r="AA10" s="189">
        <v>7</v>
      </c>
      <c r="AB10" s="189">
        <v>8</v>
      </c>
      <c r="AC10" s="189">
        <v>9</v>
      </c>
    </row>
    <row r="11" spans="2:29" ht="15" thickTop="1">
      <c r="B11" s="2" t="s">
        <v>484</v>
      </c>
      <c r="C11" s="3">
        <v>0.39500000000000002</v>
      </c>
      <c r="E11">
        <v>11</v>
      </c>
      <c r="F11" s="186" t="s">
        <v>231</v>
      </c>
      <c r="G11" s="123">
        <f>G12/(SQRT(G18/288.15))*(G17/101.325)</f>
        <v>20.151921684283465</v>
      </c>
      <c r="H11" s="121">
        <f>G11+H13</f>
        <v>20.151921684283465</v>
      </c>
      <c r="I11" s="121">
        <f t="shared" ref="I11:AC11" si="0">H11+I13</f>
        <v>20.151921684283465</v>
      </c>
      <c r="J11" s="121">
        <f t="shared" si="0"/>
        <v>20.151921684283465</v>
      </c>
      <c r="K11" s="121">
        <f t="shared" si="0"/>
        <v>20.151921684283465</v>
      </c>
      <c r="L11" s="121">
        <f t="shared" si="0"/>
        <v>20.151921684283465</v>
      </c>
      <c r="M11" s="121">
        <f t="shared" si="0"/>
        <v>20.151921684283465</v>
      </c>
      <c r="N11" s="121"/>
      <c r="O11" s="121">
        <f>M11+O13</f>
        <v>20.151921684283465</v>
      </c>
      <c r="P11" s="121">
        <f t="shared" si="0"/>
        <v>20.151921684283465</v>
      </c>
      <c r="Q11" s="121">
        <f t="shared" si="0"/>
        <v>20.151921684283465</v>
      </c>
      <c r="R11" s="121">
        <f t="shared" si="0"/>
        <v>20.151921684283465</v>
      </c>
      <c r="S11" s="121">
        <f t="shared" si="0"/>
        <v>20.151921684283465</v>
      </c>
      <c r="T11" s="121">
        <f>S11+T13</f>
        <v>20.151921684283465</v>
      </c>
      <c r="U11" s="203">
        <f t="shared" si="0"/>
        <v>20.151921684283465</v>
      </c>
      <c r="V11" s="203">
        <f t="shared" si="0"/>
        <v>20.151921684283465</v>
      </c>
      <c r="W11" s="121">
        <f t="shared" si="0"/>
        <v>20.151921684283465</v>
      </c>
      <c r="X11" s="121">
        <f t="shared" si="0"/>
        <v>20.151921684283465</v>
      </c>
      <c r="Y11" s="121">
        <f t="shared" si="0"/>
        <v>20.151921684283465</v>
      </c>
      <c r="Z11" s="121">
        <f t="shared" si="0"/>
        <v>20.151921684283465</v>
      </c>
      <c r="AA11" s="121">
        <f t="shared" si="0"/>
        <v>20.151921684283465</v>
      </c>
      <c r="AB11" s="121">
        <f t="shared" si="0"/>
        <v>20.151921684283465</v>
      </c>
      <c r="AC11" s="121">
        <f t="shared" si="0"/>
        <v>20.151921684283465</v>
      </c>
    </row>
    <row r="12" spans="2:29">
      <c r="B12" s="2" t="s">
        <v>215</v>
      </c>
      <c r="C12" s="3">
        <v>1800</v>
      </c>
      <c r="E12">
        <v>12</v>
      </c>
      <c r="F12" s="185" t="s">
        <v>232</v>
      </c>
      <c r="G12" s="124">
        <f>C7</f>
        <v>67</v>
      </c>
      <c r="H12" s="5" t="e">
        <f>H11/(H17/101.325)*SQRT(I18/288.15)</f>
        <v>#DIV/0!</v>
      </c>
      <c r="I12" s="5" t="e">
        <f t="shared" ref="I12:Q12" si="1">I11/(I17/101.325)*SQRT(J18/288.15)</f>
        <v>#DIV/0!</v>
      </c>
      <c r="J12" s="5" t="e">
        <f t="shared" si="1"/>
        <v>#DIV/0!</v>
      </c>
      <c r="K12" s="5" t="e">
        <f t="shared" si="1"/>
        <v>#DIV/0!</v>
      </c>
      <c r="L12" s="5" t="e">
        <f t="shared" si="1"/>
        <v>#DIV/0!</v>
      </c>
      <c r="M12" s="5" t="e">
        <f>M11/(M17/101.325)*SQRT(O18/288.15)</f>
        <v>#DIV/0!</v>
      </c>
      <c r="N12" s="5"/>
      <c r="O12" s="5" t="e">
        <f t="shared" si="1"/>
        <v>#DIV/0!</v>
      </c>
      <c r="P12" s="5" t="e">
        <f t="shared" si="1"/>
        <v>#DIV/0!</v>
      </c>
      <c r="Q12" s="5" t="e">
        <f t="shared" si="1"/>
        <v>#DIV/0!</v>
      </c>
      <c r="R12" s="5" t="e">
        <f>R11/(R17/101.325)*SQRT(S18/288.15)</f>
        <v>#DIV/0!</v>
      </c>
      <c r="S12" s="5" t="e">
        <f t="shared" ref="S12" si="2">S11/(S17/101.325)*SQRT(T18/288.15)</f>
        <v>#DIV/0!</v>
      </c>
      <c r="T12" s="5" t="e">
        <f t="shared" ref="T12" si="3">T11/(T17/101.325)*SQRT(U18/288.15)</f>
        <v>#DIV/0!</v>
      </c>
      <c r="U12" s="204" t="e">
        <f t="shared" ref="U12" si="4">U11/(U17/101.325)*SQRT(V18/288.15)</f>
        <v>#DIV/0!</v>
      </c>
      <c r="V12" s="204" t="e">
        <f t="shared" ref="V12" si="5">V11/(V17/101.325)*SQRT(W18/288.15)</f>
        <v>#DIV/0!</v>
      </c>
      <c r="W12" s="5" t="e">
        <f>W11/(W17/101.325)*SQRT(X18/288.15)</f>
        <v>#DIV/0!</v>
      </c>
      <c r="X12" s="5" t="e">
        <f t="shared" ref="X12" si="6">X11/(X17/101.325)*SQRT(Y18/288.15)</f>
        <v>#DIV/0!</v>
      </c>
      <c r="Y12" s="5" t="e">
        <f t="shared" ref="Y12" si="7">Y11/(Y17/101.325)*SQRT(Z18/288.15)</f>
        <v>#DIV/0!</v>
      </c>
      <c r="Z12" s="5" t="e">
        <f t="shared" ref="Z12" si="8">Z11/(Z17/101.325)*SQRT(AA18/288.15)</f>
        <v>#DIV/0!</v>
      </c>
      <c r="AA12" s="5" t="e">
        <f t="shared" ref="AA12" si="9">AA11/(AA17/101.325)*SQRT(AB18/288.15)</f>
        <v>#DIV/0!</v>
      </c>
      <c r="AB12" s="5" t="e">
        <f t="shared" ref="AB12" si="10">AB11/(AB17/101.325)*SQRT(AC18/288.15)</f>
        <v>#DIV/0!</v>
      </c>
      <c r="AC12" s="5" t="e">
        <f t="shared" ref="AC12" si="11">AC11/(AC17/101.325)*SQRT(AD18/288.15)</f>
        <v>#DIV/0!</v>
      </c>
    </row>
    <row r="13" spans="2:29">
      <c r="B13" s="2" t="s">
        <v>486</v>
      </c>
      <c r="C13" s="115" t="e">
        <f>C10/#REF!</f>
        <v>#REF!</v>
      </c>
      <c r="E13">
        <v>13</v>
      </c>
      <c r="F13" s="185" t="s">
        <v>481</v>
      </c>
      <c r="G13" s="124">
        <v>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204"/>
      <c r="V13" s="204"/>
      <c r="W13" s="5"/>
      <c r="X13" s="5"/>
      <c r="Y13" s="5"/>
      <c r="Z13" s="5"/>
      <c r="AA13" s="5"/>
      <c r="AB13" s="5"/>
      <c r="AC13" s="5"/>
    </row>
    <row r="14" spans="2:29">
      <c r="E14">
        <v>14</v>
      </c>
      <c r="F14" s="185"/>
      <c r="G14" s="12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204"/>
      <c r="V14" s="204"/>
      <c r="W14" s="5"/>
      <c r="X14" s="5"/>
      <c r="Y14" s="5"/>
      <c r="Z14" s="5"/>
      <c r="AA14" s="5"/>
      <c r="AB14" s="5"/>
      <c r="AC14" s="5"/>
    </row>
    <row r="15" spans="2:29">
      <c r="B15" s="304" t="s">
        <v>487</v>
      </c>
      <c r="C15" s="304"/>
      <c r="E15">
        <v>15</v>
      </c>
      <c r="F15" s="185" t="s">
        <v>224</v>
      </c>
      <c r="G15" s="124">
        <v>0</v>
      </c>
      <c r="H15" s="124">
        <v>0</v>
      </c>
      <c r="I15" s="124">
        <v>0</v>
      </c>
      <c r="J15" s="124">
        <v>0</v>
      </c>
      <c r="K15" s="124">
        <v>0</v>
      </c>
      <c r="L15" s="124">
        <v>0</v>
      </c>
      <c r="M15" s="124">
        <v>0</v>
      </c>
      <c r="N15" s="124"/>
      <c r="O15" s="124">
        <v>0</v>
      </c>
      <c r="P15" s="124">
        <v>0</v>
      </c>
      <c r="Q15" s="5"/>
      <c r="R15" s="5"/>
      <c r="S15" s="5"/>
      <c r="T15" s="5"/>
      <c r="U15" s="204"/>
      <c r="V15" s="204"/>
      <c r="W15" s="5"/>
      <c r="X15" s="5"/>
      <c r="Y15" s="5"/>
      <c r="Z15" s="5"/>
      <c r="AA15" s="5"/>
      <c r="AB15" s="5"/>
      <c r="AC15" s="5"/>
    </row>
    <row r="16" spans="2:29">
      <c r="E16">
        <v>16</v>
      </c>
      <c r="F16" s="185"/>
      <c r="G16" s="124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204"/>
      <c r="V16" s="204"/>
      <c r="W16" s="5"/>
      <c r="X16" s="5"/>
      <c r="Y16" s="5"/>
      <c r="Z16" s="5"/>
      <c r="AA16" s="5"/>
      <c r="AB16" s="5"/>
      <c r="AC16" s="5"/>
    </row>
    <row r="17" spans="2:29">
      <c r="B17" s="2" t="s">
        <v>488</v>
      </c>
      <c r="C17" s="3">
        <v>0.99</v>
      </c>
      <c r="E17">
        <v>17</v>
      </c>
      <c r="F17" s="185" t="s">
        <v>483</v>
      </c>
      <c r="G17" s="124">
        <f>G24*(1+(G21^2)*(G33-1)/2)^(G33/(G33-1))</f>
        <v>27.522837013029086</v>
      </c>
      <c r="H17" s="124">
        <f t="shared" ref="H17:Y17" si="12">H24*(1+(H21^2)*(H33-1)/2)^(H33/(H33-1))</f>
        <v>0</v>
      </c>
      <c r="I17" s="124">
        <f t="shared" si="12"/>
        <v>0</v>
      </c>
      <c r="J17" s="124">
        <f t="shared" si="12"/>
        <v>0</v>
      </c>
      <c r="K17" s="124">
        <f t="shared" si="12"/>
        <v>0</v>
      </c>
      <c r="L17" s="124">
        <f t="shared" si="12"/>
        <v>0</v>
      </c>
      <c r="M17" s="124">
        <f t="shared" si="12"/>
        <v>0</v>
      </c>
      <c r="N17" s="124"/>
      <c r="O17" s="124">
        <f t="shared" si="12"/>
        <v>0</v>
      </c>
      <c r="P17" s="124">
        <f t="shared" si="12"/>
        <v>0</v>
      </c>
      <c r="Q17" s="124"/>
      <c r="R17" s="124"/>
      <c r="S17" s="124"/>
      <c r="T17" s="124"/>
      <c r="U17" s="205"/>
      <c r="V17" s="205"/>
      <c r="W17" s="124"/>
      <c r="X17" s="124"/>
      <c r="Y17" s="124">
        <f t="shared" si="12"/>
        <v>0</v>
      </c>
      <c r="Z17" s="5"/>
      <c r="AA17" s="5"/>
      <c r="AB17" s="5"/>
      <c r="AC17" s="5"/>
    </row>
    <row r="18" spans="2:29">
      <c r="B18" s="2" t="s">
        <v>489</v>
      </c>
      <c r="C18" s="3">
        <v>0.997</v>
      </c>
      <c r="E18">
        <v>18</v>
      </c>
      <c r="F18" s="185" t="s">
        <v>383</v>
      </c>
      <c r="G18" s="124">
        <f>G23*(1+(G21^2)*(G33-1)/2)</f>
        <v>235.01114999999999</v>
      </c>
      <c r="H18" s="5">
        <f>G18</f>
        <v>235.01114999999999</v>
      </c>
      <c r="I18" s="5">
        <f>H18</f>
        <v>235.01114999999999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204"/>
      <c r="V18" s="204"/>
      <c r="W18" s="5"/>
      <c r="X18" s="5"/>
      <c r="Y18" s="5"/>
      <c r="Z18" s="5"/>
      <c r="AA18" s="5"/>
      <c r="AB18" s="5"/>
      <c r="AC18" s="5"/>
    </row>
    <row r="19" spans="2:29">
      <c r="B19" s="2" t="s">
        <v>491</v>
      </c>
      <c r="C19" s="3">
        <v>0.03</v>
      </c>
      <c r="E19">
        <v>19</v>
      </c>
      <c r="F19" s="185" t="s">
        <v>353</v>
      </c>
      <c r="G19" s="124">
        <f>G31*G18</f>
        <v>236068.70017500001</v>
      </c>
      <c r="H19" s="124">
        <f t="shared" ref="H19:P19" si="13">H31*H18</f>
        <v>236068.70017500001</v>
      </c>
      <c r="I19" s="124">
        <f t="shared" si="13"/>
        <v>236068.70017500001</v>
      </c>
      <c r="J19" s="124">
        <f t="shared" si="13"/>
        <v>0</v>
      </c>
      <c r="K19" s="124">
        <f t="shared" si="13"/>
        <v>0</v>
      </c>
      <c r="L19" s="124">
        <f t="shared" si="13"/>
        <v>0</v>
      </c>
      <c r="M19" s="124">
        <f t="shared" si="13"/>
        <v>0</v>
      </c>
      <c r="N19" s="124"/>
      <c r="O19" s="124">
        <f t="shared" si="13"/>
        <v>0</v>
      </c>
      <c r="P19" s="124">
        <f t="shared" si="13"/>
        <v>0</v>
      </c>
      <c r="Q19" s="124">
        <f>Q31*Q18</f>
        <v>0</v>
      </c>
      <c r="R19" s="5" t="s">
        <v>158</v>
      </c>
      <c r="S19" s="5"/>
      <c r="T19" s="5"/>
      <c r="U19" s="204"/>
      <c r="V19" s="204"/>
      <c r="W19" s="5"/>
      <c r="X19" s="5"/>
      <c r="Y19" s="5"/>
      <c r="Z19" s="5"/>
      <c r="AA19" s="5"/>
      <c r="AB19" s="5"/>
      <c r="AC19" s="5"/>
    </row>
    <row r="20" spans="2:29">
      <c r="B20" s="2" t="s">
        <v>492</v>
      </c>
      <c r="C20" s="3">
        <v>0.01</v>
      </c>
      <c r="E20">
        <v>20</v>
      </c>
      <c r="F20" s="185"/>
      <c r="G20" s="124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204"/>
      <c r="V20" s="204"/>
      <c r="W20" s="5"/>
      <c r="X20" s="5"/>
      <c r="Y20" s="5"/>
      <c r="Z20" s="5"/>
      <c r="AA20" s="5"/>
      <c r="AB20" s="5"/>
      <c r="AC20" s="5"/>
    </row>
    <row r="21" spans="2:29">
      <c r="B21" s="2" t="s">
        <v>493</v>
      </c>
      <c r="C21" s="3">
        <v>0.9</v>
      </c>
      <c r="E21">
        <v>21</v>
      </c>
      <c r="F21" s="185" t="s">
        <v>23</v>
      </c>
      <c r="G21" s="195">
        <v>0.65</v>
      </c>
      <c r="H21" s="196">
        <v>0.65</v>
      </c>
      <c r="I21" s="196">
        <v>0.5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204"/>
      <c r="V21" s="204"/>
      <c r="W21" s="5"/>
      <c r="X21" s="5"/>
      <c r="Y21" s="5"/>
      <c r="Z21" s="5"/>
      <c r="AA21" s="5"/>
      <c r="AB21" s="5"/>
      <c r="AC21" s="5"/>
    </row>
    <row r="22" spans="2:29">
      <c r="B22" s="2" t="s">
        <v>494</v>
      </c>
      <c r="C22" s="3">
        <v>0.9</v>
      </c>
      <c r="E22">
        <v>22</v>
      </c>
      <c r="F22" s="185" t="s">
        <v>490</v>
      </c>
      <c r="G22" s="124">
        <f>G21*SQRT(G33*G34*G23)</f>
        <v>191.7996359485596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204"/>
      <c r="V22" s="204"/>
      <c r="W22" s="5"/>
      <c r="X22" s="5"/>
      <c r="Y22" s="5"/>
      <c r="Z22" s="5"/>
      <c r="AA22" s="5"/>
      <c r="AB22" s="5"/>
      <c r="AC22" s="5"/>
    </row>
    <row r="23" spans="2:29">
      <c r="B23" s="2" t="s">
        <v>496</v>
      </c>
      <c r="C23" s="3">
        <v>0.01</v>
      </c>
      <c r="E23">
        <v>23</v>
      </c>
      <c r="F23" s="185" t="s">
        <v>563</v>
      </c>
      <c r="G23" s="195">
        <v>216.7</v>
      </c>
      <c r="H23" s="5">
        <f>H18/(1+(H33-1)/2*H21^2)</f>
        <v>216.7</v>
      </c>
      <c r="I23" s="5">
        <f>I18/(1+(I33-1)/2*I21^2)</f>
        <v>223.82014285714283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204"/>
      <c r="V23" s="204"/>
      <c r="W23" s="5"/>
      <c r="X23" s="5"/>
      <c r="Y23" s="5"/>
      <c r="Z23" s="5"/>
      <c r="AA23" s="5"/>
      <c r="AB23" s="5"/>
      <c r="AC23" s="5"/>
    </row>
    <row r="24" spans="2:29">
      <c r="B24" s="2" t="s">
        <v>497</v>
      </c>
      <c r="C24" s="3">
        <v>0.02</v>
      </c>
      <c r="E24">
        <v>24</v>
      </c>
      <c r="F24" s="185" t="s">
        <v>108</v>
      </c>
      <c r="G24" s="195">
        <v>20.72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204"/>
      <c r="V24" s="204"/>
      <c r="W24" s="5"/>
      <c r="X24" s="5"/>
      <c r="Y24" s="5"/>
      <c r="Z24" s="5"/>
      <c r="AA24" s="5"/>
      <c r="AB24" s="5"/>
      <c r="AC24" s="5"/>
    </row>
    <row r="25" spans="2:29">
      <c r="B25" s="2" t="s">
        <v>498</v>
      </c>
      <c r="C25" s="3">
        <v>0.91</v>
      </c>
      <c r="E25">
        <v>25</v>
      </c>
      <c r="F25" s="185" t="s">
        <v>62</v>
      </c>
      <c r="G25" s="124">
        <f>G24*1000/(G34*G23)</f>
        <v>0.33315700023636141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204"/>
      <c r="V25" s="204"/>
      <c r="W25" s="5"/>
      <c r="X25" s="5"/>
      <c r="Y25" s="5"/>
      <c r="Z25" s="5"/>
      <c r="AA25" s="5"/>
      <c r="AB25" s="5"/>
      <c r="AC25" s="5"/>
    </row>
    <row r="26" spans="2:29">
      <c r="B26" s="2" t="s">
        <v>504</v>
      </c>
      <c r="C26" s="3">
        <v>0.99</v>
      </c>
      <c r="E26">
        <v>26</v>
      </c>
      <c r="F26" s="185"/>
      <c r="G26" s="124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204"/>
      <c r="V26" s="204"/>
      <c r="W26" s="5"/>
      <c r="X26" s="5"/>
      <c r="Y26" s="5"/>
      <c r="Z26" s="5"/>
      <c r="AA26" s="5"/>
      <c r="AB26" s="5"/>
      <c r="AC26" s="5"/>
    </row>
    <row r="27" spans="2:29">
      <c r="B27" s="2" t="s">
        <v>508</v>
      </c>
      <c r="C27" s="3">
        <v>0.8</v>
      </c>
      <c r="E27">
        <v>27</v>
      </c>
      <c r="F27" s="185" t="s">
        <v>564</v>
      </c>
      <c r="G27" s="124">
        <f>25*0.0254</f>
        <v>0.63500000000000001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204"/>
      <c r="V27" s="204"/>
      <c r="W27" s="5"/>
      <c r="X27" s="5"/>
      <c r="Y27" s="5"/>
      <c r="Z27" s="5"/>
      <c r="AA27" s="5"/>
      <c r="AB27" s="5"/>
      <c r="AC27" s="5"/>
    </row>
    <row r="28" spans="2:29">
      <c r="B28" s="2" t="s">
        <v>512</v>
      </c>
      <c r="C28" s="3">
        <v>0.05</v>
      </c>
      <c r="E28">
        <v>28</v>
      </c>
      <c r="F28" s="185" t="s">
        <v>384</v>
      </c>
      <c r="G28" s="124">
        <f>PI()*(G27/2)^2</f>
        <v>0.31669217443593606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204"/>
      <c r="V28" s="204"/>
      <c r="W28" s="5"/>
      <c r="X28" s="5"/>
      <c r="Y28" s="5"/>
      <c r="Z28" s="5"/>
      <c r="AA28" s="5"/>
      <c r="AB28" s="5"/>
      <c r="AC28" s="5"/>
    </row>
    <row r="29" spans="2:29">
      <c r="B29" s="2" t="s">
        <v>518</v>
      </c>
      <c r="C29" s="3">
        <v>0.91</v>
      </c>
      <c r="E29">
        <v>29</v>
      </c>
      <c r="F29" s="185"/>
      <c r="G29" s="124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204"/>
      <c r="V29" s="204"/>
      <c r="W29" s="5"/>
      <c r="X29" s="5"/>
      <c r="Y29" s="5"/>
      <c r="Z29" s="5"/>
      <c r="AA29" s="5"/>
      <c r="AB29" s="5"/>
      <c r="AC29" s="5"/>
    </row>
    <row r="30" spans="2:29">
      <c r="B30" s="2" t="s">
        <v>523</v>
      </c>
      <c r="C30" s="3">
        <v>0.9</v>
      </c>
      <c r="E30">
        <v>30</v>
      </c>
      <c r="F30" s="185" t="s">
        <v>485</v>
      </c>
      <c r="G30" s="124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204"/>
      <c r="V30" s="204"/>
      <c r="W30" s="5"/>
      <c r="X30" s="5"/>
      <c r="Y30" s="5"/>
      <c r="Z30" s="5"/>
      <c r="AA30" s="5"/>
      <c r="AB30" s="5"/>
      <c r="AC30" s="5"/>
    </row>
    <row r="31" spans="2:29">
      <c r="B31" s="2" t="s">
        <v>526</v>
      </c>
      <c r="C31" s="3">
        <v>0.99</v>
      </c>
      <c r="E31">
        <v>31</v>
      </c>
      <c r="F31" s="191" t="s">
        <v>565</v>
      </c>
      <c r="G31" s="192">
        <f>(G33*G34)/(G33-1)</f>
        <v>1004.5000000000001</v>
      </c>
      <c r="H31" s="5">
        <f t="shared" ref="H31:AC31" si="14">(H33*H34)/(H33-1)</f>
        <v>1004.5000000000001</v>
      </c>
      <c r="I31" s="5">
        <f t="shared" si="14"/>
        <v>1004.5000000000001</v>
      </c>
      <c r="J31" s="5">
        <f t="shared" si="14"/>
        <v>1004.5000000000001</v>
      </c>
      <c r="K31" s="5">
        <f t="shared" si="14"/>
        <v>1004.5000000000001</v>
      </c>
      <c r="L31" s="5">
        <f t="shared" si="14"/>
        <v>1004.5000000000001</v>
      </c>
      <c r="M31" s="5">
        <f t="shared" si="14"/>
        <v>1004.5000000000001</v>
      </c>
      <c r="N31" s="5"/>
      <c r="O31" s="5">
        <f t="shared" si="14"/>
        <v>1004.5000000000001</v>
      </c>
      <c r="P31" s="5">
        <f>(P33*P34)/(P33-1)</f>
        <v>1004.5000000000001</v>
      </c>
      <c r="Q31" s="5">
        <f t="shared" si="14"/>
        <v>1152.6666666666665</v>
      </c>
      <c r="R31" s="5">
        <f t="shared" si="14"/>
        <v>1152.6666666666665</v>
      </c>
      <c r="S31" s="5">
        <f t="shared" si="14"/>
        <v>1152.6666666666665</v>
      </c>
      <c r="T31" s="5">
        <f t="shared" si="14"/>
        <v>1152.6666666666665</v>
      </c>
      <c r="U31" s="204">
        <f t="shared" si="14"/>
        <v>1152.6666666666665</v>
      </c>
      <c r="V31" s="204">
        <f>(V33*V34)/(V33-1)</f>
        <v>1152.6666666666665</v>
      </c>
      <c r="W31" s="5">
        <f t="shared" si="14"/>
        <v>1152.6666666666665</v>
      </c>
      <c r="X31" s="5">
        <f t="shared" si="14"/>
        <v>1152.6666666666665</v>
      </c>
      <c r="Y31" s="5">
        <f t="shared" si="14"/>
        <v>1004.5000000000001</v>
      </c>
      <c r="Z31" s="5">
        <f t="shared" si="14"/>
        <v>1152.6666666666665</v>
      </c>
      <c r="AA31" s="5">
        <f t="shared" si="14"/>
        <v>1152.6666666666665</v>
      </c>
      <c r="AB31" s="5">
        <f>(AB33*AB34)/(AB33-1)</f>
        <v>1152.6666666666665</v>
      </c>
      <c r="AC31" s="5">
        <f t="shared" si="14"/>
        <v>1152.6666666666665</v>
      </c>
    </row>
    <row r="32" spans="2:29">
      <c r="B32" s="2" t="s">
        <v>528</v>
      </c>
      <c r="C32" s="3">
        <v>0.9</v>
      </c>
      <c r="E32">
        <v>32</v>
      </c>
      <c r="F32" s="185" t="s">
        <v>566</v>
      </c>
      <c r="G32" s="124" cm="1">
        <f t="array" ref="G32">cp(G18,G15)</f>
        <v>1002.0439552681125</v>
      </c>
      <c r="H32" s="124" cm="1">
        <f t="array" ref="H32">cp(H18,H15)</f>
        <v>1002.0439552681125</v>
      </c>
      <c r="I32" s="124" cm="1">
        <f t="array" ref="I32">cp(I18,I15)</f>
        <v>1002.0439552681125</v>
      </c>
      <c r="J32" s="124" cm="1">
        <f t="array" ref="J32">cp(J18,J15)</f>
        <v>992.31299999999999</v>
      </c>
      <c r="K32" s="124" cm="1">
        <f t="array" ref="K32">cp(K18,K15)</f>
        <v>992.31299999999999</v>
      </c>
      <c r="L32" s="124" cm="1">
        <f t="array" ref="L32">cp(L18,L15)</f>
        <v>992.31299999999999</v>
      </c>
      <c r="M32" s="124" cm="1">
        <f t="array" ref="M32">cp(M18,M15)</f>
        <v>992.31299999999999</v>
      </c>
      <c r="N32" s="124"/>
      <c r="O32" s="124" cm="1">
        <f t="array" ref="O32">cp(O18,O15)</f>
        <v>992.31299999999999</v>
      </c>
      <c r="P32" s="124" cm="1">
        <f t="array" ref="P32">cp(P18,P15)</f>
        <v>992.31299999999999</v>
      </c>
      <c r="Q32" s="124" cm="1">
        <f t="array" ref="Q32">cp(Q18,Q15)</f>
        <v>992.31299999999999</v>
      </c>
      <c r="R32" s="124" cm="1">
        <f t="array" ref="R32">cp(R18,R15)</f>
        <v>992.31299999999999</v>
      </c>
      <c r="S32" s="124" cm="1">
        <f t="array" ref="S32">cp(S18,S15)</f>
        <v>992.31299999999999</v>
      </c>
      <c r="T32" s="124" cm="1">
        <f t="array" ref="T32">cp(T18,T15)</f>
        <v>992.31299999999999</v>
      </c>
      <c r="U32" s="205" cm="1">
        <f t="array" ref="U32">cp(U18,U15)</f>
        <v>992.31299999999999</v>
      </c>
      <c r="V32" s="205" cm="1">
        <f t="array" ref="V32">cp(V18,V15)</f>
        <v>992.31299999999999</v>
      </c>
      <c r="W32" s="124" cm="1">
        <f t="array" ref="W32">cp(W18,W15)</f>
        <v>992.31299999999999</v>
      </c>
      <c r="X32" s="124" cm="1">
        <f t="array" ref="X32">cp(X18,X15)</f>
        <v>992.31299999999999</v>
      </c>
      <c r="Y32" s="124" cm="1">
        <f t="array" ref="Y32">cp(Y18,Y15)</f>
        <v>992.31299999999999</v>
      </c>
      <c r="Z32" s="124" cm="1">
        <f t="array" ref="Z32">cp(Z18,Z15)</f>
        <v>992.31299999999999</v>
      </c>
      <c r="AA32" s="124" cm="1">
        <f t="array" ref="AA32">cp(AA18,AA15)</f>
        <v>992.31299999999999</v>
      </c>
      <c r="AB32" s="124" cm="1">
        <f t="array" ref="AB32">cp(AB18,AB15)</f>
        <v>992.31299999999999</v>
      </c>
      <c r="AC32" s="124" cm="1">
        <f t="array" ref="AC32">cp(AC18,AC15)</f>
        <v>992.31299999999999</v>
      </c>
    </row>
    <row r="33" spans="2:29">
      <c r="B33" s="2" t="s">
        <v>532</v>
      </c>
      <c r="C33" s="3">
        <v>0.99</v>
      </c>
      <c r="E33">
        <v>33</v>
      </c>
      <c r="F33" s="185" t="s">
        <v>4</v>
      </c>
      <c r="G33" s="124">
        <f>1.4</f>
        <v>1.4</v>
      </c>
      <c r="H33" s="5">
        <f>1.4</f>
        <v>1.4</v>
      </c>
      <c r="I33" s="124">
        <f t="shared" ref="I33:P33" si="15">1.4</f>
        <v>1.4</v>
      </c>
      <c r="J33" s="5">
        <f t="shared" si="15"/>
        <v>1.4</v>
      </c>
      <c r="K33" s="124">
        <f t="shared" si="15"/>
        <v>1.4</v>
      </c>
      <c r="L33" s="5">
        <f t="shared" si="15"/>
        <v>1.4</v>
      </c>
      <c r="M33" s="124">
        <f t="shared" si="15"/>
        <v>1.4</v>
      </c>
      <c r="N33" s="124"/>
      <c r="O33" s="5">
        <f t="shared" si="15"/>
        <v>1.4</v>
      </c>
      <c r="P33" s="124">
        <f t="shared" si="15"/>
        <v>1.4</v>
      </c>
      <c r="Q33" s="5">
        <v>1.33</v>
      </c>
      <c r="R33" s="5">
        <v>1.33</v>
      </c>
      <c r="S33" s="5">
        <v>1.33</v>
      </c>
      <c r="T33" s="5">
        <v>1.33</v>
      </c>
      <c r="U33" s="204">
        <v>1.33</v>
      </c>
      <c r="V33" s="204">
        <v>1.33</v>
      </c>
      <c r="W33" s="5">
        <v>1.33</v>
      </c>
      <c r="X33" s="5">
        <v>1.33</v>
      </c>
      <c r="Y33" s="5">
        <v>1.4</v>
      </c>
      <c r="Z33" s="5">
        <v>1.33</v>
      </c>
      <c r="AA33" s="5">
        <v>1.33</v>
      </c>
      <c r="AB33" s="5">
        <v>1.33</v>
      </c>
      <c r="AC33" s="5">
        <v>1.33</v>
      </c>
    </row>
    <row r="34" spans="2:29">
      <c r="B34" s="2" t="s">
        <v>535</v>
      </c>
      <c r="C34" s="3">
        <v>0.99</v>
      </c>
      <c r="E34">
        <v>34</v>
      </c>
      <c r="F34" s="185" t="s">
        <v>351</v>
      </c>
      <c r="G34" s="124">
        <v>287</v>
      </c>
      <c r="H34" s="124">
        <v>287</v>
      </c>
      <c r="I34" s="124">
        <v>287</v>
      </c>
      <c r="J34" s="124">
        <v>287</v>
      </c>
      <c r="K34" s="124">
        <v>287</v>
      </c>
      <c r="L34" s="124">
        <v>287</v>
      </c>
      <c r="M34" s="124">
        <v>287</v>
      </c>
      <c r="N34" s="124"/>
      <c r="O34" s="124">
        <v>287</v>
      </c>
      <c r="P34" s="124">
        <v>287</v>
      </c>
      <c r="Q34" s="5">
        <v>286</v>
      </c>
      <c r="R34" s="5">
        <v>286</v>
      </c>
      <c r="S34" s="5">
        <v>286</v>
      </c>
      <c r="T34" s="5">
        <v>286</v>
      </c>
      <c r="U34" s="204">
        <v>286</v>
      </c>
      <c r="V34" s="204">
        <v>286</v>
      </c>
      <c r="W34" s="5">
        <v>286</v>
      </c>
      <c r="X34" s="5">
        <v>286</v>
      </c>
      <c r="Y34" s="5">
        <v>287</v>
      </c>
      <c r="Z34" s="5">
        <v>286</v>
      </c>
      <c r="AA34" s="5">
        <v>286</v>
      </c>
      <c r="AB34" s="5">
        <v>286</v>
      </c>
      <c r="AC34" s="5">
        <v>286</v>
      </c>
    </row>
    <row r="36" spans="2:29">
      <c r="I36" t="s">
        <v>567</v>
      </c>
      <c r="J36" t="s">
        <v>218</v>
      </c>
    </row>
    <row r="37" spans="2:29">
      <c r="F37" s="12"/>
      <c r="I37" s="197">
        <v>0.98</v>
      </c>
      <c r="J37" s="197">
        <v>1.2</v>
      </c>
    </row>
    <row r="38" spans="2:29">
      <c r="B38" s="364" t="s">
        <v>539</v>
      </c>
      <c r="C38" s="364"/>
      <c r="F38" s="190"/>
    </row>
    <row r="39" spans="2:29">
      <c r="B39" s="12"/>
      <c r="C39" s="12" t="s">
        <v>540</v>
      </c>
      <c r="F39" s="190"/>
      <c r="J39" t="s">
        <v>217</v>
      </c>
    </row>
    <row r="40" spans="2:29">
      <c r="B40" s="2" t="s">
        <v>542</v>
      </c>
      <c r="C40" s="3">
        <v>10</v>
      </c>
      <c r="F40" s="190"/>
      <c r="J40" s="197">
        <v>2</v>
      </c>
    </row>
    <row r="41" spans="2:29">
      <c r="B41" s="2" t="s">
        <v>544</v>
      </c>
      <c r="C41" s="3">
        <v>3</v>
      </c>
      <c r="F41" s="190"/>
    </row>
    <row r="42" spans="2:29">
      <c r="F42" s="190"/>
    </row>
    <row r="43" spans="2:29">
      <c r="F43" s="190"/>
    </row>
    <row r="44" spans="2:29">
      <c r="B44" s="2" t="s">
        <v>548</v>
      </c>
      <c r="C44" s="3">
        <v>5</v>
      </c>
      <c r="F44" s="190"/>
    </row>
    <row r="45" spans="2:29">
      <c r="B45" s="2" t="s">
        <v>549</v>
      </c>
      <c r="C45" s="3">
        <v>2</v>
      </c>
      <c r="F45" s="190"/>
    </row>
    <row r="46" spans="2:29">
      <c r="F46" s="190"/>
    </row>
    <row r="47" spans="2:29">
      <c r="F47" s="190"/>
    </row>
    <row r="48" spans="2:29">
      <c r="B48" s="2" t="s">
        <v>550</v>
      </c>
      <c r="C48" s="3">
        <v>1</v>
      </c>
      <c r="F48" s="190"/>
    </row>
    <row r="49" spans="2:6">
      <c r="F49" s="190"/>
    </row>
    <row r="50" spans="2:6">
      <c r="F50" s="190"/>
    </row>
    <row r="51" spans="2:6">
      <c r="B51" s="73" t="s">
        <v>551</v>
      </c>
      <c r="C51" s="106">
        <f>SUM(C40:C48)</f>
        <v>21</v>
      </c>
      <c r="F51" s="190"/>
    </row>
    <row r="52" spans="2:6">
      <c r="F52" s="190"/>
    </row>
    <row r="53" spans="2:6">
      <c r="F53" s="190"/>
    </row>
    <row r="54" spans="2:6">
      <c r="F54" s="190"/>
    </row>
  </sheetData>
  <mergeCells count="3">
    <mergeCell ref="B9:C9"/>
    <mergeCell ref="B15:C15"/>
    <mergeCell ref="B38:C38"/>
  </mergeCells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20E0-8F56-404A-9C4A-EA676A453EAB}">
  <sheetPr>
    <pageSetUpPr fitToPage="1"/>
  </sheetPr>
  <dimension ref="A1:E62"/>
  <sheetViews>
    <sheetView workbookViewId="0">
      <pane ySplit="3" topLeftCell="A19" activePane="bottomLeft" state="frozen"/>
      <selection activeCell="B1" sqref="B1"/>
      <selection pane="bottomLeft" sqref="A1:E63"/>
    </sheetView>
  </sheetViews>
  <sheetFormatPr defaultRowHeight="14.4"/>
  <cols>
    <col min="1" max="1" width="28.44140625" customWidth="1"/>
    <col min="2" max="2" width="60" customWidth="1"/>
    <col min="3" max="3" width="18" customWidth="1"/>
  </cols>
  <sheetData>
    <row r="1" spans="1:5" ht="18">
      <c r="A1" s="365" t="s">
        <v>568</v>
      </c>
      <c r="B1" s="366"/>
      <c r="C1" s="366"/>
      <c r="D1" s="366"/>
      <c r="E1" s="366"/>
    </row>
    <row r="3" spans="1:5">
      <c r="A3" s="367" t="s">
        <v>569</v>
      </c>
      <c r="B3" s="366"/>
      <c r="C3" s="366"/>
    </row>
    <row r="4" spans="1:5">
      <c r="A4" s="206" t="s">
        <v>570</v>
      </c>
      <c r="B4" s="198" t="s">
        <v>571</v>
      </c>
      <c r="C4" s="207">
        <v>0.65</v>
      </c>
    </row>
    <row r="5" spans="1:5">
      <c r="A5" s="206" t="s">
        <v>572</v>
      </c>
      <c r="B5" s="198" t="s">
        <v>573</v>
      </c>
      <c r="C5" s="207">
        <v>11582.4</v>
      </c>
    </row>
    <row r="6" spans="1:5">
      <c r="A6" s="206" t="s">
        <v>574</v>
      </c>
      <c r="B6" s="198" t="s">
        <v>575</v>
      </c>
      <c r="C6" s="207">
        <v>0.65</v>
      </c>
    </row>
    <row r="7" spans="1:5">
      <c r="A7" s="206" t="s">
        <v>408</v>
      </c>
      <c r="B7" s="198" t="s">
        <v>576</v>
      </c>
      <c r="C7" s="207">
        <v>0.5</v>
      </c>
    </row>
    <row r="8" spans="1:5">
      <c r="A8" s="206" t="s">
        <v>218</v>
      </c>
      <c r="B8" s="198" t="s">
        <v>577</v>
      </c>
      <c r="C8" s="207">
        <v>1.2</v>
      </c>
    </row>
    <row r="9" spans="1:5">
      <c r="A9" s="206" t="s">
        <v>217</v>
      </c>
      <c r="B9" s="198" t="s">
        <v>578</v>
      </c>
      <c r="C9" s="207">
        <v>2.5</v>
      </c>
    </row>
    <row r="10" spans="1:5">
      <c r="A10" s="206">
        <v>2.1</v>
      </c>
      <c r="B10" s="198" t="s">
        <v>579</v>
      </c>
      <c r="C10" s="207">
        <v>0.52</v>
      </c>
    </row>
    <row r="11" spans="1:5">
      <c r="A11" s="206" t="s">
        <v>580</v>
      </c>
      <c r="B11" s="198" t="s">
        <v>581</v>
      </c>
      <c r="C11" s="207">
        <v>0.4</v>
      </c>
    </row>
    <row r="12" spans="1:5">
      <c r="A12" s="206" t="s">
        <v>582</v>
      </c>
      <c r="B12" s="198" t="s">
        <v>583</v>
      </c>
      <c r="C12" s="207">
        <v>0.55000000000000004</v>
      </c>
    </row>
    <row r="13" spans="1:5">
      <c r="A13" s="206" t="s">
        <v>584</v>
      </c>
      <c r="B13" s="198" t="s">
        <v>585</v>
      </c>
      <c r="C13" s="207">
        <v>0.4</v>
      </c>
    </row>
    <row r="14" spans="1:5">
      <c r="A14" s="206" t="s">
        <v>586</v>
      </c>
      <c r="B14" s="198" t="s">
        <v>587</v>
      </c>
      <c r="C14" s="207">
        <v>1700</v>
      </c>
    </row>
    <row r="15" spans="1:5">
      <c r="A15" s="206" t="s">
        <v>588</v>
      </c>
      <c r="B15" s="198" t="s">
        <v>589</v>
      </c>
      <c r="C15" s="207">
        <v>0.5</v>
      </c>
    </row>
    <row r="16" spans="1:5">
      <c r="A16" s="206" t="s">
        <v>590</v>
      </c>
      <c r="B16" s="198" t="s">
        <v>591</v>
      </c>
      <c r="C16" s="207">
        <v>0.5</v>
      </c>
    </row>
    <row r="17" spans="1:3">
      <c r="A17" s="206" t="s">
        <v>592</v>
      </c>
      <c r="B17" s="198" t="s">
        <v>593</v>
      </c>
      <c r="C17" s="207">
        <v>50</v>
      </c>
    </row>
    <row r="20" spans="1:3">
      <c r="A20" s="367" t="s">
        <v>594</v>
      </c>
      <c r="B20" s="366"/>
      <c r="C20" s="366"/>
    </row>
    <row r="21" spans="1:3">
      <c r="A21" s="206" t="s">
        <v>595</v>
      </c>
      <c r="B21" s="198" t="s">
        <v>596</v>
      </c>
      <c r="C21" s="199">
        <v>0.98</v>
      </c>
    </row>
    <row r="22" spans="1:3">
      <c r="A22" s="206" t="s">
        <v>597</v>
      </c>
      <c r="B22" s="198" t="s">
        <v>598</v>
      </c>
      <c r="C22" s="199">
        <v>0.92</v>
      </c>
    </row>
    <row r="23" spans="1:3">
      <c r="A23" s="206"/>
      <c r="B23" s="198"/>
      <c r="C23" s="199"/>
    </row>
    <row r="24" spans="1:3">
      <c r="A24" s="206" t="s">
        <v>599</v>
      </c>
      <c r="B24" s="198" t="s">
        <v>600</v>
      </c>
      <c r="C24" s="199">
        <v>0.9</v>
      </c>
    </row>
    <row r="25" spans="1:3">
      <c r="A25" s="206" t="s">
        <v>601</v>
      </c>
      <c r="B25" s="198" t="s">
        <v>602</v>
      </c>
      <c r="C25" s="199">
        <v>0.02</v>
      </c>
    </row>
    <row r="26" spans="1:3">
      <c r="A26" s="206" t="s">
        <v>603</v>
      </c>
      <c r="B26" s="198" t="s">
        <v>604</v>
      </c>
      <c r="C26" s="199">
        <v>0.6</v>
      </c>
    </row>
    <row r="27" spans="1:3">
      <c r="A27" s="206" t="s">
        <v>605</v>
      </c>
      <c r="B27" s="198" t="s">
        <v>606</v>
      </c>
      <c r="C27" s="199">
        <v>0.02</v>
      </c>
    </row>
    <row r="28" spans="1:3">
      <c r="A28" s="206" t="s">
        <v>607</v>
      </c>
      <c r="B28" s="198" t="s">
        <v>608</v>
      </c>
      <c r="C28" s="199">
        <v>0.99</v>
      </c>
    </row>
    <row r="29" spans="1:3">
      <c r="A29" s="206" t="s">
        <v>609</v>
      </c>
      <c r="B29" s="198" t="s">
        <v>610</v>
      </c>
      <c r="C29" s="199">
        <v>0.99</v>
      </c>
    </row>
    <row r="30" spans="1:3">
      <c r="A30" s="206" t="s">
        <v>611</v>
      </c>
      <c r="B30" s="198" t="s">
        <v>612</v>
      </c>
      <c r="C30" s="199">
        <v>0.9</v>
      </c>
    </row>
    <row r="31" spans="1:3">
      <c r="A31" s="206" t="s">
        <v>613</v>
      </c>
      <c r="B31" s="198" t="s">
        <v>614</v>
      </c>
      <c r="C31" s="199">
        <v>0.9</v>
      </c>
    </row>
    <row r="32" spans="1:3">
      <c r="A32" s="206" t="s">
        <v>615</v>
      </c>
      <c r="B32" s="198" t="s">
        <v>616</v>
      </c>
      <c r="C32" s="199">
        <v>0.98</v>
      </c>
    </row>
    <row r="33" spans="1:3">
      <c r="A33" s="206" t="s">
        <v>617</v>
      </c>
      <c r="B33" s="198" t="s">
        <v>618</v>
      </c>
      <c r="C33" s="199">
        <v>288.14999999999998</v>
      </c>
    </row>
    <row r="34" spans="1:3">
      <c r="A34" s="206" t="s">
        <v>619</v>
      </c>
      <c r="B34" s="198" t="s">
        <v>620</v>
      </c>
      <c r="C34" s="199">
        <v>101.325</v>
      </c>
    </row>
    <row r="35" spans="1:3">
      <c r="A35" s="206"/>
      <c r="B35" s="198"/>
      <c r="C35" s="199"/>
    </row>
    <row r="36" spans="1:3">
      <c r="A36" s="206"/>
      <c r="B36" s="198"/>
      <c r="C36" s="199"/>
    </row>
    <row r="37" spans="1:3">
      <c r="A37" s="206" t="s">
        <v>621</v>
      </c>
      <c r="B37" s="198" t="s">
        <v>622</v>
      </c>
      <c r="C37" s="199">
        <v>287.05</v>
      </c>
    </row>
    <row r="38" spans="1:3">
      <c r="A38" s="206"/>
      <c r="B38" s="198"/>
      <c r="C38" s="199"/>
    </row>
    <row r="39" spans="1:3">
      <c r="A39" s="206"/>
      <c r="B39" s="198"/>
      <c r="C39" s="199"/>
    </row>
    <row r="40" spans="1:3">
      <c r="A40" s="206"/>
      <c r="B40" s="198"/>
      <c r="C40" s="199"/>
    </row>
    <row r="41" spans="1:3">
      <c r="A41" s="206" t="s">
        <v>623</v>
      </c>
      <c r="B41" s="198" t="s">
        <v>624</v>
      </c>
      <c r="C41" s="199">
        <v>4315000</v>
      </c>
    </row>
    <row r="42" spans="1:3">
      <c r="A42" s="206"/>
      <c r="B42" s="198"/>
      <c r="C42" s="199"/>
    </row>
    <row r="43" spans="1:3">
      <c r="A43" s="206" t="s">
        <v>625</v>
      </c>
      <c r="B43" s="198" t="s">
        <v>626</v>
      </c>
      <c r="C43" s="199">
        <v>7</v>
      </c>
    </row>
    <row r="44" spans="1:3">
      <c r="A44" s="206" t="s">
        <v>627</v>
      </c>
      <c r="B44" s="198" t="s">
        <v>628</v>
      </c>
      <c r="C44" s="199">
        <v>0.88</v>
      </c>
    </row>
    <row r="47" spans="1:3">
      <c r="A47" s="367" t="s">
        <v>629</v>
      </c>
      <c r="B47" s="366"/>
      <c r="C47" s="366"/>
    </row>
    <row r="48" spans="1:3">
      <c r="A48" s="206" t="s">
        <v>630</v>
      </c>
      <c r="B48" s="198" t="s">
        <v>631</v>
      </c>
      <c r="C48" s="200">
        <f>IFERROR(IF(Inputs!$C$5&lt;=11000,288.15-0.0065*Inputs!$C$5,(288.15-0.0065*11000)),"")</f>
        <v>216.64999999999998</v>
      </c>
    </row>
    <row r="49" spans="1:3">
      <c r="A49" s="206" t="s">
        <v>632</v>
      </c>
      <c r="B49" s="198" t="s">
        <v>633</v>
      </c>
      <c r="C49" s="200">
        <f>IFERROR(IF(Inputs!$C$5&lt;=11000,(101.325)*POWER((288.15-0.0065*Inputs!$C$5)/(288.15),(9.80665/(0.0065*Inputs!$C$37))),((101.325)*POWER(((288.15-0.0065*11000))/(288.15),(9.80665/(0.0065*Inputs!$C$37))))*EXP((-9.80665*(Inputs!$C$5-11000))/(Inputs!$C$37*((288.15-0.0065*11000))))),"")</f>
        <v>20.645820540686877</v>
      </c>
    </row>
    <row r="53" spans="1:3">
      <c r="A53" s="364" t="s">
        <v>539</v>
      </c>
      <c r="B53" s="364"/>
    </row>
    <row r="54" spans="1:3">
      <c r="A54" s="12"/>
      <c r="B54" s="12" t="s">
        <v>540</v>
      </c>
    </row>
    <row r="55" spans="1:3">
      <c r="A55" s="2" t="s">
        <v>634</v>
      </c>
      <c r="B55" s="3">
        <v>0.03</v>
      </c>
    </row>
    <row r="58" spans="1:3">
      <c r="A58" s="2" t="s">
        <v>635</v>
      </c>
      <c r="B58" s="3">
        <v>0.05</v>
      </c>
    </row>
    <row r="59" spans="1:3">
      <c r="A59" s="2" t="s">
        <v>636</v>
      </c>
      <c r="B59" s="3">
        <v>0.05</v>
      </c>
    </row>
    <row r="62" spans="1:3">
      <c r="A62" s="73" t="s">
        <v>551</v>
      </c>
      <c r="B62" s="106">
        <f>SUM(B55:B60)*100</f>
        <v>13</v>
      </c>
    </row>
  </sheetData>
  <mergeCells count="5">
    <mergeCell ref="A1:E1"/>
    <mergeCell ref="A3:C3"/>
    <mergeCell ref="A20:C20"/>
    <mergeCell ref="A47:C47"/>
    <mergeCell ref="A53:B53"/>
  </mergeCells>
  <dataValidations count="1">
    <dataValidation type="decimal" allowBlank="1" sqref="C21:C22 C24 C26:C30 C32 C44" xr:uid="{38150AC6-6760-44C4-B4E9-0370A1036C65}">
      <formula1>0</formula1>
      <formula2>1</formula2>
    </dataValidation>
  </dataValidations>
  <pageMargins left="0.75" right="0.75" top="1" bottom="1" header="0.5" footer="0.5"/>
  <pageSetup scale="68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43A56-6352-461C-A6EB-DFB73A701A95}">
  <sheetPr>
    <pageSetUpPr fitToPage="1"/>
  </sheetPr>
  <dimension ref="A1:AD96"/>
  <sheetViews>
    <sheetView workbookViewId="0">
      <pane xSplit="1" ySplit="4" topLeftCell="B84" activePane="bottomRight" state="frozen"/>
      <selection pane="topRight"/>
      <selection pane="bottomLeft"/>
      <selection pane="bottomRight" activeCell="A95" sqref="A95"/>
    </sheetView>
  </sheetViews>
  <sheetFormatPr defaultRowHeight="14.4"/>
  <cols>
    <col min="1" max="1" width="24" customWidth="1"/>
    <col min="2" max="24" width="14" customWidth="1"/>
  </cols>
  <sheetData>
    <row r="1" spans="1:30" ht="17.399999999999999">
      <c r="A1" s="368" t="s">
        <v>637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</row>
    <row r="2" spans="1:30" ht="17.399999999999999">
      <c r="A2" s="208"/>
      <c r="D2">
        <v>2</v>
      </c>
      <c r="E2">
        <v>21</v>
      </c>
      <c r="F2">
        <v>13</v>
      </c>
      <c r="I2">
        <v>25</v>
      </c>
      <c r="K2">
        <v>3</v>
      </c>
      <c r="L2">
        <v>4</v>
      </c>
      <c r="M2">
        <v>41</v>
      </c>
      <c r="O2">
        <v>44</v>
      </c>
      <c r="R2">
        <v>45</v>
      </c>
      <c r="S2">
        <v>5</v>
      </c>
      <c r="T2">
        <v>16</v>
      </c>
      <c r="U2">
        <v>64</v>
      </c>
      <c r="X2">
        <v>8</v>
      </c>
    </row>
    <row r="3" spans="1:30">
      <c r="A3" s="214"/>
      <c r="B3" s="215" t="s">
        <v>638</v>
      </c>
      <c r="C3" s="215" t="s">
        <v>639</v>
      </c>
      <c r="D3" s="215" t="s">
        <v>640</v>
      </c>
      <c r="E3" s="215" t="s">
        <v>641</v>
      </c>
      <c r="F3" s="215" t="s">
        <v>642</v>
      </c>
      <c r="G3" s="209"/>
      <c r="H3" s="209"/>
      <c r="I3" s="215" t="s">
        <v>643</v>
      </c>
      <c r="J3" s="215" t="s">
        <v>644</v>
      </c>
      <c r="K3" s="219" t="s">
        <v>645</v>
      </c>
      <c r="L3" s="215" t="s">
        <v>646</v>
      </c>
      <c r="M3" s="215" t="s">
        <v>647</v>
      </c>
      <c r="N3" s="215" t="s">
        <v>648</v>
      </c>
      <c r="O3" s="215" t="s">
        <v>649</v>
      </c>
      <c r="P3" s="216" t="s">
        <v>650</v>
      </c>
      <c r="Q3" s="216" t="s">
        <v>651</v>
      </c>
      <c r="R3" s="215" t="s">
        <v>652</v>
      </c>
      <c r="S3" s="215" t="s">
        <v>653</v>
      </c>
      <c r="T3" s="215" t="s">
        <v>654</v>
      </c>
      <c r="U3" s="215">
        <v>6</v>
      </c>
      <c r="V3" s="215">
        <v>7</v>
      </c>
      <c r="W3" s="215">
        <v>8</v>
      </c>
      <c r="X3" s="215">
        <v>9</v>
      </c>
    </row>
    <row r="4" spans="1:30" ht="28.8">
      <c r="A4" s="214"/>
      <c r="B4" s="215" t="s">
        <v>655</v>
      </c>
      <c r="C4" s="215" t="s">
        <v>454</v>
      </c>
      <c r="D4" s="215" t="s">
        <v>656</v>
      </c>
      <c r="E4" s="215" t="s">
        <v>657</v>
      </c>
      <c r="F4" s="215" t="s">
        <v>658</v>
      </c>
      <c r="G4" s="209"/>
      <c r="H4" s="209"/>
      <c r="I4" s="215" t="s">
        <v>659</v>
      </c>
      <c r="J4" s="215" t="s">
        <v>660</v>
      </c>
      <c r="K4" s="219" t="s">
        <v>661</v>
      </c>
      <c r="L4" s="215" t="s">
        <v>662</v>
      </c>
      <c r="M4" s="215" t="s">
        <v>663</v>
      </c>
      <c r="N4" s="215" t="s">
        <v>664</v>
      </c>
      <c r="O4" s="215" t="s">
        <v>665</v>
      </c>
      <c r="P4" s="216" t="s">
        <v>666</v>
      </c>
      <c r="Q4" s="216" t="s">
        <v>667</v>
      </c>
      <c r="R4" s="215" t="s">
        <v>668</v>
      </c>
      <c r="S4" s="215" t="s">
        <v>669</v>
      </c>
      <c r="T4" s="215" t="s">
        <v>670</v>
      </c>
      <c r="U4" s="215" t="s">
        <v>671</v>
      </c>
      <c r="V4" s="215" t="s">
        <v>672</v>
      </c>
      <c r="W4" s="215" t="s">
        <v>673</v>
      </c>
      <c r="X4" s="215" t="s">
        <v>674</v>
      </c>
    </row>
    <row r="5" spans="1:30">
      <c r="A5" s="210" t="s">
        <v>231</v>
      </c>
      <c r="B5" s="211"/>
      <c r="C5" s="211" t="e">
        <f ca="1">D5</f>
        <v>#VALUE!</v>
      </c>
      <c r="D5" s="211" t="e">
        <f ca="1">D6/(SQRT(D10/288.15))*(D9/101.325)</f>
        <v>#VALUE!</v>
      </c>
      <c r="E5" s="211" t="str">
        <f ca="1">IFERROR(D5/(1+Inputs!$C$8),"")</f>
        <v/>
      </c>
      <c r="F5" s="211" t="str">
        <f ca="1">IFERROR(D5*Inputs!$C$8/(1+Inputs!$C$8),"")</f>
        <v/>
      </c>
      <c r="G5" s="212"/>
      <c r="H5" s="212"/>
      <c r="I5" s="211" t="str">
        <f ca="1">IFERROR(Cycle!E5,"")</f>
        <v/>
      </c>
      <c r="J5" s="211" t="str">
        <f ca="1">IFERROR(Cycle!E5+J7,"")</f>
        <v/>
      </c>
      <c r="K5" s="211" t="e">
        <f ca="1">J5*0.89</f>
        <v>#VALUE!</v>
      </c>
      <c r="L5" s="211" t="str">
        <f ca="1">IFERROR(Cycle!K5*(1+Cycle!L8),"")</f>
        <v/>
      </c>
      <c r="M5" s="211" t="e">
        <f ca="1">L5+J5*Inputs!B58</f>
        <v>#VALUE!</v>
      </c>
      <c r="N5" s="211" t="str">
        <f ca="1">IFERROR(Cycle!M5+J5*Inputs!B59,"")</f>
        <v/>
      </c>
      <c r="O5" s="211" t="str">
        <f ca="1">IFERROR(Cycle!N5,"")</f>
        <v/>
      </c>
      <c r="P5" s="220"/>
      <c r="Q5" s="220"/>
      <c r="R5" s="211" t="str">
        <f ca="1">IFERROR(Cycle!O5,"")</f>
        <v/>
      </c>
      <c r="S5" s="211" t="str">
        <f ca="1">IFERROR(Cycle!R5+I5*Inputs!B55,"")</f>
        <v/>
      </c>
      <c r="T5" s="211" t="str">
        <f ca="1">IFERROR(Cycle!F5,"")</f>
        <v/>
      </c>
      <c r="U5" s="211" t="e">
        <f ca="1">S5+T5</f>
        <v>#VALUE!</v>
      </c>
      <c r="V5" s="211" t="e">
        <f ca="1">U5</f>
        <v>#VALUE!</v>
      </c>
      <c r="W5" s="211" t="e">
        <f t="shared" ref="W5:X5" ca="1" si="0">V5</f>
        <v>#VALUE!</v>
      </c>
      <c r="X5" s="211" t="e">
        <f t="shared" ca="1" si="0"/>
        <v>#VALUE!</v>
      </c>
    </row>
    <row r="6" spans="1:30">
      <c r="A6" s="210" t="s">
        <v>232</v>
      </c>
      <c r="B6" s="211"/>
      <c r="C6" s="211">
        <v>69</v>
      </c>
      <c r="D6" s="211">
        <f>C6</f>
        <v>69</v>
      </c>
      <c r="E6" s="211" t="str">
        <f ca="1">IFERROR(Cycle!E5*SQRT(Cycle!E10/Inputs!$C$33)/(Cycle!E9/Inputs!$C$34),"")</f>
        <v/>
      </c>
      <c r="F6" s="211" t="str">
        <f ca="1">IFERROR(Cycle!F5*SQRT(Cycle!F10/Inputs!$C$33)/(Cycle!F9/Inputs!$C$34),"")</f>
        <v/>
      </c>
      <c r="G6" s="212"/>
      <c r="H6" s="212"/>
      <c r="I6" s="211" t="str">
        <f ca="1">IFERROR(Cycle!I5*SQRT(Cycle!I10/Inputs!$C$33)/(Cycle!I9/Inputs!$C$34),"")</f>
        <v/>
      </c>
      <c r="J6" s="211" t="str">
        <f ca="1">IFERROR(Cycle!J5*SQRT(Cycle!J10/Inputs!$C$33)/(Cycle!J9/Inputs!$C$34),"")</f>
        <v/>
      </c>
      <c r="K6" s="211" t="str">
        <f ca="1">IFERROR(Cycle!K5*SQRT(Cycle!K10/Inputs!$C$33)/(Cycle!K9/Inputs!$C$34),"")</f>
        <v/>
      </c>
      <c r="L6" s="211" t="str">
        <f ca="1">IFERROR(Cycle!L5*SQRT(Cycle!L10/Inputs!$C$33)/(Cycle!L9/Inputs!$C$34),"")</f>
        <v/>
      </c>
      <c r="M6" s="211" t="str">
        <f ca="1">IFERROR(Cycle!M5*SQRT(Cycle!M10/Inputs!$C$33)/(Cycle!M9/Inputs!$C$34),"")</f>
        <v/>
      </c>
      <c r="N6" s="211" t="str">
        <f ca="1">IFERROR(Cycle!N5*SQRT(Cycle!N10/Inputs!$C$33)/(Cycle!N9/Inputs!$C$34),"")</f>
        <v/>
      </c>
      <c r="O6" s="211" t="str">
        <f ca="1">IFERROR(Cycle!O5*SQRT(Cycle!O10/Inputs!$C$33)/(Cycle!O9/Inputs!$C$34),"")</f>
        <v/>
      </c>
      <c r="P6" s="220"/>
      <c r="Q6" s="220"/>
      <c r="R6" s="211" t="str">
        <f ca="1">IFERROR(Cycle!R5*SQRT(Cycle!R10/Inputs!$C$33)/(Cycle!R9/Inputs!$C$34),"")</f>
        <v/>
      </c>
      <c r="S6" s="211" t="str">
        <f ca="1">IFERROR(Cycle!S5*SQRT(Cycle!S10/Inputs!$C$33)/(Cycle!S9/Inputs!$C$34),"")</f>
        <v/>
      </c>
      <c r="T6" s="211" t="str">
        <f ca="1">IFERROR(Cycle!T5*SQRT(Cycle!T10/Inputs!$C$33)/(Cycle!T9/Inputs!$C$34),"")</f>
        <v/>
      </c>
      <c r="U6" s="211" t="str">
        <f ca="1">IFERROR(Cycle!U5*SQRT(Cycle!U10/Inputs!$C$33)/(Cycle!U9/Inputs!$C$34),"")</f>
        <v/>
      </c>
      <c r="V6" s="211" t="str">
        <f ca="1">IFERROR(Cycle!V5*SQRT(Cycle!V10/Inputs!$C$33)/(Cycle!V9/Inputs!$C$34),"")</f>
        <v/>
      </c>
      <c r="W6" s="211" t="str">
        <f ca="1">IFERROR(Cycle!W5*SQRT(Cycle!W10/Inputs!$C$33)/(Cycle!W9/Inputs!$C$34),"")</f>
        <v/>
      </c>
      <c r="X6" s="211" t="str">
        <f ca="1">IFERROR(Cycle!X5*SQRT(Cycle!X10/Inputs!$C$33)/(Cycle!X9/Inputs!$C$34),"")</f>
        <v/>
      </c>
    </row>
    <row r="7" spans="1:30">
      <c r="A7" s="210" t="s">
        <v>481</v>
      </c>
      <c r="B7" s="211">
        <f>0</f>
        <v>0</v>
      </c>
      <c r="C7" s="211">
        <f>0</f>
        <v>0</v>
      </c>
      <c r="D7" s="211">
        <f>0</f>
        <v>0</v>
      </c>
      <c r="E7" s="211">
        <f>0</f>
        <v>0</v>
      </c>
      <c r="F7" s="211">
        <f>0</f>
        <v>0</v>
      </c>
      <c r="G7" s="212"/>
      <c r="H7" s="212"/>
      <c r="I7" s="211">
        <f>0</f>
        <v>0</v>
      </c>
      <c r="J7" s="211" t="e">
        <f ca="1">-SUM(Inputs!B55)/100*E5</f>
        <v>#VALUE!</v>
      </c>
      <c r="K7" s="211">
        <f>0</f>
        <v>0</v>
      </c>
      <c r="L7" s="211">
        <f>0</f>
        <v>0</v>
      </c>
      <c r="M7" s="211">
        <f>0</f>
        <v>0</v>
      </c>
      <c r="N7" s="211">
        <f>0</f>
        <v>0</v>
      </c>
      <c r="O7" s="211">
        <f>0</f>
        <v>0</v>
      </c>
      <c r="P7" s="220"/>
      <c r="Q7" s="220"/>
      <c r="R7" s="211">
        <f>0</f>
        <v>0</v>
      </c>
      <c r="S7" s="211">
        <f>0</f>
        <v>0</v>
      </c>
      <c r="T7" s="211">
        <f>0</f>
        <v>0</v>
      </c>
      <c r="U7" s="211">
        <f>0</f>
        <v>0</v>
      </c>
      <c r="V7" s="211">
        <f t="shared" ref="V7:X10" si="1">U7</f>
        <v>0</v>
      </c>
      <c r="W7" s="211">
        <v>0</v>
      </c>
      <c r="X7" s="211">
        <v>0</v>
      </c>
    </row>
    <row r="8" spans="1:30">
      <c r="A8" s="210" t="s">
        <v>224</v>
      </c>
      <c r="B8" s="211">
        <f>0</f>
        <v>0</v>
      </c>
      <c r="C8" s="211">
        <f>0</f>
        <v>0</v>
      </c>
      <c r="D8" s="211">
        <f>0</f>
        <v>0</v>
      </c>
      <c r="E8" s="211">
        <f>0</f>
        <v>0</v>
      </c>
      <c r="F8" s="211">
        <f>0</f>
        <v>0</v>
      </c>
      <c r="G8" s="212"/>
      <c r="H8" s="212"/>
      <c r="I8" s="211">
        <f>0</f>
        <v>0</v>
      </c>
      <c r="J8" s="211">
        <f>0</f>
        <v>0</v>
      </c>
      <c r="K8" s="211">
        <f>0</f>
        <v>0</v>
      </c>
      <c r="L8" s="211" t="e">
        <f ca="1">((K5*(L11-J11))/(Inputs!C28*Inputs!C41-Cycle!J11))/Cycle!J5*100</f>
        <v>#VALUE!</v>
      </c>
      <c r="M8" s="211" t="str">
        <f ca="1">IFERROR(Cycle!L8,"")</f>
        <v/>
      </c>
      <c r="N8" s="211" t="str">
        <f ca="1">IFERROR(Cycle!L8,"")</f>
        <v/>
      </c>
      <c r="O8" s="211" t="str">
        <f ca="1">IFERROR(Cycle!L8,"")</f>
        <v/>
      </c>
      <c r="P8" s="220"/>
      <c r="Q8" s="220"/>
      <c r="R8" s="211" t="str">
        <f ca="1">IFERROR(Cycle!L8,"")</f>
        <v/>
      </c>
      <c r="S8" s="211" t="str">
        <f ca="1">IFERROR(Cycle!L8,"")</f>
        <v/>
      </c>
      <c r="T8" s="211">
        <f>0</f>
        <v>0</v>
      </c>
      <c r="U8" s="211" t="e">
        <f ca="1">(S8*S5)/(S5+T5)</f>
        <v>#VALUE!</v>
      </c>
      <c r="V8" s="211" t="e">
        <f t="shared" ca="1" si="1"/>
        <v>#VALUE!</v>
      </c>
      <c r="W8" s="211" t="e">
        <f t="shared" ca="1" si="1"/>
        <v>#VALUE!</v>
      </c>
      <c r="X8" s="211" t="e">
        <f t="shared" ca="1" si="1"/>
        <v>#VALUE!</v>
      </c>
    </row>
    <row r="9" spans="1:30">
      <c r="A9" s="210" t="s">
        <v>483</v>
      </c>
      <c r="B9" s="211">
        <f>Inputs!C49</f>
        <v>20.645820540686877</v>
      </c>
      <c r="C9" s="211" t="str">
        <f ca="1">IFERROR(Inputs!$C$49*POWER(1+(Cycle!C18-1)/2*Cycle!C12^2,Cycle!C18/(Cycle!C18-1)),"")</f>
        <v/>
      </c>
      <c r="D9" s="211" t="str">
        <f ca="1">IFERROR(Cycle!C9*Inputs!$C$21,"")</f>
        <v/>
      </c>
      <c r="E9" s="211" t="str">
        <f ca="1">IFERROR(Cycle!D9*Inputs!$C$9,"")</f>
        <v/>
      </c>
      <c r="F9" s="211" t="str">
        <f ca="1">IFERROR(Cycle!D9*Inputs!$C$9,"")</f>
        <v/>
      </c>
      <c r="G9" s="212"/>
      <c r="H9" s="212"/>
      <c r="I9" s="211" t="str">
        <f ca="1">IFERROR(Cycle!F9*(1-Inputs!$C$25),"")</f>
        <v/>
      </c>
      <c r="J9" s="211" t="str">
        <f ca="1">IFERROR(Cycle!I9*Inputs!$C$43,"")</f>
        <v/>
      </c>
      <c r="K9" s="211" t="str">
        <f ca="1">IFERROR(Cycle!J9,"")</f>
        <v/>
      </c>
      <c r="L9" s="211" t="str">
        <f ca="1">IFERROR(Cycle!J9*(1-Inputs!$C$27),"")</f>
        <v/>
      </c>
      <c r="M9" s="211" t="str">
        <f ca="1">IFERROR(Cycle!L9,"")</f>
        <v/>
      </c>
      <c r="N9" s="211" t="str">
        <f ca="1">IFERROR(Cycle!L9,"")</f>
        <v/>
      </c>
      <c r="O9" s="211" t="str">
        <f ca="1">IFERROR(Cycle!N9*POWER(Cycle!O10/Cycle!N10,Cycle!N18/((Cycle!N18-1)*Inputs!$C$30)),"")</f>
        <v/>
      </c>
      <c r="P9" s="220"/>
      <c r="Q9" s="220"/>
      <c r="R9" s="211" t="str">
        <f ca="1">IFERROR(Cycle!O9*Inputs!$C$31,"")</f>
        <v/>
      </c>
      <c r="S9" s="211" t="str">
        <f ca="1">R9</f>
        <v/>
      </c>
      <c r="T9" s="211" t="str">
        <f ca="1">IFERROR(Cycle!F9*(1-Inputs!$C$25),"")</f>
        <v/>
      </c>
      <c r="U9" s="211">
        <f ca="1">IFERROR(Inputs!$C$32*MIN(Cycle!S9,Cycle!T9),"")</f>
        <v>0</v>
      </c>
      <c r="V9" s="211">
        <f t="shared" ca="1" si="1"/>
        <v>0</v>
      </c>
      <c r="W9" s="211">
        <f t="shared" ca="1" si="1"/>
        <v>0</v>
      </c>
      <c r="X9" s="211">
        <f t="shared" ca="1" si="1"/>
        <v>0</v>
      </c>
    </row>
    <row r="10" spans="1:30">
      <c r="A10" s="210" t="s">
        <v>383</v>
      </c>
      <c r="B10" s="211">
        <f>Inputs!C48</f>
        <v>216.64999999999998</v>
      </c>
      <c r="C10" s="211" t="str">
        <f ca="1">IFERROR(Inputs!$C$48*(1+(Cycle!C18-1)/2*Cycle!C12^2),"")</f>
        <v/>
      </c>
      <c r="D10" s="211" t="str">
        <f ca="1">IFERROR(Cycle!C10,"")</f>
        <v/>
      </c>
      <c r="E10" s="211" t="str">
        <f ca="1">IFERROR(Cycle!D10*POWER(Inputs!$C$9,(Cycle!D18-1)/(Cycle!D18*Inputs!$C$22)),"")</f>
        <v/>
      </c>
      <c r="F10" s="211" t="str">
        <f ca="1">IFERROR(Cycle!D10*POWER(Inputs!$C$9,(Cycle!D18-1)/(Cycle!D18*Inputs!$C$22)),"")</f>
        <v/>
      </c>
      <c r="G10" s="212"/>
      <c r="H10" s="212"/>
      <c r="I10" s="211" t="str">
        <f ca="1">IFERROR(Cycle!F10,"")</f>
        <v/>
      </c>
      <c r="J10" s="211" t="str">
        <f ca="1">IFERROR(Cycle!I10*POWER(Inputs!$C$43,(Cycle!J18-1)/(Cycle!J18*Inputs!$C$44)),"")</f>
        <v/>
      </c>
      <c r="K10" s="211" t="str">
        <f ca="1">IFERROR(Cycle!J10,"")</f>
        <v/>
      </c>
      <c r="L10" s="211">
        <f>IFERROR(Inputs!$C$14,"")</f>
        <v>1700</v>
      </c>
      <c r="M10" s="211" t="e" cm="1">
        <f t="array" aca="1" ref="M10" ca="1">TfromH(Cycle!M11,Cycle!M8,2500,500)</f>
        <v>#NAME?</v>
      </c>
      <c r="N10" s="211" t="e" cm="1">
        <f t="array" aca="1" ref="N10" ca="1">TfromH(Cycle!N11,Cycle!N8,2500,100)</f>
        <v>#NAME?</v>
      </c>
      <c r="O10" s="211">
        <v>1402.008652</v>
      </c>
      <c r="P10" s="220"/>
      <c r="Q10" s="220"/>
      <c r="R10" s="211">
        <f>IFERROR(Cycle!O10,"")</f>
        <v>1402.008652</v>
      </c>
      <c r="S10" s="211" t="e" cm="1">
        <f t="array" aca="1" ref="S10" ca="1">TfromH(S11,S8,2500,500)</f>
        <v>#NAME?</v>
      </c>
      <c r="T10" s="211" t="str">
        <f ca="1">IFERROR(Cycle!F10,"")</f>
        <v/>
      </c>
      <c r="U10" s="211" t="str">
        <f ca="1">IFERROR((Cycle!S5*Cycle!S10+Cycle!T5*Cycle!T10)/Cycle!U5,"")</f>
        <v/>
      </c>
      <c r="V10" s="211" t="str">
        <f t="shared" ca="1" si="1"/>
        <v/>
      </c>
      <c r="W10" s="211" t="str">
        <f t="shared" ca="1" si="1"/>
        <v/>
      </c>
      <c r="X10" s="211" t="str">
        <f t="shared" ca="1" si="1"/>
        <v/>
      </c>
    </row>
    <row r="11" spans="1:30">
      <c r="A11" s="210" t="s">
        <v>353</v>
      </c>
      <c r="B11" s="211" cm="1">
        <f t="array" ref="B11">ht(B10,B8)</f>
        <v>216.83286856133</v>
      </c>
      <c r="C11" s="211" t="e" cm="1">
        <f t="array" aca="1" ref="C11" ca="1">ht(C10,C8)</f>
        <v>#NAME?</v>
      </c>
      <c r="D11" s="211" t="e" cm="1">
        <f t="array" aca="1" ref="D11" ca="1">ht(D10,D8)</f>
        <v>#NAME?</v>
      </c>
      <c r="E11" s="211" t="e" cm="1">
        <f t="array" aca="1" ref="E11" ca="1">ht(E10,E8)</f>
        <v>#NAME?</v>
      </c>
      <c r="F11" s="211" t="e" cm="1">
        <f t="array" aca="1" ref="F11" ca="1">ht(F10,F8)</f>
        <v>#NAME?</v>
      </c>
      <c r="G11" s="212"/>
      <c r="H11" s="212"/>
      <c r="I11" s="211" t="e" cm="1">
        <f t="array" aca="1" ref="I11" ca="1">ht(I10,I8)</f>
        <v>#NAME?</v>
      </c>
      <c r="J11" s="211" t="e" cm="1">
        <f t="array" aca="1" ref="J11" ca="1">ht(J10,J8)</f>
        <v>#NAME?</v>
      </c>
      <c r="K11" s="211" t="e" cm="1">
        <f t="array" aca="1" ref="K11" ca="1">ht(K10,K8)</f>
        <v>#NAME?</v>
      </c>
      <c r="L11" s="211" t="e" cm="1">
        <f t="array" aca="1" ref="L11" ca="1">ht(L10,L8)</f>
        <v>#NAME?</v>
      </c>
      <c r="M11" s="211" t="e">
        <f ca="1">((L11*L5)+(J5*Inputs!B58*J11))/(L5+J5*Inputs!B58)</f>
        <v>#NAME?</v>
      </c>
      <c r="N11" s="211" t="e">
        <f ca="1">((M11*L5)+(J5*Inputs!B59*J11))/(M5+J5*Inputs!B59)</f>
        <v>#NAME?</v>
      </c>
      <c r="O11" s="211" t="e" cm="1">
        <f t="array" aca="1" ref="O11" ca="1">ht(O10,O8)</f>
        <v>#NAME?</v>
      </c>
      <c r="P11" s="220"/>
      <c r="Q11" s="220"/>
      <c r="R11" s="211" t="e" cm="1">
        <f t="array" aca="1" ref="R11" ca="1">ht(R10,R8)</f>
        <v>#NAME?</v>
      </c>
      <c r="S11" s="211" t="e">
        <f ca="1">((R11*R5)+(I5*Inputs!B55*I11))/(I5*Inputs!B55+R5)</f>
        <v>#NAME?</v>
      </c>
      <c r="T11" s="211" t="e" cm="1">
        <f t="array" aca="1" ref="T11" ca="1">ht(T10,T8)</f>
        <v>#NAME?</v>
      </c>
      <c r="U11" s="211" t="e">
        <f ca="1">((S11*S5)+(T5*T11))/(S5+T5)</f>
        <v>#NAME?</v>
      </c>
      <c r="V11" s="211" t="e" cm="1">
        <f t="array" aca="1" ref="V11" ca="1">ht(V10,V8)</f>
        <v>#NAME?</v>
      </c>
      <c r="W11" s="211" t="e" cm="1">
        <f t="array" aca="1" ref="W11" ca="1">ht(W10,W8)</f>
        <v>#NAME?</v>
      </c>
      <c r="X11" s="211" t="e" cm="1">
        <f t="array" aca="1" ref="X11" ca="1">ht(X10,X8)</f>
        <v>#NAME?</v>
      </c>
    </row>
    <row r="12" spans="1:30">
      <c r="A12" s="210" t="s">
        <v>23</v>
      </c>
      <c r="B12" s="213">
        <f>IFERROR(Inputs!$C$4,"")</f>
        <v>0.65</v>
      </c>
      <c r="C12" s="213">
        <f>IFERROR(Inputs!$C$6,"")</f>
        <v>0.65</v>
      </c>
      <c r="D12" s="213">
        <f>IFERROR(Inputs!$C$7,"")</f>
        <v>0.5</v>
      </c>
      <c r="E12" s="213">
        <f>IFERROR(Inputs!$C$10,"")</f>
        <v>0.52</v>
      </c>
      <c r="F12" s="213">
        <f>IFERROR(Inputs!$C$10,"")</f>
        <v>0.52</v>
      </c>
      <c r="G12" s="212"/>
      <c r="H12" s="212"/>
      <c r="I12" s="211">
        <f>IFERROR(Cycle!F12,"")</f>
        <v>0.52</v>
      </c>
      <c r="J12" s="211">
        <v>0.55000000000000004</v>
      </c>
      <c r="K12" s="218">
        <v>0.2</v>
      </c>
      <c r="L12" s="213">
        <f>IFERROR(Inputs!$C$13,"")</f>
        <v>0.4</v>
      </c>
      <c r="M12" s="211">
        <f>IFERROR(Cycle!L12,"")</f>
        <v>0.4</v>
      </c>
      <c r="N12" s="211">
        <f>IFERROR(Cycle!M12,"")</f>
        <v>0.4</v>
      </c>
      <c r="O12" s="211">
        <f>IFERROR(Cycle!N12,"")</f>
        <v>0.4</v>
      </c>
      <c r="P12" s="220"/>
      <c r="Q12" s="220"/>
      <c r="R12" s="211">
        <f>IFERROR(Cycle!O12,"")</f>
        <v>0.4</v>
      </c>
      <c r="S12" s="213">
        <f>IFERROR(Inputs!$C$15,"")</f>
        <v>0.5</v>
      </c>
      <c r="T12" s="213">
        <f>IFERROR(Inputs!$C$16,"")</f>
        <v>0.5</v>
      </c>
      <c r="U12" s="213">
        <v>0.5</v>
      </c>
      <c r="V12" s="213">
        <v>0.5</v>
      </c>
      <c r="W12" s="213">
        <v>1</v>
      </c>
      <c r="X12" s="211">
        <v>1</v>
      </c>
    </row>
    <row r="13" spans="1:30">
      <c r="A13" s="210" t="s">
        <v>111</v>
      </c>
      <c r="B13" s="211">
        <f>IFERROR(Cycle!B12*SQRT(Cycle!B18*Cycle!B19*Cycle!B14),"")</f>
        <v>184.2425464692551</v>
      </c>
      <c r="C13" s="211" t="str">
        <f ca="1">IFERROR(Cycle!C12*SQRT(Cycle!C18*Cycle!C19*Cycle!C14),"")</f>
        <v/>
      </c>
      <c r="D13" s="211" t="str">
        <f ca="1">IFERROR(Cycle!D12*SQRT(Cycle!D18*Cycle!D19*Cycle!D14),"")</f>
        <v/>
      </c>
      <c r="E13" s="211" t="str">
        <f ca="1">IFERROR(Cycle!E12*SQRT(Cycle!E18*Cycle!E19*Cycle!E14),"")</f>
        <v/>
      </c>
      <c r="F13" s="211" t="str">
        <f ca="1">IFERROR(Cycle!F12*SQRT(Cycle!F18*Cycle!F19*Cycle!F14),"")</f>
        <v/>
      </c>
      <c r="G13" s="212"/>
      <c r="H13" s="212"/>
      <c r="I13" s="211" t="str">
        <f ca="1">IFERROR(Cycle!I12*SQRT(Cycle!I18*Cycle!I19*Cycle!I14),"")</f>
        <v/>
      </c>
      <c r="J13" s="211" t="str">
        <f ca="1">IFERROR(Cycle!J12*SQRT(Cycle!J18*Cycle!J19*Cycle!J14),"")</f>
        <v/>
      </c>
      <c r="K13" s="211" t="str">
        <f ca="1">IFERROR(Cycle!K12*SQRT(Cycle!K18*Cycle!K19*Cycle!K14),"")</f>
        <v/>
      </c>
      <c r="L13" s="211" t="str">
        <f ca="1">IFERROR(Cycle!L12*SQRT(Cycle!L18*Cycle!L19*Cycle!L14),"")</f>
        <v/>
      </c>
      <c r="M13" s="211" t="str">
        <f ca="1">IFERROR(Cycle!M12*SQRT(Cycle!M18*Cycle!M19*Cycle!M14),"")</f>
        <v/>
      </c>
      <c r="N13" s="211" t="str">
        <f ca="1">IFERROR(Cycle!N12*SQRT(Cycle!N18*Cycle!N19*Cycle!N14),"")</f>
        <v/>
      </c>
      <c r="O13" s="211" t="str">
        <f ca="1">IFERROR(Cycle!O12*SQRT(Cycle!O18*Cycle!O19*Cycle!O14),"")</f>
        <v/>
      </c>
      <c r="P13" s="220"/>
      <c r="Q13" s="220"/>
      <c r="R13" s="211" t="str">
        <f ca="1">IFERROR(Cycle!R12*SQRT(Cycle!R18*Cycle!R19*Cycle!R14),"")</f>
        <v/>
      </c>
      <c r="S13" s="211" t="str">
        <f ca="1">IFERROR(Cycle!S12*SQRT(Cycle!S18*Cycle!S19*Cycle!S14),"")</f>
        <v/>
      </c>
      <c r="T13" s="211" t="str">
        <f ca="1">IFERROR(Cycle!T12*SQRT(Cycle!T18*Cycle!T19*Cycle!T14),"")</f>
        <v/>
      </c>
      <c r="U13" s="211" t="str">
        <f ca="1">IFERROR(Cycle!U12*SQRT(Cycle!U18*Cycle!U19*Cycle!U14),"")</f>
        <v/>
      </c>
      <c r="V13" s="211" t="str">
        <f ca="1">IFERROR(Cycle!V12*SQRT(Cycle!V18*Cycle!V19*Cycle!V14),"")</f>
        <v/>
      </c>
      <c r="W13" s="211" t="str">
        <f ca="1">IFERROR(Cycle!W12*SQRT(Cycle!W18*Cycle!W19*Cycle!W14),"")</f>
        <v/>
      </c>
      <c r="X13" s="211" t="str">
        <f ca="1">IFERROR(Cycle!X12*SQRT(Cycle!X18*Cycle!X19*Cycle!X14),"")</f>
        <v/>
      </c>
    </row>
    <row r="14" spans="1:30">
      <c r="A14" s="210" t="s">
        <v>109</v>
      </c>
      <c r="B14" s="211">
        <f>IFERROR(Cycle!B10/(1+(Cycle!B18-1)/2*Cycle!B12^2),"")</f>
        <v>199.71108711580666</v>
      </c>
      <c r="C14" s="211" t="str">
        <f ca="1">IFERROR(Cycle!C10/(1+(Cycle!C18-1)/2*Cycle!C12^2),"")</f>
        <v/>
      </c>
      <c r="D14" s="211" t="str">
        <f ca="1">IFERROR(Cycle!D10/(1+(Cycle!D18-1)/2*Cycle!D12^2),"")</f>
        <v/>
      </c>
      <c r="E14" s="211" t="str">
        <f ca="1">IFERROR(Cycle!E10/(1+(Cycle!E18-1)/2*Cycle!E12^2),"")</f>
        <v/>
      </c>
      <c r="F14" s="211" t="str">
        <f ca="1">IFERROR(Cycle!F10/(1+(Cycle!F18-1)/2*Cycle!F12^2),"")</f>
        <v/>
      </c>
      <c r="G14" s="212"/>
      <c r="H14" s="212"/>
      <c r="I14" s="211" t="str">
        <f ca="1">IFERROR(Cycle!I10/(1+(Cycle!I18-1)/2*Cycle!I12^2),"")</f>
        <v/>
      </c>
      <c r="J14" s="211" t="str">
        <f ca="1">IFERROR(Cycle!J10/(1+(Cycle!J18-1)/2*Cycle!J12^2),"")</f>
        <v/>
      </c>
      <c r="K14" s="211" t="str">
        <f ca="1">IFERROR(Cycle!K10/(1+(Cycle!K18-1)/2*Cycle!K12^2),"")</f>
        <v/>
      </c>
      <c r="L14" s="211" t="str">
        <f ca="1">IFERROR(Cycle!L10/(1+(Cycle!L18-1)/2*Cycle!L12^2),"")</f>
        <v/>
      </c>
      <c r="M14" s="211" t="str">
        <f ca="1">IFERROR(Cycle!M10/(1+(Cycle!M18-1)/2*Cycle!M12^2),"")</f>
        <v/>
      </c>
      <c r="N14" s="211" t="str">
        <f ca="1">IFERROR(Cycle!N10/(1+(Cycle!N18-1)/2*Cycle!N12^2),"")</f>
        <v/>
      </c>
      <c r="O14" s="211">
        <f>IFERROR(Cycle!O10/(1+(Cycle!O18-1)/2*Cycle!O12^2),"")</f>
        <v>1361.7022649572648</v>
      </c>
      <c r="P14" s="220"/>
      <c r="Q14" s="220"/>
      <c r="R14" s="211" t="str">
        <f ca="1">IFERROR(Cycle!R10/(1+(Cycle!R18-1)/2*Cycle!R12^2),"")</f>
        <v/>
      </c>
      <c r="S14" s="211" t="str">
        <f ca="1">IFERROR(Cycle!S10/(1+(Cycle!S18-1)/2*Cycle!S12^2),"")</f>
        <v/>
      </c>
      <c r="T14" s="211" t="str">
        <f ca="1">IFERROR(Cycle!T10/(1+(Cycle!T18-1)/2*Cycle!T12^2),"")</f>
        <v/>
      </c>
      <c r="U14" s="211" t="str">
        <f ca="1">IFERROR(Cycle!U10/(1+(Cycle!U18-1)/2*Cycle!U12^2),"")</f>
        <v/>
      </c>
      <c r="V14" s="211" t="str">
        <f ca="1">IFERROR(Cycle!V10/(1+(Cycle!V18-1)/2*Cycle!V12^2),"")</f>
        <v/>
      </c>
      <c r="W14" s="211" t="str">
        <f ca="1">IFERROR(Cycle!W10/(1+(Cycle!W18-1)/2*Cycle!W12^2),"")</f>
        <v/>
      </c>
      <c r="X14" s="211" t="str">
        <f ca="1">IFERROR(Cycle!X10/(1+(Cycle!X18-1)/2*Cycle!X12^2),"")</f>
        <v/>
      </c>
    </row>
    <row r="15" spans="1:30">
      <c r="A15" s="210" t="s">
        <v>108</v>
      </c>
      <c r="B15" s="211">
        <f>IFERROR(Cycle!B9/POWER(1+(Cycle!B18-1)/2*Cycle!B12^2,Cycle!B18/(Cycle!B18-1)),"")</f>
        <v>15.538703742424234</v>
      </c>
      <c r="C15" s="211" t="str">
        <f ca="1">IFERROR(Cycle!C9/POWER(1+(Cycle!C18-1)/2*Cycle!C12^2,Cycle!C18/(Cycle!C18-1)),"")</f>
        <v/>
      </c>
      <c r="D15" s="211" t="str">
        <f ca="1">IFERROR(Cycle!D9/POWER(1+(Cycle!D18-1)/2*Cycle!D12^2,Cycle!D18/(Cycle!D18-1)),"")</f>
        <v/>
      </c>
      <c r="E15" s="211" t="str">
        <f ca="1">IFERROR(Cycle!E9/POWER(1+(Cycle!E18-1)/2*Cycle!E12^2,Cycle!E18/(Cycle!E18-1)),"")</f>
        <v/>
      </c>
      <c r="F15" s="211" t="str">
        <f ca="1">IFERROR(Cycle!F9/POWER(1+(Cycle!F18-1)/2*Cycle!F12^2,Cycle!F18/(Cycle!F18-1)),"")</f>
        <v/>
      </c>
      <c r="G15" s="212"/>
      <c r="H15" s="212"/>
      <c r="I15" s="211" t="str">
        <f ca="1">IFERROR(Cycle!I9/POWER(1+(Cycle!I18-1)/2*Cycle!I12^2,Cycle!I18/(Cycle!I18-1)),"")</f>
        <v/>
      </c>
      <c r="J15" s="211" t="str">
        <f ca="1">IFERROR(Cycle!J9/POWER(1+(Cycle!J18-1)/2*Cycle!J12^2,Cycle!J18/(Cycle!J18-1)),"")</f>
        <v/>
      </c>
      <c r="K15" s="211" t="str">
        <f ca="1">IFERROR(Cycle!K9/POWER(1+(Cycle!K18-1)/2*Cycle!K12^2,Cycle!K18/(Cycle!K18-1)),"")</f>
        <v/>
      </c>
      <c r="L15" s="211" t="str">
        <f ca="1">IFERROR(Cycle!L9/POWER(1+(Cycle!L18-1)/2*Cycle!L12^2,Cycle!L18/(Cycle!L18-1)),"")</f>
        <v/>
      </c>
      <c r="M15" s="211" t="str">
        <f ca="1">IFERROR(Cycle!M9/POWER(1+(Cycle!M18-1)/2*Cycle!M12^2,Cycle!M18/(Cycle!M18-1)),"")</f>
        <v/>
      </c>
      <c r="N15" s="211" t="str">
        <f ca="1">IFERROR(Cycle!N9/POWER(1+(Cycle!N18-1)/2*Cycle!N12^2,Cycle!N18/(Cycle!N18-1)),"")</f>
        <v/>
      </c>
      <c r="O15" s="211" t="str">
        <f ca="1">IFERROR(Cycle!O9/POWER(1+(Cycle!O18-1)/2*Cycle!O12^2,Cycle!O18/(Cycle!O18-1)),"")</f>
        <v/>
      </c>
      <c r="P15" s="220"/>
      <c r="Q15" s="220"/>
      <c r="R15" s="211" t="str">
        <f ca="1">IFERROR(Cycle!R9/POWER(1+(Cycle!R18-1)/2*Cycle!R12^2,Cycle!R18/(Cycle!R18-1)),"")</f>
        <v/>
      </c>
      <c r="S15" s="211" t="str">
        <f ca="1">IFERROR(Cycle!S9/POWER(1+(Cycle!S18-1)/2*Cycle!S12^2,Cycle!S18/(Cycle!S18-1)),"")</f>
        <v/>
      </c>
      <c r="T15" s="211" t="str">
        <f ca="1">IFERROR(Cycle!T9/POWER(1+(Cycle!T18-1)/2*Cycle!T12^2,Cycle!T18/(Cycle!T18-1)),"")</f>
        <v/>
      </c>
      <c r="U15" s="211" t="str">
        <f ca="1">IFERROR(Cycle!U9/POWER(1+(Cycle!U18-1)/2*Cycle!U12^2,Cycle!U18/(Cycle!U18-1)),"")</f>
        <v/>
      </c>
      <c r="V15" s="211" t="str">
        <f ca="1">IFERROR(Cycle!V9/POWER(1+(Cycle!V18-1)/2*Cycle!V12^2,Cycle!V18/(Cycle!V18-1)),"")</f>
        <v/>
      </c>
      <c r="W15" s="211" t="str">
        <f ca="1">IFERROR(Cycle!W9/POWER(1+(Cycle!W18-1)/2*Cycle!W12^2,Cycle!W18/(Cycle!W18-1)),"")</f>
        <v/>
      </c>
      <c r="X15" s="211" t="str">
        <f ca="1">IFERROR(Cycle!X9/POWER(1+(Cycle!X18-1)/2*Cycle!X12^2,Cycle!X18/(Cycle!X18-1)),"")</f>
        <v/>
      </c>
    </row>
    <row r="16" spans="1:30">
      <c r="A16" s="210" t="s">
        <v>675</v>
      </c>
      <c r="B16" s="211">
        <f>IFERROR((Cycle!B15*1000)/(Cycle!B19*Cycle!B14),"")</f>
        <v>0.27105352505750774</v>
      </c>
      <c r="C16" s="211" t="str">
        <f ca="1">IFERROR((Cycle!C15*1000)/(Cycle!C19*Cycle!C14),"")</f>
        <v/>
      </c>
      <c r="D16" s="211" t="str">
        <f ca="1">IFERROR((Cycle!D15*1000)/(Cycle!D19*Cycle!D14),"")</f>
        <v/>
      </c>
      <c r="E16" s="211" t="str">
        <f ca="1">IFERROR((Cycle!E15*1000)/(Cycle!E19*Cycle!E14),"")</f>
        <v/>
      </c>
      <c r="F16" s="211" t="str">
        <f ca="1">IFERROR((Cycle!F15*1000)/(Cycle!F19*Cycle!F14),"")</f>
        <v/>
      </c>
      <c r="G16" s="212"/>
      <c r="H16" s="212"/>
      <c r="I16" s="211" t="str">
        <f ca="1">IFERROR((Cycle!I15*1000)/(Cycle!I19*Cycle!I14),"")</f>
        <v/>
      </c>
      <c r="J16" s="211" t="str">
        <f ca="1">IFERROR((Cycle!J15*1000)/(Cycle!J19*Cycle!J14),"")</f>
        <v/>
      </c>
      <c r="K16" s="211" t="str">
        <f ca="1">IFERROR((Cycle!K15*1000)/(Cycle!K19*Cycle!K14),"")</f>
        <v/>
      </c>
      <c r="L16" s="211" t="str">
        <f ca="1">IFERROR((Cycle!L15*1000)/(Cycle!L19*Cycle!L14),"")</f>
        <v/>
      </c>
      <c r="M16" s="211" t="str">
        <f ca="1">IFERROR((Cycle!M15*1000)/(Cycle!M19*Cycle!M14),"")</f>
        <v/>
      </c>
      <c r="N16" s="211" t="str">
        <f ca="1">IFERROR((Cycle!N15*1000)/(Cycle!N19*Cycle!N14),"")</f>
        <v/>
      </c>
      <c r="O16" s="211" t="str">
        <f ca="1">IFERROR((Cycle!O15*1000)/(Cycle!O19*Cycle!O14),"")</f>
        <v/>
      </c>
      <c r="P16" s="220"/>
      <c r="Q16" s="220"/>
      <c r="R16" s="211" t="str">
        <f ca="1">IFERROR((Cycle!R15*1000)/(Cycle!R19*Cycle!R14),"")</f>
        <v/>
      </c>
      <c r="S16" s="211" t="str">
        <f ca="1">IFERROR((Cycle!S15*1000)/(Cycle!S19*Cycle!S14),"")</f>
        <v/>
      </c>
      <c r="T16" s="211" t="str">
        <f ca="1">IFERROR((Cycle!T15*1000)/(Cycle!T19*Cycle!T14),"")</f>
        <v/>
      </c>
      <c r="U16" s="211" t="str">
        <f ca="1">IFERROR((Cycle!U15*1000)/(Cycle!U19*Cycle!U14),"")</f>
        <v/>
      </c>
      <c r="V16" s="211" t="str">
        <f ca="1">IFERROR((Cycle!V15*1000)/(Cycle!V19*Cycle!V14),"")</f>
        <v/>
      </c>
      <c r="W16" s="211" t="str">
        <f ca="1">IFERROR((Cycle!W15*1000)/(Cycle!W19*Cycle!W14),"")</f>
        <v/>
      </c>
      <c r="X16" s="211" t="str">
        <f ca="1">IFERROR((Cycle!X15*1000)/(Cycle!X19*Cycle!X14),"")</f>
        <v/>
      </c>
    </row>
    <row r="17" spans="1:24">
      <c r="A17" s="210" t="s">
        <v>676</v>
      </c>
      <c r="B17" s="211" cm="1">
        <f t="array" ref="B17">cp(B10,B8)</f>
        <v>1001.992163297327</v>
      </c>
      <c r="C17" s="211" t="e" cm="1">
        <f t="array" aca="1" ref="C17" ca="1">cp(C10,C8)</f>
        <v>#NAME?</v>
      </c>
      <c r="D17" s="211" t="e" cm="1">
        <f t="array" aca="1" ref="D17" ca="1">cp(D10,D8)</f>
        <v>#NAME?</v>
      </c>
      <c r="E17" s="211" t="e" cm="1">
        <f t="array" aca="1" ref="E17" ca="1">cp(E10,E8)</f>
        <v>#NAME?</v>
      </c>
      <c r="F17" s="211" t="e" cm="1">
        <f t="array" aca="1" ref="F17" ca="1">cp(F10,F8)</f>
        <v>#NAME?</v>
      </c>
      <c r="G17" s="212"/>
      <c r="H17" s="212"/>
      <c r="I17" s="211" t="e" cm="1">
        <f t="array" aca="1" ref="I17" ca="1">cp(I10,I8)</f>
        <v>#NAME?</v>
      </c>
      <c r="J17" s="211" t="e" cm="1">
        <f t="array" aca="1" ref="J17" ca="1">cp(J10,J8)</f>
        <v>#NAME?</v>
      </c>
      <c r="K17" s="211" t="e" cm="1">
        <f t="array" aca="1" ref="K17" ca="1">cp(K10,K8)</f>
        <v>#NAME?</v>
      </c>
      <c r="L17" s="211" t="e" cm="1">
        <f t="array" aca="1" ref="L17" ca="1">cp(L10,L8)</f>
        <v>#NAME?</v>
      </c>
      <c r="M17" s="211" t="e" cm="1">
        <f t="array" aca="1" ref="M17" ca="1">cp(M10,M8)</f>
        <v>#NAME?</v>
      </c>
      <c r="N17" s="211" t="e" cm="1">
        <f t="array" aca="1" ref="N17" ca="1">cp(N10,N8)</f>
        <v>#NAME?</v>
      </c>
      <c r="O17" s="211" t="e" cm="1">
        <f t="array" aca="1" ref="O17" ca="1">cp(O10,O8)</f>
        <v>#NAME?</v>
      </c>
      <c r="P17" s="220"/>
      <c r="Q17" s="220"/>
      <c r="R17" s="211" t="e" cm="1">
        <f t="array" aca="1" ref="R17" ca="1">cp(R10,R8)</f>
        <v>#NAME?</v>
      </c>
      <c r="S17" s="211" t="e" cm="1">
        <f t="array" aca="1" ref="S17" ca="1">cp(S10,S8)</f>
        <v>#NAME?</v>
      </c>
      <c r="T17" s="211" t="e" cm="1">
        <f t="array" aca="1" ref="T17" ca="1">cp(T10,T8)</f>
        <v>#NAME?</v>
      </c>
      <c r="U17" s="211" t="e">
        <f ca="1">((S17*S5)+(T17*T5))/(S5+T5)</f>
        <v>#NAME?</v>
      </c>
      <c r="V17" s="211" t="e">
        <f ca="1">((T17*T5)+(U17*U5))/(T5+U5)</f>
        <v>#NAME?</v>
      </c>
      <c r="W17" s="211" t="e">
        <f t="shared" ref="W17:X17" ca="1" si="2">((U17*U5)+(V17*V5))/(U5+V5)</f>
        <v>#NAME?</v>
      </c>
      <c r="X17" s="211" t="e">
        <f t="shared" ca="1" si="2"/>
        <v>#NAME?</v>
      </c>
    </row>
    <row r="18" spans="1:24">
      <c r="A18" s="210" t="s">
        <v>4</v>
      </c>
      <c r="B18" s="211">
        <f>B17/(B17-B19)</f>
        <v>1.4015010090831963</v>
      </c>
      <c r="C18" s="211" t="e">
        <f ca="1">C17/(C17-C19)</f>
        <v>#NAME?</v>
      </c>
      <c r="D18" s="211" t="e">
        <f t="shared" ref="D18:F18" ca="1" si="3">D17/(D17-D19)</f>
        <v>#NAME?</v>
      </c>
      <c r="E18" s="211" t="e">
        <f t="shared" ca="1" si="3"/>
        <v>#NAME?</v>
      </c>
      <c r="F18" s="211" t="e">
        <f t="shared" ca="1" si="3"/>
        <v>#NAME?</v>
      </c>
      <c r="G18" s="212"/>
      <c r="H18" s="212"/>
      <c r="I18" s="211" t="e">
        <f ca="1">I17/(I17-I19)</f>
        <v>#NAME?</v>
      </c>
      <c r="J18" s="211" t="e">
        <f ca="1">J17/(J17-J19)</f>
        <v>#NAME?</v>
      </c>
      <c r="K18" s="211" t="e">
        <f t="shared" ref="K18:S18" ca="1" si="4">K17/(K17-K19)</f>
        <v>#NAME?</v>
      </c>
      <c r="L18" s="211" t="e">
        <f t="shared" ref="L18" ca="1" si="5">L17/(L17-L19)</f>
        <v>#NAME?</v>
      </c>
      <c r="M18" s="211" t="e">
        <f t="shared" ref="M18" ca="1" si="6">M17/(M17-M19)</f>
        <v>#NAME?</v>
      </c>
      <c r="N18" s="211">
        <v>1.37</v>
      </c>
      <c r="O18" s="211">
        <v>1.37</v>
      </c>
      <c r="P18" s="220"/>
      <c r="Q18" s="220"/>
      <c r="R18" s="211" t="e">
        <f t="shared" ca="1" si="4"/>
        <v>#NAME?</v>
      </c>
      <c r="S18" s="211" t="e">
        <f t="shared" ca="1" si="4"/>
        <v>#NAME?</v>
      </c>
      <c r="T18" s="211" t="e">
        <f ca="1">T17/(T17-T19)</f>
        <v>#NAME?</v>
      </c>
      <c r="U18" s="211" t="e">
        <f ca="1">U17/(U17-U19)</f>
        <v>#NAME?</v>
      </c>
      <c r="V18" s="211" t="e">
        <f ca="1">V17/(V17-V19)</f>
        <v>#NAME?</v>
      </c>
      <c r="W18" s="211" t="e">
        <f t="shared" ref="W18:X18" ca="1" si="7">W17/(W17-W19)</f>
        <v>#NAME?</v>
      </c>
      <c r="X18" s="211" t="e">
        <f t="shared" ca="1" si="7"/>
        <v>#NAME?</v>
      </c>
    </row>
    <row r="19" spans="1:24">
      <c r="A19" s="210" t="s">
        <v>351</v>
      </c>
      <c r="B19" s="211" cm="1">
        <f t="array" ref="B19">Rgas(B8)</f>
        <v>287.05</v>
      </c>
      <c r="C19" s="211" cm="1">
        <f t="array" ref="C19">Rgas(C8)</f>
        <v>287.05</v>
      </c>
      <c r="D19" s="211" cm="1">
        <f t="array" ref="D19">Rgas(D8)</f>
        <v>287.05</v>
      </c>
      <c r="E19" s="211" cm="1">
        <f t="array" ref="E19">Rgas(E8)</f>
        <v>287.05</v>
      </c>
      <c r="F19" s="211" cm="1">
        <f t="array" ref="F19">Rgas(F8)</f>
        <v>287.05</v>
      </c>
      <c r="G19" s="212"/>
      <c r="H19" s="212"/>
      <c r="I19" s="211" cm="1">
        <f t="array" ref="I19">Rgas(I8)</f>
        <v>287.05</v>
      </c>
      <c r="J19" s="211" cm="1">
        <f t="array" ref="J19">Rgas(J8)</f>
        <v>287.05</v>
      </c>
      <c r="K19" s="211" cm="1">
        <f t="array" ref="K19">Rgas(K8)</f>
        <v>287.05</v>
      </c>
      <c r="L19" s="211" t="e" cm="1">
        <f t="array" aca="1" ref="L19" ca="1">Rgas(L8)</f>
        <v>#NAME?</v>
      </c>
      <c r="M19" s="211" t="e" cm="1">
        <f t="array" aca="1" ref="M19" ca="1">Rgas(M8)</f>
        <v>#NAME?</v>
      </c>
      <c r="N19" s="211" t="e" cm="1">
        <f t="array" aca="1" ref="N19" ca="1">Rgas(N8)</f>
        <v>#NAME?</v>
      </c>
      <c r="O19" s="211" t="e" cm="1">
        <f t="array" aca="1" ref="O19" ca="1">Rgas(O8)</f>
        <v>#NAME?</v>
      </c>
      <c r="P19" s="220"/>
      <c r="Q19" s="220"/>
      <c r="R19" s="211" t="e" cm="1">
        <f t="array" aca="1" ref="R19" ca="1">Rgas(R8)</f>
        <v>#NAME?</v>
      </c>
      <c r="S19" s="211" t="e" cm="1">
        <f t="array" aca="1" ref="S19" ca="1">Rgas(S8)</f>
        <v>#NAME?</v>
      </c>
      <c r="T19" s="211" cm="1">
        <f t="array" ref="T19">Rgas(T8)</f>
        <v>287.05</v>
      </c>
      <c r="U19" s="211" t="e" cm="1">
        <f t="array" aca="1" ref="U19" ca="1">Rgas(U8)</f>
        <v>#NAME?</v>
      </c>
      <c r="V19" s="211" t="e" cm="1">
        <f t="array" aca="1" ref="V19" ca="1">Rgas(V8)</f>
        <v>#NAME?</v>
      </c>
      <c r="W19" s="211" t="e" cm="1">
        <f t="array" aca="1" ref="W19" ca="1">Rgas(W8)</f>
        <v>#NAME?</v>
      </c>
      <c r="X19" s="211" t="e" cm="1">
        <f t="array" aca="1" ref="X19" ca="1">Rgas(X8)</f>
        <v>#NAME?</v>
      </c>
    </row>
    <row r="20" spans="1:24">
      <c r="A20" s="217" t="s">
        <v>677</v>
      </c>
      <c r="B20">
        <f>B7/B10</f>
        <v>0</v>
      </c>
      <c r="E20" t="e">
        <f ca="1">E5*(E11-D11)</f>
        <v>#VALUE!</v>
      </c>
      <c r="F20" t="e">
        <f ca="1">F5*(F11-D11)</f>
        <v>#VALUE!</v>
      </c>
      <c r="J20" t="e">
        <f ca="1">I5*(J11-I11)</f>
        <v>#VALUE!</v>
      </c>
    </row>
    <row r="21" spans="1:24">
      <c r="C21" t="e">
        <f ca="1">C5/(C13*(C15*1000/(C19*C14)))</f>
        <v>#VALUE!</v>
      </c>
      <c r="D21" t="e">
        <f ca="1">D5/(D13*(D15*1000/(D19*D14)))</f>
        <v>#VALUE!</v>
      </c>
    </row>
    <row r="30" spans="1:24">
      <c r="A30" s="5" t="s">
        <v>637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221"/>
      <c r="B31" s="221"/>
      <c r="C31" s="221"/>
      <c r="D31" s="221">
        <v>2</v>
      </c>
      <c r="E31" s="221">
        <v>21</v>
      </c>
      <c r="F31" s="221">
        <v>13</v>
      </c>
      <c r="G31" s="221"/>
      <c r="H31" s="221"/>
      <c r="I31" s="221">
        <v>25</v>
      </c>
      <c r="J31" s="221"/>
      <c r="K31" s="221">
        <v>3</v>
      </c>
      <c r="L31" s="221">
        <v>4</v>
      </c>
      <c r="M31" s="221">
        <v>41</v>
      </c>
      <c r="N31" s="221"/>
      <c r="O31" s="221">
        <v>44</v>
      </c>
      <c r="P31" s="221"/>
      <c r="Q31" s="221"/>
      <c r="R31" s="221">
        <v>45</v>
      </c>
      <c r="S31" s="221">
        <v>5</v>
      </c>
      <c r="T31" s="221">
        <v>16</v>
      </c>
      <c r="U31" s="221">
        <v>64</v>
      </c>
      <c r="V31" s="221"/>
      <c r="W31" s="221"/>
      <c r="X31" s="221">
        <v>8</v>
      </c>
    </row>
    <row r="32" spans="1:24">
      <c r="A32" s="221"/>
      <c r="B32" s="221">
        <v>0</v>
      </c>
      <c r="C32" s="221">
        <v>1</v>
      </c>
      <c r="D32" s="221">
        <v>2</v>
      </c>
      <c r="E32" s="221">
        <v>2.1</v>
      </c>
      <c r="F32" s="221">
        <v>12.1</v>
      </c>
      <c r="G32" s="221"/>
      <c r="H32" s="221"/>
      <c r="I32" s="221">
        <v>2.6</v>
      </c>
      <c r="J32" s="221">
        <v>3</v>
      </c>
      <c r="K32" s="221">
        <v>3.1</v>
      </c>
      <c r="L32" s="221">
        <v>4</v>
      </c>
      <c r="M32" s="221">
        <v>4.05</v>
      </c>
      <c r="N32" s="221">
        <v>4.0999999999999996</v>
      </c>
      <c r="O32" s="221">
        <v>4.4000000000000004</v>
      </c>
      <c r="P32" s="221">
        <v>4.5</v>
      </c>
      <c r="Q32" s="221">
        <v>4.7</v>
      </c>
      <c r="R32" s="221">
        <v>4.8</v>
      </c>
      <c r="S32" s="221">
        <v>5</v>
      </c>
      <c r="T32" s="221">
        <v>15</v>
      </c>
      <c r="U32" s="221">
        <v>6</v>
      </c>
      <c r="V32" s="221">
        <v>7</v>
      </c>
      <c r="W32" s="221">
        <v>8</v>
      </c>
      <c r="X32" s="221">
        <v>9</v>
      </c>
    </row>
    <row r="33" spans="1:24" ht="37.950000000000003" customHeight="1">
      <c r="A33" s="221"/>
      <c r="B33" s="221" t="s">
        <v>655</v>
      </c>
      <c r="C33" s="222" t="s">
        <v>454</v>
      </c>
      <c r="D33" s="221" t="s">
        <v>656</v>
      </c>
      <c r="E33" s="221" t="s">
        <v>657</v>
      </c>
      <c r="F33" s="221" t="s">
        <v>658</v>
      </c>
      <c r="G33" s="221"/>
      <c r="H33" s="221"/>
      <c r="I33" s="222" t="s">
        <v>659</v>
      </c>
      <c r="J33" s="221" t="s">
        <v>660</v>
      </c>
      <c r="K33" s="222" t="s">
        <v>661</v>
      </c>
      <c r="L33" s="221" t="s">
        <v>662</v>
      </c>
      <c r="M33" s="222" t="s">
        <v>663</v>
      </c>
      <c r="N33" s="221" t="s">
        <v>664</v>
      </c>
      <c r="O33" s="221" t="s">
        <v>665</v>
      </c>
      <c r="P33" s="221" t="s">
        <v>666</v>
      </c>
      <c r="Q33" s="221" t="s">
        <v>667</v>
      </c>
      <c r="R33" s="222" t="s">
        <v>668</v>
      </c>
      <c r="S33" s="221" t="s">
        <v>669</v>
      </c>
      <c r="T33" s="221" t="s">
        <v>670</v>
      </c>
      <c r="U33" s="223" t="s">
        <v>671</v>
      </c>
      <c r="V33" s="221" t="s">
        <v>672</v>
      </c>
      <c r="W33" s="221" t="s">
        <v>673</v>
      </c>
      <c r="X33" s="221" t="s">
        <v>674</v>
      </c>
    </row>
    <row r="34" spans="1:24">
      <c r="A34" s="73" t="s">
        <v>231</v>
      </c>
      <c r="B34" s="5"/>
      <c r="C34" s="5">
        <v>14.988343199999999</v>
      </c>
      <c r="D34" s="5">
        <v>14.68857633</v>
      </c>
      <c r="E34" s="5">
        <v>6.676625606</v>
      </c>
      <c r="F34" s="5">
        <v>8.0119507280000004</v>
      </c>
      <c r="G34" s="5"/>
      <c r="H34" s="5"/>
      <c r="I34" s="5">
        <v>6.676625606</v>
      </c>
      <c r="J34" s="5">
        <v>6.4763268380000003</v>
      </c>
      <c r="K34" s="5">
        <v>5.7639308859999998</v>
      </c>
      <c r="L34" s="5">
        <v>5.9291556270000001</v>
      </c>
      <c r="M34" s="5">
        <v>6.2529719689999999</v>
      </c>
      <c r="N34" s="5">
        <v>6.5767883109999996</v>
      </c>
      <c r="O34" s="5">
        <v>6.5767883109999996</v>
      </c>
      <c r="P34" s="5"/>
      <c r="Q34" s="5"/>
      <c r="R34" s="5">
        <v>6.5767883109999996</v>
      </c>
      <c r="S34" s="5">
        <v>6.7770870790000002</v>
      </c>
      <c r="T34" s="5">
        <v>8.0119507280000004</v>
      </c>
      <c r="U34" s="5">
        <v>14.78903781</v>
      </c>
      <c r="V34" s="5">
        <v>14.78903781</v>
      </c>
      <c r="W34" s="5">
        <v>14.78903781</v>
      </c>
      <c r="X34" s="5">
        <v>14.78903781</v>
      </c>
    </row>
    <row r="35" spans="1:24">
      <c r="A35" s="73" t="s">
        <v>232</v>
      </c>
      <c r="B35" s="5"/>
      <c r="C35" s="5">
        <v>50</v>
      </c>
      <c r="D35" s="5">
        <v>50</v>
      </c>
      <c r="E35" s="5">
        <v>10.48483212</v>
      </c>
      <c r="F35" s="5">
        <v>12.58179855</v>
      </c>
      <c r="G35" s="5"/>
      <c r="H35" s="5"/>
      <c r="I35" s="5">
        <v>10.698808290000001</v>
      </c>
      <c r="J35" s="5">
        <v>2.0087969459999999</v>
      </c>
      <c r="K35" s="5">
        <v>1.7878292819999999</v>
      </c>
      <c r="L35" s="5">
        <v>3.2296914729999999</v>
      </c>
      <c r="M35" s="5">
        <v>3.3505335459999999</v>
      </c>
      <c r="N35" s="5">
        <v>3.3907669399999998</v>
      </c>
      <c r="O35" s="5">
        <v>4.9007062489999997</v>
      </c>
      <c r="P35" s="5"/>
      <c r="Q35" s="5"/>
      <c r="R35" s="5">
        <v>5.4452291659999998</v>
      </c>
      <c r="S35" s="5">
        <v>5.551684785</v>
      </c>
      <c r="T35" s="5">
        <v>12.83856995</v>
      </c>
      <c r="U35" s="5">
        <v>38.642662090000002</v>
      </c>
      <c r="V35" s="5">
        <v>38.642662090000002</v>
      </c>
      <c r="W35" s="5">
        <v>38.642662090000002</v>
      </c>
      <c r="X35" s="5">
        <v>38.642662090000002</v>
      </c>
    </row>
    <row r="36" spans="1:24">
      <c r="A36" s="73" t="s">
        <v>481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/>
      <c r="H36" s="5"/>
      <c r="I36" s="5">
        <v>0</v>
      </c>
      <c r="J36" s="5">
        <v>-0.20029876799999999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/>
      <c r="Q36" s="5"/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</row>
    <row r="37" spans="1:24">
      <c r="A37" s="73" t="s">
        <v>224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/>
      <c r="H37" s="5"/>
      <c r="I37" s="5">
        <v>0</v>
      </c>
      <c r="J37" s="5">
        <v>0</v>
      </c>
      <c r="K37" s="5">
        <v>0</v>
      </c>
      <c r="L37" s="5">
        <v>2.8665288000000001E-2</v>
      </c>
      <c r="M37" s="5">
        <v>2.8665288000000001E-2</v>
      </c>
      <c r="N37" s="5">
        <v>2.8665288000000001E-2</v>
      </c>
      <c r="O37" s="5">
        <v>2.8665288000000001E-2</v>
      </c>
      <c r="P37" s="5"/>
      <c r="Q37" s="5"/>
      <c r="R37" s="5">
        <v>2.8665288000000001E-2</v>
      </c>
      <c r="S37" s="5">
        <v>2.8665288000000001E-2</v>
      </c>
      <c r="T37" s="5">
        <v>0</v>
      </c>
      <c r="U37" s="5">
        <v>1.3135889E-2</v>
      </c>
      <c r="V37" s="5">
        <v>1.3135889E-2</v>
      </c>
      <c r="W37" s="5">
        <v>1.3135889E-2</v>
      </c>
      <c r="X37" s="5">
        <v>1.3135889E-2</v>
      </c>
    </row>
    <row r="38" spans="1:24">
      <c r="A38" s="73" t="s">
        <v>483</v>
      </c>
      <c r="B38" s="5">
        <v>20.645820539999999</v>
      </c>
      <c r="C38" s="5">
        <v>27.431357380000001</v>
      </c>
      <c r="D38" s="5">
        <v>26.882730240000001</v>
      </c>
      <c r="E38" s="5">
        <v>67.206825589999994</v>
      </c>
      <c r="F38" s="5">
        <v>67.206825589999994</v>
      </c>
      <c r="G38" s="5"/>
      <c r="H38" s="5"/>
      <c r="I38" s="5">
        <v>65.862689079999996</v>
      </c>
      <c r="J38" s="5">
        <v>461.0388236</v>
      </c>
      <c r="K38" s="5">
        <v>461.0388236</v>
      </c>
      <c r="L38" s="5">
        <v>451.8180471</v>
      </c>
      <c r="M38" s="5">
        <v>451.8180471</v>
      </c>
      <c r="N38" s="5">
        <v>451.8180471</v>
      </c>
      <c r="O38" s="5">
        <v>299.94238410000003</v>
      </c>
      <c r="P38" s="5"/>
      <c r="Q38" s="5"/>
      <c r="R38" s="5">
        <v>269.9481457</v>
      </c>
      <c r="S38" s="5">
        <v>269.9481457</v>
      </c>
      <c r="T38" s="5">
        <v>65.862689079999996</v>
      </c>
      <c r="U38" s="5">
        <v>64.545435299999994</v>
      </c>
      <c r="V38" s="5">
        <v>64.545435299999994</v>
      </c>
      <c r="W38" s="5">
        <v>64.545435299999994</v>
      </c>
      <c r="X38" s="5">
        <v>64.545435299999994</v>
      </c>
    </row>
    <row r="39" spans="1:24">
      <c r="A39" s="73" t="s">
        <v>383</v>
      </c>
      <c r="B39" s="5">
        <v>216.65</v>
      </c>
      <c r="C39" s="5">
        <v>235.02428850000001</v>
      </c>
      <c r="D39" s="5">
        <v>235.02428850000001</v>
      </c>
      <c r="E39" s="5">
        <v>312.62311019999999</v>
      </c>
      <c r="F39" s="5">
        <v>312.62311019999999</v>
      </c>
      <c r="G39" s="5"/>
      <c r="H39" s="5"/>
      <c r="I39" s="5">
        <v>312.62311019999999</v>
      </c>
      <c r="J39" s="5">
        <v>573.95118760000003</v>
      </c>
      <c r="K39" s="5">
        <v>573.95118760000003</v>
      </c>
      <c r="L39" s="5">
        <v>1700</v>
      </c>
      <c r="M39" s="5">
        <v>1645.0061439999999</v>
      </c>
      <c r="N39" s="5">
        <v>1522.9326619999999</v>
      </c>
      <c r="O39" s="5">
        <v>1402.008652</v>
      </c>
      <c r="P39" s="5"/>
      <c r="Q39" s="5"/>
      <c r="R39" s="5">
        <v>1402.008652</v>
      </c>
      <c r="S39" s="5">
        <v>1372.4911850000001</v>
      </c>
      <c r="T39" s="5">
        <v>312.62311019999999</v>
      </c>
      <c r="U39" s="5">
        <v>798.30840809999995</v>
      </c>
      <c r="V39" s="5">
        <v>798.30840809999995</v>
      </c>
      <c r="W39" s="5">
        <v>798.30840809999995</v>
      </c>
      <c r="X39" s="5">
        <v>798.30840809999995</v>
      </c>
    </row>
    <row r="40" spans="1:24">
      <c r="A40" s="73" t="s">
        <v>353</v>
      </c>
      <c r="B40" s="5">
        <v>216.83286860000001</v>
      </c>
      <c r="C40" s="5">
        <v>235.24398199999999</v>
      </c>
      <c r="D40" s="5">
        <v>235.24398199999999</v>
      </c>
      <c r="E40" s="5">
        <v>313.07334700000001</v>
      </c>
      <c r="F40" s="5">
        <v>313.07334700000001</v>
      </c>
      <c r="G40" s="5"/>
      <c r="H40" s="5"/>
      <c r="I40" s="5">
        <v>313.07334700000001</v>
      </c>
      <c r="J40" s="5">
        <v>579.90667069999995</v>
      </c>
      <c r="K40" s="5">
        <v>579.90667069999995</v>
      </c>
      <c r="L40" s="5">
        <v>1955.6054260000001</v>
      </c>
      <c r="M40" s="5">
        <v>1884.3635039999999</v>
      </c>
      <c r="N40" s="5">
        <v>1727.357974</v>
      </c>
      <c r="O40" s="5">
        <v>1573.554797</v>
      </c>
      <c r="P40" s="5"/>
      <c r="Q40" s="5"/>
      <c r="R40" s="5">
        <v>1573.554797</v>
      </c>
      <c r="S40" s="5">
        <v>1536.3009030000001</v>
      </c>
      <c r="T40" s="5">
        <v>313.07334700000001</v>
      </c>
      <c r="U40" s="5">
        <v>873.61824339999998</v>
      </c>
      <c r="V40" s="5">
        <v>830.47760359999995</v>
      </c>
      <c r="W40" s="5">
        <v>830.47760359999995</v>
      </c>
      <c r="X40" s="5">
        <v>830.47760359999995</v>
      </c>
    </row>
    <row r="41" spans="1:24">
      <c r="A41" s="73" t="s">
        <v>23</v>
      </c>
      <c r="B41" s="5">
        <v>0.65</v>
      </c>
      <c r="C41" s="5">
        <v>0.65</v>
      </c>
      <c r="D41" s="5">
        <v>0.5</v>
      </c>
      <c r="E41" s="5">
        <v>0.52</v>
      </c>
      <c r="F41" s="5">
        <v>0.52</v>
      </c>
      <c r="G41" s="5"/>
      <c r="H41" s="5"/>
      <c r="I41" s="5">
        <v>0.52</v>
      </c>
      <c r="J41" s="5">
        <v>0.55000000000000004</v>
      </c>
      <c r="K41" s="5">
        <v>0.2</v>
      </c>
      <c r="L41" s="5">
        <v>0.4</v>
      </c>
      <c r="M41" s="5">
        <v>0.4</v>
      </c>
      <c r="N41" s="5">
        <v>0.4</v>
      </c>
      <c r="O41" s="5">
        <v>0.4</v>
      </c>
      <c r="P41" s="5"/>
      <c r="Q41" s="5"/>
      <c r="R41" s="5">
        <v>0.4</v>
      </c>
      <c r="S41" s="5">
        <v>0.5</v>
      </c>
      <c r="T41" s="5">
        <v>0.5</v>
      </c>
      <c r="U41" s="5">
        <v>0.5</v>
      </c>
      <c r="V41" s="5">
        <v>0.5</v>
      </c>
      <c r="W41" s="5">
        <v>1</v>
      </c>
      <c r="X41" s="5">
        <v>1</v>
      </c>
    </row>
    <row r="42" spans="1:24">
      <c r="A42" s="73" t="s">
        <v>111</v>
      </c>
      <c r="B42" s="5">
        <v>184.2425465</v>
      </c>
      <c r="C42" s="5">
        <v>191.8950055</v>
      </c>
      <c r="D42" s="5">
        <v>150.02535069999999</v>
      </c>
      <c r="E42" s="5">
        <v>179.52517549999999</v>
      </c>
      <c r="F42" s="5">
        <v>179.52517549999999</v>
      </c>
      <c r="G42" s="5"/>
      <c r="H42" s="5"/>
      <c r="I42" s="5">
        <v>179.52517549999999</v>
      </c>
      <c r="J42" s="5">
        <v>254.93908210000001</v>
      </c>
      <c r="K42" s="5">
        <v>94.965000549999999</v>
      </c>
      <c r="L42" s="5">
        <v>313.07679009999998</v>
      </c>
      <c r="M42" s="5">
        <v>308.13815879999999</v>
      </c>
      <c r="N42" s="5">
        <v>296.88285430000002</v>
      </c>
      <c r="O42" s="5">
        <v>285.91411549999998</v>
      </c>
      <c r="P42" s="5"/>
      <c r="Q42" s="5"/>
      <c r="R42" s="5">
        <v>285.29945800000002</v>
      </c>
      <c r="S42" s="5">
        <v>350.73319029999999</v>
      </c>
      <c r="T42" s="5">
        <v>172.9554469</v>
      </c>
      <c r="U42" s="5">
        <v>271.69540760000001</v>
      </c>
      <c r="V42" s="5">
        <v>273.20000800000003</v>
      </c>
      <c r="W42" s="5">
        <v>513.3235052</v>
      </c>
      <c r="X42" s="5">
        <v>513.68656480000004</v>
      </c>
    </row>
    <row r="43" spans="1:24">
      <c r="A43" s="73" t="s">
        <v>109</v>
      </c>
      <c r="B43" s="5">
        <v>199.71108709999999</v>
      </c>
      <c r="C43" s="5">
        <v>216.65</v>
      </c>
      <c r="D43" s="5">
        <v>223.79344209999999</v>
      </c>
      <c r="E43" s="5">
        <v>296.58222009999997</v>
      </c>
      <c r="F43" s="5">
        <v>296.58222009999997</v>
      </c>
      <c r="G43" s="5"/>
      <c r="H43" s="5"/>
      <c r="I43" s="5">
        <v>296.58222009999997</v>
      </c>
      <c r="J43" s="5">
        <v>542.84660689999998</v>
      </c>
      <c r="K43" s="5">
        <v>569.63521509999998</v>
      </c>
      <c r="L43" s="5">
        <v>1662.2479539999999</v>
      </c>
      <c r="M43" s="5">
        <v>1608.2806519999999</v>
      </c>
      <c r="N43" s="5">
        <v>1488.485048</v>
      </c>
      <c r="O43" s="5">
        <v>1369.1490739999999</v>
      </c>
      <c r="P43" s="5"/>
      <c r="Q43" s="5"/>
      <c r="R43" s="5">
        <v>1369.8138220000001</v>
      </c>
      <c r="S43" s="5">
        <v>1323.6783969999999</v>
      </c>
      <c r="T43" s="5">
        <v>297.73477179999998</v>
      </c>
      <c r="U43" s="5">
        <v>765.40260109999997</v>
      </c>
      <c r="V43" s="5">
        <v>763.77053049999995</v>
      </c>
      <c r="W43" s="5">
        <v>678.65429949999998</v>
      </c>
      <c r="X43" s="5">
        <v>677.35534110000003</v>
      </c>
    </row>
    <row r="44" spans="1:24">
      <c r="A44" s="73" t="s">
        <v>108</v>
      </c>
      <c r="B44" s="5">
        <v>15.538703740000001</v>
      </c>
      <c r="C44" s="5">
        <v>20.645820539999999</v>
      </c>
      <c r="D44" s="5">
        <v>22.65893084</v>
      </c>
      <c r="E44" s="5">
        <v>55.892513610000002</v>
      </c>
      <c r="F44" s="5">
        <v>55.892513610000002</v>
      </c>
      <c r="G44" s="5"/>
      <c r="H44" s="5"/>
      <c r="I44" s="5">
        <v>54.774663339999996</v>
      </c>
      <c r="J44" s="5">
        <v>376.41385029999998</v>
      </c>
      <c r="K44" s="5">
        <v>448.54520639999998</v>
      </c>
      <c r="L44" s="5">
        <v>408.18361320000002</v>
      </c>
      <c r="M44" s="5">
        <v>408.13616560000003</v>
      </c>
      <c r="N44" s="5">
        <v>408.01837749999999</v>
      </c>
      <c r="O44" s="5">
        <v>270.64792</v>
      </c>
      <c r="P44" s="5"/>
      <c r="Q44" s="5"/>
      <c r="R44" s="5">
        <v>243.6966975</v>
      </c>
      <c r="S44" s="5">
        <v>230.27323699999999</v>
      </c>
      <c r="T44" s="5">
        <v>55.523243180000001</v>
      </c>
      <c r="U44" s="5">
        <v>54.756097349999997</v>
      </c>
      <c r="V44" s="5">
        <v>54.646525840000002</v>
      </c>
      <c r="W44" s="5">
        <v>34.621810799999999</v>
      </c>
      <c r="X44" s="5">
        <v>34.571197990000002</v>
      </c>
    </row>
    <row r="45" spans="1:24">
      <c r="A45" s="73" t="s">
        <v>675</v>
      </c>
      <c r="B45" s="5">
        <v>0.27105352500000002</v>
      </c>
      <c r="C45" s="5">
        <v>0.33198304499999998</v>
      </c>
      <c r="D45" s="5">
        <v>0.352723591</v>
      </c>
      <c r="E45" s="5">
        <v>0.65652456100000001</v>
      </c>
      <c r="F45" s="5">
        <v>0.65652456100000001</v>
      </c>
      <c r="G45" s="5"/>
      <c r="H45" s="5"/>
      <c r="I45" s="5">
        <v>0.64339407000000004</v>
      </c>
      <c r="J45" s="5">
        <v>2.4156327910000002</v>
      </c>
      <c r="K45" s="5">
        <v>2.7431644180000001</v>
      </c>
      <c r="L45" s="5">
        <v>0.85546577000000001</v>
      </c>
      <c r="M45" s="5">
        <v>0.88406891499999996</v>
      </c>
      <c r="N45" s="5">
        <v>0.95494448799999998</v>
      </c>
      <c r="O45" s="5">
        <v>0.68864727699999995</v>
      </c>
      <c r="P45" s="5"/>
      <c r="Q45" s="5"/>
      <c r="R45" s="5">
        <v>0.61977061</v>
      </c>
      <c r="S45" s="5">
        <v>0.60604359100000005</v>
      </c>
      <c r="T45" s="5">
        <v>0.64966237699999996</v>
      </c>
      <c r="U45" s="5">
        <v>0.24922132399999999</v>
      </c>
      <c r="V45" s="5">
        <v>0.24925409700000001</v>
      </c>
      <c r="W45" s="5">
        <v>0.17772307500000001</v>
      </c>
      <c r="X45" s="5">
        <v>0.17780358600000001</v>
      </c>
    </row>
    <row r="46" spans="1:24">
      <c r="A46" s="73" t="s">
        <v>676</v>
      </c>
      <c r="B46" s="5">
        <v>1001.992163</v>
      </c>
      <c r="C46" s="5">
        <v>1002.044054</v>
      </c>
      <c r="D46" s="5">
        <v>1002.044054</v>
      </c>
      <c r="E46" s="5">
        <v>1004.597891</v>
      </c>
      <c r="F46" s="5">
        <v>1004.597891</v>
      </c>
      <c r="G46" s="5"/>
      <c r="H46" s="5"/>
      <c r="I46" s="5">
        <v>1004.597891</v>
      </c>
      <c r="J46" s="5">
        <v>1044.764698</v>
      </c>
      <c r="K46" s="5">
        <v>1044.764698</v>
      </c>
      <c r="L46" s="5">
        <v>1298.1690799999999</v>
      </c>
      <c r="M46" s="5">
        <v>1292.686901</v>
      </c>
      <c r="N46" s="5">
        <v>1279.325615</v>
      </c>
      <c r="O46" s="5">
        <v>1264.1125970000001</v>
      </c>
      <c r="P46" s="5"/>
      <c r="Q46" s="5"/>
      <c r="R46" s="5">
        <v>1264.1125970000001</v>
      </c>
      <c r="S46" s="5">
        <v>1260.0568049999999</v>
      </c>
      <c r="T46" s="5">
        <v>1004.597891</v>
      </c>
      <c r="U46" s="5">
        <v>1121.66212</v>
      </c>
      <c r="V46" s="5">
        <v>1080.527376</v>
      </c>
      <c r="W46" s="5">
        <v>1101.094748</v>
      </c>
      <c r="X46" s="5">
        <v>1090.811062</v>
      </c>
    </row>
    <row r="47" spans="1:24">
      <c r="A47" s="73" t="s">
        <v>4</v>
      </c>
      <c r="B47" s="5">
        <v>1.401501009</v>
      </c>
      <c r="C47" s="5">
        <v>1.40147187</v>
      </c>
      <c r="D47" s="5">
        <v>1.40147187</v>
      </c>
      <c r="E47" s="5">
        <v>1.400042985</v>
      </c>
      <c r="F47" s="5">
        <v>1.400042985</v>
      </c>
      <c r="G47" s="5"/>
      <c r="H47" s="5"/>
      <c r="I47" s="5">
        <v>1.400042985</v>
      </c>
      <c r="J47" s="5">
        <v>1.378836521</v>
      </c>
      <c r="K47" s="5">
        <v>1.378836521</v>
      </c>
      <c r="L47" s="5">
        <v>1.2838930070000001</v>
      </c>
      <c r="M47" s="5">
        <v>1.2854406350000001</v>
      </c>
      <c r="N47" s="5">
        <v>1.289284176</v>
      </c>
      <c r="O47" s="5">
        <v>1.3</v>
      </c>
      <c r="P47" s="5"/>
      <c r="Q47" s="5"/>
      <c r="R47" s="5">
        <v>1.2937883750000001</v>
      </c>
      <c r="S47" s="5">
        <v>1.2950129749999999</v>
      </c>
      <c r="T47" s="5">
        <v>1.400042985</v>
      </c>
      <c r="U47" s="5">
        <v>1.3439320109999999</v>
      </c>
      <c r="V47" s="5">
        <v>1.361761824</v>
      </c>
      <c r="W47" s="5">
        <v>1.3526216769999999</v>
      </c>
      <c r="X47" s="5">
        <v>1.3571332789999999</v>
      </c>
    </row>
    <row r="48" spans="1:24">
      <c r="A48" s="73" t="s">
        <v>351</v>
      </c>
      <c r="B48" s="5">
        <v>287.05</v>
      </c>
      <c r="C48" s="5">
        <v>287.05</v>
      </c>
      <c r="D48" s="5">
        <v>287.05</v>
      </c>
      <c r="E48" s="5">
        <v>287.05</v>
      </c>
      <c r="F48" s="5">
        <v>287.05</v>
      </c>
      <c r="G48" s="5"/>
      <c r="H48" s="5"/>
      <c r="I48" s="5">
        <v>287.05</v>
      </c>
      <c r="J48" s="5">
        <v>287.05</v>
      </c>
      <c r="K48" s="5">
        <v>287.05</v>
      </c>
      <c r="L48" s="5">
        <v>287.04971619999998</v>
      </c>
      <c r="M48" s="5">
        <v>287.04971619999998</v>
      </c>
      <c r="N48" s="5">
        <v>287.04971619999998</v>
      </c>
      <c r="O48" s="5">
        <v>287.04971619999998</v>
      </c>
      <c r="P48" s="5"/>
      <c r="Q48" s="5"/>
      <c r="R48" s="5">
        <v>287.04971619999998</v>
      </c>
      <c r="S48" s="5">
        <v>287.04971619999998</v>
      </c>
      <c r="T48" s="5">
        <v>287.05</v>
      </c>
      <c r="U48" s="5">
        <v>287.04987</v>
      </c>
      <c r="V48" s="5">
        <v>287.04987</v>
      </c>
      <c r="W48" s="5">
        <v>287.04987</v>
      </c>
      <c r="X48" s="5">
        <v>287.04987</v>
      </c>
    </row>
    <row r="49" spans="1:24">
      <c r="A49" s="73" t="s">
        <v>677</v>
      </c>
      <c r="B49" s="5">
        <v>0</v>
      </c>
      <c r="C49" s="5"/>
      <c r="D49" s="5"/>
      <c r="E49" s="5">
        <v>519.63753110000005</v>
      </c>
      <c r="F49" s="5">
        <v>623.56503740000005</v>
      </c>
      <c r="G49" s="5"/>
      <c r="H49" s="5"/>
      <c r="I49" s="5"/>
      <c r="J49" s="5">
        <v>1781.546202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>
      <c r="C50">
        <f>C34/(C42*C45)</f>
        <v>0.23527406355405986</v>
      </c>
    </row>
    <row r="56" spans="1:24">
      <c r="C56" t="s">
        <v>216</v>
      </c>
      <c r="D56" t="s">
        <v>206</v>
      </c>
      <c r="E56" t="s">
        <v>678</v>
      </c>
      <c r="F56" t="s">
        <v>679</v>
      </c>
    </row>
    <row r="57" spans="1:24">
      <c r="C57">
        <f>J38/D38</f>
        <v>17.149999999404823</v>
      </c>
      <c r="D57">
        <f>X34*(X42)</f>
        <v>7596.930029316216</v>
      </c>
      <c r="E57">
        <f>(1+L37)*(X42)</f>
        <v>528.41153812172274</v>
      </c>
      <c r="F57">
        <f>((S34*S37)/D57)*1000*1000</f>
        <v>25.571797051038438</v>
      </c>
    </row>
    <row r="58" spans="1:24">
      <c r="A58" t="s">
        <v>680</v>
      </c>
    </row>
    <row r="59" spans="1:24">
      <c r="B59">
        <v>0</v>
      </c>
      <c r="C59">
        <v>1</v>
      </c>
      <c r="D59">
        <v>2</v>
      </c>
      <c r="E59">
        <v>2.1</v>
      </c>
      <c r="F59">
        <v>12.1</v>
      </c>
      <c r="G59">
        <v>2.6</v>
      </c>
      <c r="H59">
        <v>3.1</v>
      </c>
      <c r="I59">
        <v>4</v>
      </c>
      <c r="J59">
        <v>4.05</v>
      </c>
      <c r="K59">
        <v>4.4000000000000004</v>
      </c>
      <c r="L59">
        <v>4.8</v>
      </c>
      <c r="M59">
        <v>5</v>
      </c>
      <c r="N59">
        <v>15</v>
      </c>
      <c r="O59">
        <v>6</v>
      </c>
      <c r="P59">
        <v>9</v>
      </c>
    </row>
    <row r="60" spans="1:24">
      <c r="B60" t="s">
        <v>681</v>
      </c>
      <c r="C60">
        <v>1</v>
      </c>
      <c r="D60">
        <v>2</v>
      </c>
      <c r="E60">
        <v>21</v>
      </c>
      <c r="F60">
        <v>13</v>
      </c>
      <c r="G60">
        <v>25</v>
      </c>
      <c r="H60">
        <v>3</v>
      </c>
      <c r="I60">
        <v>4</v>
      </c>
      <c r="J60">
        <v>41</v>
      </c>
      <c r="K60">
        <v>44</v>
      </c>
      <c r="L60">
        <v>45</v>
      </c>
      <c r="M60">
        <v>5</v>
      </c>
      <c r="N60">
        <v>16</v>
      </c>
      <c r="O60">
        <v>64</v>
      </c>
      <c r="P60">
        <v>8</v>
      </c>
    </row>
    <row r="61" spans="1:24">
      <c r="A61" t="s">
        <v>682</v>
      </c>
      <c r="B61" s="5">
        <v>20.645820539999999</v>
      </c>
      <c r="C61" s="5">
        <v>27.431357380000001</v>
      </c>
      <c r="D61" s="5">
        <v>26.882730240000001</v>
      </c>
      <c r="E61" s="5">
        <v>67.206825589999994</v>
      </c>
      <c r="F61" s="5">
        <v>67.206825589999994</v>
      </c>
      <c r="G61" s="5">
        <v>65.862689079999996</v>
      </c>
      <c r="H61" s="5">
        <v>461.0388236</v>
      </c>
      <c r="I61" s="5">
        <v>451.8180471</v>
      </c>
      <c r="J61" s="5">
        <v>451.8180471</v>
      </c>
      <c r="K61" s="5">
        <v>299.94238410000003</v>
      </c>
      <c r="L61" s="5">
        <v>269.9481457</v>
      </c>
      <c r="M61" s="5">
        <v>269.9481457</v>
      </c>
      <c r="N61" s="5">
        <v>65.862689079999996</v>
      </c>
      <c r="O61" s="5">
        <v>64.545435299999994</v>
      </c>
      <c r="P61" s="5">
        <v>64.545435299999994</v>
      </c>
      <c r="Q61" s="5"/>
      <c r="V61" s="5"/>
      <c r="W61" s="5"/>
    </row>
    <row r="62" spans="1:24">
      <c r="A62" t="s">
        <v>683</v>
      </c>
      <c r="B62">
        <v>20.646000000000001</v>
      </c>
      <c r="C62">
        <v>27.43</v>
      </c>
      <c r="D62">
        <v>26.882000000000001</v>
      </c>
      <c r="E62">
        <v>67.204999999999998</v>
      </c>
      <c r="F62">
        <v>67.204999999999998</v>
      </c>
      <c r="G62">
        <v>66.533000000000001</v>
      </c>
      <c r="H62">
        <v>465.72800000000001</v>
      </c>
      <c r="I62">
        <v>451.75599999999997</v>
      </c>
      <c r="J62">
        <v>451.75599999999997</v>
      </c>
      <c r="K62">
        <v>213.29400000000001</v>
      </c>
      <c r="L62">
        <v>209.02799999999999</v>
      </c>
      <c r="M62">
        <v>126.032</v>
      </c>
      <c r="N62">
        <v>65.188000000000002</v>
      </c>
      <c r="O62">
        <v>75.338999999999999</v>
      </c>
      <c r="P62">
        <v>75.338999999999999</v>
      </c>
    </row>
    <row r="67" spans="1:16">
      <c r="A67" t="s">
        <v>684</v>
      </c>
    </row>
    <row r="68" spans="1:16">
      <c r="B68">
        <v>0</v>
      </c>
      <c r="C68">
        <v>1</v>
      </c>
      <c r="D68">
        <v>2</v>
      </c>
      <c r="E68">
        <v>2.1</v>
      </c>
      <c r="F68">
        <v>12.1</v>
      </c>
      <c r="G68">
        <v>2.6</v>
      </c>
      <c r="H68">
        <v>3.1</v>
      </c>
      <c r="I68">
        <v>4</v>
      </c>
      <c r="J68">
        <v>4.05</v>
      </c>
      <c r="K68">
        <v>4.4000000000000004</v>
      </c>
      <c r="L68">
        <v>4.8</v>
      </c>
      <c r="M68">
        <v>5</v>
      </c>
      <c r="N68">
        <v>15</v>
      </c>
      <c r="O68">
        <v>6</v>
      </c>
      <c r="P68">
        <v>9</v>
      </c>
    </row>
    <row r="69" spans="1:16">
      <c r="B69" t="s">
        <v>681</v>
      </c>
      <c r="C69">
        <v>1</v>
      </c>
      <c r="D69">
        <v>2</v>
      </c>
      <c r="E69">
        <v>21</v>
      </c>
      <c r="F69">
        <v>13</v>
      </c>
      <c r="G69">
        <v>25</v>
      </c>
      <c r="H69">
        <v>3</v>
      </c>
      <c r="I69">
        <v>4</v>
      </c>
      <c r="J69">
        <v>41</v>
      </c>
      <c r="K69">
        <v>44</v>
      </c>
      <c r="L69">
        <v>45</v>
      </c>
      <c r="M69">
        <v>5</v>
      </c>
      <c r="N69">
        <v>16</v>
      </c>
      <c r="O69">
        <v>64</v>
      </c>
      <c r="P69">
        <v>8</v>
      </c>
    </row>
    <row r="70" spans="1:16">
      <c r="A70" t="s">
        <v>682</v>
      </c>
      <c r="B70" s="5">
        <v>216.65</v>
      </c>
      <c r="C70" s="5">
        <v>235.02428850000001</v>
      </c>
      <c r="D70" s="5">
        <v>235.02428850000001</v>
      </c>
      <c r="E70" s="5">
        <v>312.62311019999999</v>
      </c>
      <c r="F70" s="5">
        <v>312.62311019999999</v>
      </c>
      <c r="G70" s="5">
        <v>312.62311019999999</v>
      </c>
      <c r="H70" s="5">
        <v>573.95118760000003</v>
      </c>
      <c r="I70" s="5">
        <v>1700</v>
      </c>
      <c r="J70" s="5">
        <v>1645.0061439999999</v>
      </c>
      <c r="K70" s="5">
        <v>1402.008652</v>
      </c>
      <c r="L70" s="5">
        <v>1402.008652</v>
      </c>
      <c r="M70" s="5">
        <v>1372.4911850000001</v>
      </c>
      <c r="N70" s="5">
        <v>312.62311019999999</v>
      </c>
      <c r="O70" s="5">
        <v>798.30840809999995</v>
      </c>
      <c r="P70" s="5">
        <v>798.30840809999995</v>
      </c>
    </row>
    <row r="71" spans="1:16">
      <c r="A71" t="s">
        <v>683</v>
      </c>
      <c r="B71">
        <v>216.65</v>
      </c>
      <c r="C71">
        <v>235</v>
      </c>
      <c r="D71">
        <v>235</v>
      </c>
      <c r="E71">
        <v>312.42</v>
      </c>
      <c r="F71">
        <v>312.42</v>
      </c>
      <c r="G71">
        <v>312.42</v>
      </c>
      <c r="H71">
        <v>581.99</v>
      </c>
      <c r="I71">
        <v>1700</v>
      </c>
      <c r="J71">
        <v>1647.37</v>
      </c>
      <c r="K71">
        <v>1378.88</v>
      </c>
      <c r="L71">
        <v>1378.88</v>
      </c>
      <c r="M71">
        <v>1221.25</v>
      </c>
      <c r="N71">
        <v>312.42</v>
      </c>
      <c r="O71">
        <v>760.92</v>
      </c>
      <c r="P71">
        <v>760.92</v>
      </c>
    </row>
    <row r="93" spans="1:14">
      <c r="B93">
        <v>2</v>
      </c>
      <c r="C93">
        <v>21</v>
      </c>
      <c r="D93">
        <v>25</v>
      </c>
      <c r="E93">
        <v>3</v>
      </c>
      <c r="F93">
        <v>4</v>
      </c>
      <c r="G93">
        <v>44</v>
      </c>
      <c r="H93">
        <v>45</v>
      </c>
      <c r="I93">
        <v>5</v>
      </c>
      <c r="J93">
        <v>6</v>
      </c>
      <c r="K93">
        <v>13</v>
      </c>
      <c r="L93">
        <v>16</v>
      </c>
      <c r="M93">
        <v>64</v>
      </c>
      <c r="N93">
        <v>8</v>
      </c>
    </row>
    <row r="94" spans="1:14">
      <c r="A94" t="s">
        <v>400</v>
      </c>
      <c r="B94">
        <v>234.99700000000001</v>
      </c>
      <c r="C94">
        <v>323.56900000000002</v>
      </c>
      <c r="D94">
        <v>323.56900000000002</v>
      </c>
      <c r="E94">
        <v>682.16300000000001</v>
      </c>
      <c r="F94">
        <v>1606.68</v>
      </c>
      <c r="G94">
        <v>1174.73</v>
      </c>
      <c r="H94">
        <v>1174.73</v>
      </c>
      <c r="I94">
        <v>954.84900000000005</v>
      </c>
      <c r="J94">
        <v>942.15200000000004</v>
      </c>
      <c r="K94">
        <v>323.56900000000002</v>
      </c>
      <c r="L94">
        <v>323.57</v>
      </c>
      <c r="M94">
        <v>595.22900000000004</v>
      </c>
      <c r="N94">
        <v>595.22900000000004</v>
      </c>
    </row>
    <row r="96" spans="1:14">
      <c r="A96" t="s">
        <v>399</v>
      </c>
      <c r="B96">
        <v>26.881799999999998</v>
      </c>
      <c r="C96">
        <v>75.269199999999998</v>
      </c>
      <c r="D96">
        <v>74.516499999999994</v>
      </c>
      <c r="E96">
        <v>783.45299999999997</v>
      </c>
      <c r="F96">
        <v>759.94899999999996</v>
      </c>
      <c r="G96">
        <v>215.59899999999999</v>
      </c>
      <c r="H96">
        <v>211.28700000000001</v>
      </c>
      <c r="I96">
        <v>90.184399999999997</v>
      </c>
      <c r="J96">
        <v>88.380700000000004</v>
      </c>
      <c r="K96">
        <v>75.269199999999998</v>
      </c>
      <c r="L96">
        <v>73.011099999999999</v>
      </c>
      <c r="M96">
        <v>77.872799999999998</v>
      </c>
      <c r="N96">
        <v>77.872799999999998</v>
      </c>
    </row>
  </sheetData>
  <mergeCells count="1">
    <mergeCell ref="A1:AD1"/>
  </mergeCells>
  <pageMargins left="0.75" right="0.75" top="1" bottom="1" header="0.5" footer="0.5"/>
  <pageSetup scale="30" orientation="landscape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6649-8FE0-49DD-ADD7-2FCD5D5F2EE1}">
  <sheetPr codeName="Sheet17"/>
  <dimension ref="D2:K66"/>
  <sheetViews>
    <sheetView workbookViewId="0">
      <selection activeCell="Q23" sqref="Q23"/>
    </sheetView>
  </sheetViews>
  <sheetFormatPr defaultRowHeight="14.4"/>
  <cols>
    <col min="4" max="4" width="18.44140625" customWidth="1"/>
    <col min="5" max="5" width="10.33203125" bestFit="1" customWidth="1"/>
    <col min="8" max="8" width="13.6640625" customWidth="1"/>
    <col min="9" max="9" width="9.33203125" style="1" bestFit="1" customWidth="1"/>
    <col min="10" max="11" width="9.44140625" style="1" bestFit="1" customWidth="1"/>
  </cols>
  <sheetData>
    <row r="2" spans="4:11">
      <c r="E2" s="157" t="s">
        <v>346</v>
      </c>
      <c r="I2" s="2" t="s">
        <v>685</v>
      </c>
      <c r="J2" s="2" t="s">
        <v>686</v>
      </c>
      <c r="K2" s="2" t="s">
        <v>687</v>
      </c>
    </row>
    <row r="3" spans="4:11">
      <c r="D3" s="5" t="s">
        <v>688</v>
      </c>
      <c r="E3" s="154">
        <v>70</v>
      </c>
      <c r="H3" s="112" t="s">
        <v>23</v>
      </c>
      <c r="I3" s="13">
        <f>E6</f>
        <v>0.5</v>
      </c>
      <c r="J3" s="13">
        <f>E13</f>
        <v>0.49080966599285603</v>
      </c>
      <c r="K3" s="13">
        <f>SQRT(E16)</f>
        <v>0.5082729404119084</v>
      </c>
    </row>
    <row r="4" spans="4:11">
      <c r="D4" s="5" t="s">
        <v>689</v>
      </c>
      <c r="E4" s="154">
        <v>744</v>
      </c>
      <c r="H4" s="112" t="s">
        <v>231</v>
      </c>
      <c r="I4" s="13">
        <f>E3</f>
        <v>70</v>
      </c>
      <c r="J4" s="13">
        <f>E8</f>
        <v>495</v>
      </c>
      <c r="K4" s="13">
        <f>I4+J4</f>
        <v>565</v>
      </c>
    </row>
    <row r="5" spans="4:11">
      <c r="D5" s="5" t="s">
        <v>690</v>
      </c>
      <c r="E5" s="154">
        <v>75</v>
      </c>
      <c r="H5" s="112" t="s">
        <v>383</v>
      </c>
      <c r="I5" s="13">
        <f>E4</f>
        <v>744</v>
      </c>
      <c r="J5" s="13">
        <f>E10</f>
        <v>310</v>
      </c>
      <c r="K5" s="13">
        <f>E14</f>
        <v>366.68870997528791</v>
      </c>
    </row>
    <row r="6" spans="4:11">
      <c r="D6" s="5" t="s">
        <v>691</v>
      </c>
      <c r="E6" s="154">
        <v>0.5</v>
      </c>
      <c r="H6" s="112" t="s">
        <v>483</v>
      </c>
      <c r="I6" s="13">
        <f>E5</f>
        <v>75</v>
      </c>
      <c r="J6" s="13">
        <f>E9</f>
        <v>75</v>
      </c>
      <c r="K6" s="13">
        <f>K16*K14</f>
        <v>74.530442057393429</v>
      </c>
    </row>
    <row r="7" spans="4:11">
      <c r="D7" s="5" t="s">
        <v>692</v>
      </c>
      <c r="E7" s="154">
        <v>0.02</v>
      </c>
      <c r="H7" s="112" t="s">
        <v>224</v>
      </c>
      <c r="I7" s="13">
        <f>E7</f>
        <v>0.02</v>
      </c>
      <c r="J7" s="13">
        <v>0</v>
      </c>
      <c r="K7" s="13">
        <f>(I7*I4+J7*J4)/K4</f>
        <v>2.4778761061946906E-3</v>
      </c>
    </row>
    <row r="8" spans="4:11">
      <c r="D8" s="155" t="s">
        <v>693</v>
      </c>
      <c r="E8" s="154">
        <v>495</v>
      </c>
      <c r="H8" s="112" t="s">
        <v>353</v>
      </c>
      <c r="I8" s="13" cm="1">
        <f t="array" ref="I8">ht(I5,I7)</f>
        <v>774.68032129618825</v>
      </c>
      <c r="J8" s="13" cm="1">
        <f t="array" ref="J8">ht(J5,J7)</f>
        <v>310.43838434748716</v>
      </c>
      <c r="K8" s="13">
        <f>(I4*I8+J4*J8)/K4</f>
        <v>367.9550845004236</v>
      </c>
    </row>
    <row r="9" spans="4:11">
      <c r="D9" s="5" t="s">
        <v>694</v>
      </c>
      <c r="E9" s="154">
        <v>75</v>
      </c>
      <c r="H9" s="112" t="s">
        <v>676</v>
      </c>
      <c r="I9" s="13" cm="1">
        <f t="array" ref="I9">cp(I5,I7)</f>
        <v>1116.8723084036528</v>
      </c>
      <c r="J9" s="13" cm="1">
        <f t="array" ref="J9">cp(J5,J7)</f>
        <v>1004.4399225960155</v>
      </c>
      <c r="K9" s="13" cm="1">
        <f t="array" ref="K9">cp(K5,K7)</f>
        <v>1011.6366357666782</v>
      </c>
    </row>
    <row r="10" spans="4:11">
      <c r="D10" s="5" t="s">
        <v>695</v>
      </c>
      <c r="E10" s="154">
        <v>310</v>
      </c>
      <c r="H10" s="112" t="s">
        <v>4</v>
      </c>
      <c r="I10" s="13">
        <f>(I9/(I9-I11))</f>
        <v>1.3459171085201</v>
      </c>
      <c r="J10" s="13">
        <f>(J9/(J9-J11))</f>
        <v>1.4001310737140737</v>
      </c>
      <c r="K10" s="13">
        <f>(K9/(K9-K11))</f>
        <v>1.3961568590720546</v>
      </c>
    </row>
    <row r="11" spans="4:11">
      <c r="H11" s="112" t="s">
        <v>351</v>
      </c>
      <c r="I11" s="13" cm="1">
        <f t="array" ref="I11">Rgas(I7)</f>
        <v>287.04980200004002</v>
      </c>
      <c r="J11" s="13" cm="1">
        <f t="array" ref="J11">Rgas(J7)</f>
        <v>287.05</v>
      </c>
      <c r="K11" s="13" cm="1">
        <f t="array" ref="K11">Rgas(K7)</f>
        <v>287.04997546902717</v>
      </c>
    </row>
    <row r="12" spans="4:11">
      <c r="D12" s="5" t="s">
        <v>696</v>
      </c>
      <c r="E12" s="156">
        <f>J6/I16</f>
        <v>1.1790439425580899</v>
      </c>
      <c r="H12" s="112" t="s">
        <v>697</v>
      </c>
      <c r="I12" s="13">
        <f>(I10/(I10-1))</f>
        <v>3.8908659773383065</v>
      </c>
      <c r="J12" s="13">
        <f>(J10/(J10-1))</f>
        <v>3.4991810576415805</v>
      </c>
      <c r="K12" s="13">
        <f>(K10/(K10-1))</f>
        <v>3.5242526466470094</v>
      </c>
    </row>
    <row r="13" spans="4:11">
      <c r="D13" s="5" t="s">
        <v>698</v>
      </c>
      <c r="E13" s="156" cm="1">
        <f t="array" ref="E13">MNfromPTPS(E12,J10,1)</f>
        <v>0.49080966599285603</v>
      </c>
      <c r="H13" s="112" t="s">
        <v>34</v>
      </c>
      <c r="I13" s="13">
        <f>(1+(I10-1)/2*I3^2)</f>
        <v>1.0432396385650125</v>
      </c>
      <c r="J13" s="13">
        <f>(1+(J10-1)/2*J3^2)</f>
        <v>1.0481946130904467</v>
      </c>
      <c r="K13" s="13">
        <f>(1+(K10-1)/2*K3^2)</f>
        <v>1.051171855221807</v>
      </c>
    </row>
    <row r="14" spans="4:11">
      <c r="D14" s="5" t="s">
        <v>699</v>
      </c>
      <c r="E14" s="156" cm="1">
        <f t="array" ref="E14">TfromH(K8,K7,I8,J8)</f>
        <v>366.68870997528791</v>
      </c>
      <c r="H14" s="112" t="s">
        <v>35</v>
      </c>
      <c r="I14" s="13">
        <f>I13^I12</f>
        <v>1.1790439425580899</v>
      </c>
      <c r="J14" s="13">
        <f>J13^J12</f>
        <v>1.1790439421859169</v>
      </c>
      <c r="K14" s="13">
        <f>K13^K12</f>
        <v>1.1922948831963811</v>
      </c>
    </row>
    <row r="15" spans="4:11">
      <c r="D15" s="5" t="s">
        <v>700</v>
      </c>
      <c r="E15" s="156">
        <f>SUM(I20:J20)^2*K10/(K4^2*K5*K11)</f>
        <v>6.8178517054629575</v>
      </c>
      <c r="H15" s="112" t="s">
        <v>109</v>
      </c>
      <c r="I15" s="13">
        <f>I5/I13</f>
        <v>713.16308592662392</v>
      </c>
      <c r="J15" s="13">
        <f>J5/J13</f>
        <v>295.74660671648644</v>
      </c>
      <c r="K15" s="13">
        <f>K5/K13</f>
        <v>348.83802125572817</v>
      </c>
    </row>
    <row r="16" spans="4:11">
      <c r="D16" s="5" t="s">
        <v>701</v>
      </c>
      <c r="E16" s="156">
        <f>((2*K10-E15)+SQRT((E15-2*K10)^2+4*(((K10-1)/2)*E15-K10^2)))/(2*((K10-1)/2*E15-K10^2))</f>
        <v>0.25834138195496742</v>
      </c>
      <c r="H16" s="112" t="s">
        <v>108</v>
      </c>
      <c r="I16" s="13">
        <f>I6/I14</f>
        <v>63.6108607091248</v>
      </c>
      <c r="J16" s="13">
        <f>J6/E12</f>
        <v>63.6108607091248</v>
      </c>
      <c r="K16" s="13">
        <f>E17</f>
        <v>62.510074569461722</v>
      </c>
    </row>
    <row r="17" spans="4:11">
      <c r="D17" s="5" t="s">
        <v>702</v>
      </c>
      <c r="E17" s="156">
        <f>(K4*SQRT(K11*K15)/(K19*K3*SQRT(K10)))/1000</f>
        <v>62.510074569461722</v>
      </c>
      <c r="H17" s="112" t="s">
        <v>110</v>
      </c>
      <c r="I17" s="13">
        <f>I16*1000/(I11*I15)</f>
        <v>0.31073141649226504</v>
      </c>
      <c r="J17" s="13">
        <f>J16*1000/(J11*J15)</f>
        <v>0.74929692510972412</v>
      </c>
      <c r="K17" s="13">
        <f>K16*1000/(K11*K15)</f>
        <v>0.62426457174150951</v>
      </c>
    </row>
    <row r="18" spans="4:11">
      <c r="D18" s="5" t="s">
        <v>703</v>
      </c>
      <c r="E18" s="55">
        <f>SUM(I20:J20)-K20</f>
        <v>0</v>
      </c>
      <c r="H18" s="112" t="s">
        <v>111</v>
      </c>
      <c r="I18" s="13">
        <f>I3*SQRT(I10*I11*I15)</f>
        <v>262.45340693226575</v>
      </c>
      <c r="J18" s="13">
        <f>J3*SQRT(J10*J11*J15)</f>
        <v>169.21393114293485</v>
      </c>
      <c r="K18" s="13">
        <f>K3*SQRT(K10*K11*K15)</f>
        <v>190.04426159383814</v>
      </c>
    </row>
    <row r="19" spans="4:11">
      <c r="D19" s="155" t="s">
        <v>704</v>
      </c>
      <c r="E19" s="55">
        <f>K16/MIN(I16:J16)</f>
        <v>0.98269499693304463</v>
      </c>
      <c r="H19" s="112" t="s">
        <v>384</v>
      </c>
      <c r="I19" s="13">
        <f>I4/(I17*I18)</f>
        <v>0.85834258640679151</v>
      </c>
      <c r="J19" s="13">
        <f>J4/(J17*J18)</f>
        <v>3.9040478640324374</v>
      </c>
      <c r="K19" s="13">
        <f>I19+J19</f>
        <v>4.7623904504392289</v>
      </c>
    </row>
    <row r="20" spans="4:11">
      <c r="D20" s="5" t="s">
        <v>705</v>
      </c>
      <c r="E20" s="143">
        <f>K6/I6</f>
        <v>0.99373922743191234</v>
      </c>
      <c r="H20" s="112" t="s">
        <v>706</v>
      </c>
      <c r="I20" s="13">
        <f>I4*I18+I16*1000*I19</f>
        <v>72971.649189890944</v>
      </c>
      <c r="J20" s="13">
        <f>J4*J18+J16*1000*J19</f>
        <v>332100.74079647631</v>
      </c>
      <c r="K20" s="13">
        <f>K4*K18+K16*1000*K19</f>
        <v>405072.38998636714</v>
      </c>
    </row>
    <row r="26" spans="4:11">
      <c r="D26" t="s">
        <v>707</v>
      </c>
      <c r="E26" t="s">
        <v>708</v>
      </c>
      <c r="F26">
        <f>E20</f>
        <v>0.99373922743191234</v>
      </c>
    </row>
    <row r="27" spans="4:11">
      <c r="D27">
        <v>0.8</v>
      </c>
      <c r="E27">
        <f>D27*$E$5</f>
        <v>60</v>
      </c>
      <c r="F27">
        <f t="dataTable" ref="F27:F48" dt2D="0" dtr="0" r1="E9"/>
        <v>0.99373922743191234</v>
      </c>
    </row>
    <row r="28" spans="4:11">
      <c r="D28">
        <f>D27+0.05</f>
        <v>0.85000000000000009</v>
      </c>
      <c r="E28">
        <f t="shared" ref="E28:E48" si="0">D28*$E$5</f>
        <v>63.750000000000007</v>
      </c>
      <c r="F28">
        <v>0.99373922743191234</v>
      </c>
    </row>
    <row r="29" spans="4:11">
      <c r="D29">
        <f t="shared" ref="D29:D40" si="1">D28+0.05</f>
        <v>0.90000000000000013</v>
      </c>
      <c r="E29">
        <f t="shared" si="0"/>
        <v>67.500000000000014</v>
      </c>
      <c r="F29">
        <v>0.99373922743191234</v>
      </c>
    </row>
    <row r="30" spans="4:11">
      <c r="D30">
        <f t="shared" si="1"/>
        <v>0.95000000000000018</v>
      </c>
      <c r="E30">
        <f t="shared" si="0"/>
        <v>71.250000000000014</v>
      </c>
      <c r="F30">
        <v>0.99373922743191234</v>
      </c>
    </row>
    <row r="31" spans="4:11">
      <c r="D31">
        <f t="shared" si="1"/>
        <v>1.0000000000000002</v>
      </c>
      <c r="E31">
        <f t="shared" si="0"/>
        <v>75.000000000000014</v>
      </c>
      <c r="F31">
        <v>0.99373922743191234</v>
      </c>
    </row>
    <row r="32" spans="4:11">
      <c r="D32">
        <f t="shared" si="1"/>
        <v>1.0500000000000003</v>
      </c>
      <c r="E32">
        <f t="shared" si="0"/>
        <v>78.750000000000014</v>
      </c>
      <c r="F32">
        <v>0.99373922743191234</v>
      </c>
    </row>
    <row r="33" spans="4:6">
      <c r="D33">
        <f t="shared" si="1"/>
        <v>1.1000000000000003</v>
      </c>
      <c r="E33">
        <f t="shared" si="0"/>
        <v>82.500000000000028</v>
      </c>
      <c r="F33">
        <v>0.99373922743191234</v>
      </c>
    </row>
    <row r="34" spans="4:6">
      <c r="D34">
        <f t="shared" si="1"/>
        <v>1.1500000000000004</v>
      </c>
      <c r="E34">
        <f t="shared" si="0"/>
        <v>86.250000000000028</v>
      </c>
      <c r="F34">
        <v>0.99373922743191234</v>
      </c>
    </row>
    <row r="35" spans="4:6">
      <c r="D35">
        <f>D34+0.05</f>
        <v>1.2000000000000004</v>
      </c>
      <c r="E35">
        <f t="shared" si="0"/>
        <v>90.000000000000028</v>
      </c>
      <c r="F35">
        <v>0.99373922743191234</v>
      </c>
    </row>
    <row r="36" spans="4:6">
      <c r="D36">
        <f t="shared" si="1"/>
        <v>1.2500000000000004</v>
      </c>
      <c r="E36">
        <f t="shared" si="0"/>
        <v>93.750000000000028</v>
      </c>
      <c r="F36">
        <v>0.99373922743191234</v>
      </c>
    </row>
    <row r="37" spans="4:6">
      <c r="D37">
        <f t="shared" si="1"/>
        <v>1.3000000000000005</v>
      </c>
      <c r="E37">
        <f t="shared" si="0"/>
        <v>97.500000000000043</v>
      </c>
      <c r="F37">
        <v>0.99373922743191234</v>
      </c>
    </row>
    <row r="38" spans="4:6">
      <c r="D38">
        <f t="shared" si="1"/>
        <v>1.3500000000000005</v>
      </c>
      <c r="E38">
        <f t="shared" si="0"/>
        <v>101.25000000000004</v>
      </c>
      <c r="F38">
        <v>0.99373922743191234</v>
      </c>
    </row>
    <row r="39" spans="4:6">
      <c r="D39">
        <f t="shared" si="1"/>
        <v>1.4000000000000006</v>
      </c>
      <c r="E39">
        <f t="shared" si="0"/>
        <v>105.00000000000004</v>
      </c>
      <c r="F39">
        <v>0.99373922743191234</v>
      </c>
    </row>
    <row r="40" spans="4:6">
      <c r="D40">
        <f t="shared" si="1"/>
        <v>1.4500000000000006</v>
      </c>
      <c r="E40">
        <f t="shared" si="0"/>
        <v>108.75000000000004</v>
      </c>
      <c r="F40">
        <v>0.99373922743191234</v>
      </c>
    </row>
    <row r="41" spans="4:6">
      <c r="D41">
        <f>D40+0.05</f>
        <v>1.5000000000000007</v>
      </c>
      <c r="E41">
        <f t="shared" si="0"/>
        <v>112.50000000000006</v>
      </c>
      <c r="F41">
        <v>0.99373922743191234</v>
      </c>
    </row>
    <row r="42" spans="4:6">
      <c r="D42">
        <f t="shared" ref="D42:D48" si="2">D41+0.05</f>
        <v>1.5500000000000007</v>
      </c>
      <c r="E42">
        <f t="shared" si="0"/>
        <v>116.25000000000006</v>
      </c>
      <c r="F42">
        <v>0.99373922743191234</v>
      </c>
    </row>
    <row r="43" spans="4:6">
      <c r="D43">
        <f t="shared" si="2"/>
        <v>1.6000000000000008</v>
      </c>
      <c r="E43">
        <f t="shared" si="0"/>
        <v>120.00000000000006</v>
      </c>
      <c r="F43">
        <v>0.99373922743191234</v>
      </c>
    </row>
    <row r="44" spans="4:6">
      <c r="D44">
        <f t="shared" si="2"/>
        <v>1.6500000000000008</v>
      </c>
      <c r="E44">
        <f t="shared" si="0"/>
        <v>123.75000000000006</v>
      </c>
      <c r="F44">
        <v>0.99373922743191234</v>
      </c>
    </row>
    <row r="45" spans="4:6">
      <c r="D45">
        <f t="shared" si="2"/>
        <v>1.7000000000000008</v>
      </c>
      <c r="E45">
        <f t="shared" si="0"/>
        <v>127.50000000000006</v>
      </c>
      <c r="F45">
        <v>0.99373922743191234</v>
      </c>
    </row>
    <row r="46" spans="4:6">
      <c r="D46">
        <f t="shared" si="2"/>
        <v>1.7500000000000009</v>
      </c>
      <c r="E46">
        <f t="shared" si="0"/>
        <v>131.25000000000006</v>
      </c>
      <c r="F46">
        <v>0.99373922743191234</v>
      </c>
    </row>
    <row r="47" spans="4:6">
      <c r="D47">
        <f t="shared" si="2"/>
        <v>1.8000000000000009</v>
      </c>
      <c r="E47">
        <f t="shared" si="0"/>
        <v>135.00000000000006</v>
      </c>
      <c r="F47">
        <v>0.99373922743191234</v>
      </c>
    </row>
    <row r="48" spans="4:6">
      <c r="D48">
        <f t="shared" si="2"/>
        <v>1.850000000000001</v>
      </c>
      <c r="E48">
        <f t="shared" si="0"/>
        <v>138.75000000000009</v>
      </c>
      <c r="F48">
        <v>0.99373922743191234</v>
      </c>
    </row>
    <row r="51" spans="4:6">
      <c r="D51" t="s">
        <v>709</v>
      </c>
      <c r="E51" t="s">
        <v>710</v>
      </c>
      <c r="F51">
        <f>E20</f>
        <v>0.99373922743191234</v>
      </c>
    </row>
    <row r="52" spans="4:6">
      <c r="D52">
        <v>0.5</v>
      </c>
      <c r="E52">
        <f>D52*$E$9</f>
        <v>37.5</v>
      </c>
      <c r="F52" t="e">
        <f t="dataTable" ref="F52:F66" dt2D="0" dtr="0" r1="E5"/>
        <v>#VALUE!</v>
      </c>
    </row>
    <row r="53" spans="4:6">
      <c r="D53">
        <f>D52+0.05</f>
        <v>0.55000000000000004</v>
      </c>
      <c r="E53">
        <f t="shared" ref="E53:E66" si="3">D53*$E$9</f>
        <v>41.25</v>
      </c>
      <c r="F53" t="e">
        <v>#VALUE!</v>
      </c>
    </row>
    <row r="54" spans="4:6">
      <c r="D54">
        <f t="shared" ref="D54:D65" si="4">D53+0.05</f>
        <v>0.60000000000000009</v>
      </c>
      <c r="E54">
        <f t="shared" si="3"/>
        <v>45.000000000000007</v>
      </c>
      <c r="F54" t="e">
        <v>#VALUE!</v>
      </c>
    </row>
    <row r="55" spans="4:6">
      <c r="D55">
        <f t="shared" si="4"/>
        <v>0.65000000000000013</v>
      </c>
      <c r="E55">
        <f t="shared" si="3"/>
        <v>48.750000000000007</v>
      </c>
      <c r="F55">
        <v>1.3635298198141084</v>
      </c>
    </row>
    <row r="56" spans="4:6">
      <c r="D56">
        <f t="shared" si="4"/>
        <v>0.70000000000000018</v>
      </c>
      <c r="E56">
        <f t="shared" si="3"/>
        <v>52.500000000000014</v>
      </c>
      <c r="F56">
        <v>1.2948786587176893</v>
      </c>
    </row>
    <row r="57" spans="4:6">
      <c r="D57">
        <f t="shared" si="4"/>
        <v>0.75000000000000022</v>
      </c>
      <c r="E57">
        <f t="shared" si="3"/>
        <v>56.250000000000014</v>
      </c>
      <c r="F57">
        <v>1.2327138362660162</v>
      </c>
    </row>
    <row r="58" spans="4:6">
      <c r="D58">
        <f t="shared" si="4"/>
        <v>0.80000000000000027</v>
      </c>
      <c r="E58">
        <f t="shared" si="3"/>
        <v>60.000000000000021</v>
      </c>
      <c r="F58">
        <v>1.1762759608512066</v>
      </c>
    </row>
    <row r="59" spans="4:6">
      <c r="D59">
        <f t="shared" si="4"/>
        <v>0.85000000000000031</v>
      </c>
      <c r="E59">
        <f t="shared" si="3"/>
        <v>63.750000000000021</v>
      </c>
      <c r="F59">
        <v>1.1248249814975133</v>
      </c>
    </row>
    <row r="60" spans="4:6">
      <c r="D60">
        <f>D59+0.05</f>
        <v>0.90000000000000036</v>
      </c>
      <c r="E60">
        <f t="shared" si="3"/>
        <v>67.500000000000028</v>
      </c>
      <c r="F60">
        <v>1.0776708751520596</v>
      </c>
    </row>
    <row r="61" spans="4:6">
      <c r="D61">
        <f t="shared" si="4"/>
        <v>0.9500000000000004</v>
      </c>
      <c r="E61">
        <f t="shared" si="3"/>
        <v>71.250000000000028</v>
      </c>
      <c r="F61">
        <v>1.0341778012282972</v>
      </c>
    </row>
    <row r="62" spans="4:6">
      <c r="D62">
        <f t="shared" si="4"/>
        <v>1.0000000000000004</v>
      </c>
      <c r="E62">
        <f t="shared" si="3"/>
        <v>75.000000000000028</v>
      </c>
      <c r="F62">
        <v>0.99373922743191279</v>
      </c>
    </row>
    <row r="63" spans="4:6">
      <c r="D63">
        <f t="shared" si="4"/>
        <v>1.0500000000000005</v>
      </c>
      <c r="E63">
        <f t="shared" si="3"/>
        <v>78.750000000000043</v>
      </c>
      <c r="F63">
        <v>0.95570865996456433</v>
      </c>
    </row>
    <row r="64" spans="4:6">
      <c r="D64">
        <f t="shared" si="4"/>
        <v>1.1000000000000005</v>
      </c>
      <c r="E64">
        <f t="shared" si="3"/>
        <v>82.500000000000043</v>
      </c>
      <c r="F64">
        <v>0.91918919962978551</v>
      </c>
    </row>
    <row r="65" spans="4:6">
      <c r="D65">
        <f t="shared" si="4"/>
        <v>1.1500000000000006</v>
      </c>
      <c r="E65">
        <f t="shared" si="3"/>
        <v>86.250000000000043</v>
      </c>
      <c r="F65">
        <v>0.88190230108573608</v>
      </c>
    </row>
    <row r="66" spans="4:6">
      <c r="D66">
        <f>D65+0.05</f>
        <v>1.2000000000000006</v>
      </c>
      <c r="E66">
        <f t="shared" si="3"/>
        <v>90.000000000000043</v>
      </c>
      <c r="F66" t="e">
        <v>#VALUE!</v>
      </c>
    </row>
  </sheetData>
  <conditionalFormatting sqref="E12">
    <cfRule type="cellIs" dxfId="1" priority="2" operator="lessThan">
      <formula>1</formula>
    </cfRule>
  </conditionalFormatting>
  <conditionalFormatting sqref="E19">
    <cfRule type="cellIs" dxfId="0" priority="1" operator="greaterThan">
      <formula>1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E9269-0070-48EF-A46E-6A39931BBA37}">
  <sheetPr codeName="Sheet12"/>
  <dimension ref="B2:Q68"/>
  <sheetViews>
    <sheetView workbookViewId="0">
      <selection activeCell="K6" sqref="K6"/>
    </sheetView>
  </sheetViews>
  <sheetFormatPr defaultRowHeight="14.4"/>
  <cols>
    <col min="2" max="2" width="10.6640625" customWidth="1"/>
    <col min="3" max="3" width="10.44140625" customWidth="1"/>
    <col min="6" max="6" width="10.44140625" customWidth="1"/>
    <col min="7" max="7" width="11.33203125" customWidth="1"/>
  </cols>
  <sheetData>
    <row r="2" spans="2:17">
      <c r="B2" s="2" t="s">
        <v>711</v>
      </c>
      <c r="C2" s="2" t="s">
        <v>712</v>
      </c>
      <c r="D2" s="2" t="s">
        <v>713</v>
      </c>
      <c r="E2" s="2" t="s">
        <v>714</v>
      </c>
      <c r="G2" s="2" t="s">
        <v>715</v>
      </c>
      <c r="H2" s="2" t="s">
        <v>716</v>
      </c>
      <c r="I2" s="2" t="s">
        <v>717</v>
      </c>
      <c r="J2" s="2" t="s">
        <v>718</v>
      </c>
      <c r="P2" s="369" t="s">
        <v>719</v>
      </c>
      <c r="Q2" s="369"/>
    </row>
    <row r="3" spans="2:17">
      <c r="B3" s="111">
        <f>CYCLEEX!Q10*SQRT(CYCLEEX!Q13)/(CYCLEEX!Q12*1000)</f>
        <v>7.4611888523644484E-4</v>
      </c>
      <c r="C3" s="111">
        <f>CYCLEEX!J10/CYCLEEX!Q10</f>
        <v>1.2080306350594312</v>
      </c>
      <c r="D3" s="111">
        <f>CYCLEEX!Q12/CYCLEEX!O12</f>
        <v>0.95</v>
      </c>
      <c r="E3" s="111">
        <f>CYCLEEX!J12/CYCLEEX!G12</f>
        <v>0.99699999999999989</v>
      </c>
      <c r="G3" s="111">
        <f>CYCLEEX!J10</f>
        <v>13.436144149785411</v>
      </c>
      <c r="H3" s="111">
        <f>(((CYCLEEX!O12/CYCLEEX!J12)^((CYCLEEX!G17-1)/CYCLEEX!G17)-1)/$J$3)^0.5</f>
        <v>1.2879139755462183</v>
      </c>
      <c r="I3" s="111">
        <f>SQRT(CYCLEEX!H13)/(CYCLEEX!H12*1000)</f>
        <v>5.5693125175488873E-4</v>
      </c>
      <c r="J3" s="111">
        <v>0.9</v>
      </c>
      <c r="P3" s="369"/>
      <c r="Q3" s="369"/>
    </row>
    <row r="5" spans="2:17">
      <c r="P5" s="271" t="s">
        <v>720</v>
      </c>
      <c r="Q5" s="271"/>
    </row>
    <row r="6" spans="2:17">
      <c r="B6" s="2" t="s">
        <v>394</v>
      </c>
      <c r="C6" s="2" t="s">
        <v>212</v>
      </c>
      <c r="D6" s="2" t="s">
        <v>213</v>
      </c>
      <c r="E6" s="2" t="s">
        <v>54</v>
      </c>
      <c r="F6" s="2" t="s">
        <v>233</v>
      </c>
      <c r="G6" s="2" t="s">
        <v>721</v>
      </c>
      <c r="H6" s="11"/>
      <c r="I6" s="2" t="s">
        <v>722</v>
      </c>
      <c r="J6" s="2" t="s">
        <v>723</v>
      </c>
      <c r="K6" s="2" t="s">
        <v>724</v>
      </c>
      <c r="L6" s="2" t="s">
        <v>725</v>
      </c>
      <c r="M6" s="2" t="s">
        <v>717</v>
      </c>
      <c r="N6" s="2" t="s">
        <v>716</v>
      </c>
      <c r="P6" s="2" t="s">
        <v>726</v>
      </c>
      <c r="Q6" s="2" t="s">
        <v>727</v>
      </c>
    </row>
    <row r="7" spans="2:17">
      <c r="B7" s="111">
        <v>1.4</v>
      </c>
      <c r="C7" s="111">
        <v>24.54</v>
      </c>
      <c r="D7" s="3">
        <v>220</v>
      </c>
      <c r="E7" s="3">
        <v>0.85</v>
      </c>
      <c r="F7" s="111">
        <f>CYCLEEX!P12/CYCLEEX!J12</f>
        <v>24.255000000000003</v>
      </c>
      <c r="G7" s="111">
        <f>CYCLEEX!Q13/CYCLEEX!H13</f>
        <v>7.6570160945100847</v>
      </c>
      <c r="I7" s="4">
        <f>F7/SQRT(G7)</f>
        <v>8.7653951464355426</v>
      </c>
      <c r="J7" s="4">
        <f t="shared" ref="J7:J38" si="0">D7*(1+(B7-1)/2*E7^2)</f>
        <v>251.78999999999996</v>
      </c>
      <c r="K7" s="4">
        <f t="shared" ref="K7:K38" si="1">(J7/D7)^(B7/(B7-1))*C7*1000</f>
        <v>39357.712405633451</v>
      </c>
      <c r="L7" s="4">
        <f>K7/SQRT(J7)</f>
        <v>2480.3365269903229</v>
      </c>
      <c r="M7" s="4">
        <f>SQRT(J7)/(K7*$E$3)</f>
        <v>4.0438425034941116E-4</v>
      </c>
      <c r="N7" s="4">
        <f t="shared" ref="N7:N38" si="2">((F7^((B7-1)/B7)-1)/$J$3)^0.5</f>
        <v>1.2853427292437503</v>
      </c>
      <c r="P7" s="5">
        <f t="shared" ref="P7:P38" si="3">($G$3*$H$3*$I$3*$J$3)/(M7*N7)</f>
        <v>16.6875442609647</v>
      </c>
      <c r="Q7" s="5">
        <f t="shared" ref="Q7:Q38" si="4">$B$3*$C$3*$D$3*$E$3*I7*L7</f>
        <v>18.560379513001827</v>
      </c>
    </row>
    <row r="8" spans="2:17">
      <c r="B8" s="111">
        <v>1.4</v>
      </c>
      <c r="C8" s="111">
        <v>24.54</v>
      </c>
      <c r="D8" s="3">
        <v>220</v>
      </c>
      <c r="E8" s="3">
        <v>0.85</v>
      </c>
      <c r="F8" s="111">
        <f>F7-1</f>
        <v>23.255000000000003</v>
      </c>
      <c r="G8" s="111">
        <f>G7</f>
        <v>7.6570160945100847</v>
      </c>
      <c r="I8" s="4">
        <f t="shared" ref="I8:I37" si="5">F8/SQRT(G8)</f>
        <v>8.4040100651559904</v>
      </c>
      <c r="J8" s="4">
        <f t="shared" si="0"/>
        <v>251.78999999999996</v>
      </c>
      <c r="K8" s="4">
        <f t="shared" si="1"/>
        <v>39357.712405633451</v>
      </c>
      <c r="L8" s="4">
        <f t="shared" ref="L8:L37" si="6">K8/SQRT(J8)</f>
        <v>2480.3365269903229</v>
      </c>
      <c r="M8" s="4">
        <f t="shared" ref="M8:M68" si="7">SQRT(J8)/(K8*$E$3)</f>
        <v>4.0438425034941116E-4</v>
      </c>
      <c r="N8" s="4">
        <f t="shared" si="2"/>
        <v>1.2724250218079567</v>
      </c>
      <c r="P8" s="5">
        <f t="shared" si="3"/>
        <v>16.856956847868016</v>
      </c>
      <c r="Q8" s="5">
        <f t="shared" si="4"/>
        <v>17.79516081528994</v>
      </c>
    </row>
    <row r="9" spans="2:17">
      <c r="B9" s="111">
        <v>1.4</v>
      </c>
      <c r="C9" s="111">
        <v>24.54</v>
      </c>
      <c r="D9" s="3">
        <v>220</v>
      </c>
      <c r="E9" s="3">
        <v>0.85</v>
      </c>
      <c r="F9" s="111">
        <f t="shared" ref="F9:F37" si="8">F8-1</f>
        <v>22.255000000000003</v>
      </c>
      <c r="G9" s="111">
        <f t="shared" ref="G9:G37" si="9">G8</f>
        <v>7.6570160945100847</v>
      </c>
      <c r="I9" s="4">
        <f t="shared" si="5"/>
        <v>8.0426249838764381</v>
      </c>
      <c r="J9" s="4">
        <f t="shared" si="0"/>
        <v>251.78999999999996</v>
      </c>
      <c r="K9" s="4">
        <f t="shared" si="1"/>
        <v>39357.712405633451</v>
      </c>
      <c r="L9" s="4">
        <f t="shared" si="6"/>
        <v>2480.3365269903229</v>
      </c>
      <c r="M9" s="4">
        <f t="shared" si="7"/>
        <v>4.0438425034941116E-4</v>
      </c>
      <c r="N9" s="4">
        <f t="shared" si="2"/>
        <v>1.2589654106504273</v>
      </c>
      <c r="P9" s="5">
        <f t="shared" si="3"/>
        <v>17.037174733563813</v>
      </c>
      <c r="Q9" s="5">
        <f t="shared" si="4"/>
        <v>17.029942117578049</v>
      </c>
    </row>
    <row r="10" spans="2:17">
      <c r="B10" s="111">
        <v>1.4</v>
      </c>
      <c r="C10" s="111">
        <v>24.54</v>
      </c>
      <c r="D10" s="3">
        <v>220</v>
      </c>
      <c r="E10" s="3">
        <v>0.85</v>
      </c>
      <c r="F10" s="111">
        <f t="shared" si="8"/>
        <v>21.255000000000003</v>
      </c>
      <c r="G10" s="111">
        <f t="shared" si="9"/>
        <v>7.6570160945100847</v>
      </c>
      <c r="I10" s="4">
        <f t="shared" si="5"/>
        <v>7.6812399025968858</v>
      </c>
      <c r="J10" s="4">
        <f t="shared" si="0"/>
        <v>251.78999999999996</v>
      </c>
      <c r="K10" s="4">
        <f t="shared" si="1"/>
        <v>39357.712405633451</v>
      </c>
      <c r="L10" s="4">
        <f t="shared" si="6"/>
        <v>2480.3365269903229</v>
      </c>
      <c r="M10" s="4">
        <f t="shared" si="7"/>
        <v>4.0438425034941116E-4</v>
      </c>
      <c r="N10" s="4">
        <f t="shared" si="2"/>
        <v>1.2449138831778608</v>
      </c>
      <c r="P10" s="5">
        <f t="shared" si="3"/>
        <v>17.229475849374715</v>
      </c>
      <c r="Q10" s="5">
        <f t="shared" si="4"/>
        <v>16.264723419866165</v>
      </c>
    </row>
    <row r="11" spans="2:17">
      <c r="B11" s="111">
        <v>1.4</v>
      </c>
      <c r="C11" s="111">
        <v>24.54</v>
      </c>
      <c r="D11" s="3">
        <v>220</v>
      </c>
      <c r="E11" s="3">
        <v>0.85</v>
      </c>
      <c r="F11" s="111">
        <f t="shared" si="8"/>
        <v>20.255000000000003</v>
      </c>
      <c r="G11" s="111">
        <f t="shared" si="9"/>
        <v>7.6570160945100847</v>
      </c>
      <c r="I11" s="4">
        <f t="shared" si="5"/>
        <v>7.3198548213173336</v>
      </c>
      <c r="J11" s="4">
        <f t="shared" si="0"/>
        <v>251.78999999999996</v>
      </c>
      <c r="K11" s="4">
        <f t="shared" si="1"/>
        <v>39357.712405633451</v>
      </c>
      <c r="L11" s="4">
        <f t="shared" si="6"/>
        <v>2480.3365269903229</v>
      </c>
      <c r="M11" s="4">
        <f t="shared" si="7"/>
        <v>4.0438425034941116E-4</v>
      </c>
      <c r="N11" s="4">
        <f t="shared" si="2"/>
        <v>1.2302130665070501</v>
      </c>
      <c r="P11" s="5">
        <f t="shared" si="3"/>
        <v>17.435364871928329</v>
      </c>
      <c r="Q11" s="5">
        <f t="shared" si="4"/>
        <v>15.499504722154278</v>
      </c>
    </row>
    <row r="12" spans="2:17">
      <c r="B12" s="111">
        <v>1.4</v>
      </c>
      <c r="C12" s="111">
        <v>24.54</v>
      </c>
      <c r="D12" s="3">
        <v>220</v>
      </c>
      <c r="E12" s="3">
        <v>0.85</v>
      </c>
      <c r="F12" s="111">
        <f t="shared" si="8"/>
        <v>19.255000000000003</v>
      </c>
      <c r="G12" s="111">
        <f t="shared" si="9"/>
        <v>7.6570160945100847</v>
      </c>
      <c r="I12" s="4">
        <f t="shared" si="5"/>
        <v>6.9584697400377813</v>
      </c>
      <c r="J12" s="4">
        <f t="shared" si="0"/>
        <v>251.78999999999996</v>
      </c>
      <c r="K12" s="4">
        <f t="shared" si="1"/>
        <v>39357.712405633451</v>
      </c>
      <c r="L12" s="4">
        <f t="shared" si="6"/>
        <v>2480.3365269903229</v>
      </c>
      <c r="M12" s="4">
        <f t="shared" si="7"/>
        <v>4.0438425034941116E-4</v>
      </c>
      <c r="N12" s="4">
        <f t="shared" si="2"/>
        <v>1.214796699376282</v>
      </c>
      <c r="P12" s="5">
        <f t="shared" si="3"/>
        <v>17.656628220818352</v>
      </c>
      <c r="Q12" s="5">
        <f t="shared" si="4"/>
        <v>14.734286024442389</v>
      </c>
    </row>
    <row r="13" spans="2:17">
      <c r="B13" s="111">
        <v>1.4</v>
      </c>
      <c r="C13" s="111">
        <v>24.54</v>
      </c>
      <c r="D13" s="3">
        <v>220</v>
      </c>
      <c r="E13" s="3">
        <v>0.85</v>
      </c>
      <c r="F13" s="111">
        <f t="shared" si="8"/>
        <v>18.255000000000003</v>
      </c>
      <c r="G13" s="111">
        <f t="shared" si="9"/>
        <v>7.6570160945100847</v>
      </c>
      <c r="I13" s="4">
        <f t="shared" si="5"/>
        <v>6.597084658758229</v>
      </c>
      <c r="J13" s="4">
        <f t="shared" si="0"/>
        <v>251.78999999999996</v>
      </c>
      <c r="K13" s="4">
        <f t="shared" si="1"/>
        <v>39357.712405633451</v>
      </c>
      <c r="L13" s="4">
        <f t="shared" si="6"/>
        <v>2480.3365269903229</v>
      </c>
      <c r="M13" s="4">
        <f t="shared" si="7"/>
        <v>4.0438425034941116E-4</v>
      </c>
      <c r="N13" s="4">
        <f t="shared" si="2"/>
        <v>1.1985876843588674</v>
      </c>
      <c r="P13" s="5">
        <f t="shared" si="3"/>
        <v>17.895406372573881</v>
      </c>
      <c r="Q13" s="5">
        <f t="shared" si="4"/>
        <v>13.969067326730503</v>
      </c>
    </row>
    <row r="14" spans="2:17">
      <c r="B14" s="111">
        <v>1.4</v>
      </c>
      <c r="C14" s="111">
        <v>24.54</v>
      </c>
      <c r="D14" s="3">
        <v>220</v>
      </c>
      <c r="E14" s="3">
        <v>0.85</v>
      </c>
      <c r="F14" s="111">
        <f t="shared" si="8"/>
        <v>17.255000000000003</v>
      </c>
      <c r="G14" s="111">
        <f t="shared" si="9"/>
        <v>7.6570160945100847</v>
      </c>
      <c r="I14" s="4">
        <f t="shared" si="5"/>
        <v>6.2356995774786768</v>
      </c>
      <c r="J14" s="4">
        <f t="shared" si="0"/>
        <v>251.78999999999996</v>
      </c>
      <c r="K14" s="4">
        <f t="shared" si="1"/>
        <v>39357.712405633451</v>
      </c>
      <c r="L14" s="4">
        <f t="shared" si="6"/>
        <v>2480.3365269903229</v>
      </c>
      <c r="M14" s="4">
        <f t="shared" si="7"/>
        <v>4.0438425034941116E-4</v>
      </c>
      <c r="N14" s="4">
        <f t="shared" si="2"/>
        <v>1.1814955736867778</v>
      </c>
      <c r="P14" s="5">
        <f t="shared" si="3"/>
        <v>18.15429034391844</v>
      </c>
      <c r="Q14" s="5">
        <f t="shared" si="4"/>
        <v>13.203848629018616</v>
      </c>
    </row>
    <row r="15" spans="2:17">
      <c r="B15" s="111">
        <v>1.4</v>
      </c>
      <c r="C15" s="111">
        <v>24.54</v>
      </c>
      <c r="D15" s="3">
        <v>220</v>
      </c>
      <c r="E15" s="3">
        <v>0.85</v>
      </c>
      <c r="F15" s="111">
        <f t="shared" si="8"/>
        <v>16.255000000000003</v>
      </c>
      <c r="G15" s="111">
        <f t="shared" si="9"/>
        <v>7.6570160945100847</v>
      </c>
      <c r="I15" s="4">
        <f t="shared" si="5"/>
        <v>5.8743144961991245</v>
      </c>
      <c r="J15" s="4">
        <f t="shared" si="0"/>
        <v>251.78999999999996</v>
      </c>
      <c r="K15" s="4">
        <f t="shared" si="1"/>
        <v>39357.712405633451</v>
      </c>
      <c r="L15" s="4">
        <f t="shared" si="6"/>
        <v>2480.3365269903229</v>
      </c>
      <c r="M15" s="4">
        <f t="shared" si="7"/>
        <v>4.0438425034941116E-4</v>
      </c>
      <c r="N15" s="4">
        <f t="shared" si="2"/>
        <v>1.1634132783709705</v>
      </c>
      <c r="P15" s="5">
        <f t="shared" si="3"/>
        <v>18.436452534560868</v>
      </c>
      <c r="Q15" s="5">
        <f t="shared" si="4"/>
        <v>12.438629931306728</v>
      </c>
    </row>
    <row r="16" spans="2:17">
      <c r="B16" s="111">
        <v>1.4</v>
      </c>
      <c r="C16" s="111">
        <v>24.54</v>
      </c>
      <c r="D16" s="3">
        <v>220</v>
      </c>
      <c r="E16" s="3">
        <v>0.85</v>
      </c>
      <c r="F16" s="111">
        <f t="shared" si="8"/>
        <v>15.255000000000003</v>
      </c>
      <c r="G16" s="111">
        <f t="shared" si="9"/>
        <v>7.6570160945100847</v>
      </c>
      <c r="I16" s="4">
        <f t="shared" si="5"/>
        <v>5.5129294149195722</v>
      </c>
      <c r="J16" s="4">
        <f t="shared" si="0"/>
        <v>251.78999999999996</v>
      </c>
      <c r="K16" s="4">
        <f t="shared" si="1"/>
        <v>39357.712405633451</v>
      </c>
      <c r="L16" s="4">
        <f t="shared" si="6"/>
        <v>2480.3365269903229</v>
      </c>
      <c r="M16" s="4">
        <f t="shared" si="7"/>
        <v>4.0438425034941116E-4</v>
      </c>
      <c r="N16" s="4">
        <f t="shared" si="2"/>
        <v>1.1442126930200502</v>
      </c>
      <c r="P16" s="5">
        <f t="shared" si="3"/>
        <v>18.745827428422338</v>
      </c>
      <c r="Q16" s="5">
        <f t="shared" si="4"/>
        <v>11.673411233594843</v>
      </c>
    </row>
    <row r="17" spans="2:17">
      <c r="B17" s="111">
        <v>1.4</v>
      </c>
      <c r="C17" s="111">
        <v>24.54</v>
      </c>
      <c r="D17" s="3">
        <v>220</v>
      </c>
      <c r="E17" s="3">
        <v>0.85</v>
      </c>
      <c r="F17" s="111">
        <f t="shared" si="8"/>
        <v>14.255000000000003</v>
      </c>
      <c r="G17" s="111">
        <f t="shared" si="9"/>
        <v>7.6570160945100847</v>
      </c>
      <c r="I17" s="4">
        <f t="shared" si="5"/>
        <v>5.15154433364002</v>
      </c>
      <c r="J17" s="4">
        <f t="shared" si="0"/>
        <v>251.78999999999996</v>
      </c>
      <c r="K17" s="4">
        <f t="shared" si="1"/>
        <v>39357.712405633451</v>
      </c>
      <c r="L17" s="4">
        <f t="shared" si="6"/>
        <v>2480.3365269903229</v>
      </c>
      <c r="M17" s="4">
        <f t="shared" si="7"/>
        <v>4.0438425034941116E-4</v>
      </c>
      <c r="N17" s="4">
        <f t="shared" si="2"/>
        <v>1.1237387763257356</v>
      </c>
      <c r="P17" s="5">
        <f t="shared" si="3"/>
        <v>19.087366331609807</v>
      </c>
      <c r="Q17" s="5">
        <f t="shared" si="4"/>
        <v>10.908192535882955</v>
      </c>
    </row>
    <row r="18" spans="2:17">
      <c r="B18" s="111">
        <v>1.4</v>
      </c>
      <c r="C18" s="111">
        <v>24.54</v>
      </c>
      <c r="D18" s="3">
        <v>220</v>
      </c>
      <c r="E18" s="3">
        <v>0.85</v>
      </c>
      <c r="F18" s="111">
        <f t="shared" si="8"/>
        <v>13.255000000000003</v>
      </c>
      <c r="G18" s="111">
        <f t="shared" si="9"/>
        <v>7.6570160945100847</v>
      </c>
      <c r="I18" s="4">
        <f t="shared" si="5"/>
        <v>4.7901592523604677</v>
      </c>
      <c r="J18" s="4">
        <f t="shared" si="0"/>
        <v>251.78999999999996</v>
      </c>
      <c r="K18" s="4">
        <f t="shared" si="1"/>
        <v>39357.712405633451</v>
      </c>
      <c r="L18" s="4">
        <f t="shared" si="6"/>
        <v>2480.3365269903229</v>
      </c>
      <c r="M18" s="4">
        <f t="shared" si="7"/>
        <v>4.0438425034941116E-4</v>
      </c>
      <c r="N18" s="4">
        <f t="shared" si="2"/>
        <v>1.101801381699286</v>
      </c>
      <c r="P18" s="5">
        <f t="shared" si="3"/>
        <v>19.46740496157625</v>
      </c>
      <c r="Q18" s="5">
        <f t="shared" si="4"/>
        <v>10.142973838171068</v>
      </c>
    </row>
    <row r="19" spans="2:17">
      <c r="B19" s="111">
        <v>1.4</v>
      </c>
      <c r="C19" s="111">
        <v>24.54</v>
      </c>
      <c r="D19" s="3">
        <v>220</v>
      </c>
      <c r="E19" s="3">
        <v>0.85</v>
      </c>
      <c r="F19" s="111">
        <f t="shared" si="8"/>
        <v>12.255000000000003</v>
      </c>
      <c r="G19" s="111">
        <f t="shared" si="9"/>
        <v>7.6570160945100847</v>
      </c>
      <c r="I19" s="4">
        <f t="shared" si="5"/>
        <v>4.4287741710809145</v>
      </c>
      <c r="J19" s="4">
        <f t="shared" si="0"/>
        <v>251.78999999999996</v>
      </c>
      <c r="K19" s="4">
        <f t="shared" si="1"/>
        <v>39357.712405633451</v>
      </c>
      <c r="L19" s="4">
        <f t="shared" si="6"/>
        <v>2480.3365269903229</v>
      </c>
      <c r="M19" s="4">
        <f t="shared" si="7"/>
        <v>4.0438425034941116E-4</v>
      </c>
      <c r="N19" s="4">
        <f t="shared" si="2"/>
        <v>1.0781637247234861</v>
      </c>
      <c r="P19" s="5">
        <f t="shared" si="3"/>
        <v>19.894208266249429</v>
      </c>
      <c r="Q19" s="5">
        <f t="shared" si="4"/>
        <v>9.377755140459179</v>
      </c>
    </row>
    <row r="20" spans="2:17">
      <c r="B20" s="111">
        <v>1.4</v>
      </c>
      <c r="C20" s="111">
        <v>24.54</v>
      </c>
      <c r="D20" s="3">
        <v>220</v>
      </c>
      <c r="E20" s="3">
        <v>0.85</v>
      </c>
      <c r="F20" s="111">
        <f t="shared" si="8"/>
        <v>11.255000000000003</v>
      </c>
      <c r="G20" s="111">
        <f t="shared" si="9"/>
        <v>7.6570160945100847</v>
      </c>
      <c r="I20" s="4">
        <f t="shared" si="5"/>
        <v>4.0673890898013623</v>
      </c>
      <c r="J20" s="4">
        <f t="shared" si="0"/>
        <v>251.78999999999996</v>
      </c>
      <c r="K20" s="4">
        <f t="shared" si="1"/>
        <v>39357.712405633451</v>
      </c>
      <c r="L20" s="4">
        <f t="shared" si="6"/>
        <v>2480.3365269903229</v>
      </c>
      <c r="M20" s="4">
        <f t="shared" si="7"/>
        <v>4.0438425034941116E-4</v>
      </c>
      <c r="N20" s="4">
        <f t="shared" si="2"/>
        <v>1.0525256720588789</v>
      </c>
      <c r="P20" s="5">
        <f t="shared" si="3"/>
        <v>20.378803343396612</v>
      </c>
      <c r="Q20" s="5">
        <f t="shared" si="4"/>
        <v>8.6125364427472917</v>
      </c>
    </row>
    <row r="21" spans="2:17">
      <c r="B21" s="111">
        <v>1.4</v>
      </c>
      <c r="C21" s="111">
        <v>24.54</v>
      </c>
      <c r="D21" s="3">
        <v>220</v>
      </c>
      <c r="E21" s="3">
        <v>0.85</v>
      </c>
      <c r="F21" s="111">
        <f t="shared" si="8"/>
        <v>10.255000000000003</v>
      </c>
      <c r="G21" s="111">
        <f t="shared" si="9"/>
        <v>7.6570160945100847</v>
      </c>
      <c r="I21" s="4">
        <f t="shared" si="5"/>
        <v>3.7060040085218104</v>
      </c>
      <c r="J21" s="4">
        <f t="shared" si="0"/>
        <v>251.78999999999996</v>
      </c>
      <c r="K21" s="4">
        <f t="shared" si="1"/>
        <v>39357.712405633451</v>
      </c>
      <c r="L21" s="4">
        <f t="shared" si="6"/>
        <v>2480.3365269903229</v>
      </c>
      <c r="M21" s="4">
        <f t="shared" si="7"/>
        <v>4.0438425034941116E-4</v>
      </c>
      <c r="N21" s="4">
        <f t="shared" si="2"/>
        <v>1.0244987772654588</v>
      </c>
      <c r="P21" s="5">
        <f t="shared" si="3"/>
        <v>20.936299935872469</v>
      </c>
      <c r="Q21" s="5">
        <f t="shared" si="4"/>
        <v>7.8473177450354052</v>
      </c>
    </row>
    <row r="22" spans="2:17">
      <c r="B22" s="111">
        <v>1.4</v>
      </c>
      <c r="C22" s="111">
        <v>24.54</v>
      </c>
      <c r="D22" s="3">
        <v>220</v>
      </c>
      <c r="E22" s="3">
        <v>0.85</v>
      </c>
      <c r="F22" s="111">
        <f t="shared" si="8"/>
        <v>9.2550000000000026</v>
      </c>
      <c r="G22" s="111">
        <f t="shared" si="9"/>
        <v>7.6570160945100847</v>
      </c>
      <c r="I22" s="4">
        <f t="shared" si="5"/>
        <v>3.3446189272422577</v>
      </c>
      <c r="J22" s="4">
        <f t="shared" si="0"/>
        <v>251.78999999999996</v>
      </c>
      <c r="K22" s="4">
        <f t="shared" si="1"/>
        <v>39357.712405633451</v>
      </c>
      <c r="L22" s="4">
        <f t="shared" si="6"/>
        <v>2480.3365269903229</v>
      </c>
      <c r="M22" s="4">
        <f t="shared" si="7"/>
        <v>4.0438425034941116E-4</v>
      </c>
      <c r="N22" s="4">
        <f t="shared" si="2"/>
        <v>0.9935676191893551</v>
      </c>
      <c r="P22" s="5">
        <f t="shared" si="3"/>
        <v>21.588076413223405</v>
      </c>
      <c r="Q22" s="5">
        <f t="shared" si="4"/>
        <v>7.0820990473235179</v>
      </c>
    </row>
    <row r="23" spans="2:17">
      <c r="B23" s="111">
        <v>1.4</v>
      </c>
      <c r="C23" s="111">
        <v>24.54</v>
      </c>
      <c r="D23" s="3">
        <v>220</v>
      </c>
      <c r="E23" s="3">
        <v>0.85</v>
      </c>
      <c r="F23" s="111">
        <f t="shared" si="8"/>
        <v>8.2550000000000026</v>
      </c>
      <c r="G23" s="111">
        <f t="shared" si="9"/>
        <v>7.6570160945100847</v>
      </c>
      <c r="I23" s="4">
        <f t="shared" si="5"/>
        <v>2.9832338459627055</v>
      </c>
      <c r="J23" s="4">
        <f t="shared" si="0"/>
        <v>251.78999999999996</v>
      </c>
      <c r="K23" s="4">
        <f t="shared" si="1"/>
        <v>39357.712405633451</v>
      </c>
      <c r="L23" s="4">
        <f t="shared" si="6"/>
        <v>2480.3365269903229</v>
      </c>
      <c r="M23" s="4">
        <f t="shared" si="7"/>
        <v>4.0438425034941116E-4</v>
      </c>
      <c r="N23" s="4">
        <f t="shared" si="2"/>
        <v>0.95902727606274685</v>
      </c>
      <c r="P23" s="5">
        <f t="shared" si="3"/>
        <v>22.365592950414559</v>
      </c>
      <c r="Q23" s="5">
        <f t="shared" si="4"/>
        <v>6.3168803496116306</v>
      </c>
    </row>
    <row r="24" spans="2:17">
      <c r="B24" s="111">
        <v>1.4</v>
      </c>
      <c r="C24" s="111">
        <v>24.54</v>
      </c>
      <c r="D24" s="3">
        <v>220</v>
      </c>
      <c r="E24" s="3">
        <v>0.85</v>
      </c>
      <c r="F24" s="111">
        <f t="shared" si="8"/>
        <v>7.2550000000000026</v>
      </c>
      <c r="G24" s="111">
        <f t="shared" si="9"/>
        <v>7.6570160945100847</v>
      </c>
      <c r="I24" s="4">
        <f t="shared" si="5"/>
        <v>2.6218487646831532</v>
      </c>
      <c r="J24" s="4">
        <f t="shared" si="0"/>
        <v>251.78999999999996</v>
      </c>
      <c r="K24" s="4">
        <f t="shared" si="1"/>
        <v>39357.712405633451</v>
      </c>
      <c r="L24" s="4">
        <f t="shared" si="6"/>
        <v>2480.3365269903229</v>
      </c>
      <c r="M24" s="4">
        <f t="shared" si="7"/>
        <v>4.0438425034941116E-4</v>
      </c>
      <c r="N24" s="4">
        <f t="shared" si="2"/>
        <v>0.91987668282358304</v>
      </c>
      <c r="P24" s="5">
        <f t="shared" si="3"/>
        <v>23.317488186487545</v>
      </c>
      <c r="Q24" s="5">
        <f t="shared" si="4"/>
        <v>5.5516616518997433</v>
      </c>
    </row>
    <row r="25" spans="2:17">
      <c r="B25" s="111">
        <v>1.4</v>
      </c>
      <c r="C25" s="111">
        <v>24.54</v>
      </c>
      <c r="D25" s="3">
        <v>220</v>
      </c>
      <c r="E25" s="3">
        <v>0.85</v>
      </c>
      <c r="F25" s="111">
        <f t="shared" si="8"/>
        <v>6.2550000000000026</v>
      </c>
      <c r="G25" s="111">
        <f t="shared" si="9"/>
        <v>7.6570160945100847</v>
      </c>
      <c r="I25" s="4">
        <f t="shared" si="5"/>
        <v>2.2604636834036009</v>
      </c>
      <c r="J25" s="4">
        <f t="shared" si="0"/>
        <v>251.78999999999996</v>
      </c>
      <c r="K25" s="4">
        <f t="shared" si="1"/>
        <v>39357.712405633451</v>
      </c>
      <c r="L25" s="4">
        <f t="shared" si="6"/>
        <v>2480.3365269903229</v>
      </c>
      <c r="M25" s="4">
        <f t="shared" si="7"/>
        <v>4.0438425034941116E-4</v>
      </c>
      <c r="N25" s="4">
        <f t="shared" si="2"/>
        <v>0.87462414747743189</v>
      </c>
      <c r="P25" s="5">
        <f t="shared" si="3"/>
        <v>24.523921214189556</v>
      </c>
      <c r="Q25" s="5">
        <f t="shared" si="4"/>
        <v>4.7864429541878568</v>
      </c>
    </row>
    <row r="26" spans="2:17">
      <c r="B26" s="111">
        <v>1.4</v>
      </c>
      <c r="C26" s="111">
        <v>24.54</v>
      </c>
      <c r="D26" s="3">
        <v>220</v>
      </c>
      <c r="E26" s="3">
        <v>0.85</v>
      </c>
      <c r="F26" s="111">
        <f t="shared" si="8"/>
        <v>5.2550000000000026</v>
      </c>
      <c r="G26" s="111">
        <f t="shared" si="9"/>
        <v>7.6570160945100847</v>
      </c>
      <c r="I26" s="4">
        <f t="shared" si="5"/>
        <v>1.8990786021240484</v>
      </c>
      <c r="J26" s="4">
        <f t="shared" si="0"/>
        <v>251.78999999999996</v>
      </c>
      <c r="K26" s="4">
        <f t="shared" si="1"/>
        <v>39357.712405633451</v>
      </c>
      <c r="L26" s="4">
        <f t="shared" si="6"/>
        <v>2480.3365269903229</v>
      </c>
      <c r="M26" s="4">
        <f t="shared" si="7"/>
        <v>4.0438425034941116E-4</v>
      </c>
      <c r="N26" s="4">
        <f t="shared" si="2"/>
        <v>0.82090032305682703</v>
      </c>
      <c r="P26" s="5">
        <f t="shared" si="3"/>
        <v>26.128889321047836</v>
      </c>
      <c r="Q26" s="5">
        <f t="shared" si="4"/>
        <v>4.0212242564759686</v>
      </c>
    </row>
    <row r="27" spans="2:17">
      <c r="B27" s="111">
        <v>1.4</v>
      </c>
      <c r="C27" s="111">
        <v>24.54</v>
      </c>
      <c r="D27" s="3">
        <v>220</v>
      </c>
      <c r="E27" s="3">
        <v>0.85</v>
      </c>
      <c r="F27" s="111">
        <f t="shared" si="8"/>
        <v>4.2550000000000026</v>
      </c>
      <c r="G27" s="111">
        <f t="shared" si="9"/>
        <v>7.6570160945100847</v>
      </c>
      <c r="I27" s="4">
        <f t="shared" si="5"/>
        <v>1.5376935208444962</v>
      </c>
      <c r="J27" s="4">
        <f t="shared" si="0"/>
        <v>251.78999999999996</v>
      </c>
      <c r="K27" s="4">
        <f t="shared" si="1"/>
        <v>39357.712405633451</v>
      </c>
      <c r="L27" s="4">
        <f t="shared" si="6"/>
        <v>2480.3365269903229</v>
      </c>
      <c r="M27" s="4">
        <f t="shared" si="7"/>
        <v>4.0438425034941116E-4</v>
      </c>
      <c r="N27" s="4">
        <f t="shared" si="2"/>
        <v>0.75459031783181985</v>
      </c>
      <c r="P27" s="5">
        <f t="shared" si="3"/>
        <v>28.424978664442346</v>
      </c>
      <c r="Q27" s="5">
        <f t="shared" si="4"/>
        <v>3.2560055587640822</v>
      </c>
    </row>
    <row r="28" spans="2:17">
      <c r="B28" s="111">
        <v>1.4</v>
      </c>
      <c r="C28" s="111">
        <v>24.54</v>
      </c>
      <c r="D28" s="3">
        <v>220</v>
      </c>
      <c r="E28" s="3">
        <v>0.85</v>
      </c>
      <c r="F28" s="111">
        <f t="shared" si="8"/>
        <v>3.2550000000000026</v>
      </c>
      <c r="G28" s="111">
        <f t="shared" si="9"/>
        <v>7.6570160945100847</v>
      </c>
      <c r="I28" s="4">
        <f t="shared" si="5"/>
        <v>1.1763084395649439</v>
      </c>
      <c r="J28" s="4">
        <f t="shared" si="0"/>
        <v>251.78999999999996</v>
      </c>
      <c r="K28" s="4">
        <f t="shared" si="1"/>
        <v>39357.712405633451</v>
      </c>
      <c r="L28" s="4">
        <f t="shared" si="6"/>
        <v>2480.3365269903229</v>
      </c>
      <c r="M28" s="4">
        <f t="shared" si="7"/>
        <v>4.0438425034941116E-4</v>
      </c>
      <c r="N28" s="4">
        <f t="shared" si="2"/>
        <v>0.66751291921425449</v>
      </c>
      <c r="P28" s="5">
        <f t="shared" si="3"/>
        <v>32.133031537445945</v>
      </c>
      <c r="Q28" s="5">
        <f t="shared" si="4"/>
        <v>2.4907868610521948</v>
      </c>
    </row>
    <row r="29" spans="2:17">
      <c r="B29" s="111">
        <v>1.4</v>
      </c>
      <c r="C29" s="111">
        <v>24.54</v>
      </c>
      <c r="D29" s="3">
        <v>220</v>
      </c>
      <c r="E29" s="3">
        <v>0.85</v>
      </c>
      <c r="F29" s="111">
        <f t="shared" si="8"/>
        <v>2.2550000000000026</v>
      </c>
      <c r="G29" s="111">
        <f t="shared" si="9"/>
        <v>7.6570160945100847</v>
      </c>
      <c r="I29" s="4">
        <f t="shared" si="5"/>
        <v>0.81492335828539142</v>
      </c>
      <c r="J29" s="4">
        <f t="shared" si="0"/>
        <v>251.78999999999996</v>
      </c>
      <c r="K29" s="4">
        <f t="shared" si="1"/>
        <v>39357.712405633451</v>
      </c>
      <c r="L29" s="4">
        <f t="shared" si="6"/>
        <v>2480.3365269903229</v>
      </c>
      <c r="M29" s="4">
        <f t="shared" si="7"/>
        <v>4.0438425034941116E-4</v>
      </c>
      <c r="N29" s="4">
        <f t="shared" si="2"/>
        <v>0.53906725520747745</v>
      </c>
      <c r="P29" s="5">
        <f t="shared" si="3"/>
        <v>39.789494682827332</v>
      </c>
      <c r="Q29" s="5">
        <f t="shared" si="4"/>
        <v>1.7255681633403075</v>
      </c>
    </row>
    <row r="30" spans="2:17">
      <c r="B30" s="111">
        <v>1.4</v>
      </c>
      <c r="C30" s="111">
        <v>24.54</v>
      </c>
      <c r="D30" s="3">
        <v>220</v>
      </c>
      <c r="E30" s="3">
        <v>0.85</v>
      </c>
      <c r="F30" s="111">
        <f t="shared" si="8"/>
        <v>1.2550000000000026</v>
      </c>
      <c r="G30" s="111">
        <f t="shared" si="9"/>
        <v>7.6570160945100847</v>
      </c>
      <c r="I30" s="4">
        <f t="shared" si="5"/>
        <v>0.4535382770058391</v>
      </c>
      <c r="J30" s="4">
        <f t="shared" si="0"/>
        <v>251.78999999999996</v>
      </c>
      <c r="K30" s="4">
        <f t="shared" si="1"/>
        <v>39357.712405633451</v>
      </c>
      <c r="L30" s="4">
        <f t="shared" si="6"/>
        <v>2480.3365269903229</v>
      </c>
      <c r="M30" s="4">
        <f t="shared" si="7"/>
        <v>4.0438425034941116E-4</v>
      </c>
      <c r="N30" s="4">
        <f t="shared" si="2"/>
        <v>0.27294263807192604</v>
      </c>
      <c r="P30" s="5">
        <f t="shared" si="3"/>
        <v>78.585060349244287</v>
      </c>
      <c r="Q30" s="5">
        <f t="shared" si="4"/>
        <v>0.96034946562842038</v>
      </c>
    </row>
    <row r="31" spans="2:17">
      <c r="B31" s="111">
        <v>1.4</v>
      </c>
      <c r="C31" s="111">
        <v>24.54</v>
      </c>
      <c r="D31" s="3">
        <v>220</v>
      </c>
      <c r="E31" s="3">
        <v>0.85</v>
      </c>
      <c r="F31" s="111">
        <f t="shared" si="8"/>
        <v>0.25500000000000256</v>
      </c>
      <c r="G31" s="111">
        <f t="shared" si="9"/>
        <v>7.6570160945100847</v>
      </c>
      <c r="I31" s="4">
        <f t="shared" si="5"/>
        <v>9.2153195726286774E-2</v>
      </c>
      <c r="J31" s="4">
        <f t="shared" si="0"/>
        <v>251.78999999999996</v>
      </c>
      <c r="K31" s="4">
        <f t="shared" si="1"/>
        <v>39357.712405633451</v>
      </c>
      <c r="L31" s="4">
        <f t="shared" si="6"/>
        <v>2480.3365269903229</v>
      </c>
      <c r="M31" s="4">
        <f t="shared" si="7"/>
        <v>4.0438425034941116E-4</v>
      </c>
      <c r="N31" s="4" t="e">
        <f t="shared" si="2"/>
        <v>#NUM!</v>
      </c>
      <c r="P31" s="5" t="e">
        <f t="shared" si="3"/>
        <v>#NUM!</v>
      </c>
      <c r="Q31" s="5">
        <f t="shared" si="4"/>
        <v>0.19513076791653319</v>
      </c>
    </row>
    <row r="32" spans="2:17">
      <c r="B32" s="111">
        <v>1.4</v>
      </c>
      <c r="C32" s="111">
        <v>24.54</v>
      </c>
      <c r="D32" s="3">
        <v>220</v>
      </c>
      <c r="E32" s="3">
        <v>0.85</v>
      </c>
      <c r="F32" s="111">
        <f t="shared" si="8"/>
        <v>-0.74499999999999744</v>
      </c>
      <c r="G32" s="111">
        <f t="shared" si="9"/>
        <v>7.6570160945100847</v>
      </c>
      <c r="I32" s="4">
        <f t="shared" si="5"/>
        <v>-0.26923188555326555</v>
      </c>
      <c r="J32" s="4">
        <f t="shared" si="0"/>
        <v>251.78999999999996</v>
      </c>
      <c r="K32" s="4">
        <f t="shared" si="1"/>
        <v>39357.712405633451</v>
      </c>
      <c r="L32" s="4">
        <f t="shared" si="6"/>
        <v>2480.3365269903229</v>
      </c>
      <c r="M32" s="4">
        <f t="shared" si="7"/>
        <v>4.0438425034941116E-4</v>
      </c>
      <c r="N32" s="4" t="e">
        <f t="shared" si="2"/>
        <v>#NUM!</v>
      </c>
      <c r="P32" s="5" t="e">
        <f t="shared" si="3"/>
        <v>#NUM!</v>
      </c>
      <c r="Q32" s="5">
        <f t="shared" si="4"/>
        <v>-0.57008792979535394</v>
      </c>
    </row>
    <row r="33" spans="2:17">
      <c r="B33" s="111">
        <v>1.4</v>
      </c>
      <c r="C33" s="111">
        <v>24.54</v>
      </c>
      <c r="D33" s="3">
        <v>220</v>
      </c>
      <c r="E33" s="3">
        <v>0.85</v>
      </c>
      <c r="F33" s="111">
        <f t="shared" si="8"/>
        <v>-1.7449999999999974</v>
      </c>
      <c r="G33" s="111">
        <f t="shared" si="9"/>
        <v>7.6570160945100847</v>
      </c>
      <c r="I33" s="4">
        <f t="shared" si="5"/>
        <v>-0.63061696683281787</v>
      </c>
      <c r="J33" s="4">
        <f t="shared" si="0"/>
        <v>251.78999999999996</v>
      </c>
      <c r="K33" s="4">
        <f t="shared" si="1"/>
        <v>39357.712405633451</v>
      </c>
      <c r="L33" s="4">
        <f t="shared" si="6"/>
        <v>2480.3365269903229</v>
      </c>
      <c r="M33" s="4">
        <f t="shared" si="7"/>
        <v>4.0438425034941116E-4</v>
      </c>
      <c r="N33" s="4" t="e">
        <f t="shared" si="2"/>
        <v>#NUM!</v>
      </c>
      <c r="P33" s="5" t="e">
        <f t="shared" si="3"/>
        <v>#NUM!</v>
      </c>
      <c r="Q33" s="5">
        <f t="shared" si="4"/>
        <v>-1.3353066275072412</v>
      </c>
    </row>
    <row r="34" spans="2:17">
      <c r="B34" s="111">
        <v>1.4</v>
      </c>
      <c r="C34" s="111">
        <v>24.54</v>
      </c>
      <c r="D34" s="3">
        <v>220</v>
      </c>
      <c r="E34" s="3">
        <v>0.85</v>
      </c>
      <c r="F34" s="111">
        <f t="shared" si="8"/>
        <v>-2.7449999999999974</v>
      </c>
      <c r="G34" s="111">
        <f t="shared" si="9"/>
        <v>7.6570160945100847</v>
      </c>
      <c r="I34" s="4">
        <f t="shared" si="5"/>
        <v>-0.99200204811237025</v>
      </c>
      <c r="J34" s="4">
        <f t="shared" si="0"/>
        <v>251.78999999999996</v>
      </c>
      <c r="K34" s="4">
        <f t="shared" si="1"/>
        <v>39357.712405633451</v>
      </c>
      <c r="L34" s="4">
        <f t="shared" si="6"/>
        <v>2480.3365269903229</v>
      </c>
      <c r="M34" s="4">
        <f t="shared" si="7"/>
        <v>4.0438425034941116E-4</v>
      </c>
      <c r="N34" s="4" t="e">
        <f t="shared" si="2"/>
        <v>#NUM!</v>
      </c>
      <c r="P34" s="5" t="e">
        <f t="shared" si="3"/>
        <v>#NUM!</v>
      </c>
      <c r="Q34" s="5">
        <f t="shared" si="4"/>
        <v>-2.1005253252191283</v>
      </c>
    </row>
    <row r="35" spans="2:17">
      <c r="B35" s="111">
        <v>1.4</v>
      </c>
      <c r="C35" s="111">
        <v>24.54</v>
      </c>
      <c r="D35" s="3">
        <v>220</v>
      </c>
      <c r="E35" s="3">
        <v>0.85</v>
      </c>
      <c r="F35" s="111">
        <f t="shared" si="8"/>
        <v>-3.7449999999999974</v>
      </c>
      <c r="G35" s="111">
        <f t="shared" si="9"/>
        <v>7.6570160945100847</v>
      </c>
      <c r="I35" s="4">
        <f t="shared" si="5"/>
        <v>-1.3533871293919226</v>
      </c>
      <c r="J35" s="4">
        <f t="shared" si="0"/>
        <v>251.78999999999996</v>
      </c>
      <c r="K35" s="4">
        <f t="shared" si="1"/>
        <v>39357.712405633451</v>
      </c>
      <c r="L35" s="4">
        <f t="shared" si="6"/>
        <v>2480.3365269903229</v>
      </c>
      <c r="M35" s="4">
        <f t="shared" si="7"/>
        <v>4.0438425034941116E-4</v>
      </c>
      <c r="N35" s="4" t="e">
        <f t="shared" si="2"/>
        <v>#NUM!</v>
      </c>
      <c r="P35" s="5" t="e">
        <f t="shared" si="3"/>
        <v>#NUM!</v>
      </c>
      <c r="Q35" s="5">
        <f t="shared" si="4"/>
        <v>-2.8657440229310156</v>
      </c>
    </row>
    <row r="36" spans="2:17">
      <c r="B36" s="111">
        <v>1.4</v>
      </c>
      <c r="C36" s="111">
        <v>24.54</v>
      </c>
      <c r="D36" s="3">
        <v>220</v>
      </c>
      <c r="E36" s="3">
        <v>0.85</v>
      </c>
      <c r="F36" s="111">
        <f t="shared" si="8"/>
        <v>-4.7449999999999974</v>
      </c>
      <c r="G36" s="111">
        <f t="shared" si="9"/>
        <v>7.6570160945100847</v>
      </c>
      <c r="I36" s="4">
        <f t="shared" si="5"/>
        <v>-1.7147722106714749</v>
      </c>
      <c r="J36" s="4">
        <f t="shared" si="0"/>
        <v>251.78999999999996</v>
      </c>
      <c r="K36" s="4">
        <f t="shared" si="1"/>
        <v>39357.712405633451</v>
      </c>
      <c r="L36" s="4">
        <f t="shared" si="6"/>
        <v>2480.3365269903229</v>
      </c>
      <c r="M36" s="4">
        <f t="shared" si="7"/>
        <v>4.0438425034941116E-4</v>
      </c>
      <c r="N36" s="4" t="e">
        <f t="shared" si="2"/>
        <v>#NUM!</v>
      </c>
      <c r="P36" s="5" t="e">
        <f t="shared" si="3"/>
        <v>#NUM!</v>
      </c>
      <c r="Q36" s="5">
        <f t="shared" si="4"/>
        <v>-3.6309627206429029</v>
      </c>
    </row>
    <row r="37" spans="2:17">
      <c r="B37" s="111">
        <v>1.4</v>
      </c>
      <c r="C37" s="111">
        <v>24.54</v>
      </c>
      <c r="D37" s="3">
        <v>220</v>
      </c>
      <c r="E37" s="3">
        <v>0.85</v>
      </c>
      <c r="F37" s="111">
        <f t="shared" si="8"/>
        <v>-5.7449999999999974</v>
      </c>
      <c r="G37" s="111">
        <f t="shared" si="9"/>
        <v>7.6570160945100847</v>
      </c>
      <c r="I37" s="4">
        <f t="shared" si="5"/>
        <v>-2.0761572919510272</v>
      </c>
      <c r="J37" s="4">
        <f t="shared" si="0"/>
        <v>251.78999999999996</v>
      </c>
      <c r="K37" s="4">
        <f t="shared" si="1"/>
        <v>39357.712405633451</v>
      </c>
      <c r="L37" s="4">
        <f t="shared" si="6"/>
        <v>2480.3365269903229</v>
      </c>
      <c r="M37" s="4">
        <f t="shared" si="7"/>
        <v>4.0438425034941116E-4</v>
      </c>
      <c r="N37" s="4" t="e">
        <f t="shared" si="2"/>
        <v>#NUM!</v>
      </c>
      <c r="P37" s="5" t="e">
        <f t="shared" si="3"/>
        <v>#NUM!</v>
      </c>
      <c r="Q37" s="5">
        <f t="shared" si="4"/>
        <v>-4.3961814183547894</v>
      </c>
    </row>
    <row r="38" spans="2:17">
      <c r="B38" s="111">
        <v>1.4</v>
      </c>
      <c r="C38" s="111">
        <v>24.54</v>
      </c>
      <c r="D38" s="3">
        <v>220</v>
      </c>
      <c r="E38" s="3">
        <v>0.85</v>
      </c>
      <c r="F38" s="111">
        <v>58.211999999999982</v>
      </c>
      <c r="G38" s="111">
        <v>5</v>
      </c>
      <c r="I38" s="4">
        <f t="shared" ref="I38:I68" si="10">F38/SQRT(G38)</f>
        <v>26.033197821243544</v>
      </c>
      <c r="J38" s="4">
        <f t="shared" si="0"/>
        <v>251.78999999999996</v>
      </c>
      <c r="K38" s="4">
        <f t="shared" si="1"/>
        <v>39357.712405633451</v>
      </c>
      <c r="L38" s="4">
        <f t="shared" ref="L38:L68" si="11">K38/SQRT(J38)</f>
        <v>2480.3365269903229</v>
      </c>
      <c r="M38" s="4">
        <f t="shared" si="7"/>
        <v>4.0438425034941116E-4</v>
      </c>
      <c r="N38" s="4">
        <f t="shared" si="2"/>
        <v>1.5612190770777621</v>
      </c>
      <c r="P38" s="5">
        <f t="shared" si="3"/>
        <v>13.738759665243249</v>
      </c>
      <c r="Q38" s="5">
        <f t="shared" si="4"/>
        <v>55.124272600057346</v>
      </c>
    </row>
    <row r="39" spans="2:17">
      <c r="B39" s="111">
        <v>1.4</v>
      </c>
      <c r="C39" s="111">
        <v>24.54</v>
      </c>
      <c r="D39" s="3">
        <v>220</v>
      </c>
      <c r="E39" s="3">
        <v>0.85</v>
      </c>
      <c r="F39" s="111">
        <v>57.211999999999982</v>
      </c>
      <c r="G39" s="111">
        <v>5</v>
      </c>
      <c r="I39" s="4">
        <f t="shared" si="10"/>
        <v>25.585984225743584</v>
      </c>
      <c r="J39" s="4">
        <f t="shared" ref="J39:J68" si="12">D39*(1+(B39-1)/2*E39^2)</f>
        <v>251.78999999999996</v>
      </c>
      <c r="K39" s="4">
        <f t="shared" ref="K39:K68" si="13">(J39/D39)^(B39/(B39-1))*C39*1000</f>
        <v>39357.712405633451</v>
      </c>
      <c r="L39" s="4">
        <f t="shared" si="11"/>
        <v>2480.3365269903229</v>
      </c>
      <c r="M39" s="4">
        <f t="shared" si="7"/>
        <v>4.0438425034941116E-4</v>
      </c>
      <c r="N39" s="4">
        <f t="shared" ref="N39:N68" si="14">((F39^((B39-1)/B39)-1)/$J$3)^0.5</f>
        <v>1.5555964696046616</v>
      </c>
      <c r="P39" s="5">
        <f t="shared" ref="P39:P68" si="15">($G$3*$H$3*$I$3*$J$3)/(M39*N39)</f>
        <v>13.788417564495592</v>
      </c>
      <c r="Q39" s="5">
        <f t="shared" ref="Q39:Q68" si="16">$B$3*$C$3*$D$3*$E$3*I39*L39</f>
        <v>54.177315398792011</v>
      </c>
    </row>
    <row r="40" spans="2:17">
      <c r="B40" s="111">
        <v>1.4</v>
      </c>
      <c r="C40" s="111">
        <v>24.54</v>
      </c>
      <c r="D40" s="3">
        <v>220</v>
      </c>
      <c r="E40" s="3">
        <v>0.85</v>
      </c>
      <c r="F40" s="111">
        <v>56.211999999999982</v>
      </c>
      <c r="G40" s="111">
        <v>5</v>
      </c>
      <c r="I40" s="4">
        <f t="shared" si="10"/>
        <v>25.138770630243627</v>
      </c>
      <c r="J40" s="4">
        <f t="shared" si="12"/>
        <v>251.78999999999996</v>
      </c>
      <c r="K40" s="4">
        <f t="shared" si="13"/>
        <v>39357.712405633451</v>
      </c>
      <c r="L40" s="4">
        <f t="shared" si="11"/>
        <v>2480.3365269903229</v>
      </c>
      <c r="M40" s="4">
        <f t="shared" si="7"/>
        <v>4.0438425034941116E-4</v>
      </c>
      <c r="N40" s="4">
        <f t="shared" si="14"/>
        <v>1.549882436155531</v>
      </c>
      <c r="P40" s="5">
        <f t="shared" si="15"/>
        <v>13.839252051896802</v>
      </c>
      <c r="Q40" s="5">
        <f t="shared" si="16"/>
        <v>53.230358197526684</v>
      </c>
    </row>
    <row r="41" spans="2:17">
      <c r="B41" s="111">
        <v>1.4</v>
      </c>
      <c r="C41" s="111">
        <v>24.54</v>
      </c>
      <c r="D41" s="3">
        <v>220</v>
      </c>
      <c r="E41" s="3">
        <v>0.85</v>
      </c>
      <c r="F41" s="111">
        <v>55.211999999999982</v>
      </c>
      <c r="G41" s="111">
        <v>5</v>
      </c>
      <c r="I41" s="4">
        <f t="shared" si="10"/>
        <v>24.691557034743667</v>
      </c>
      <c r="J41" s="4">
        <f t="shared" si="12"/>
        <v>251.78999999999996</v>
      </c>
      <c r="K41" s="4">
        <f t="shared" si="13"/>
        <v>39357.712405633451</v>
      </c>
      <c r="L41" s="4">
        <f t="shared" si="11"/>
        <v>2480.3365269903229</v>
      </c>
      <c r="M41" s="4">
        <f t="shared" si="7"/>
        <v>4.0438425034941116E-4</v>
      </c>
      <c r="N41" s="4">
        <f t="shared" si="14"/>
        <v>1.5440737732582583</v>
      </c>
      <c r="P41" s="5">
        <f t="shared" si="15"/>
        <v>13.891314039680084</v>
      </c>
      <c r="Q41" s="5">
        <f t="shared" si="16"/>
        <v>52.283400996261349</v>
      </c>
    </row>
    <row r="42" spans="2:17">
      <c r="B42" s="111">
        <v>1.4</v>
      </c>
      <c r="C42" s="111">
        <v>24.54</v>
      </c>
      <c r="D42" s="3">
        <v>220</v>
      </c>
      <c r="E42" s="3">
        <v>0.85</v>
      </c>
      <c r="F42" s="111">
        <v>54.211999999999982</v>
      </c>
      <c r="G42" s="111">
        <v>5</v>
      </c>
      <c r="I42" s="4">
        <f t="shared" si="10"/>
        <v>24.24434343924371</v>
      </c>
      <c r="J42" s="4">
        <f t="shared" si="12"/>
        <v>251.78999999999996</v>
      </c>
      <c r="K42" s="4">
        <f t="shared" si="13"/>
        <v>39357.712405633451</v>
      </c>
      <c r="L42" s="4">
        <f t="shared" si="11"/>
        <v>2480.3365269903229</v>
      </c>
      <c r="M42" s="4">
        <f t="shared" si="7"/>
        <v>4.0438425034941116E-4</v>
      </c>
      <c r="N42" s="4">
        <f t="shared" si="14"/>
        <v>1.5381671032550099</v>
      </c>
      <c r="P42" s="5">
        <f t="shared" si="15"/>
        <v>13.944657663900268</v>
      </c>
      <c r="Q42" s="5">
        <f t="shared" si="16"/>
        <v>51.336443794996022</v>
      </c>
    </row>
    <row r="43" spans="2:17">
      <c r="B43" s="111">
        <v>1.4</v>
      </c>
      <c r="C43" s="111">
        <v>24.54</v>
      </c>
      <c r="D43" s="3">
        <v>220</v>
      </c>
      <c r="E43" s="3">
        <v>0.85</v>
      </c>
      <c r="F43" s="111">
        <v>53.211999999999982</v>
      </c>
      <c r="G43" s="111">
        <v>5</v>
      </c>
      <c r="I43" s="4">
        <f t="shared" si="10"/>
        <v>23.797129843743754</v>
      </c>
      <c r="J43" s="4">
        <f t="shared" si="12"/>
        <v>251.78999999999996</v>
      </c>
      <c r="K43" s="4">
        <f t="shared" si="13"/>
        <v>39357.712405633451</v>
      </c>
      <c r="L43" s="4">
        <f t="shared" si="11"/>
        <v>2480.3365269903229</v>
      </c>
      <c r="M43" s="4">
        <f t="shared" si="7"/>
        <v>4.0438425034941116E-4</v>
      </c>
      <c r="N43" s="4">
        <f t="shared" si="14"/>
        <v>1.532158861346324</v>
      </c>
      <c r="P43" s="5">
        <f t="shared" si="15"/>
        <v>13.999340555271536</v>
      </c>
      <c r="Q43" s="5">
        <f t="shared" si="16"/>
        <v>50.389486593730702</v>
      </c>
    </row>
    <row r="44" spans="2:17">
      <c r="B44" s="111">
        <v>1.4</v>
      </c>
      <c r="C44" s="111">
        <v>24.54</v>
      </c>
      <c r="D44" s="3">
        <v>220</v>
      </c>
      <c r="E44" s="3">
        <v>0.85</v>
      </c>
      <c r="F44" s="111">
        <v>52.211999999999982</v>
      </c>
      <c r="G44" s="111">
        <v>5</v>
      </c>
      <c r="I44" s="4">
        <f t="shared" si="10"/>
        <v>23.349916248243794</v>
      </c>
      <c r="J44" s="4">
        <f t="shared" si="12"/>
        <v>251.78999999999996</v>
      </c>
      <c r="K44" s="4">
        <f t="shared" si="13"/>
        <v>39357.712405633451</v>
      </c>
      <c r="L44" s="4">
        <f t="shared" si="11"/>
        <v>2480.3365269903229</v>
      </c>
      <c r="M44" s="4">
        <f t="shared" si="7"/>
        <v>4.0438425034941116E-4</v>
      </c>
      <c r="N44" s="4">
        <f t="shared" si="14"/>
        <v>1.526045281402824</v>
      </c>
      <c r="P44" s="5">
        <f t="shared" si="15"/>
        <v>14.055424138559612</v>
      </c>
      <c r="Q44" s="5">
        <f t="shared" si="16"/>
        <v>49.44252939246536</v>
      </c>
    </row>
    <row r="45" spans="2:17">
      <c r="B45" s="111">
        <v>1.4</v>
      </c>
      <c r="C45" s="111">
        <v>24.54</v>
      </c>
      <c r="D45" s="3">
        <v>220</v>
      </c>
      <c r="E45" s="3">
        <v>0.85</v>
      </c>
      <c r="F45" s="111">
        <v>51.211999999999982</v>
      </c>
      <c r="G45" s="111">
        <v>5</v>
      </c>
      <c r="I45" s="4">
        <f t="shared" si="10"/>
        <v>22.902702652743837</v>
      </c>
      <c r="J45" s="4">
        <f t="shared" si="12"/>
        <v>251.78999999999996</v>
      </c>
      <c r="K45" s="4">
        <f t="shared" si="13"/>
        <v>39357.712405633451</v>
      </c>
      <c r="L45" s="4">
        <f t="shared" si="11"/>
        <v>2480.3365269903229</v>
      </c>
      <c r="M45" s="4">
        <f t="shared" si="7"/>
        <v>4.0438425034941116E-4</v>
      </c>
      <c r="N45" s="4">
        <f t="shared" si="14"/>
        <v>1.5198223804007875</v>
      </c>
      <c r="P45" s="5">
        <f t="shared" si="15"/>
        <v>14.11297396417333</v>
      </c>
      <c r="Q45" s="5">
        <f t="shared" si="16"/>
        <v>48.495572191200033</v>
      </c>
    </row>
    <row r="46" spans="2:17">
      <c r="B46" s="111">
        <v>1.4</v>
      </c>
      <c r="C46" s="111">
        <v>24.54</v>
      </c>
      <c r="D46" s="3">
        <v>220</v>
      </c>
      <c r="E46" s="3">
        <v>0.85</v>
      </c>
      <c r="F46" s="111">
        <v>50.211999999999982</v>
      </c>
      <c r="G46" s="111">
        <v>5</v>
      </c>
      <c r="I46" s="4">
        <f t="shared" si="10"/>
        <v>22.455489057243877</v>
      </c>
      <c r="J46" s="4">
        <f t="shared" si="12"/>
        <v>251.78999999999996</v>
      </c>
      <c r="K46" s="4">
        <f t="shared" si="13"/>
        <v>39357.712405633451</v>
      </c>
      <c r="L46" s="4">
        <f t="shared" si="11"/>
        <v>2480.3365269903229</v>
      </c>
      <c r="M46" s="4">
        <f t="shared" si="7"/>
        <v>4.0438425034941116E-4</v>
      </c>
      <c r="N46" s="4">
        <f t="shared" si="14"/>
        <v>1.513485941317821</v>
      </c>
      <c r="P46" s="5">
        <f t="shared" si="15"/>
        <v>14.172060076149773</v>
      </c>
      <c r="Q46" s="5">
        <f t="shared" si="16"/>
        <v>47.548614989934705</v>
      </c>
    </row>
    <row r="47" spans="2:17">
      <c r="B47" s="111">
        <v>1.4</v>
      </c>
      <c r="C47" s="111">
        <v>24.54</v>
      </c>
      <c r="D47" s="3">
        <v>220</v>
      </c>
      <c r="E47" s="3">
        <v>0.85</v>
      </c>
      <c r="F47" s="111">
        <v>49.211999999999982</v>
      </c>
      <c r="G47" s="111">
        <v>5</v>
      </c>
      <c r="I47" s="4">
        <f t="shared" si="10"/>
        <v>22.008275461743921</v>
      </c>
      <c r="J47" s="4">
        <f t="shared" si="12"/>
        <v>251.78999999999996</v>
      </c>
      <c r="K47" s="4">
        <f t="shared" si="13"/>
        <v>39357.712405633451</v>
      </c>
      <c r="L47" s="4">
        <f t="shared" si="11"/>
        <v>2480.3365269903229</v>
      </c>
      <c r="M47" s="4">
        <f t="shared" si="7"/>
        <v>4.0438425034941116E-4</v>
      </c>
      <c r="N47" s="4">
        <f t="shared" si="14"/>
        <v>1.5070314943016603</v>
      </c>
      <c r="P47" s="5">
        <f t="shared" si="15"/>
        <v>14.232757421372634</v>
      </c>
      <c r="Q47" s="5">
        <f t="shared" si="16"/>
        <v>46.601657788669378</v>
      </c>
    </row>
    <row r="48" spans="2:17">
      <c r="B48" s="111">
        <v>1.4</v>
      </c>
      <c r="C48" s="111">
        <v>24.54</v>
      </c>
      <c r="D48" s="3">
        <v>220</v>
      </c>
      <c r="E48" s="3">
        <v>0.85</v>
      </c>
      <c r="F48" s="111">
        <v>48.211999999999982</v>
      </c>
      <c r="G48" s="111">
        <v>5</v>
      </c>
      <c r="I48" s="4">
        <f t="shared" si="10"/>
        <v>21.561061866243964</v>
      </c>
      <c r="J48" s="4">
        <f t="shared" si="12"/>
        <v>251.78999999999996</v>
      </c>
      <c r="K48" s="4">
        <f t="shared" si="13"/>
        <v>39357.712405633451</v>
      </c>
      <c r="L48" s="4">
        <f t="shared" si="11"/>
        <v>2480.3365269903229</v>
      </c>
      <c r="M48" s="4">
        <f t="shared" si="7"/>
        <v>4.0438425034941116E-4</v>
      </c>
      <c r="N48" s="4">
        <f t="shared" si="14"/>
        <v>1.5004542958980356</v>
      </c>
      <c r="P48" s="5">
        <f t="shared" si="15"/>
        <v>14.295146305623856</v>
      </c>
      <c r="Q48" s="5">
        <f t="shared" si="16"/>
        <v>45.654700587404044</v>
      </c>
    </row>
    <row r="49" spans="2:17">
      <c r="B49" s="111">
        <v>1.4</v>
      </c>
      <c r="C49" s="111">
        <v>24.54</v>
      </c>
      <c r="D49" s="3">
        <v>220</v>
      </c>
      <c r="E49" s="3">
        <v>0.85</v>
      </c>
      <c r="F49" s="111">
        <v>47.211999999999982</v>
      </c>
      <c r="G49" s="111">
        <v>5</v>
      </c>
      <c r="I49" s="4">
        <f t="shared" si="10"/>
        <v>21.113848270744004</v>
      </c>
      <c r="J49" s="4">
        <f t="shared" si="12"/>
        <v>251.78999999999996</v>
      </c>
      <c r="K49" s="4">
        <f t="shared" si="13"/>
        <v>39357.712405633451</v>
      </c>
      <c r="L49" s="4">
        <f t="shared" si="11"/>
        <v>2480.3365269903229</v>
      </c>
      <c r="M49" s="4">
        <f t="shared" si="7"/>
        <v>4.0438425034941116E-4</v>
      </c>
      <c r="N49" s="4">
        <f t="shared" si="14"/>
        <v>1.4937493060918747</v>
      </c>
      <c r="P49" s="5">
        <f t="shared" si="15"/>
        <v>14.359312902967796</v>
      </c>
      <c r="Q49" s="5">
        <f t="shared" si="16"/>
        <v>44.707743386138716</v>
      </c>
    </row>
    <row r="50" spans="2:17">
      <c r="B50" s="111">
        <v>1.4</v>
      </c>
      <c r="C50" s="111">
        <v>24.54</v>
      </c>
      <c r="D50" s="3">
        <v>220</v>
      </c>
      <c r="E50" s="3">
        <v>0.85</v>
      </c>
      <c r="F50" s="111">
        <v>46.211999999999982</v>
      </c>
      <c r="G50" s="111">
        <v>5</v>
      </c>
      <c r="I50" s="4">
        <f t="shared" si="10"/>
        <v>20.666634675244048</v>
      </c>
      <c r="J50" s="4">
        <f t="shared" si="12"/>
        <v>251.78999999999996</v>
      </c>
      <c r="K50" s="4">
        <f t="shared" si="13"/>
        <v>39357.712405633451</v>
      </c>
      <c r="L50" s="4">
        <f t="shared" si="11"/>
        <v>2480.3365269903229</v>
      </c>
      <c r="M50" s="4">
        <f t="shared" si="7"/>
        <v>4.0438425034941116E-4</v>
      </c>
      <c r="N50" s="4">
        <f t="shared" si="14"/>
        <v>1.4869111628789751</v>
      </c>
      <c r="P50" s="5">
        <f t="shared" si="15"/>
        <v>14.425349826034008</v>
      </c>
      <c r="Q50" s="5">
        <f t="shared" si="16"/>
        <v>43.760786184873389</v>
      </c>
    </row>
    <row r="51" spans="2:17">
      <c r="B51" s="111">
        <v>1.4</v>
      </c>
      <c r="C51" s="111">
        <v>24.54</v>
      </c>
      <c r="D51" s="3">
        <v>220</v>
      </c>
      <c r="E51" s="3">
        <v>0.85</v>
      </c>
      <c r="F51" s="111">
        <v>45.211999999999982</v>
      </c>
      <c r="G51" s="111">
        <v>5</v>
      </c>
      <c r="I51" s="4">
        <f t="shared" si="10"/>
        <v>20.219421079744091</v>
      </c>
      <c r="J51" s="4">
        <f t="shared" si="12"/>
        <v>251.78999999999996</v>
      </c>
      <c r="K51" s="4">
        <f t="shared" si="13"/>
        <v>39357.712405633451</v>
      </c>
      <c r="L51" s="4">
        <f t="shared" si="11"/>
        <v>2480.3365269903229</v>
      </c>
      <c r="M51" s="4">
        <f t="shared" si="7"/>
        <v>4.0438425034941116E-4</v>
      </c>
      <c r="N51" s="4">
        <f t="shared" si="14"/>
        <v>1.4799341540415869</v>
      </c>
      <c r="P51" s="5">
        <f t="shared" si="15"/>
        <v>14.493356766034548</v>
      </c>
      <c r="Q51" s="5">
        <f t="shared" si="16"/>
        <v>42.813828983608062</v>
      </c>
    </row>
    <row r="52" spans="2:17">
      <c r="B52" s="111">
        <v>1.4</v>
      </c>
      <c r="C52" s="111">
        <v>24.54</v>
      </c>
      <c r="D52" s="3">
        <v>220</v>
      </c>
      <c r="E52" s="3">
        <v>0.85</v>
      </c>
      <c r="F52" s="111">
        <v>44.211999999999982</v>
      </c>
      <c r="G52" s="111">
        <v>5</v>
      </c>
      <c r="I52" s="4">
        <f t="shared" si="10"/>
        <v>19.772207484244131</v>
      </c>
      <c r="J52" s="4">
        <f t="shared" si="12"/>
        <v>251.78999999999996</v>
      </c>
      <c r="K52" s="4">
        <f t="shared" si="13"/>
        <v>39357.712405633451</v>
      </c>
      <c r="L52" s="4">
        <f t="shared" si="11"/>
        <v>2480.3365269903229</v>
      </c>
      <c r="M52" s="4">
        <f t="shared" si="7"/>
        <v>4.0438425034941116E-4</v>
      </c>
      <c r="N52" s="4">
        <f t="shared" si="14"/>
        <v>1.4728121857497245</v>
      </c>
      <c r="P52" s="5">
        <f t="shared" si="15"/>
        <v>14.563441212869703</v>
      </c>
      <c r="Q52" s="5">
        <f t="shared" si="16"/>
        <v>41.866871782342727</v>
      </c>
    </row>
    <row r="53" spans="2:17">
      <c r="B53" s="111">
        <v>1.4</v>
      </c>
      <c r="C53" s="111">
        <v>24.54</v>
      </c>
      <c r="D53" s="3">
        <v>220</v>
      </c>
      <c r="E53" s="3">
        <v>0.85</v>
      </c>
      <c r="F53" s="111">
        <v>43.211999999999982</v>
      </c>
      <c r="G53" s="111">
        <v>5</v>
      </c>
      <c r="I53" s="4">
        <f t="shared" si="10"/>
        <v>19.324993888744174</v>
      </c>
      <c r="J53" s="4">
        <f t="shared" si="12"/>
        <v>251.78999999999996</v>
      </c>
      <c r="K53" s="4">
        <f t="shared" si="13"/>
        <v>39357.712405633451</v>
      </c>
      <c r="L53" s="4">
        <f t="shared" si="11"/>
        <v>2480.3365269903229</v>
      </c>
      <c r="M53" s="4">
        <f t="shared" si="7"/>
        <v>4.0438425034941116E-4</v>
      </c>
      <c r="N53" s="4">
        <f t="shared" si="14"/>
        <v>1.465538747548895</v>
      </c>
      <c r="P53" s="5">
        <f t="shared" si="15"/>
        <v>14.635719267496635</v>
      </c>
      <c r="Q53" s="5">
        <f t="shared" si="16"/>
        <v>40.9199145810774</v>
      </c>
    </row>
    <row r="54" spans="2:17">
      <c r="B54" s="111">
        <v>1.4</v>
      </c>
      <c r="C54" s="111">
        <v>24.54</v>
      </c>
      <c r="D54" s="3">
        <v>220</v>
      </c>
      <c r="E54" s="3">
        <v>0.85</v>
      </c>
      <c r="F54" s="111">
        <v>42.211999999999982</v>
      </c>
      <c r="G54" s="111">
        <v>5</v>
      </c>
      <c r="I54" s="4">
        <f t="shared" si="10"/>
        <v>18.877780293244214</v>
      </c>
      <c r="J54" s="4">
        <f t="shared" si="12"/>
        <v>251.78999999999996</v>
      </c>
      <c r="K54" s="4">
        <f t="shared" si="13"/>
        <v>39357.712405633451</v>
      </c>
      <c r="L54" s="4">
        <f t="shared" si="11"/>
        <v>2480.3365269903229</v>
      </c>
      <c r="M54" s="4">
        <f t="shared" si="7"/>
        <v>4.0438425034941116E-4</v>
      </c>
      <c r="N54" s="4">
        <f t="shared" si="14"/>
        <v>1.4581068732221882</v>
      </c>
      <c r="P54" s="5">
        <f t="shared" si="15"/>
        <v>14.71031656092865</v>
      </c>
      <c r="Q54" s="5">
        <f t="shared" si="16"/>
        <v>39.972957379812073</v>
      </c>
    </row>
    <row r="55" spans="2:17">
      <c r="B55" s="111">
        <v>1.4</v>
      </c>
      <c r="C55" s="111">
        <v>24.54</v>
      </c>
      <c r="D55" s="3">
        <v>220</v>
      </c>
      <c r="E55" s="3">
        <v>0.85</v>
      </c>
      <c r="F55" s="111">
        <v>41.211999999999982</v>
      </c>
      <c r="G55" s="111">
        <v>5</v>
      </c>
      <c r="I55" s="4">
        <f t="shared" si="10"/>
        <v>18.430566697744258</v>
      </c>
      <c r="J55" s="4">
        <f t="shared" si="12"/>
        <v>251.78999999999996</v>
      </c>
      <c r="K55" s="4">
        <f t="shared" si="13"/>
        <v>39357.712405633451</v>
      </c>
      <c r="L55" s="4">
        <f t="shared" si="11"/>
        <v>2480.3365269903229</v>
      </c>
      <c r="M55" s="4">
        <f t="shared" si="7"/>
        <v>4.0438425034941116E-4</v>
      </c>
      <c r="N55" s="4">
        <f t="shared" si="14"/>
        <v>1.4505090969278358</v>
      </c>
      <c r="P55" s="5">
        <f t="shared" si="15"/>
        <v>14.787369296885815</v>
      </c>
      <c r="Q55" s="5">
        <f t="shared" si="16"/>
        <v>39.026000178546738</v>
      </c>
    </row>
    <row r="56" spans="2:17">
      <c r="B56" s="111">
        <v>1.4</v>
      </c>
      <c r="C56" s="111">
        <v>24.54</v>
      </c>
      <c r="D56" s="3">
        <v>220</v>
      </c>
      <c r="E56" s="3">
        <v>0.85</v>
      </c>
      <c r="F56" s="111">
        <v>40.211999999999982</v>
      </c>
      <c r="G56" s="111">
        <v>5</v>
      </c>
      <c r="I56" s="4">
        <f t="shared" si="10"/>
        <v>17.983353102244301</v>
      </c>
      <c r="J56" s="4">
        <f t="shared" si="12"/>
        <v>251.78999999999996</v>
      </c>
      <c r="K56" s="4">
        <f t="shared" si="13"/>
        <v>39357.712405633451</v>
      </c>
      <c r="L56" s="4">
        <f t="shared" si="11"/>
        <v>2480.3365269903229</v>
      </c>
      <c r="M56" s="4">
        <f t="shared" si="7"/>
        <v>4.0438425034941116E-4</v>
      </c>
      <c r="N56" s="4">
        <f t="shared" si="14"/>
        <v>1.4427374039092387</v>
      </c>
      <c r="P56" s="5">
        <f t="shared" si="15"/>
        <v>14.867025438340685</v>
      </c>
      <c r="Q56" s="5">
        <f t="shared" si="16"/>
        <v>38.079042977281411</v>
      </c>
    </row>
    <row r="57" spans="2:17">
      <c r="B57" s="111">
        <v>1.4</v>
      </c>
      <c r="C57" s="111">
        <v>24.54</v>
      </c>
      <c r="D57" s="3">
        <v>220</v>
      </c>
      <c r="E57" s="3">
        <v>0.85</v>
      </c>
      <c r="F57" s="111">
        <v>39.211999999999982</v>
      </c>
      <c r="G57" s="111">
        <v>5</v>
      </c>
      <c r="I57" s="4">
        <f t="shared" si="10"/>
        <v>17.536139506744341</v>
      </c>
      <c r="J57" s="4">
        <f t="shared" si="12"/>
        <v>251.78999999999996</v>
      </c>
      <c r="K57" s="4">
        <f t="shared" si="13"/>
        <v>39357.712405633451</v>
      </c>
      <c r="L57" s="4">
        <f t="shared" si="11"/>
        <v>2480.3365269903229</v>
      </c>
      <c r="M57" s="4">
        <f t="shared" si="7"/>
        <v>4.0438425034941116E-4</v>
      </c>
      <c r="N57" s="4">
        <f t="shared" si="14"/>
        <v>1.4347831749491142</v>
      </c>
      <c r="P57" s="5">
        <f t="shared" si="15"/>
        <v>14.94944606213755</v>
      </c>
      <c r="Q57" s="5">
        <f t="shared" si="16"/>
        <v>37.132085776016083</v>
      </c>
    </row>
    <row r="58" spans="2:17">
      <c r="B58" s="111">
        <v>1.4</v>
      </c>
      <c r="C58" s="111">
        <v>24.54</v>
      </c>
      <c r="D58" s="3">
        <v>220</v>
      </c>
      <c r="E58" s="3">
        <v>0.85</v>
      </c>
      <c r="F58" s="111">
        <v>38.211999999999982</v>
      </c>
      <c r="G58" s="111">
        <v>5</v>
      </c>
      <c r="I58" s="4">
        <f t="shared" si="10"/>
        <v>17.088925911244385</v>
      </c>
      <c r="J58" s="4">
        <f t="shared" si="12"/>
        <v>251.78999999999996</v>
      </c>
      <c r="K58" s="4">
        <f t="shared" si="13"/>
        <v>39357.712405633451</v>
      </c>
      <c r="L58" s="4">
        <f t="shared" si="11"/>
        <v>2480.3365269903229</v>
      </c>
      <c r="M58" s="4">
        <f t="shared" si="7"/>
        <v>4.0438425034941116E-4</v>
      </c>
      <c r="N58" s="4">
        <f t="shared" si="14"/>
        <v>1.4266371235878252</v>
      </c>
      <c r="P58" s="5">
        <f t="shared" si="15"/>
        <v>15.034806910689376</v>
      </c>
      <c r="Q58" s="5">
        <f t="shared" si="16"/>
        <v>36.185128574750756</v>
      </c>
    </row>
    <row r="59" spans="2:17">
      <c r="B59" s="111">
        <v>1.4</v>
      </c>
      <c r="C59" s="111">
        <v>24.54</v>
      </c>
      <c r="D59" s="3">
        <v>220</v>
      </c>
      <c r="E59" s="3">
        <v>0.85</v>
      </c>
      <c r="F59" s="111">
        <v>37.211999999999982</v>
      </c>
      <c r="G59" s="111">
        <v>5</v>
      </c>
      <c r="I59" s="4">
        <f t="shared" si="10"/>
        <v>16.641712315744424</v>
      </c>
      <c r="J59" s="4">
        <f t="shared" si="12"/>
        <v>251.78999999999996</v>
      </c>
      <c r="K59" s="4">
        <f t="shared" si="13"/>
        <v>39357.712405633451</v>
      </c>
      <c r="L59" s="4">
        <f t="shared" si="11"/>
        <v>2480.3365269903229</v>
      </c>
      <c r="M59" s="4">
        <f t="shared" si="7"/>
        <v>4.0438425034941116E-4</v>
      </c>
      <c r="N59" s="4">
        <f t="shared" si="14"/>
        <v>1.4182892249417742</v>
      </c>
      <c r="P59" s="5">
        <f t="shared" si="15"/>
        <v>15.123300175706273</v>
      </c>
      <c r="Q59" s="5">
        <f t="shared" si="16"/>
        <v>35.238171373485422</v>
      </c>
    </row>
    <row r="60" spans="2:17">
      <c r="B60" s="111">
        <v>1.4</v>
      </c>
      <c r="C60" s="111">
        <v>24.54</v>
      </c>
      <c r="D60" s="3">
        <v>220</v>
      </c>
      <c r="E60" s="3">
        <v>0.85</v>
      </c>
      <c r="F60" s="111">
        <v>36.211999999999982</v>
      </c>
      <c r="G60" s="111">
        <v>5</v>
      </c>
      <c r="I60" s="4">
        <f t="shared" si="10"/>
        <v>16.194498720244468</v>
      </c>
      <c r="J60" s="4">
        <f t="shared" si="12"/>
        <v>251.78999999999996</v>
      </c>
      <c r="K60" s="4">
        <f t="shared" si="13"/>
        <v>39357.712405633451</v>
      </c>
      <c r="L60" s="4">
        <f t="shared" si="11"/>
        <v>2480.3365269903229</v>
      </c>
      <c r="M60" s="4">
        <f t="shared" si="7"/>
        <v>4.0438425034941116E-4</v>
      </c>
      <c r="N60" s="4">
        <f t="shared" si="14"/>
        <v>1.4097286347328808</v>
      </c>
      <c r="P60" s="5">
        <f t="shared" si="15"/>
        <v>15.21513655628376</v>
      </c>
      <c r="Q60" s="5">
        <f t="shared" si="16"/>
        <v>34.291214172220094</v>
      </c>
    </row>
    <row r="61" spans="2:17">
      <c r="B61" s="111">
        <v>1.4</v>
      </c>
      <c r="C61" s="111">
        <v>24.54</v>
      </c>
      <c r="D61" s="3">
        <v>220</v>
      </c>
      <c r="E61" s="3">
        <v>0.85</v>
      </c>
      <c r="F61" s="111">
        <v>35.211999999999982</v>
      </c>
      <c r="G61" s="111">
        <v>5</v>
      </c>
      <c r="I61" s="4">
        <f t="shared" si="10"/>
        <v>15.74728512474451</v>
      </c>
      <c r="J61" s="4">
        <f t="shared" si="12"/>
        <v>251.78999999999996</v>
      </c>
      <c r="K61" s="4">
        <f t="shared" si="13"/>
        <v>39357.712405633451</v>
      </c>
      <c r="L61" s="4">
        <f t="shared" si="11"/>
        <v>2480.3365269903229</v>
      </c>
      <c r="M61" s="4">
        <f t="shared" si="7"/>
        <v>4.0438425034941116E-4</v>
      </c>
      <c r="N61" s="4">
        <f t="shared" si="14"/>
        <v>1.4009435968641406</v>
      </c>
      <c r="P61" s="5">
        <f t="shared" si="15"/>
        <v>15.310547642871542</v>
      </c>
      <c r="Q61" s="5">
        <f t="shared" si="16"/>
        <v>33.344256970954767</v>
      </c>
    </row>
    <row r="62" spans="2:17">
      <c r="B62" s="111">
        <v>1.4</v>
      </c>
      <c r="C62" s="111">
        <v>24.54</v>
      </c>
      <c r="D62" s="3">
        <v>220</v>
      </c>
      <c r="E62" s="3">
        <v>0.85</v>
      </c>
      <c r="F62" s="111">
        <v>34.211999999999982</v>
      </c>
      <c r="G62" s="111">
        <v>5</v>
      </c>
      <c r="I62" s="4">
        <f t="shared" si="10"/>
        <v>15.300071529244553</v>
      </c>
      <c r="J62" s="4">
        <f t="shared" si="12"/>
        <v>251.78999999999996</v>
      </c>
      <c r="K62" s="4">
        <f t="shared" si="13"/>
        <v>39357.712405633451</v>
      </c>
      <c r="L62" s="4">
        <f t="shared" si="11"/>
        <v>2480.3365269903229</v>
      </c>
      <c r="M62" s="4">
        <f t="shared" si="7"/>
        <v>4.0438425034941116E-4</v>
      </c>
      <c r="N62" s="4">
        <f t="shared" si="14"/>
        <v>1.3919213375357267</v>
      </c>
      <c r="P62" s="5">
        <f t="shared" si="15"/>
        <v>15.409788690169934</v>
      </c>
      <c r="Q62" s="5">
        <f t="shared" si="16"/>
        <v>32.39729976968944</v>
      </c>
    </row>
    <row r="63" spans="2:17">
      <c r="B63" s="111">
        <v>1.4</v>
      </c>
      <c r="C63" s="111">
        <v>24.54</v>
      </c>
      <c r="D63" s="3">
        <v>220</v>
      </c>
      <c r="E63" s="3">
        <v>0.85</v>
      </c>
      <c r="F63" s="111">
        <v>33.211999999999982</v>
      </c>
      <c r="G63" s="111">
        <v>5</v>
      </c>
      <c r="I63" s="4">
        <f t="shared" si="10"/>
        <v>14.852857933744595</v>
      </c>
      <c r="J63" s="4">
        <f t="shared" si="12"/>
        <v>251.78999999999996</v>
      </c>
      <c r="K63" s="4">
        <f t="shared" si="13"/>
        <v>39357.712405633451</v>
      </c>
      <c r="L63" s="4">
        <f t="shared" si="11"/>
        <v>2480.3365269903229</v>
      </c>
      <c r="M63" s="4">
        <f t="shared" si="7"/>
        <v>4.0438425034941116E-4</v>
      </c>
      <c r="N63" s="4">
        <f t="shared" si="14"/>
        <v>1.3826479434733869</v>
      </c>
      <c r="P63" s="5">
        <f t="shared" si="15"/>
        <v>15.513141856546001</v>
      </c>
      <c r="Q63" s="5">
        <f t="shared" si="16"/>
        <v>31.450342568424105</v>
      </c>
    </row>
    <row r="64" spans="2:17">
      <c r="B64" s="111">
        <v>1.4</v>
      </c>
      <c r="C64" s="111">
        <v>24.54</v>
      </c>
      <c r="D64" s="3">
        <v>220</v>
      </c>
      <c r="E64" s="3">
        <v>0.85</v>
      </c>
      <c r="F64" s="111">
        <v>32.211999999999982</v>
      </c>
      <c r="G64" s="111">
        <v>5</v>
      </c>
      <c r="I64" s="4">
        <f t="shared" si="10"/>
        <v>14.405644338244636</v>
      </c>
      <c r="J64" s="4">
        <f t="shared" si="12"/>
        <v>251.78999999999996</v>
      </c>
      <c r="K64" s="4">
        <f t="shared" si="13"/>
        <v>39357.712405633451</v>
      </c>
      <c r="L64" s="4">
        <f t="shared" si="11"/>
        <v>2480.3365269903229</v>
      </c>
      <c r="M64" s="4">
        <f t="shared" si="7"/>
        <v>4.0438425034941116E-4</v>
      </c>
      <c r="N64" s="4">
        <f t="shared" si="14"/>
        <v>1.3731082213131542</v>
      </c>
      <c r="P64" s="5">
        <f t="shared" si="15"/>
        <v>15.620920006036792</v>
      </c>
      <c r="Q64" s="5">
        <f t="shared" si="16"/>
        <v>30.503385367158778</v>
      </c>
    </row>
    <row r="65" spans="2:17">
      <c r="B65" s="111">
        <v>1.4</v>
      </c>
      <c r="C65" s="111">
        <v>24.54</v>
      </c>
      <c r="D65" s="3">
        <v>220</v>
      </c>
      <c r="E65" s="3">
        <v>0.85</v>
      </c>
      <c r="F65" s="111">
        <v>31.211999999999982</v>
      </c>
      <c r="G65" s="111">
        <v>5</v>
      </c>
      <c r="I65" s="4">
        <f t="shared" si="10"/>
        <v>13.958430742744678</v>
      </c>
      <c r="J65" s="4">
        <f t="shared" si="12"/>
        <v>251.78999999999996</v>
      </c>
      <c r="K65" s="4">
        <f t="shared" si="13"/>
        <v>39357.712405633451</v>
      </c>
      <c r="L65" s="4">
        <f t="shared" si="11"/>
        <v>2480.3365269903229</v>
      </c>
      <c r="M65" s="4">
        <f t="shared" si="7"/>
        <v>4.0438425034941116E-4</v>
      </c>
      <c r="N65" s="4">
        <f t="shared" si="14"/>
        <v>1.3632855345231556</v>
      </c>
      <c r="P65" s="5">
        <f t="shared" si="15"/>
        <v>15.733471192640994</v>
      </c>
      <c r="Q65" s="5">
        <f t="shared" si="16"/>
        <v>29.556428165893443</v>
      </c>
    </row>
    <row r="66" spans="2:17">
      <c r="B66" s="111">
        <v>1.4</v>
      </c>
      <c r="C66" s="111">
        <v>24.54</v>
      </c>
      <c r="D66" s="3">
        <v>220</v>
      </c>
      <c r="E66" s="3">
        <v>0.85</v>
      </c>
      <c r="F66" s="111">
        <v>30.211999999999982</v>
      </c>
      <c r="G66" s="111">
        <v>5</v>
      </c>
      <c r="I66" s="4">
        <f t="shared" si="10"/>
        <v>13.51121714724472</v>
      </c>
      <c r="J66" s="4">
        <f t="shared" si="12"/>
        <v>251.78999999999996</v>
      </c>
      <c r="K66" s="4">
        <f t="shared" si="13"/>
        <v>39357.712405633451</v>
      </c>
      <c r="L66" s="4">
        <f t="shared" si="11"/>
        <v>2480.3365269903229</v>
      </c>
      <c r="M66" s="4">
        <f t="shared" si="7"/>
        <v>4.0438425034941116E-4</v>
      </c>
      <c r="N66" s="4">
        <f t="shared" si="14"/>
        <v>1.3531616134042352</v>
      </c>
      <c r="P66" s="5">
        <f t="shared" si="15"/>
        <v>15.851183977058799</v>
      </c>
      <c r="Q66" s="5">
        <f t="shared" si="16"/>
        <v>28.609470964628116</v>
      </c>
    </row>
    <row r="67" spans="2:17">
      <c r="B67" s="111">
        <v>1.4</v>
      </c>
      <c r="C67" s="111">
        <v>24.54</v>
      </c>
      <c r="D67" s="3">
        <v>220</v>
      </c>
      <c r="E67" s="3">
        <v>0.85</v>
      </c>
      <c r="F67" s="111">
        <v>29.211999999999982</v>
      </c>
      <c r="G67" s="111">
        <v>5</v>
      </c>
      <c r="I67" s="4">
        <f t="shared" si="10"/>
        <v>13.064003551744763</v>
      </c>
      <c r="J67" s="4">
        <f t="shared" si="12"/>
        <v>251.78999999999996</v>
      </c>
      <c r="K67" s="4">
        <f t="shared" si="13"/>
        <v>39357.712405633451</v>
      </c>
      <c r="L67" s="4">
        <f t="shared" si="11"/>
        <v>2480.3365269903229</v>
      </c>
      <c r="M67" s="4">
        <f t="shared" si="7"/>
        <v>4.0438425034941116E-4</v>
      </c>
      <c r="N67" s="4">
        <f t="shared" si="14"/>
        <v>1.3427163326417881</v>
      </c>
      <c r="P67" s="5">
        <f t="shared" si="15"/>
        <v>15.974493765606486</v>
      </c>
      <c r="Q67" s="5">
        <f t="shared" si="16"/>
        <v>27.662513763362789</v>
      </c>
    </row>
    <row r="68" spans="2:17">
      <c r="B68" s="111">
        <v>1.4</v>
      </c>
      <c r="C68" s="111">
        <v>24.54</v>
      </c>
      <c r="D68" s="3">
        <v>220</v>
      </c>
      <c r="E68" s="3">
        <v>0.85</v>
      </c>
      <c r="F68" s="111">
        <v>28.211999999999982</v>
      </c>
      <c r="G68" s="111">
        <v>5</v>
      </c>
      <c r="I68" s="4">
        <f t="shared" si="10"/>
        <v>12.616789956244805</v>
      </c>
      <c r="J68" s="4">
        <f t="shared" si="12"/>
        <v>251.78999999999996</v>
      </c>
      <c r="K68" s="4">
        <f t="shared" si="13"/>
        <v>39357.712405633451</v>
      </c>
      <c r="L68" s="4">
        <f t="shared" si="11"/>
        <v>2480.3365269903229</v>
      </c>
      <c r="M68" s="4">
        <f t="shared" si="7"/>
        <v>4.0438425034941116E-4</v>
      </c>
      <c r="N68" s="4">
        <f t="shared" si="14"/>
        <v>1.3319274495080813</v>
      </c>
      <c r="P68" s="5">
        <f t="shared" si="15"/>
        <v>16.103890412864494</v>
      </c>
      <c r="Q68" s="5">
        <f t="shared" si="16"/>
        <v>26.715556562097458</v>
      </c>
    </row>
  </sheetData>
  <mergeCells count="2">
    <mergeCell ref="P5:Q5"/>
    <mergeCell ref="P2:Q3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B481E-E6A0-432C-95F6-CBED52AAAADE}">
  <sheetPr>
    <pageSetUpPr fitToPage="1"/>
  </sheetPr>
  <dimension ref="B3:R59"/>
  <sheetViews>
    <sheetView topLeftCell="A15" workbookViewId="0">
      <selection activeCell="D33" sqref="D33"/>
    </sheetView>
  </sheetViews>
  <sheetFormatPr defaultRowHeight="14.4"/>
  <cols>
    <col min="2" max="2" width="16.33203125" bestFit="1" customWidth="1"/>
    <col min="3" max="7" width="12" bestFit="1" customWidth="1"/>
    <col min="10" max="10" width="12" bestFit="1" customWidth="1"/>
    <col min="11" max="11" width="12.6640625" bestFit="1" customWidth="1"/>
    <col min="12" max="16" width="12" bestFit="1" customWidth="1"/>
    <col min="17" max="17" width="7.6640625" bestFit="1" customWidth="1"/>
    <col min="18" max="18" width="8.6640625" bestFit="1" customWidth="1"/>
    <col min="19" max="25" width="12" bestFit="1" customWidth="1"/>
  </cols>
  <sheetData>
    <row r="3" spans="2:18">
      <c r="B3" s="221"/>
      <c r="C3" s="221"/>
      <c r="D3" s="221"/>
      <c r="E3" s="221">
        <v>2</v>
      </c>
      <c r="F3" s="221">
        <v>21</v>
      </c>
      <c r="G3" s="221">
        <v>13</v>
      </c>
      <c r="H3" s="221"/>
      <c r="I3" s="221"/>
      <c r="Q3" s="221"/>
      <c r="R3" s="221"/>
    </row>
    <row r="4" spans="2:18">
      <c r="B4" s="221"/>
      <c r="C4" s="221">
        <v>0</v>
      </c>
      <c r="D4" s="221">
        <v>1</v>
      </c>
      <c r="E4" s="221">
        <v>2</v>
      </c>
      <c r="F4" s="221">
        <v>2.1</v>
      </c>
      <c r="G4" s="221">
        <v>12.1</v>
      </c>
      <c r="H4" s="221"/>
      <c r="I4" s="221"/>
      <c r="Q4" s="221">
        <v>4.5</v>
      </c>
      <c r="R4" s="221">
        <v>4.7</v>
      </c>
    </row>
    <row r="5" spans="2:18" ht="28.8">
      <c r="B5" s="221"/>
      <c r="C5" s="221" t="s">
        <v>655</v>
      </c>
      <c r="D5" s="222" t="s">
        <v>454</v>
      </c>
      <c r="E5" s="221" t="s">
        <v>656</v>
      </c>
      <c r="F5" s="221" t="s">
        <v>657</v>
      </c>
      <c r="G5" s="221" t="s">
        <v>658</v>
      </c>
      <c r="H5" s="221"/>
      <c r="I5" s="221"/>
      <c r="Q5" s="221" t="s">
        <v>666</v>
      </c>
      <c r="R5" s="221" t="s">
        <v>667</v>
      </c>
    </row>
    <row r="6" spans="2:18">
      <c r="B6" s="73" t="s">
        <v>231</v>
      </c>
      <c r="C6" s="5"/>
      <c r="D6" s="5">
        <v>14.988343199999999</v>
      </c>
      <c r="E6" s="5">
        <v>14.68857633</v>
      </c>
      <c r="F6" s="5">
        <v>6.676625606</v>
      </c>
      <c r="G6" s="5">
        <v>8.0119507280000004</v>
      </c>
      <c r="H6" s="5"/>
      <c r="I6" s="5"/>
      <c r="K6" t="s">
        <v>728</v>
      </c>
      <c r="L6" t="s">
        <v>729</v>
      </c>
      <c r="M6" t="s">
        <v>730</v>
      </c>
      <c r="N6" t="s">
        <v>731</v>
      </c>
      <c r="Q6" s="5"/>
      <c r="R6" s="5"/>
    </row>
    <row r="7" spans="2:18">
      <c r="B7" s="73" t="s">
        <v>232</v>
      </c>
      <c r="C7" s="5"/>
      <c r="D7" s="5">
        <v>50</v>
      </c>
      <c r="E7" s="5">
        <v>50</v>
      </c>
      <c r="F7" s="5">
        <v>10.48483212</v>
      </c>
      <c r="G7" s="5">
        <v>12.58179855</v>
      </c>
      <c r="H7" s="5"/>
      <c r="I7" s="5"/>
      <c r="K7">
        <f>(D6/(C17*C14))</f>
        <v>0.30012947031887072</v>
      </c>
      <c r="L7">
        <f>(D6/(D17*D14))</f>
        <v>0.23527406355405986</v>
      </c>
      <c r="M7">
        <f>(E6/(E17*E14))</f>
        <v>0.2775751265533441</v>
      </c>
      <c r="N7">
        <f>(H44/(H55*H52))</f>
        <v>0.16210818719297396</v>
      </c>
      <c r="Q7" s="5"/>
      <c r="R7" s="5"/>
    </row>
    <row r="8" spans="2:18">
      <c r="B8" s="73" t="s">
        <v>481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/>
      <c r="I8" s="5"/>
      <c r="Q8" s="5"/>
      <c r="R8" s="5"/>
    </row>
    <row r="9" spans="2:18">
      <c r="B9" s="73" t="s">
        <v>224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/>
      <c r="I9" s="5"/>
      <c r="Q9" s="5"/>
      <c r="R9" s="5"/>
    </row>
    <row r="10" spans="2:18">
      <c r="B10" s="73" t="s">
        <v>483</v>
      </c>
      <c r="C10" s="5">
        <v>20.645820539999999</v>
      </c>
      <c r="D10" s="5">
        <v>27.431357380000001</v>
      </c>
      <c r="E10" s="5">
        <v>26.882730240000001</v>
      </c>
      <c r="F10" s="5">
        <v>67.206825589999994</v>
      </c>
      <c r="G10" s="5">
        <v>67.206825589999994</v>
      </c>
      <c r="H10" s="5"/>
      <c r="I10" s="5"/>
      <c r="Q10" s="5"/>
      <c r="R10" s="5"/>
    </row>
    <row r="11" spans="2:18">
      <c r="B11" s="73" t="s">
        <v>383</v>
      </c>
      <c r="C11" s="5">
        <v>216.65</v>
      </c>
      <c r="D11" s="5">
        <v>235.02428850000001</v>
      </c>
      <c r="E11" s="5">
        <v>235.02428850000001</v>
      </c>
      <c r="F11" s="5">
        <v>312.62311019999999</v>
      </c>
      <c r="G11" s="5">
        <v>312.62311019999999</v>
      </c>
      <c r="H11" s="5"/>
      <c r="I11" s="5"/>
      <c r="Q11" s="5"/>
      <c r="R11" s="5"/>
    </row>
    <row r="12" spans="2:18">
      <c r="B12" s="73" t="s">
        <v>353</v>
      </c>
      <c r="C12" s="5">
        <v>216.83286860000001</v>
      </c>
      <c r="D12" s="5">
        <v>235.24398199999999</v>
      </c>
      <c r="E12" s="5">
        <v>235.24398199999999</v>
      </c>
      <c r="F12" s="5">
        <v>313.07334700000001</v>
      </c>
      <c r="G12" s="5">
        <v>313.07334700000001</v>
      </c>
      <c r="H12" s="5"/>
      <c r="I12" s="5"/>
      <c r="Q12" s="5"/>
      <c r="R12" s="5"/>
    </row>
    <row r="13" spans="2:18">
      <c r="B13" s="73" t="s">
        <v>23</v>
      </c>
      <c r="C13" s="5">
        <v>0.65</v>
      </c>
      <c r="D13" s="5">
        <v>0.65</v>
      </c>
      <c r="E13" s="5">
        <v>0.5</v>
      </c>
      <c r="F13" s="5">
        <v>0.52</v>
      </c>
      <c r="G13" s="5">
        <v>0.52</v>
      </c>
      <c r="H13" s="5"/>
      <c r="I13" s="5"/>
      <c r="Q13" s="5"/>
      <c r="R13" s="5"/>
    </row>
    <row r="14" spans="2:18">
      <c r="B14" s="73" t="s">
        <v>111</v>
      </c>
      <c r="C14" s="5">
        <v>184.2425465</v>
      </c>
      <c r="D14" s="5">
        <v>191.8950055</v>
      </c>
      <c r="E14" s="5">
        <v>150.02535069999999</v>
      </c>
      <c r="F14" s="5">
        <v>179.52517549999999</v>
      </c>
      <c r="G14" s="5">
        <v>179.52517549999999</v>
      </c>
      <c r="H14" s="5"/>
      <c r="I14" s="5"/>
      <c r="Q14" s="5"/>
      <c r="R14" s="5"/>
    </row>
    <row r="15" spans="2:18">
      <c r="B15" s="73" t="s">
        <v>109</v>
      </c>
      <c r="C15" s="5">
        <v>199.71108709999999</v>
      </c>
      <c r="D15" s="5">
        <v>216.65</v>
      </c>
      <c r="E15" s="5">
        <v>223.79344209999999</v>
      </c>
      <c r="F15" s="5">
        <v>296.58222009999997</v>
      </c>
      <c r="G15" s="5">
        <v>296.58222009999997</v>
      </c>
      <c r="H15" s="5"/>
      <c r="I15" s="5"/>
      <c r="Q15" s="5"/>
      <c r="R15" s="5"/>
    </row>
    <row r="16" spans="2:18">
      <c r="B16" s="73" t="s">
        <v>108</v>
      </c>
      <c r="C16" s="5">
        <v>15.538703740000001</v>
      </c>
      <c r="D16" s="5">
        <v>20.645820539999999</v>
      </c>
      <c r="E16" s="5">
        <v>22.65893084</v>
      </c>
      <c r="F16" s="5">
        <v>55.892513610000002</v>
      </c>
      <c r="G16" s="5">
        <v>55.892513610000002</v>
      </c>
      <c r="H16" s="5"/>
      <c r="I16" s="5"/>
      <c r="Q16" s="5"/>
      <c r="R16" s="5"/>
    </row>
    <row r="17" spans="2:18">
      <c r="B17" s="73" t="s">
        <v>675</v>
      </c>
      <c r="C17" s="5">
        <v>0.27105352500000002</v>
      </c>
      <c r="D17" s="5">
        <v>0.33198304499999998</v>
      </c>
      <c r="E17" s="5">
        <v>0.352723591</v>
      </c>
      <c r="F17" s="5">
        <v>0.65652456100000001</v>
      </c>
      <c r="G17" s="5">
        <v>0.65652456100000001</v>
      </c>
      <c r="H17" s="5"/>
      <c r="I17" s="5"/>
      <c r="Q17" s="5"/>
      <c r="R17" s="5"/>
    </row>
    <row r="18" spans="2:18">
      <c r="B18" s="73" t="s">
        <v>676</v>
      </c>
      <c r="C18" s="5">
        <v>1001.992163</v>
      </c>
      <c r="D18" s="5">
        <v>1002.044054</v>
      </c>
      <c r="E18" s="5">
        <v>1002.044054</v>
      </c>
      <c r="F18" s="5">
        <v>1004.597891</v>
      </c>
      <c r="G18" s="5">
        <v>1004.597891</v>
      </c>
      <c r="H18" s="5"/>
      <c r="I18" s="5"/>
      <c r="Q18" s="5"/>
      <c r="R18" s="5"/>
    </row>
    <row r="19" spans="2:18">
      <c r="B19" s="73" t="s">
        <v>4</v>
      </c>
      <c r="C19" s="5">
        <v>1.401501009</v>
      </c>
      <c r="D19" s="5">
        <v>1.40147187</v>
      </c>
      <c r="E19" s="5">
        <v>1.40147187</v>
      </c>
      <c r="F19" s="5">
        <v>1.400042985</v>
      </c>
      <c r="G19" s="5">
        <v>1.400042985</v>
      </c>
      <c r="H19" s="5"/>
      <c r="I19" s="5"/>
      <c r="Q19" s="5"/>
      <c r="R19" s="5"/>
    </row>
    <row r="20" spans="2:18">
      <c r="B20" s="73" t="s">
        <v>351</v>
      </c>
      <c r="C20" s="5">
        <v>287.05</v>
      </c>
      <c r="D20" s="5">
        <v>287.05</v>
      </c>
      <c r="E20" s="5">
        <v>287.05</v>
      </c>
      <c r="F20" s="5">
        <v>287.05</v>
      </c>
      <c r="G20" s="5">
        <v>287.05</v>
      </c>
      <c r="H20" s="5"/>
      <c r="I20" s="5"/>
      <c r="Q20" s="5"/>
      <c r="R20" s="5"/>
    </row>
    <row r="21" spans="2:18">
      <c r="B21" s="73" t="s">
        <v>677</v>
      </c>
      <c r="C21" s="5">
        <v>0</v>
      </c>
      <c r="D21" s="5"/>
      <c r="E21" s="5"/>
      <c r="F21" s="5">
        <v>519.63753110000005</v>
      </c>
      <c r="G21" s="5">
        <v>623.56503740000005</v>
      </c>
      <c r="H21" s="5"/>
      <c r="I21" s="5"/>
      <c r="Q21" s="5"/>
      <c r="R21" s="5"/>
    </row>
    <row r="22" spans="2:18">
      <c r="C22" s="221">
        <v>25</v>
      </c>
      <c r="D22" s="221"/>
      <c r="E22" s="221">
        <v>3</v>
      </c>
      <c r="F22" s="221">
        <v>4</v>
      </c>
      <c r="G22" s="221">
        <v>41</v>
      </c>
      <c r="H22" s="221"/>
      <c r="I22" s="221">
        <v>44</v>
      </c>
    </row>
    <row r="23" spans="2:18">
      <c r="C23" s="221">
        <v>2.6</v>
      </c>
      <c r="D23" s="221">
        <v>3</v>
      </c>
      <c r="E23" s="221">
        <v>3.1</v>
      </c>
      <c r="F23" s="221">
        <v>4</v>
      </c>
      <c r="G23" s="221">
        <v>4.05</v>
      </c>
      <c r="H23" s="221">
        <v>4.0999999999999996</v>
      </c>
      <c r="I23" s="221">
        <v>4.4000000000000004</v>
      </c>
    </row>
    <row r="24" spans="2:18" ht="43.2">
      <c r="C24" s="222" t="s">
        <v>659</v>
      </c>
      <c r="D24" s="221" t="s">
        <v>660</v>
      </c>
      <c r="E24" s="222" t="s">
        <v>661</v>
      </c>
      <c r="F24" s="221" t="s">
        <v>662</v>
      </c>
      <c r="G24" s="222" t="s">
        <v>663</v>
      </c>
      <c r="H24" s="221" t="s">
        <v>664</v>
      </c>
      <c r="I24" s="221" t="s">
        <v>665</v>
      </c>
    </row>
    <row r="25" spans="2:18">
      <c r="B25" s="73" t="s">
        <v>231</v>
      </c>
      <c r="C25" s="5">
        <v>6.676625606</v>
      </c>
      <c r="D25" s="5">
        <v>6.4763268380000003</v>
      </c>
      <c r="E25" s="5">
        <v>5.7639308859999998</v>
      </c>
      <c r="F25" s="5">
        <v>5.9291556270000001</v>
      </c>
      <c r="G25" s="5">
        <v>6.2529719689999999</v>
      </c>
      <c r="H25" s="5">
        <v>6.5767883109999996</v>
      </c>
      <c r="I25" s="5">
        <v>6.5767883109999996</v>
      </c>
    </row>
    <row r="26" spans="2:18">
      <c r="B26" s="73" t="s">
        <v>232</v>
      </c>
      <c r="C26" s="5">
        <v>10.698808290000001</v>
      </c>
      <c r="D26" s="5">
        <v>2.0087969459999999</v>
      </c>
      <c r="E26" s="5">
        <v>1.7878292819999999</v>
      </c>
      <c r="F26" s="5">
        <v>3.2296914729999999</v>
      </c>
      <c r="G26" s="5">
        <v>3.3505335459999999</v>
      </c>
      <c r="H26" s="5">
        <v>3.3907669399999998</v>
      </c>
      <c r="I26" s="5">
        <v>4.9007062489999997</v>
      </c>
    </row>
    <row r="27" spans="2:18">
      <c r="B27" s="73" t="s">
        <v>481</v>
      </c>
      <c r="C27" s="5">
        <v>0</v>
      </c>
      <c r="D27" s="5">
        <v>-0.20029876799999999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</row>
    <row r="28" spans="2:18">
      <c r="B28" s="73" t="s">
        <v>224</v>
      </c>
      <c r="C28" s="5">
        <v>0</v>
      </c>
      <c r="D28" s="5">
        <v>0</v>
      </c>
      <c r="E28" s="5">
        <v>0</v>
      </c>
      <c r="F28" s="5">
        <v>2.8665288000000001E-2</v>
      </c>
      <c r="G28" s="5">
        <v>2.8665288000000001E-2</v>
      </c>
      <c r="H28" s="5">
        <v>2.8665288000000001E-2</v>
      </c>
      <c r="I28" s="5">
        <v>2.8665288000000001E-2</v>
      </c>
    </row>
    <row r="29" spans="2:18">
      <c r="B29" s="73" t="s">
        <v>483</v>
      </c>
      <c r="C29" s="5">
        <v>65.862689079999996</v>
      </c>
      <c r="D29" s="5">
        <v>461.0388236</v>
      </c>
      <c r="E29" s="5">
        <v>461.0388236</v>
      </c>
      <c r="F29" s="5">
        <v>451.8180471</v>
      </c>
      <c r="G29" s="5">
        <v>451.8180471</v>
      </c>
      <c r="H29" s="5">
        <v>451.8180471</v>
      </c>
      <c r="I29" s="5">
        <v>299.94238410000003</v>
      </c>
    </row>
    <row r="30" spans="2:18">
      <c r="B30" s="73" t="s">
        <v>383</v>
      </c>
      <c r="C30" s="5">
        <v>312.62311019999999</v>
      </c>
      <c r="D30" s="5">
        <v>573.95118760000003</v>
      </c>
      <c r="E30" s="5">
        <v>573.95118760000003</v>
      </c>
      <c r="F30" s="5">
        <v>1700</v>
      </c>
      <c r="G30" s="5">
        <v>1645.0061439999999</v>
      </c>
      <c r="H30" s="5">
        <v>1522.9326619999999</v>
      </c>
      <c r="I30" s="5">
        <v>1402.008652</v>
      </c>
    </row>
    <row r="31" spans="2:18">
      <c r="B31" s="73" t="s">
        <v>353</v>
      </c>
      <c r="C31" s="5">
        <v>313.07334700000001</v>
      </c>
      <c r="D31" s="5">
        <v>579.90667069999995</v>
      </c>
      <c r="E31" s="5">
        <v>579.90667069999995</v>
      </c>
      <c r="F31" s="5">
        <v>1955.6054260000001</v>
      </c>
      <c r="G31" s="5">
        <v>1884.3635039999999</v>
      </c>
      <c r="H31" s="5">
        <v>1727.357974</v>
      </c>
      <c r="I31" s="5">
        <v>1573.554797</v>
      </c>
    </row>
    <row r="32" spans="2:18">
      <c r="B32" s="73" t="s">
        <v>23</v>
      </c>
      <c r="C32" s="5">
        <v>0.52</v>
      </c>
      <c r="D32" s="5">
        <v>0.55000000000000004</v>
      </c>
      <c r="E32" s="5">
        <v>0.2</v>
      </c>
      <c r="F32" s="5">
        <v>0.4</v>
      </c>
      <c r="G32" s="5">
        <v>0.4</v>
      </c>
      <c r="H32" s="5">
        <v>0.4</v>
      </c>
      <c r="I32" s="5">
        <v>0.4</v>
      </c>
    </row>
    <row r="33" spans="2:9">
      <c r="B33" s="73" t="s">
        <v>111</v>
      </c>
      <c r="C33" s="5">
        <v>179.52517549999999</v>
      </c>
      <c r="D33" s="5">
        <v>254.93908210000001</v>
      </c>
      <c r="E33" s="5">
        <v>94.965000549999999</v>
      </c>
      <c r="F33" s="5">
        <v>313.07679009999998</v>
      </c>
      <c r="G33" s="5">
        <v>308.13815879999999</v>
      </c>
      <c r="H33" s="5">
        <v>296.88285430000002</v>
      </c>
      <c r="I33" s="5">
        <v>285.91411549999998</v>
      </c>
    </row>
    <row r="34" spans="2:9">
      <c r="B34" s="73" t="s">
        <v>109</v>
      </c>
      <c r="C34" s="5">
        <v>296.58222009999997</v>
      </c>
      <c r="D34" s="5">
        <v>542.84660689999998</v>
      </c>
      <c r="E34" s="5">
        <v>569.63521509999998</v>
      </c>
      <c r="F34" s="5">
        <v>1662.2479539999999</v>
      </c>
      <c r="G34" s="5">
        <v>1608.2806519999999</v>
      </c>
      <c r="H34" s="5">
        <v>1488.485048</v>
      </c>
      <c r="I34" s="5">
        <v>1369.1490739999999</v>
      </c>
    </row>
    <row r="35" spans="2:9">
      <c r="B35" s="73" t="s">
        <v>108</v>
      </c>
      <c r="C35" s="5">
        <v>54.774663339999996</v>
      </c>
      <c r="D35" s="5">
        <v>376.41385029999998</v>
      </c>
      <c r="E35" s="5">
        <v>448.54520639999998</v>
      </c>
      <c r="F35" s="5">
        <v>408.18361320000002</v>
      </c>
      <c r="G35" s="5">
        <v>408.13616560000003</v>
      </c>
      <c r="H35" s="5">
        <v>408.01837749999999</v>
      </c>
      <c r="I35" s="5">
        <v>270.64792</v>
      </c>
    </row>
    <row r="36" spans="2:9">
      <c r="B36" s="73" t="s">
        <v>675</v>
      </c>
      <c r="C36" s="5">
        <v>0.64339407000000004</v>
      </c>
      <c r="D36" s="5">
        <v>2.4156327910000002</v>
      </c>
      <c r="E36" s="5">
        <v>2.7431644180000001</v>
      </c>
      <c r="F36" s="5">
        <v>0.85546577000000001</v>
      </c>
      <c r="G36" s="5">
        <v>0.88406891499999996</v>
      </c>
      <c r="H36" s="5">
        <v>0.95494448799999998</v>
      </c>
      <c r="I36" s="5">
        <v>0.68864727699999995</v>
      </c>
    </row>
    <row r="37" spans="2:9">
      <c r="B37" s="73" t="s">
        <v>676</v>
      </c>
      <c r="C37" s="5">
        <v>1004.597891</v>
      </c>
      <c r="D37" s="5">
        <v>1044.764698</v>
      </c>
      <c r="E37" s="5">
        <v>1044.764698</v>
      </c>
      <c r="F37" s="5">
        <v>1298.1690799999999</v>
      </c>
      <c r="G37" s="5">
        <v>1292.686901</v>
      </c>
      <c r="H37" s="5">
        <v>1279.325615</v>
      </c>
      <c r="I37" s="5">
        <v>1264.1125970000001</v>
      </c>
    </row>
    <row r="38" spans="2:9">
      <c r="B38" s="73" t="s">
        <v>4</v>
      </c>
      <c r="C38" s="5">
        <v>1.400042985</v>
      </c>
      <c r="D38" s="5">
        <v>1.378836521</v>
      </c>
      <c r="E38" s="5">
        <v>1.378836521</v>
      </c>
      <c r="F38" s="5">
        <v>1.2838930070000001</v>
      </c>
      <c r="G38" s="5">
        <v>1.2854406350000001</v>
      </c>
      <c r="H38" s="5">
        <v>1.289284176</v>
      </c>
      <c r="I38" s="5">
        <v>1.3</v>
      </c>
    </row>
    <row r="39" spans="2:9">
      <c r="B39" s="73" t="s">
        <v>351</v>
      </c>
      <c r="C39" s="5">
        <v>287.05</v>
      </c>
      <c r="D39" s="5">
        <v>287.05</v>
      </c>
      <c r="E39" s="5">
        <v>287.05</v>
      </c>
      <c r="F39" s="5">
        <v>287.04971619999998</v>
      </c>
      <c r="G39" s="5">
        <v>287.04971619999998</v>
      </c>
      <c r="H39" s="5">
        <v>287.04971619999998</v>
      </c>
      <c r="I39" s="5">
        <v>287.04971619999998</v>
      </c>
    </row>
    <row r="40" spans="2:9">
      <c r="B40" s="73" t="s">
        <v>677</v>
      </c>
      <c r="C40" s="5"/>
      <c r="D40" s="5">
        <v>1781.546202</v>
      </c>
      <c r="E40" s="5"/>
      <c r="F40" s="5"/>
      <c r="G40" s="5"/>
      <c r="H40" s="5"/>
      <c r="I40" s="5"/>
    </row>
    <row r="41" spans="2:9">
      <c r="C41" s="221">
        <v>45</v>
      </c>
      <c r="D41" s="221">
        <v>5</v>
      </c>
      <c r="E41" s="221">
        <v>16</v>
      </c>
      <c r="F41" s="221">
        <v>64</v>
      </c>
      <c r="G41" s="221"/>
      <c r="H41" s="221"/>
      <c r="I41" s="221">
        <v>8</v>
      </c>
    </row>
    <row r="42" spans="2:9">
      <c r="C42" s="221">
        <v>4.8</v>
      </c>
      <c r="D42" s="221">
        <v>5</v>
      </c>
      <c r="E42" s="221">
        <v>15</v>
      </c>
      <c r="F42" s="221">
        <v>6</v>
      </c>
      <c r="G42" s="221">
        <v>7</v>
      </c>
      <c r="H42" s="221">
        <v>8</v>
      </c>
      <c r="I42" s="221">
        <v>9</v>
      </c>
    </row>
    <row r="43" spans="2:9" ht="43.2">
      <c r="C43" s="222" t="s">
        <v>668</v>
      </c>
      <c r="D43" s="221" t="s">
        <v>669</v>
      </c>
      <c r="E43" s="221" t="s">
        <v>670</v>
      </c>
      <c r="F43" s="223" t="s">
        <v>671</v>
      </c>
      <c r="G43" s="221" t="s">
        <v>672</v>
      </c>
      <c r="H43" s="221" t="s">
        <v>673</v>
      </c>
      <c r="I43" s="221" t="s">
        <v>674</v>
      </c>
    </row>
    <row r="44" spans="2:9">
      <c r="B44" s="73" t="s">
        <v>231</v>
      </c>
      <c r="C44" s="5">
        <v>6.5767883109999996</v>
      </c>
      <c r="D44" s="5">
        <v>6.7770870790000002</v>
      </c>
      <c r="E44" s="5">
        <v>8.0119507280000004</v>
      </c>
      <c r="F44" s="5">
        <v>14.78903781</v>
      </c>
      <c r="G44" s="5">
        <v>14.78903781</v>
      </c>
      <c r="H44" s="5">
        <v>14.78903781</v>
      </c>
      <c r="I44" s="5">
        <v>14.78903781</v>
      </c>
    </row>
    <row r="45" spans="2:9">
      <c r="B45" s="73" t="s">
        <v>232</v>
      </c>
      <c r="C45" s="5">
        <v>5.4452291659999998</v>
      </c>
      <c r="D45" s="5">
        <v>5.551684785</v>
      </c>
      <c r="E45" s="5">
        <v>12.83856995</v>
      </c>
      <c r="F45" s="5">
        <v>38.642662090000002</v>
      </c>
      <c r="G45" s="5">
        <v>38.642662090000002</v>
      </c>
      <c r="H45" s="5">
        <v>38.642662090000002</v>
      </c>
      <c r="I45" s="5">
        <v>38.642662090000002</v>
      </c>
    </row>
    <row r="46" spans="2:9">
      <c r="B46" s="73" t="s">
        <v>481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</row>
    <row r="47" spans="2:9">
      <c r="B47" s="73" t="s">
        <v>224</v>
      </c>
      <c r="C47" s="5">
        <v>2.8665288000000001E-2</v>
      </c>
      <c r="D47" s="5">
        <v>2.8665288000000001E-2</v>
      </c>
      <c r="E47" s="5">
        <v>0</v>
      </c>
      <c r="F47" s="5">
        <v>1.3135889E-2</v>
      </c>
      <c r="G47" s="5">
        <v>1.3135889E-2</v>
      </c>
      <c r="H47" s="5">
        <v>1.3135889E-2</v>
      </c>
      <c r="I47" s="5">
        <v>1.3135889E-2</v>
      </c>
    </row>
    <row r="48" spans="2:9">
      <c r="B48" s="73" t="s">
        <v>483</v>
      </c>
      <c r="C48" s="5">
        <v>269.9481457</v>
      </c>
      <c r="D48" s="5">
        <v>269.9481457</v>
      </c>
      <c r="E48" s="5">
        <v>65.862689079999996</v>
      </c>
      <c r="F48" s="5">
        <v>64.545435299999994</v>
      </c>
      <c r="G48" s="5">
        <v>64.545435299999994</v>
      </c>
      <c r="H48" s="5">
        <v>64.545435299999994</v>
      </c>
      <c r="I48" s="5">
        <v>64.545435299999994</v>
      </c>
    </row>
    <row r="49" spans="2:9">
      <c r="B49" s="73" t="s">
        <v>383</v>
      </c>
      <c r="C49" s="5">
        <v>1402.008652</v>
      </c>
      <c r="D49" s="5">
        <v>1372.4911850000001</v>
      </c>
      <c r="E49" s="5">
        <v>312.62311019999999</v>
      </c>
      <c r="F49" s="5">
        <v>798.30840809999995</v>
      </c>
      <c r="G49" s="5">
        <v>798.30840809999995</v>
      </c>
      <c r="H49" s="5">
        <v>798.30840809999995</v>
      </c>
      <c r="I49" s="5">
        <v>798.30840809999995</v>
      </c>
    </row>
    <row r="50" spans="2:9">
      <c r="B50" s="73" t="s">
        <v>353</v>
      </c>
      <c r="C50" s="5">
        <v>1573.554797</v>
      </c>
      <c r="D50" s="5">
        <v>1536.3009030000001</v>
      </c>
      <c r="E50" s="5">
        <v>313.07334700000001</v>
      </c>
      <c r="F50" s="5">
        <v>873.61824339999998</v>
      </c>
      <c r="G50" s="5">
        <v>830.47760359999995</v>
      </c>
      <c r="H50" s="5">
        <v>830.47760359999995</v>
      </c>
      <c r="I50" s="5">
        <v>830.47760359999995</v>
      </c>
    </row>
    <row r="51" spans="2:9">
      <c r="B51" s="73" t="s">
        <v>23</v>
      </c>
      <c r="C51" s="5">
        <v>0.4</v>
      </c>
      <c r="D51" s="5">
        <v>0.5</v>
      </c>
      <c r="E51" s="5">
        <v>0.5</v>
      </c>
      <c r="F51" s="5">
        <v>0.5</v>
      </c>
      <c r="G51" s="5">
        <v>0.5</v>
      </c>
      <c r="H51" s="5">
        <v>1</v>
      </c>
      <c r="I51" s="5">
        <v>1</v>
      </c>
    </row>
    <row r="52" spans="2:9">
      <c r="B52" s="73" t="s">
        <v>111</v>
      </c>
      <c r="C52" s="5">
        <v>285.29945800000002</v>
      </c>
      <c r="D52" s="5">
        <v>350.73319029999999</v>
      </c>
      <c r="E52" s="5">
        <v>172.9554469</v>
      </c>
      <c r="F52" s="5">
        <v>271.69540760000001</v>
      </c>
      <c r="G52" s="5">
        <v>273.20000800000003</v>
      </c>
      <c r="H52" s="5">
        <v>513.3235052</v>
      </c>
      <c r="I52" s="5">
        <v>513.68656480000004</v>
      </c>
    </row>
    <row r="53" spans="2:9">
      <c r="B53" s="73" t="s">
        <v>109</v>
      </c>
      <c r="C53" s="5">
        <v>1369.8138220000001</v>
      </c>
      <c r="D53" s="5">
        <v>1323.6783969999999</v>
      </c>
      <c r="E53" s="5">
        <v>297.73477179999998</v>
      </c>
      <c r="F53" s="5">
        <v>765.40260109999997</v>
      </c>
      <c r="G53" s="5">
        <v>763.77053049999995</v>
      </c>
      <c r="H53" s="5">
        <v>678.65429949999998</v>
      </c>
      <c r="I53" s="5">
        <v>677.35534110000003</v>
      </c>
    </row>
    <row r="54" spans="2:9">
      <c r="B54" s="73" t="s">
        <v>108</v>
      </c>
      <c r="C54" s="5">
        <v>243.6966975</v>
      </c>
      <c r="D54" s="5">
        <v>230.27323699999999</v>
      </c>
      <c r="E54" s="5">
        <v>55.523243180000001</v>
      </c>
      <c r="F54" s="5">
        <v>54.756097349999997</v>
      </c>
      <c r="G54" s="5">
        <v>54.646525840000002</v>
      </c>
      <c r="H54" s="5">
        <v>34.621810799999999</v>
      </c>
      <c r="I54" s="5">
        <v>34.571197990000002</v>
      </c>
    </row>
    <row r="55" spans="2:9">
      <c r="B55" s="73" t="s">
        <v>675</v>
      </c>
      <c r="C55" s="5">
        <v>0.61977061</v>
      </c>
      <c r="D55" s="5">
        <v>0.60604359100000005</v>
      </c>
      <c r="E55" s="5">
        <v>0.64966237699999996</v>
      </c>
      <c r="F55" s="5">
        <v>0.24922132399999999</v>
      </c>
      <c r="G55" s="5">
        <v>0.24925409700000001</v>
      </c>
      <c r="H55" s="5">
        <v>0.17772307500000001</v>
      </c>
      <c r="I55" s="5">
        <v>0.17780358600000001</v>
      </c>
    </row>
    <row r="56" spans="2:9">
      <c r="B56" s="73" t="s">
        <v>676</v>
      </c>
      <c r="C56" s="5">
        <v>1264.1125970000001</v>
      </c>
      <c r="D56" s="5">
        <v>1260.0568049999999</v>
      </c>
      <c r="E56" s="5">
        <v>1004.597891</v>
      </c>
      <c r="F56" s="5">
        <v>1121.66212</v>
      </c>
      <c r="G56" s="5">
        <v>1080.527376</v>
      </c>
      <c r="H56" s="5">
        <v>1101.094748</v>
      </c>
      <c r="I56" s="5">
        <v>1090.811062</v>
      </c>
    </row>
    <row r="57" spans="2:9">
      <c r="B57" s="73" t="s">
        <v>4</v>
      </c>
      <c r="C57" s="5">
        <v>1.2937883750000001</v>
      </c>
      <c r="D57" s="5">
        <v>1.2950129749999999</v>
      </c>
      <c r="E57" s="5">
        <v>1.400042985</v>
      </c>
      <c r="F57" s="5">
        <v>1.3439320109999999</v>
      </c>
      <c r="G57" s="5">
        <v>1.361761824</v>
      </c>
      <c r="H57" s="5">
        <v>1.3526216769999999</v>
      </c>
      <c r="I57" s="5">
        <v>1.3571332789999999</v>
      </c>
    </row>
    <row r="58" spans="2:9">
      <c r="B58" s="73" t="s">
        <v>351</v>
      </c>
      <c r="C58" s="5">
        <v>287.04971619999998</v>
      </c>
      <c r="D58" s="5">
        <v>287.04971619999998</v>
      </c>
      <c r="E58" s="5">
        <v>287.05</v>
      </c>
      <c r="F58" s="5">
        <v>287.04987</v>
      </c>
      <c r="G58" s="5">
        <v>287.04987</v>
      </c>
      <c r="H58" s="5">
        <v>287.04987</v>
      </c>
      <c r="I58" s="5">
        <v>287.04987</v>
      </c>
    </row>
    <row r="59" spans="2:9">
      <c r="B59" s="73" t="s">
        <v>677</v>
      </c>
      <c r="C59" s="5"/>
      <c r="D59" s="5"/>
      <c r="E59" s="5"/>
      <c r="F59" s="5"/>
      <c r="G59" s="5"/>
      <c r="H59" s="5"/>
      <c r="I59" s="5"/>
    </row>
  </sheetData>
  <pageMargins left="0.7" right="0.7" top="0.75" bottom="0.75" header="0.3" footer="0.3"/>
  <pageSetup scale="59" fitToHeight="0" orientation="landscape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2D330-B174-42C9-A44F-89A3EC66B160}">
  <sheetPr codeName="Sheet18"/>
  <dimension ref="C2:T40"/>
  <sheetViews>
    <sheetView zoomScale="145" zoomScaleNormal="145" workbookViewId="0">
      <selection activeCell="E8" sqref="E8"/>
    </sheetView>
  </sheetViews>
  <sheetFormatPr defaultRowHeight="14.4"/>
  <cols>
    <col min="9" max="9" width="9.44140625" customWidth="1"/>
  </cols>
  <sheetData>
    <row r="2" spans="3:14">
      <c r="C2" t="s">
        <v>732</v>
      </c>
      <c r="D2" s="24">
        <v>101.325</v>
      </c>
      <c r="G2" t="s">
        <v>567</v>
      </c>
      <c r="H2" t="s">
        <v>603</v>
      </c>
      <c r="I2" t="s">
        <v>733</v>
      </c>
      <c r="J2" t="s">
        <v>41</v>
      </c>
      <c r="K2" t="s">
        <v>734</v>
      </c>
      <c r="L2" t="s">
        <v>735</v>
      </c>
      <c r="M2" t="s">
        <v>736</v>
      </c>
      <c r="N2" t="s">
        <v>737</v>
      </c>
    </row>
    <row r="3" spans="3:14">
      <c r="C3" t="s">
        <v>738</v>
      </c>
      <c r="D3" s="24">
        <v>288.14999999999998</v>
      </c>
      <c r="G3">
        <v>1</v>
      </c>
      <c r="H3">
        <f t="shared" ref="H3:H18" si="0">(M3-$D$11)/($D$2-$D$11)</f>
        <v>0.13963891886445312</v>
      </c>
      <c r="I3">
        <f t="shared" ref="I3:I18" si="1">($D$2-L3)/($D$2-$D$11)</f>
        <v>0</v>
      </c>
      <c r="J3">
        <f t="shared" ref="J3:J18" si="2">$D$16*$D$17/(N3*$D$18)</f>
        <v>1.0504954292799011</v>
      </c>
      <c r="K3">
        <f t="shared" ref="K3:K18" si="3">J3-1</f>
        <v>5.0495429279901138E-2</v>
      </c>
      <c r="L3">
        <f t="shared" ref="L3:L18" si="4">$D$2*G3</f>
        <v>101.325</v>
      </c>
      <c r="M3">
        <f t="shared" ref="M3:M18" si="5">L3/$D$14</f>
        <v>82.495309727387777</v>
      </c>
      <c r="N3">
        <f t="shared" ref="N3:N18" si="6">M3/($D$7*$D$12)*1000</f>
        <v>1.0693589832985955</v>
      </c>
    </row>
    <row r="4" spans="3:14">
      <c r="C4" t="s">
        <v>4</v>
      </c>
      <c r="D4" s="24">
        <v>1.4</v>
      </c>
      <c r="G4">
        <f t="shared" ref="G4:G18" si="7">G3-0.005</f>
        <v>0.995</v>
      </c>
      <c r="H4">
        <f t="shared" si="0"/>
        <v>0.12079215271001922</v>
      </c>
      <c r="I4">
        <f t="shared" si="1"/>
        <v>2.3148571560111322E-2</v>
      </c>
      <c r="J4">
        <f t="shared" si="2"/>
        <v>1.0557743007838201</v>
      </c>
      <c r="K4">
        <f t="shared" si="3"/>
        <v>5.5774300783820063E-2</v>
      </c>
      <c r="L4">
        <f t="shared" si="4"/>
        <v>100.818375</v>
      </c>
      <c r="M4">
        <f t="shared" si="5"/>
        <v>82.082833178750832</v>
      </c>
      <c r="N4">
        <f t="shared" si="6"/>
        <v>1.0640121883821025</v>
      </c>
    </row>
    <row r="5" spans="3:14">
      <c r="C5" t="s">
        <v>506</v>
      </c>
      <c r="D5" s="24">
        <v>0.6</v>
      </c>
      <c r="G5">
        <f t="shared" si="7"/>
        <v>0.99</v>
      </c>
      <c r="H5">
        <f t="shared" si="0"/>
        <v>0.10194538655558531</v>
      </c>
      <c r="I5">
        <f t="shared" si="1"/>
        <v>4.6297143120222643E-2</v>
      </c>
      <c r="J5">
        <f t="shared" si="2"/>
        <v>1.0611064942221224</v>
      </c>
      <c r="K5">
        <f t="shared" si="3"/>
        <v>6.1106494222122443E-2</v>
      </c>
      <c r="L5">
        <f t="shared" si="4"/>
        <v>100.31175</v>
      </c>
      <c r="M5">
        <f t="shared" si="5"/>
        <v>81.670356630113886</v>
      </c>
      <c r="N5">
        <f t="shared" si="6"/>
        <v>1.0586653934656094</v>
      </c>
    </row>
    <row r="6" spans="3:14">
      <c r="C6" t="s">
        <v>510</v>
      </c>
      <c r="D6" s="24">
        <v>0.55000000000000004</v>
      </c>
      <c r="G6">
        <f t="shared" si="7"/>
        <v>0.98499999999999999</v>
      </c>
      <c r="H6">
        <f t="shared" si="0"/>
        <v>8.3098620401152068E-2</v>
      </c>
      <c r="I6">
        <f t="shared" si="1"/>
        <v>6.9445714680333961E-2</v>
      </c>
      <c r="J6">
        <f t="shared" si="2"/>
        <v>1.0664928216039606</v>
      </c>
      <c r="K6">
        <f t="shared" si="3"/>
        <v>6.6492821603960639E-2</v>
      </c>
      <c r="L6">
        <f t="shared" si="4"/>
        <v>99.805125000000004</v>
      </c>
      <c r="M6">
        <f t="shared" si="5"/>
        <v>81.257880081476955</v>
      </c>
      <c r="N6">
        <f t="shared" si="6"/>
        <v>1.0533185985491165</v>
      </c>
    </row>
    <row r="7" spans="3:14">
      <c r="C7" t="s">
        <v>363</v>
      </c>
      <c r="D7" s="24">
        <v>287</v>
      </c>
      <c r="G7">
        <f t="shared" si="7"/>
        <v>0.98</v>
      </c>
      <c r="H7">
        <f t="shared" si="0"/>
        <v>6.4251854246718157E-2</v>
      </c>
      <c r="I7">
        <f t="shared" si="1"/>
        <v>9.2594286240445287E-2</v>
      </c>
      <c r="J7">
        <f t="shared" si="2"/>
        <v>1.0719341115101033</v>
      </c>
      <c r="K7">
        <f t="shared" si="3"/>
        <v>7.1934111510103316E-2</v>
      </c>
      <c r="L7">
        <f t="shared" si="4"/>
        <v>99.298500000000004</v>
      </c>
      <c r="M7">
        <f t="shared" si="5"/>
        <v>80.84540353284001</v>
      </c>
      <c r="N7">
        <f t="shared" si="6"/>
        <v>1.0479718036326233</v>
      </c>
    </row>
    <row r="8" spans="3:14">
      <c r="G8">
        <f t="shared" si="7"/>
        <v>0.97499999999999998</v>
      </c>
      <c r="H8">
        <f t="shared" si="0"/>
        <v>4.5405088092284905E-2</v>
      </c>
      <c r="I8">
        <f t="shared" si="1"/>
        <v>0.1157428578005566</v>
      </c>
      <c r="J8">
        <f t="shared" si="2"/>
        <v>1.0774312095178471</v>
      </c>
      <c r="K8">
        <f t="shared" si="3"/>
        <v>7.7431209517847099E-2</v>
      </c>
      <c r="L8">
        <f t="shared" si="4"/>
        <v>98.791875000000005</v>
      </c>
      <c r="M8">
        <f t="shared" si="5"/>
        <v>80.432926984203078</v>
      </c>
      <c r="N8">
        <f t="shared" si="6"/>
        <v>1.0426250087161306</v>
      </c>
    </row>
    <row r="9" spans="3:14">
      <c r="C9" t="s">
        <v>739</v>
      </c>
      <c r="D9">
        <f>(1+(D4-1)/2*D5^2)</f>
        <v>1.0720000000000001</v>
      </c>
      <c r="G9">
        <f t="shared" si="7"/>
        <v>0.97</v>
      </c>
      <c r="H9">
        <f t="shared" si="0"/>
        <v>2.6558321937850998E-2</v>
      </c>
      <c r="I9">
        <f t="shared" si="1"/>
        <v>0.13889142936066792</v>
      </c>
      <c r="J9">
        <f t="shared" si="2"/>
        <v>1.0829849786390735</v>
      </c>
      <c r="K9">
        <f t="shared" si="3"/>
        <v>8.2984978639073503E-2</v>
      </c>
      <c r="L9">
        <f t="shared" si="4"/>
        <v>98.285250000000005</v>
      </c>
      <c r="M9">
        <f t="shared" si="5"/>
        <v>80.020450435566133</v>
      </c>
      <c r="N9">
        <f t="shared" si="6"/>
        <v>1.0372782137996375</v>
      </c>
    </row>
    <row r="10" spans="3:14">
      <c r="C10" t="s">
        <v>740</v>
      </c>
      <c r="D10">
        <f>D9^(D4/(D4-1))</f>
        <v>1.2755037763406945</v>
      </c>
      <c r="G10">
        <f t="shared" si="7"/>
        <v>0.96499999999999997</v>
      </c>
      <c r="H10">
        <f t="shared" si="0"/>
        <v>7.711555783417744E-3</v>
      </c>
      <c r="I10">
        <f t="shared" si="1"/>
        <v>0.16204000092077925</v>
      </c>
      <c r="J10">
        <f t="shared" si="2"/>
        <v>1.0885962997719183</v>
      </c>
      <c r="K10">
        <f t="shared" si="3"/>
        <v>8.8596299771918297E-2</v>
      </c>
      <c r="L10">
        <f t="shared" si="4"/>
        <v>97.778625000000005</v>
      </c>
      <c r="M10">
        <f t="shared" si="5"/>
        <v>79.607973886929202</v>
      </c>
      <c r="N10">
        <f t="shared" si="6"/>
        <v>1.0319314188831445</v>
      </c>
    </row>
    <row r="11" spans="3:14">
      <c r="C11" t="s">
        <v>741</v>
      </c>
      <c r="D11">
        <f>D2/D10</f>
        <v>79.439200321846414</v>
      </c>
      <c r="G11">
        <f t="shared" si="7"/>
        <v>0.96</v>
      </c>
      <c r="H11">
        <f t="shared" si="0"/>
        <v>-1.113521037101616E-2</v>
      </c>
      <c r="I11">
        <f t="shared" si="1"/>
        <v>0.18518857248089057</v>
      </c>
      <c r="J11">
        <f t="shared" si="2"/>
        <v>1.0942660721665638</v>
      </c>
      <c r="K11">
        <f t="shared" si="3"/>
        <v>9.4266072166563797E-2</v>
      </c>
      <c r="L11">
        <f t="shared" si="4"/>
        <v>97.272000000000006</v>
      </c>
      <c r="M11">
        <f t="shared" si="5"/>
        <v>79.195497338292256</v>
      </c>
      <c r="N11">
        <f t="shared" si="6"/>
        <v>1.0265846239666514</v>
      </c>
    </row>
    <row r="12" spans="3:14">
      <c r="C12" t="s">
        <v>742</v>
      </c>
      <c r="D12">
        <f>D3/D9</f>
        <v>268.79664179104475</v>
      </c>
      <c r="G12">
        <f t="shared" si="7"/>
        <v>0.95499999999999996</v>
      </c>
      <c r="H12">
        <f t="shared" si="0"/>
        <v>-2.9981976525450066E-2</v>
      </c>
      <c r="I12">
        <f t="shared" si="1"/>
        <v>0.20833714404100254</v>
      </c>
      <c r="J12">
        <f t="shared" si="2"/>
        <v>1.0999952139056557</v>
      </c>
      <c r="K12">
        <f t="shared" si="3"/>
        <v>9.9995213905655689E-2</v>
      </c>
      <c r="L12">
        <f t="shared" si="4"/>
        <v>96.765374999999992</v>
      </c>
      <c r="M12">
        <f t="shared" si="5"/>
        <v>78.783020789655311</v>
      </c>
      <c r="N12">
        <f t="shared" si="6"/>
        <v>1.0212378290501585</v>
      </c>
    </row>
    <row r="13" spans="3:14">
      <c r="C13" t="s">
        <v>743</v>
      </c>
      <c r="D13">
        <f>(1+(D4-1)/2*D6^2)</f>
        <v>1.0605</v>
      </c>
      <c r="G13">
        <f t="shared" si="7"/>
        <v>0.95</v>
      </c>
      <c r="H13">
        <f t="shared" si="0"/>
        <v>-4.8828742679883318E-2</v>
      </c>
      <c r="I13">
        <f t="shared" si="1"/>
        <v>0.23148571560111386</v>
      </c>
      <c r="J13">
        <f t="shared" si="2"/>
        <v>1.1057846623998959</v>
      </c>
      <c r="K13">
        <f t="shared" si="3"/>
        <v>0.10578466239989592</v>
      </c>
      <c r="L13">
        <f t="shared" si="4"/>
        <v>96.258749999999992</v>
      </c>
      <c r="M13">
        <f t="shared" si="5"/>
        <v>78.370544241018379</v>
      </c>
      <c r="N13">
        <f t="shared" si="6"/>
        <v>1.0158910341336655</v>
      </c>
    </row>
    <row r="14" spans="3:14">
      <c r="C14" t="s">
        <v>744</v>
      </c>
      <c r="D14">
        <f>D13^(D4/(D4-1))</f>
        <v>1.2282516464855568</v>
      </c>
      <c r="G14">
        <f t="shared" si="7"/>
        <v>0.94499999999999995</v>
      </c>
      <c r="H14">
        <f t="shared" si="0"/>
        <v>-6.7675508834317222E-2</v>
      </c>
      <c r="I14">
        <f t="shared" si="1"/>
        <v>0.25463428716122516</v>
      </c>
      <c r="J14">
        <f t="shared" si="2"/>
        <v>1.1116353748993666</v>
      </c>
      <c r="K14">
        <f t="shared" si="3"/>
        <v>0.11163537489936659</v>
      </c>
      <c r="L14">
        <f t="shared" si="4"/>
        <v>95.752124999999992</v>
      </c>
      <c r="M14">
        <f t="shared" si="5"/>
        <v>77.958067692381434</v>
      </c>
      <c r="N14">
        <f t="shared" si="6"/>
        <v>1.0105442392171724</v>
      </c>
    </row>
    <row r="15" spans="3:14">
      <c r="C15" t="s">
        <v>745</v>
      </c>
      <c r="D15">
        <f>D3/D13</f>
        <v>271.71145685997169</v>
      </c>
      <c r="G15">
        <f t="shared" si="7"/>
        <v>0.94</v>
      </c>
      <c r="H15">
        <f t="shared" si="0"/>
        <v>-8.6522274988750481E-2</v>
      </c>
      <c r="I15">
        <f t="shared" si="1"/>
        <v>0.27778285872133651</v>
      </c>
      <c r="J15">
        <f t="shared" si="2"/>
        <v>1.1175483290211716</v>
      </c>
      <c r="K15">
        <f t="shared" si="3"/>
        <v>0.11754832902117163</v>
      </c>
      <c r="L15">
        <f t="shared" si="4"/>
        <v>95.245499999999993</v>
      </c>
      <c r="M15">
        <f t="shared" si="5"/>
        <v>77.545591143744502</v>
      </c>
      <c r="N15">
        <f t="shared" si="6"/>
        <v>1.0051974443006795</v>
      </c>
    </row>
    <row r="16" spans="3:14">
      <c r="C16" t="s">
        <v>746</v>
      </c>
      <c r="D16">
        <f>D11/(D7*D12)*1000</f>
        <v>1.0297436638633621</v>
      </c>
      <c r="G16">
        <f t="shared" si="7"/>
        <v>0.93499999999999994</v>
      </c>
      <c r="H16">
        <f t="shared" si="0"/>
        <v>-0.10536904114318438</v>
      </c>
      <c r="I16">
        <f t="shared" si="1"/>
        <v>0.30093143028144781</v>
      </c>
      <c r="J16">
        <f t="shared" si="2"/>
        <v>1.1235245232940121</v>
      </c>
      <c r="K16">
        <f t="shared" si="3"/>
        <v>0.12352452329401209</v>
      </c>
      <c r="L16">
        <f t="shared" si="4"/>
        <v>94.738874999999993</v>
      </c>
      <c r="M16">
        <f t="shared" si="5"/>
        <v>77.133114595107557</v>
      </c>
      <c r="N16">
        <f t="shared" si="6"/>
        <v>0.99985064938418666</v>
      </c>
    </row>
    <row r="17" spans="3:20">
      <c r="C17" t="s">
        <v>747</v>
      </c>
      <c r="D17">
        <f>SQRT(D4*D7*D15)*D5</f>
        <v>198.24862877679931</v>
      </c>
      <c r="G17">
        <f t="shared" si="7"/>
        <v>0.92999999999999994</v>
      </c>
      <c r="H17">
        <f t="shared" si="0"/>
        <v>-0.12421580729761764</v>
      </c>
      <c r="I17">
        <f t="shared" si="1"/>
        <v>0.32408000184155916</v>
      </c>
      <c r="J17">
        <f t="shared" si="2"/>
        <v>1.1295649777203238</v>
      </c>
      <c r="K17">
        <f t="shared" si="3"/>
        <v>0.12956497772032383</v>
      </c>
      <c r="L17">
        <f t="shared" si="4"/>
        <v>94.232249999999993</v>
      </c>
      <c r="M17">
        <f t="shared" si="5"/>
        <v>76.720638046470626</v>
      </c>
      <c r="N17">
        <f t="shared" si="6"/>
        <v>0.99450385446769374</v>
      </c>
    </row>
    <row r="18" spans="3:20">
      <c r="C18" t="s">
        <v>748</v>
      </c>
      <c r="D18">
        <f>SQRT(D4*D7*D15)*D6</f>
        <v>181.72790971206607</v>
      </c>
      <c r="G18">
        <f t="shared" si="7"/>
        <v>0.92499999999999993</v>
      </c>
      <c r="H18">
        <f t="shared" si="0"/>
        <v>-0.14306257345205153</v>
      </c>
      <c r="I18">
        <f t="shared" si="1"/>
        <v>0.34722857340167046</v>
      </c>
      <c r="J18">
        <f t="shared" si="2"/>
        <v>1.1356707343566501</v>
      </c>
      <c r="K18">
        <f t="shared" si="3"/>
        <v>0.13567073435665011</v>
      </c>
      <c r="L18">
        <f t="shared" si="4"/>
        <v>93.725624999999994</v>
      </c>
      <c r="M18">
        <f t="shared" si="5"/>
        <v>76.30816149783368</v>
      </c>
      <c r="N18">
        <f t="shared" si="6"/>
        <v>0.98915705955120059</v>
      </c>
    </row>
    <row r="19" spans="3:20">
      <c r="R19" s="355" t="s">
        <v>749</v>
      </c>
      <c r="S19" s="355"/>
      <c r="T19" s="355"/>
    </row>
    <row r="20" spans="3:20">
      <c r="R20" t="s">
        <v>750</v>
      </c>
      <c r="S20" t="s">
        <v>734</v>
      </c>
      <c r="T20" t="s">
        <v>603</v>
      </c>
    </row>
    <row r="21" spans="3:20">
      <c r="R21">
        <v>1.396569579626</v>
      </c>
      <c r="S21">
        <v>0.132126019975772</v>
      </c>
      <c r="T21">
        <v>0.2</v>
      </c>
    </row>
    <row r="22" spans="3:20">
      <c r="R22">
        <v>2.3535468936502499</v>
      </c>
      <c r="S22">
        <v>0.22405062055757199</v>
      </c>
      <c r="T22">
        <v>0.3</v>
      </c>
    </row>
    <row r="23" spans="3:20">
      <c r="R23">
        <v>3.9662778435243702</v>
      </c>
      <c r="S23">
        <v>0.388041577293047</v>
      </c>
      <c r="T23">
        <v>0.4</v>
      </c>
    </row>
    <row r="24" spans="3:20">
      <c r="R24">
        <v>5.5973042897118397</v>
      </c>
      <c r="S24">
        <v>0.57359192913836299</v>
      </c>
      <c r="T24">
        <v>0.5</v>
      </c>
    </row>
    <row r="25" spans="3:20">
      <c r="R25">
        <v>7.7358544467030503</v>
      </c>
      <c r="S25">
        <v>0.83014410944643002</v>
      </c>
      <c r="T25">
        <v>0.6</v>
      </c>
    </row>
    <row r="26" spans="3:20">
      <c r="R26">
        <v>11.2642865500802</v>
      </c>
      <c r="S26">
        <v>1.32126019975772</v>
      </c>
      <c r="T26">
        <v>0.7</v>
      </c>
    </row>
    <row r="27" spans="3:20">
      <c r="R27">
        <v>20.421912298146399</v>
      </c>
      <c r="S27">
        <v>2.7675104561174702</v>
      </c>
      <c r="T27">
        <v>0.8</v>
      </c>
    </row>
    <row r="29" spans="3:20">
      <c r="R29" t="s">
        <v>750</v>
      </c>
      <c r="S29" t="s">
        <v>603</v>
      </c>
    </row>
    <row r="30" spans="3:20">
      <c r="R30" s="24">
        <v>1</v>
      </c>
      <c r="S30">
        <f xml:space="preserve"> 0.2344*LN(R30)+ 0.1057</f>
        <v>0.1057</v>
      </c>
    </row>
    <row r="37" spans="12:14">
      <c r="L37" s="355" t="s">
        <v>751</v>
      </c>
      <c r="M37" s="355"/>
      <c r="N37">
        <f>K5</f>
        <v>6.1106494222122443E-2</v>
      </c>
    </row>
    <row r="39" spans="12:14">
      <c r="L39">
        <v>1E-3</v>
      </c>
      <c r="M39">
        <f>N37</f>
        <v>6.1106494222122443E-2</v>
      </c>
    </row>
    <row r="40" spans="12:14">
      <c r="L40">
        <v>40</v>
      </c>
      <c r="M40">
        <f>M39</f>
        <v>6.1106494222122443E-2</v>
      </c>
    </row>
  </sheetData>
  <mergeCells count="2">
    <mergeCell ref="R19:T19"/>
    <mergeCell ref="L37:M37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8C342-AD5A-4C01-BE4D-B2523663F841}">
  <sheetPr codeName="Sheet19"/>
  <dimension ref="E2:P17"/>
  <sheetViews>
    <sheetView workbookViewId="0">
      <selection activeCell="N18" sqref="N18"/>
    </sheetView>
  </sheetViews>
  <sheetFormatPr defaultRowHeight="14.4"/>
  <cols>
    <col min="5" max="5" width="11.6640625" customWidth="1"/>
    <col min="6" max="6" width="12.6640625" customWidth="1"/>
    <col min="8" max="9" width="11.6640625" bestFit="1" customWidth="1"/>
  </cols>
  <sheetData>
    <row r="2" spans="5:16">
      <c r="E2" s="289" t="s">
        <v>679</v>
      </c>
      <c r="F2" s="289"/>
      <c r="H2" s="289" t="s">
        <v>752</v>
      </c>
      <c r="I2" s="289"/>
    </row>
    <row r="3" spans="5:16">
      <c r="E3" s="11" t="s">
        <v>753</v>
      </c>
      <c r="F3" s="11" t="s">
        <v>754</v>
      </c>
      <c r="H3" s="11" t="s">
        <v>755</v>
      </c>
      <c r="I3" s="11" t="s">
        <v>756</v>
      </c>
      <c r="L3" s="158" t="s">
        <v>757</v>
      </c>
      <c r="M3" s="158" t="s">
        <v>758</v>
      </c>
      <c r="N3" s="158" t="s">
        <v>759</v>
      </c>
      <c r="O3" s="158" t="s">
        <v>760</v>
      </c>
      <c r="P3" s="158" t="s">
        <v>761</v>
      </c>
    </row>
    <row r="4" spans="5:16">
      <c r="E4" s="79">
        <v>20.079000000000001</v>
      </c>
      <c r="F4" s="114">
        <f>E4/1000*2.20462*3600/224.809</f>
        <v>0.70886678882073217</v>
      </c>
      <c r="H4" s="79">
        <v>10</v>
      </c>
      <c r="I4" s="114">
        <f>H4*224.809</f>
        <v>2248.09</v>
      </c>
      <c r="L4" s="79">
        <v>400</v>
      </c>
      <c r="M4" s="79">
        <v>13217</v>
      </c>
      <c r="N4" s="114">
        <f>M4*PI()/30</f>
        <v>1384.0810034165434</v>
      </c>
      <c r="O4" s="114">
        <f>L4/N4</f>
        <v>0.28900042628474598</v>
      </c>
      <c r="P4" s="114">
        <f>O4/0.0254</f>
        <v>11.377969538769527</v>
      </c>
    </row>
    <row r="5" spans="5:16">
      <c r="L5" s="79">
        <v>380</v>
      </c>
      <c r="M5" s="79">
        <v>24758</v>
      </c>
      <c r="N5" s="114">
        <f>M5*PI()/30</f>
        <v>2592.6516972525365</v>
      </c>
      <c r="O5" s="114">
        <f>L5/N5</f>
        <v>0.14656808718374723</v>
      </c>
      <c r="P5" s="114">
        <f>O5/0.0254</f>
        <v>5.7703971332183945</v>
      </c>
    </row>
    <row r="6" spans="5:16">
      <c r="E6" s="11" t="s">
        <v>754</v>
      </c>
      <c r="F6" s="11" t="s">
        <v>753</v>
      </c>
      <c r="H6" s="11" t="s">
        <v>756</v>
      </c>
      <c r="I6" s="11" t="s">
        <v>755</v>
      </c>
    </row>
    <row r="7" spans="5:16">
      <c r="E7" s="79">
        <v>0.70886678882073217</v>
      </c>
      <c r="F7" s="114">
        <f>E7/(1/1000*2.20462*3600/224.8)</f>
        <v>20.07819615762714</v>
      </c>
      <c r="H7" s="79">
        <v>87000</v>
      </c>
      <c r="I7" s="114">
        <f>H7/224.809</f>
        <v>386.99518257721002</v>
      </c>
    </row>
    <row r="9" spans="5:16">
      <c r="E9" s="11" t="s">
        <v>753</v>
      </c>
      <c r="F9" s="11" t="s">
        <v>754</v>
      </c>
      <c r="H9" s="11" t="s">
        <v>755</v>
      </c>
      <c r="I9" s="11" t="s">
        <v>756</v>
      </c>
    </row>
    <row r="10" spans="5:16">
      <c r="E10" s="1">
        <v>5</v>
      </c>
      <c r="F10" s="160">
        <f>E10/1000*2.20462*3600/224.809</f>
        <v>0.17651944539586936</v>
      </c>
      <c r="H10" s="1">
        <v>5</v>
      </c>
      <c r="I10" s="161">
        <f>H10*224.809</f>
        <v>1124.0450000000001</v>
      </c>
    </row>
    <row r="11" spans="5:16">
      <c r="E11" s="1">
        <f>E10+5</f>
        <v>10</v>
      </c>
      <c r="F11" s="160">
        <f t="shared" ref="F11:F17" si="0">E11/1000*2.20462*3600/224.809</f>
        <v>0.35303889079173872</v>
      </c>
      <c r="H11" s="1">
        <f>H10*2</f>
        <v>10</v>
      </c>
      <c r="I11" s="161">
        <f t="shared" ref="I11:I17" si="1">H11*224.809</f>
        <v>2248.09</v>
      </c>
    </row>
    <row r="12" spans="5:16">
      <c r="E12" s="1">
        <f t="shared" ref="E12:E17" si="2">E11+5</f>
        <v>15</v>
      </c>
      <c r="F12" s="160">
        <f t="shared" si="0"/>
        <v>0.52955833618760806</v>
      </c>
      <c r="H12" s="1">
        <f t="shared" ref="H12:H17" si="3">H11*2</f>
        <v>20</v>
      </c>
      <c r="I12" s="161">
        <f t="shared" si="1"/>
        <v>4496.18</v>
      </c>
    </row>
    <row r="13" spans="5:16">
      <c r="E13" s="1">
        <f t="shared" si="2"/>
        <v>20</v>
      </c>
      <c r="F13" s="160">
        <f t="shared" si="0"/>
        <v>0.70607778158347745</v>
      </c>
      <c r="H13" s="1">
        <f t="shared" si="3"/>
        <v>40</v>
      </c>
      <c r="I13" s="161">
        <f t="shared" si="1"/>
        <v>8992.36</v>
      </c>
    </row>
    <row r="14" spans="5:16">
      <c r="E14" s="1">
        <f t="shared" si="2"/>
        <v>25</v>
      </c>
      <c r="F14" s="160">
        <f t="shared" si="0"/>
        <v>0.88259722697934684</v>
      </c>
      <c r="H14" s="1">
        <f t="shared" si="3"/>
        <v>80</v>
      </c>
      <c r="I14" s="161">
        <f t="shared" si="1"/>
        <v>17984.72</v>
      </c>
    </row>
    <row r="15" spans="5:16">
      <c r="E15" s="1">
        <f t="shared" si="2"/>
        <v>30</v>
      </c>
      <c r="F15" s="160">
        <f t="shared" si="0"/>
        <v>1.0591166723752161</v>
      </c>
      <c r="H15" s="1">
        <f t="shared" si="3"/>
        <v>160</v>
      </c>
      <c r="I15" s="161">
        <f t="shared" si="1"/>
        <v>35969.440000000002</v>
      </c>
    </row>
    <row r="16" spans="5:16">
      <c r="E16" s="1">
        <f t="shared" si="2"/>
        <v>35</v>
      </c>
      <c r="F16" s="160">
        <f t="shared" si="0"/>
        <v>1.2356361177710857</v>
      </c>
      <c r="H16" s="1">
        <f t="shared" si="3"/>
        <v>320</v>
      </c>
      <c r="I16" s="161">
        <f t="shared" si="1"/>
        <v>71938.880000000005</v>
      </c>
    </row>
    <row r="17" spans="5:9">
      <c r="E17" s="1">
        <f t="shared" si="2"/>
        <v>40</v>
      </c>
      <c r="F17" s="160">
        <f t="shared" si="0"/>
        <v>1.4121555631669549</v>
      </c>
      <c r="H17" s="1">
        <f t="shared" si="3"/>
        <v>640</v>
      </c>
      <c r="I17" s="161">
        <f t="shared" si="1"/>
        <v>143877.76000000001</v>
      </c>
    </row>
  </sheetData>
  <mergeCells count="2">
    <mergeCell ref="E2:F2"/>
    <mergeCell ref="H2:I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B789B73ECD524BB04B1C3B0FC7F5C3" ma:contentTypeVersion="10" ma:contentTypeDescription="Create a new document." ma:contentTypeScope="" ma:versionID="9d0bae6c08b7c66f0343d05ecf193336">
  <xsd:schema xmlns:xsd="http://www.w3.org/2001/XMLSchema" xmlns:xs="http://www.w3.org/2001/XMLSchema" xmlns:p="http://schemas.microsoft.com/office/2006/metadata/properties" xmlns:ns2="2bef5f20-95e0-4f91-ac00-a986ee36df07" xmlns:ns3="c3fe795b-052d-48b0-a7fa-19cc8f39dbd2" targetNamespace="http://schemas.microsoft.com/office/2006/metadata/properties" ma:root="true" ma:fieldsID="031a2c11a4de2aa8c159bef7aaf3509e" ns2:_="" ns3:_="">
    <xsd:import namespace="2bef5f20-95e0-4f91-ac00-a986ee36df07"/>
    <xsd:import namespace="c3fe795b-052d-48b0-a7fa-19cc8f39db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ef5f20-95e0-4f91-ac00-a986ee36d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4ee6b6e-1dad-49a7-85d1-bf6bd711290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fe795b-052d-48b0-a7fa-19cc8f39dbd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90aa198-9e7c-4a41-96cd-eef64a0f9356}" ma:internalName="TaxCatchAll" ma:showField="CatchAllData" ma:web="c3fe795b-052d-48b0-a7fa-19cc8f39db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fe795b-052d-48b0-a7fa-19cc8f39dbd2" xsi:nil="true"/>
    <lcf76f155ced4ddcb4097134ff3c332f xmlns="2bef5f20-95e0-4f91-ac00-a986ee36df0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626CEC6-05CC-41E9-B1E6-B451B1802218}"/>
</file>

<file path=customXml/itemProps2.xml><?xml version="1.0" encoding="utf-8"?>
<ds:datastoreItem xmlns:ds="http://schemas.openxmlformats.org/officeDocument/2006/customXml" ds:itemID="{85C3BF85-F4EB-40F6-8EDA-8CEAC80C6600}"/>
</file>

<file path=customXml/itemProps3.xml><?xml version="1.0" encoding="utf-8"?>
<ds:datastoreItem xmlns:ds="http://schemas.openxmlformats.org/officeDocument/2006/customXml" ds:itemID="{7A0ABE0C-D54F-482C-BD6F-1E3B722F5F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ATMOS</vt:lpstr>
      <vt:lpstr>FLIGHTPERF</vt:lpstr>
      <vt:lpstr>Service Ceiling</vt:lpstr>
      <vt:lpstr>ABS Ceiling</vt:lpstr>
      <vt:lpstr>FLIGHTPERF Maneuver</vt:lpstr>
      <vt:lpstr>FLIGHTPERF Cruise</vt:lpstr>
      <vt:lpstr>FLIGHTPERF Climb</vt:lpstr>
      <vt:lpstr>FLIGHTPERF Descent</vt:lpstr>
      <vt:lpstr>Constraint Plot</vt:lpstr>
      <vt:lpstr>OPENV</vt:lpstr>
      <vt:lpstr>CRZCL</vt:lpstr>
      <vt:lpstr>MISSION</vt:lpstr>
      <vt:lpstr>MISSION (2)</vt:lpstr>
      <vt:lpstr>channeling my inner formatting</vt:lpstr>
      <vt:lpstr>Calculated Thrust Lapse</vt:lpstr>
      <vt:lpstr>Design Table</vt:lpstr>
      <vt:lpstr>ESTPERF</vt:lpstr>
      <vt:lpstr>TOLDG</vt:lpstr>
      <vt:lpstr>WF CP</vt:lpstr>
      <vt:lpstr>THERMO</vt:lpstr>
      <vt:lpstr>QCURVES</vt:lpstr>
      <vt:lpstr>TURBEFF</vt:lpstr>
      <vt:lpstr>REFDATA</vt:lpstr>
      <vt:lpstr>CYCLEEX</vt:lpstr>
      <vt:lpstr>Sheet1</vt:lpstr>
      <vt:lpstr>Inputs</vt:lpstr>
      <vt:lpstr>Cycle</vt:lpstr>
      <vt:lpstr>MIXER</vt:lpstr>
      <vt:lpstr>OPLINE</vt:lpstr>
      <vt:lpstr>Sheet2</vt:lpstr>
      <vt:lpstr>DIFF</vt:lpstr>
      <vt:lpstr>AUX</vt:lpstr>
    </vt:vector>
  </TitlesOfParts>
  <Manager/>
  <Company>Embry-Riddle Aeronautical University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Ferrer-Vidal Espana-Heredia, Luis</dc:creator>
  <cp:keywords/>
  <dc:description/>
  <cp:lastModifiedBy>Clardy, John S.</cp:lastModifiedBy>
  <cp:revision/>
  <dcterms:created xsi:type="dcterms:W3CDTF">2024-12-15T03:21:31Z</dcterms:created>
  <dcterms:modified xsi:type="dcterms:W3CDTF">2026-04-27T21:17:58Z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0x010100F5B789B73ECD524BB04B1C3B0FC7F5C3</vt:lpwstr>
  </property>
</Properties>
</file>