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0" yWindow="0" windowWidth="20490" windowHeight="7455" tabRatio="794" firstSheet="1" activeTab="1"/>
  </bookViews>
  <sheets>
    <sheet name="01-08-2023" sheetId="12" state="hidden" r:id="rId1"/>
    <sheet name="01-02-2024" sheetId="13" r:id="rId2"/>
    <sheet name="Hoja1" sheetId="15" r:id="rId3"/>
    <sheet name="SALIENTES ON" sheetId="14" r:id="rId4"/>
    <sheet name="06-11-2023 SALIENTES SUR" sheetId="17" r:id="rId5"/>
    <sheet name="COMPROMISOS" sheetId="10" r:id="rId6"/>
    <sheet name="Hoja2" sheetId="16" r:id="rId7"/>
  </sheets>
  <definedNames>
    <definedName name="_xlnm._FilterDatabase" localSheetId="1" hidden="1">'01-02-2024'!$A$4:$L$36</definedName>
    <definedName name="_xlnm._FilterDatabase" localSheetId="0" hidden="1">'01-08-2023'!$A$4:$O$104</definedName>
    <definedName name="_xlnm._FilterDatabase" localSheetId="4" hidden="1">'06-11-2023 SALIENTES SUR'!$A$4:$O$56</definedName>
    <definedName name="_xlnm._FilterDatabase" localSheetId="3" hidden="1">'SALIENTES ON'!$A$4:$C$104</definedName>
    <definedName name="_xlnm.Print_Area" localSheetId="1">'01-02-2024'!$A$4:$K$36</definedName>
    <definedName name="_xlnm.Print_Area" localSheetId="0">'01-08-2023'!$A$4:$K$103</definedName>
    <definedName name="_xlnm.Print_Area" localSheetId="4">'06-11-2023 SALIENTES SUR'!$A$4:$K$55</definedName>
    <definedName name="_xlnm.Print_Area" localSheetId="3">'SALIENTES ON'!$A$4:$B$103</definedName>
  </definedNames>
  <calcPr calcId="145621"/>
</workbook>
</file>

<file path=xl/calcChain.xml><?xml version="1.0" encoding="utf-8"?>
<calcChain xmlns="http://schemas.openxmlformats.org/spreadsheetml/2006/main">
  <c r="G14" i="13" l="1"/>
  <c r="G8" i="13" l="1"/>
  <c r="G28" i="13"/>
  <c r="G12" i="13" l="1"/>
  <c r="G19" i="13"/>
  <c r="C51" i="13"/>
  <c r="G5" i="16" l="1"/>
  <c r="G6" i="16"/>
  <c r="G7" i="16"/>
  <c r="G4" i="16"/>
  <c r="F8" i="16"/>
  <c r="E8" i="16"/>
  <c r="G8" i="16" s="1"/>
  <c r="F11" i="16" l="1"/>
  <c r="C13" i="13" l="1"/>
  <c r="D13" i="13"/>
  <c r="E13" i="13"/>
  <c r="F13" i="13"/>
  <c r="G13" i="13"/>
  <c r="L44" i="13" l="1"/>
  <c r="G20" i="13" l="1"/>
  <c r="E58" i="13" l="1"/>
  <c r="E78" i="17" l="1"/>
  <c r="E74" i="17"/>
  <c r="C71" i="17"/>
  <c r="E63" i="17"/>
  <c r="I54" i="17"/>
  <c r="J54" i="17" s="1"/>
  <c r="I53" i="17"/>
  <c r="J53" i="17" s="1"/>
  <c r="K52" i="17"/>
  <c r="H52" i="17"/>
  <c r="G52" i="17"/>
  <c r="F52" i="17"/>
  <c r="E52" i="17"/>
  <c r="D52" i="17"/>
  <c r="C52" i="17"/>
  <c r="B52" i="17"/>
  <c r="I51" i="17"/>
  <c r="J51" i="17" s="1"/>
  <c r="I50" i="17"/>
  <c r="J50" i="17" s="1"/>
  <c r="K49" i="17"/>
  <c r="H49" i="17"/>
  <c r="G49" i="17"/>
  <c r="F49" i="17"/>
  <c r="E49" i="17"/>
  <c r="D49" i="17"/>
  <c r="C49" i="17"/>
  <c r="B49" i="17"/>
  <c r="I48" i="17"/>
  <c r="J48" i="17" s="1"/>
  <c r="I47" i="17"/>
  <c r="J47" i="17" s="1"/>
  <c r="K46" i="17"/>
  <c r="H46" i="17"/>
  <c r="G46" i="17"/>
  <c r="F46" i="17"/>
  <c r="E46" i="17"/>
  <c r="D46" i="17"/>
  <c r="C46" i="17"/>
  <c r="B46" i="17"/>
  <c r="I45" i="17"/>
  <c r="J45" i="17" s="1"/>
  <c r="I44" i="17"/>
  <c r="J44" i="17" s="1"/>
  <c r="I43" i="17"/>
  <c r="J43" i="17" s="1"/>
  <c r="K42" i="17"/>
  <c r="H42" i="17"/>
  <c r="G42" i="17"/>
  <c r="F42" i="17"/>
  <c r="E42" i="17"/>
  <c r="D42" i="17"/>
  <c r="C42" i="17"/>
  <c r="B42" i="17"/>
  <c r="G41" i="17"/>
  <c r="I41" i="17" s="1"/>
  <c r="J41" i="17" s="1"/>
  <c r="I40" i="17"/>
  <c r="J40" i="17" s="1"/>
  <c r="I39" i="17"/>
  <c r="J39" i="17" s="1"/>
  <c r="K38" i="17"/>
  <c r="H38" i="17"/>
  <c r="F38" i="17"/>
  <c r="E38" i="17"/>
  <c r="D38" i="17"/>
  <c r="C38" i="17"/>
  <c r="B38" i="17"/>
  <c r="I37" i="17"/>
  <c r="J37" i="17" s="1"/>
  <c r="I36" i="17"/>
  <c r="J36" i="17" s="1"/>
  <c r="I35" i="17"/>
  <c r="J35" i="17" s="1"/>
  <c r="K34" i="17"/>
  <c r="H34" i="17"/>
  <c r="G34" i="17"/>
  <c r="F34" i="17"/>
  <c r="E34" i="17"/>
  <c r="D34" i="17"/>
  <c r="C34" i="17"/>
  <c r="B34" i="17"/>
  <c r="I33" i="17"/>
  <c r="J33" i="17" s="1"/>
  <c r="I32" i="17"/>
  <c r="J32" i="17" s="1"/>
  <c r="I31" i="17"/>
  <c r="J31" i="17" s="1"/>
  <c r="K30" i="17"/>
  <c r="H30" i="17"/>
  <c r="G30" i="17"/>
  <c r="F30" i="17"/>
  <c r="E30" i="17"/>
  <c r="D30" i="17"/>
  <c r="C30" i="17"/>
  <c r="B30" i="17"/>
  <c r="I29" i="17"/>
  <c r="I28" i="17" s="1"/>
  <c r="K28" i="17"/>
  <c r="H28" i="17"/>
  <c r="G28" i="17"/>
  <c r="F28" i="17"/>
  <c r="E28" i="17"/>
  <c r="D28" i="17"/>
  <c r="C28" i="17"/>
  <c r="B28" i="17"/>
  <c r="I27" i="17"/>
  <c r="J27" i="17" s="1"/>
  <c r="I26" i="17"/>
  <c r="J26" i="17" s="1"/>
  <c r="I25" i="17"/>
  <c r="J25" i="17" s="1"/>
  <c r="H24" i="17"/>
  <c r="G24" i="17"/>
  <c r="F24" i="17"/>
  <c r="E24" i="17"/>
  <c r="D24" i="17"/>
  <c r="C24" i="17"/>
  <c r="B24" i="17"/>
  <c r="I23" i="17"/>
  <c r="J23" i="17" s="1"/>
  <c r="G22" i="17"/>
  <c r="I22" i="17" s="1"/>
  <c r="J22" i="17" s="1"/>
  <c r="I21" i="17"/>
  <c r="J21" i="17" s="1"/>
  <c r="H20" i="17"/>
  <c r="F20" i="17"/>
  <c r="E20" i="17"/>
  <c r="D20" i="17"/>
  <c r="C20" i="17"/>
  <c r="B20" i="17"/>
  <c r="I19" i="17"/>
  <c r="J19" i="17" s="1"/>
  <c r="I18" i="17"/>
  <c r="J18" i="17" s="1"/>
  <c r="E64" i="17" s="1"/>
  <c r="I17" i="17"/>
  <c r="J17" i="17" s="1"/>
  <c r="G16" i="17"/>
  <c r="G15" i="17" s="1"/>
  <c r="C16" i="17"/>
  <c r="K15" i="17"/>
  <c r="H15" i="17"/>
  <c r="F15" i="17"/>
  <c r="E15" i="17"/>
  <c r="D15" i="17"/>
  <c r="B15" i="17"/>
  <c r="I14" i="17"/>
  <c r="J14" i="17" s="1"/>
  <c r="G13" i="17"/>
  <c r="G10" i="17" s="1"/>
  <c r="D13" i="17"/>
  <c r="I12" i="17"/>
  <c r="J12" i="17" s="1"/>
  <c r="I11" i="17"/>
  <c r="J11" i="17" s="1"/>
  <c r="H10" i="17"/>
  <c r="F10" i="17"/>
  <c r="E10" i="17"/>
  <c r="C10" i="17"/>
  <c r="B10" i="17"/>
  <c r="I9" i="17"/>
  <c r="J9" i="17" s="1"/>
  <c r="G8" i="17"/>
  <c r="I8" i="17" s="1"/>
  <c r="L7" i="17"/>
  <c r="I7" i="17"/>
  <c r="J7" i="17" s="1"/>
  <c r="I6" i="17"/>
  <c r="J6" i="17" s="1"/>
  <c r="H5" i="17"/>
  <c r="F5" i="17"/>
  <c r="E5" i="17"/>
  <c r="D5" i="17"/>
  <c r="C5" i="17"/>
  <c r="B5" i="17"/>
  <c r="J46" i="17" l="1"/>
  <c r="J52" i="17"/>
  <c r="J49" i="17"/>
  <c r="I30" i="17"/>
  <c r="I34" i="17"/>
  <c r="J24" i="17"/>
  <c r="J30" i="17"/>
  <c r="G38" i="17"/>
  <c r="G20" i="17"/>
  <c r="I24" i="17"/>
  <c r="E67" i="17"/>
  <c r="J34" i="17"/>
  <c r="I38" i="17"/>
  <c r="J29" i="17"/>
  <c r="J28" i="17" s="1"/>
  <c r="H55" i="17"/>
  <c r="E55" i="17"/>
  <c r="E65" i="17"/>
  <c r="J20" i="17"/>
  <c r="J38" i="17"/>
  <c r="B55" i="17"/>
  <c r="F55" i="17"/>
  <c r="I5" i="17"/>
  <c r="J8" i="17"/>
  <c r="J42" i="17"/>
  <c r="I13" i="17"/>
  <c r="I10" i="17" s="1"/>
  <c r="I16" i="17"/>
  <c r="I15" i="17" s="1"/>
  <c r="G5" i="17"/>
  <c r="D10" i="17"/>
  <c r="D55" i="17" s="1"/>
  <c r="C15" i="17"/>
  <c r="C55" i="17" s="1"/>
  <c r="I20" i="17"/>
  <c r="I42" i="17"/>
  <c r="I46" i="17"/>
  <c r="I49" i="17"/>
  <c r="I52" i="17"/>
  <c r="G55" i="17" l="1"/>
  <c r="E68" i="17"/>
  <c r="J13" i="17"/>
  <c r="J10" i="17" s="1"/>
  <c r="J5" i="17"/>
  <c r="J16" i="17"/>
  <c r="J15" i="17" s="1"/>
  <c r="I55" i="17"/>
  <c r="E66" i="17" l="1"/>
  <c r="E69" i="17" s="1"/>
  <c r="J55" i="17"/>
  <c r="E75" i="17" l="1"/>
  <c r="E79" i="17" s="1"/>
  <c r="E70" i="17"/>
  <c r="E76" i="17" s="1"/>
  <c r="E80" i="17" s="1"/>
  <c r="G29" i="13" l="1"/>
  <c r="F14" i="10" l="1"/>
  <c r="C11" i="10"/>
  <c r="G6" i="10" s="1"/>
  <c r="G4" i="10" l="1"/>
  <c r="G13" i="10"/>
  <c r="G11" i="10"/>
  <c r="G9" i="10"/>
  <c r="G7" i="10"/>
  <c r="G5" i="10"/>
  <c r="G12" i="10"/>
  <c r="G10" i="10"/>
  <c r="G8" i="10"/>
  <c r="G14" i="10" l="1"/>
  <c r="G25" i="13" l="1"/>
  <c r="F17" i="13" l="1"/>
  <c r="G17" i="13"/>
  <c r="D17" i="13" l="1"/>
  <c r="E17" i="13" l="1"/>
  <c r="F9" i="13" l="1"/>
  <c r="F33" i="13"/>
  <c r="B20" i="13" l="1"/>
  <c r="C20" i="13"/>
  <c r="D20" i="13"/>
  <c r="E20" i="13"/>
  <c r="F20" i="13"/>
  <c r="H20" i="13"/>
  <c r="I21" i="13"/>
  <c r="J21" i="13" s="1"/>
  <c r="I22" i="13"/>
  <c r="J22" i="13" s="1"/>
  <c r="B23" i="13"/>
  <c r="C23" i="13"/>
  <c r="D23" i="13"/>
  <c r="E23" i="13"/>
  <c r="F23" i="13"/>
  <c r="G23" i="13"/>
  <c r="H23" i="13"/>
  <c r="K23" i="13"/>
  <c r="I24" i="13"/>
  <c r="J24" i="13" s="1"/>
  <c r="B99" i="14"/>
  <c r="B95" i="14"/>
  <c r="B91" i="14"/>
  <c r="B86" i="14"/>
  <c r="B81" i="14"/>
  <c r="B75" i="14"/>
  <c r="B68" i="14"/>
  <c r="B65" i="14"/>
  <c r="B61" i="14"/>
  <c r="B57" i="14"/>
  <c r="B53" i="14"/>
  <c r="B48" i="14"/>
  <c r="B42" i="14"/>
  <c r="B36" i="14"/>
  <c r="B31" i="14"/>
  <c r="B25" i="14"/>
  <c r="B19" i="14"/>
  <c r="B12" i="14"/>
  <c r="C6" i="14"/>
  <c r="B5" i="14"/>
  <c r="E54" i="13"/>
  <c r="B103" i="14" l="1"/>
  <c r="J23" i="13"/>
  <c r="I23" i="13"/>
  <c r="J20" i="13"/>
  <c r="I20" i="13"/>
  <c r="E44" i="13" l="1"/>
  <c r="I35" i="13"/>
  <c r="J35" i="13" s="1"/>
  <c r="I34" i="13"/>
  <c r="J34" i="13" s="1"/>
  <c r="K33" i="13"/>
  <c r="H33" i="13"/>
  <c r="G33" i="13"/>
  <c r="E33" i="13"/>
  <c r="D33" i="13"/>
  <c r="C33" i="13"/>
  <c r="B33" i="13"/>
  <c r="I32" i="13"/>
  <c r="I31" i="13"/>
  <c r="J31" i="13" s="1"/>
  <c r="I30" i="13"/>
  <c r="J30" i="13" s="1"/>
  <c r="K29" i="13"/>
  <c r="H29" i="13"/>
  <c r="F29" i="13"/>
  <c r="E29" i="13"/>
  <c r="D29" i="13"/>
  <c r="C29" i="13"/>
  <c r="B29" i="13"/>
  <c r="I28" i="13"/>
  <c r="J28" i="13" s="1"/>
  <c r="I27" i="13"/>
  <c r="J27" i="13" s="1"/>
  <c r="I26" i="13"/>
  <c r="J26" i="13" s="1"/>
  <c r="K25" i="13"/>
  <c r="H25" i="13"/>
  <c r="F25" i="13"/>
  <c r="E25" i="13"/>
  <c r="D25" i="13"/>
  <c r="C25" i="13"/>
  <c r="B25" i="13"/>
  <c r="I18" i="13"/>
  <c r="J18" i="13" s="1"/>
  <c r="H17" i="13"/>
  <c r="C17" i="13"/>
  <c r="B17" i="13"/>
  <c r="I16" i="13"/>
  <c r="J16" i="13" s="1"/>
  <c r="E45" i="13" s="1"/>
  <c r="I15" i="13"/>
  <c r="J15" i="13" s="1"/>
  <c r="K13" i="13"/>
  <c r="H13" i="13"/>
  <c r="B13" i="13"/>
  <c r="G9" i="13"/>
  <c r="I12" i="13"/>
  <c r="I11" i="13"/>
  <c r="J11" i="13" s="1"/>
  <c r="I10" i="13"/>
  <c r="J10" i="13" s="1"/>
  <c r="H9" i="13"/>
  <c r="E9" i="13"/>
  <c r="D9" i="13"/>
  <c r="C9" i="13"/>
  <c r="B9" i="13"/>
  <c r="I6" i="13"/>
  <c r="J6" i="13" s="1"/>
  <c r="H5" i="13"/>
  <c r="F5" i="13"/>
  <c r="E5" i="13"/>
  <c r="D5" i="13"/>
  <c r="C5" i="13"/>
  <c r="B5" i="13"/>
  <c r="F36" i="13" l="1"/>
  <c r="B36" i="13"/>
  <c r="H36" i="13"/>
  <c r="C36" i="13"/>
  <c r="E36" i="13"/>
  <c r="E46" i="13"/>
  <c r="J33" i="13"/>
  <c r="I33" i="13"/>
  <c r="I25" i="13"/>
  <c r="I9" i="13"/>
  <c r="J12" i="13"/>
  <c r="J9" i="13" s="1"/>
  <c r="I8" i="13"/>
  <c r="D36" i="13"/>
  <c r="I14" i="13"/>
  <c r="I13" i="13" s="1"/>
  <c r="J25" i="13"/>
  <c r="I19" i="13"/>
  <c r="I17" i="13" s="1"/>
  <c r="J32" i="13"/>
  <c r="J29" i="13" s="1"/>
  <c r="I29" i="13"/>
  <c r="G8" i="12"/>
  <c r="J8" i="13" l="1"/>
  <c r="J19" i="13"/>
  <c r="J17" i="13" s="1"/>
  <c r="J14" i="13"/>
  <c r="J13" i="13" s="1"/>
  <c r="G27" i="12"/>
  <c r="E47" i="13" l="1"/>
  <c r="G20" i="12"/>
  <c r="G15" i="12"/>
  <c r="G21" i="12" l="1"/>
  <c r="D94" i="12" l="1"/>
  <c r="D85" i="12"/>
  <c r="D80" i="12"/>
  <c r="D102" i="12"/>
  <c r="D20" i="12"/>
  <c r="D15" i="12"/>
  <c r="D27" i="12"/>
  <c r="D8" i="12"/>
  <c r="E89" i="12"/>
  <c r="E97" i="12"/>
  <c r="O6" i="12" l="1"/>
  <c r="F19" i="12" l="1"/>
  <c r="G19" i="12"/>
  <c r="E111" i="12" l="1"/>
  <c r="I102" i="12"/>
  <c r="J102" i="12" s="1"/>
  <c r="I100" i="12"/>
  <c r="K99" i="12"/>
  <c r="H99" i="12"/>
  <c r="E99" i="12"/>
  <c r="D99" i="12"/>
  <c r="C99" i="12"/>
  <c r="B99" i="12"/>
  <c r="I98" i="12"/>
  <c r="J98" i="12" s="1"/>
  <c r="I97" i="12"/>
  <c r="J97" i="12" s="1"/>
  <c r="I96" i="12"/>
  <c r="K95" i="12"/>
  <c r="H95" i="12"/>
  <c r="G95" i="12"/>
  <c r="F95" i="12"/>
  <c r="E95" i="12"/>
  <c r="D95" i="12"/>
  <c r="C95" i="12"/>
  <c r="B95" i="12"/>
  <c r="I94" i="12"/>
  <c r="J94" i="12" s="1"/>
  <c r="I93" i="12"/>
  <c r="J93" i="12" s="1"/>
  <c r="I92" i="12"/>
  <c r="K91" i="12"/>
  <c r="H91" i="12"/>
  <c r="G91" i="12"/>
  <c r="F91" i="12"/>
  <c r="E91" i="12"/>
  <c r="D91" i="12"/>
  <c r="C91" i="12"/>
  <c r="B91" i="12"/>
  <c r="I90" i="12"/>
  <c r="J90" i="12" s="1"/>
  <c r="I89" i="12"/>
  <c r="J89" i="12" s="1"/>
  <c r="I88" i="12"/>
  <c r="J88" i="12" s="1"/>
  <c r="I87" i="12"/>
  <c r="K86" i="12"/>
  <c r="H86" i="12"/>
  <c r="G86" i="12"/>
  <c r="F86" i="12"/>
  <c r="E86" i="12"/>
  <c r="D86" i="12"/>
  <c r="C86" i="12"/>
  <c r="B86" i="12"/>
  <c r="I85" i="12"/>
  <c r="J85" i="12" s="1"/>
  <c r="I84" i="12"/>
  <c r="J84" i="12" s="1"/>
  <c r="I83" i="12"/>
  <c r="J83" i="12" s="1"/>
  <c r="I82" i="12"/>
  <c r="K81" i="12"/>
  <c r="H81" i="12"/>
  <c r="G81" i="12"/>
  <c r="F81" i="12"/>
  <c r="E81" i="12"/>
  <c r="D81" i="12"/>
  <c r="C81" i="12"/>
  <c r="B81" i="12"/>
  <c r="I80" i="12"/>
  <c r="J80" i="12" s="1"/>
  <c r="I79" i="12"/>
  <c r="J79" i="12" s="1"/>
  <c r="I78" i="12"/>
  <c r="J78" i="12" s="1"/>
  <c r="I77" i="12"/>
  <c r="J77" i="12" s="1"/>
  <c r="I76" i="12"/>
  <c r="K75" i="12"/>
  <c r="H75" i="12"/>
  <c r="G75" i="12"/>
  <c r="F75" i="12"/>
  <c r="E75" i="12"/>
  <c r="D75" i="12"/>
  <c r="C75" i="12"/>
  <c r="B75" i="12"/>
  <c r="I74" i="12"/>
  <c r="J74" i="12" s="1"/>
  <c r="I73" i="12"/>
  <c r="J73" i="12" s="1"/>
  <c r="I72" i="12"/>
  <c r="J72" i="12" s="1"/>
  <c r="I71" i="12"/>
  <c r="J71" i="12" s="1"/>
  <c r="I70" i="12"/>
  <c r="J70" i="12" s="1"/>
  <c r="I69" i="12"/>
  <c r="K68" i="12"/>
  <c r="H68" i="12"/>
  <c r="G68" i="12"/>
  <c r="F68" i="12"/>
  <c r="E68" i="12"/>
  <c r="D68" i="12"/>
  <c r="C68" i="12"/>
  <c r="B68" i="12"/>
  <c r="I67" i="12"/>
  <c r="J67" i="12" s="1"/>
  <c r="I66" i="12"/>
  <c r="K65" i="12"/>
  <c r="H65" i="12"/>
  <c r="G65" i="12"/>
  <c r="F65" i="12"/>
  <c r="E65" i="12"/>
  <c r="D65" i="12"/>
  <c r="C65" i="12"/>
  <c r="B65" i="12"/>
  <c r="I64" i="12"/>
  <c r="J64" i="12" s="1"/>
  <c r="I63" i="12"/>
  <c r="J63" i="12" s="1"/>
  <c r="I62" i="12"/>
  <c r="K61" i="12"/>
  <c r="H61" i="12"/>
  <c r="G61" i="12"/>
  <c r="F61" i="12"/>
  <c r="E61" i="12"/>
  <c r="D61" i="12"/>
  <c r="C61" i="12"/>
  <c r="B61" i="12"/>
  <c r="I60" i="12"/>
  <c r="J60" i="12" s="1"/>
  <c r="I59" i="12"/>
  <c r="J59" i="12" s="1"/>
  <c r="I58" i="12"/>
  <c r="J58" i="12" s="1"/>
  <c r="H57" i="12"/>
  <c r="G57" i="12"/>
  <c r="F57" i="12"/>
  <c r="E57" i="12"/>
  <c r="D57" i="12"/>
  <c r="C57" i="12"/>
  <c r="B57" i="12"/>
  <c r="I56" i="12"/>
  <c r="J56" i="12" s="1"/>
  <c r="I55" i="12"/>
  <c r="J55" i="12" s="1"/>
  <c r="I54" i="12"/>
  <c r="J54" i="12" s="1"/>
  <c r="H53" i="12"/>
  <c r="G53" i="12"/>
  <c r="F53" i="12"/>
  <c r="E53" i="12"/>
  <c r="D53" i="12"/>
  <c r="C53" i="12"/>
  <c r="B53" i="12"/>
  <c r="I52" i="12"/>
  <c r="J52" i="12" s="1"/>
  <c r="I51" i="12"/>
  <c r="J51" i="12" s="1"/>
  <c r="I50" i="12"/>
  <c r="J50" i="12" s="1"/>
  <c r="I49" i="12"/>
  <c r="K48" i="12"/>
  <c r="H48" i="12"/>
  <c r="G48" i="12"/>
  <c r="F48" i="12"/>
  <c r="E48" i="12"/>
  <c r="D48" i="12"/>
  <c r="C48" i="12"/>
  <c r="B48" i="12"/>
  <c r="I47" i="12"/>
  <c r="J47" i="12" s="1"/>
  <c r="I46" i="12"/>
  <c r="J46" i="12" s="1"/>
  <c r="I45" i="12"/>
  <c r="J45" i="12" s="1"/>
  <c r="I44" i="12"/>
  <c r="J44" i="12" s="1"/>
  <c r="I43" i="12"/>
  <c r="J43" i="12" s="1"/>
  <c r="H42" i="12"/>
  <c r="G42" i="12"/>
  <c r="F42" i="12"/>
  <c r="E42" i="12"/>
  <c r="D42" i="12"/>
  <c r="C42" i="12"/>
  <c r="B42" i="12"/>
  <c r="I41" i="12"/>
  <c r="J41" i="12" s="1"/>
  <c r="I40" i="12"/>
  <c r="J40" i="12" s="1"/>
  <c r="I39" i="12"/>
  <c r="J39" i="12" s="1"/>
  <c r="I38" i="12"/>
  <c r="J38" i="12" s="1"/>
  <c r="I37" i="12"/>
  <c r="J37" i="12" s="1"/>
  <c r="H36" i="12"/>
  <c r="G36" i="12"/>
  <c r="F36" i="12"/>
  <c r="E36" i="12"/>
  <c r="D36" i="12"/>
  <c r="C36" i="12"/>
  <c r="B36" i="12"/>
  <c r="I35" i="12"/>
  <c r="J35" i="12" s="1"/>
  <c r="I34" i="12"/>
  <c r="J34" i="12" s="1"/>
  <c r="I33" i="12"/>
  <c r="J33" i="12" s="1"/>
  <c r="I32" i="12"/>
  <c r="J32" i="12" s="1"/>
  <c r="H31" i="12"/>
  <c r="G31" i="12"/>
  <c r="F31" i="12"/>
  <c r="E31" i="12"/>
  <c r="D31" i="12"/>
  <c r="C31" i="12"/>
  <c r="B31" i="12"/>
  <c r="I30" i="12"/>
  <c r="J30" i="12" s="1"/>
  <c r="I29" i="12"/>
  <c r="J29" i="12" s="1"/>
  <c r="I28" i="12"/>
  <c r="J28" i="12" s="1"/>
  <c r="I27" i="12"/>
  <c r="J27" i="12" s="1"/>
  <c r="I26" i="12"/>
  <c r="J26" i="12" s="1"/>
  <c r="H25" i="12"/>
  <c r="F25" i="12"/>
  <c r="E25" i="12"/>
  <c r="D25" i="12"/>
  <c r="C25" i="12"/>
  <c r="B25" i="12"/>
  <c r="I24" i="12"/>
  <c r="J24" i="12" s="1"/>
  <c r="I23" i="12"/>
  <c r="J23" i="12" s="1"/>
  <c r="I22" i="12"/>
  <c r="J22" i="12" s="1"/>
  <c r="E112" i="12" s="1"/>
  <c r="I21" i="12"/>
  <c r="J21" i="12" s="1"/>
  <c r="I20" i="12"/>
  <c r="J20" i="12" s="1"/>
  <c r="K19" i="12"/>
  <c r="H19" i="12"/>
  <c r="D19" i="12"/>
  <c r="C19" i="12"/>
  <c r="B19" i="12"/>
  <c r="I18" i="12"/>
  <c r="J18" i="12" s="1"/>
  <c r="I17" i="12"/>
  <c r="J17" i="12" s="1"/>
  <c r="I16" i="12"/>
  <c r="J16" i="12" s="1"/>
  <c r="I14" i="12"/>
  <c r="J14" i="12" s="1"/>
  <c r="I13" i="12"/>
  <c r="J13" i="12" s="1"/>
  <c r="H12" i="12"/>
  <c r="F12" i="12"/>
  <c r="E12" i="12"/>
  <c r="D12" i="12"/>
  <c r="C12" i="12"/>
  <c r="B12" i="12"/>
  <c r="I11" i="12"/>
  <c r="J11" i="12" s="1"/>
  <c r="I10" i="12"/>
  <c r="J10" i="12" s="1"/>
  <c r="I9" i="12"/>
  <c r="J9" i="12" s="1"/>
  <c r="I8" i="12"/>
  <c r="J8" i="12" s="1"/>
  <c r="I7" i="12"/>
  <c r="J7" i="12" s="1"/>
  <c r="I6" i="12"/>
  <c r="H5" i="12"/>
  <c r="G5" i="12"/>
  <c r="F5" i="12"/>
  <c r="E5" i="12"/>
  <c r="D5" i="12"/>
  <c r="C5" i="12"/>
  <c r="B5" i="12"/>
  <c r="I19" i="12" l="1"/>
  <c r="J19" i="12"/>
  <c r="H103" i="12"/>
  <c r="K103" i="12"/>
  <c r="I36" i="12"/>
  <c r="J36" i="12"/>
  <c r="I53" i="12"/>
  <c r="E117" i="12"/>
  <c r="D103" i="12"/>
  <c r="D104" i="12" s="1"/>
  <c r="J53" i="12"/>
  <c r="C103" i="12"/>
  <c r="C104" i="12" s="1"/>
  <c r="E103" i="12"/>
  <c r="E118" i="12"/>
  <c r="E116" i="12"/>
  <c r="J25" i="12"/>
  <c r="J31" i="12"/>
  <c r="B103" i="12"/>
  <c r="F103" i="12"/>
  <c r="I42" i="12"/>
  <c r="J57" i="12"/>
  <c r="J6" i="12"/>
  <c r="I5" i="12"/>
  <c r="J62" i="12"/>
  <c r="I61" i="12"/>
  <c r="J66" i="12"/>
  <c r="J65" i="12" s="1"/>
  <c r="I65" i="12"/>
  <c r="J76" i="12"/>
  <c r="J75" i="12" s="1"/>
  <c r="I75" i="12"/>
  <c r="J82" i="12"/>
  <c r="J81" i="12" s="1"/>
  <c r="I81" i="12"/>
  <c r="J92" i="12"/>
  <c r="J91" i="12" s="1"/>
  <c r="I91" i="12"/>
  <c r="J96" i="12"/>
  <c r="J95" i="12" s="1"/>
  <c r="I95" i="12"/>
  <c r="I101" i="12"/>
  <c r="J101" i="12" s="1"/>
  <c r="G99" i="12"/>
  <c r="I15" i="12"/>
  <c r="J15" i="12" s="1"/>
  <c r="E115" i="12" s="1"/>
  <c r="G12" i="12"/>
  <c r="G25" i="12"/>
  <c r="I25" i="12"/>
  <c r="I31" i="12"/>
  <c r="J42" i="12"/>
  <c r="J49" i="12"/>
  <c r="J48" i="12" s="1"/>
  <c r="I48" i="12"/>
  <c r="I57" i="12"/>
  <c r="J69" i="12"/>
  <c r="J68" i="12" s="1"/>
  <c r="I68" i="12"/>
  <c r="J87" i="12"/>
  <c r="J86" i="12" s="1"/>
  <c r="I86" i="12"/>
  <c r="J100" i="12"/>
  <c r="E123" i="12" l="1"/>
  <c r="J99" i="12"/>
  <c r="G103" i="12"/>
  <c r="I12" i="12"/>
  <c r="E114" i="12"/>
  <c r="J61" i="12"/>
  <c r="E113" i="12"/>
  <c r="J5" i="12"/>
  <c r="I99" i="12"/>
  <c r="J12" i="12"/>
  <c r="E119" i="12"/>
  <c r="I103" i="12" l="1"/>
  <c r="J103" i="12"/>
  <c r="E121" i="12"/>
  <c r="E122" i="12" s="1"/>
  <c r="B9" i="10" l="1"/>
  <c r="B8" i="10"/>
  <c r="C7" i="10"/>
  <c r="B7" i="10"/>
  <c r="B6" i="10"/>
  <c r="B5" i="10"/>
  <c r="B4" i="10"/>
  <c r="B3" i="10"/>
  <c r="C2" i="10"/>
  <c r="C5" i="10" l="1"/>
  <c r="C6" i="10"/>
  <c r="C4" i="10"/>
  <c r="C3" i="10"/>
  <c r="C9" i="10" l="1"/>
  <c r="C8" i="10" l="1"/>
  <c r="G5" i="13"/>
  <c r="G36" i="13" s="1"/>
  <c r="I7" i="13"/>
  <c r="J7" i="13" s="1"/>
  <c r="J5" i="13" l="1"/>
  <c r="J36" i="13" s="1"/>
  <c r="E48" i="13"/>
  <c r="E49" i="13" s="1"/>
  <c r="I5" i="13"/>
  <c r="I36" i="13" s="1"/>
  <c r="E55" i="13" l="1"/>
  <c r="E59" i="13" s="1"/>
  <c r="E50" i="13"/>
  <c r="E56" i="13" l="1"/>
  <c r="E60" i="13" s="1"/>
</calcChain>
</file>

<file path=xl/comments1.xml><?xml version="1.0" encoding="utf-8"?>
<comments xmlns="http://schemas.openxmlformats.org/spreadsheetml/2006/main">
  <authors>
    <author>Yeinsliz Millan</author>
  </authors>
  <commentList>
    <comment ref="A86" authorId="0">
      <text>
        <r>
          <rPr>
            <b/>
            <sz val="9"/>
            <color indexed="81"/>
            <rFont val="Tahoma"/>
            <family val="2"/>
          </rPr>
          <t>BOLIVAR</t>
        </r>
      </text>
    </comment>
  </commentList>
</comments>
</file>

<file path=xl/comments2.xml><?xml version="1.0" encoding="utf-8"?>
<comments xmlns="http://schemas.openxmlformats.org/spreadsheetml/2006/main">
  <authors>
    <author>Yeinsliz Millan</author>
  </authors>
  <commentList>
    <comment ref="A86" authorId="0">
      <text>
        <r>
          <rPr>
            <b/>
            <sz val="9"/>
            <color indexed="81"/>
            <rFont val="Tahoma"/>
            <family val="2"/>
          </rPr>
          <t>BOLIVAR</t>
        </r>
      </text>
    </comment>
  </commentList>
</comments>
</file>

<file path=xl/comments3.xml><?xml version="1.0" encoding="utf-8"?>
<comments xmlns="http://schemas.openxmlformats.org/spreadsheetml/2006/main">
  <authors>
    <author>Yeinsliz Millan</author>
  </authors>
  <commentList>
    <comment ref="A42" authorId="0">
      <text>
        <r>
          <rPr>
            <b/>
            <sz val="9"/>
            <color indexed="81"/>
            <rFont val="Tahoma"/>
            <family val="2"/>
          </rPr>
          <t>BOLIVAR</t>
        </r>
      </text>
    </comment>
  </commentList>
</comments>
</file>

<file path=xl/sharedStrings.xml><?xml version="1.0" encoding="utf-8"?>
<sst xmlns="http://schemas.openxmlformats.org/spreadsheetml/2006/main" count="380" uniqueCount="149">
  <si>
    <t>TOTAL</t>
  </si>
  <si>
    <t>LA CASA DE LA CAÑA C.A</t>
  </si>
  <si>
    <t>BANESCO 736</t>
  </si>
  <si>
    <t>VENEZUELA 217</t>
  </si>
  <si>
    <t>MERCANTIL 082</t>
  </si>
  <si>
    <t>BANESCO 478</t>
  </si>
  <si>
    <t>MERCANTIL 963</t>
  </si>
  <si>
    <t>BANESCO 437</t>
  </si>
  <si>
    <t>VENEZUELA 704</t>
  </si>
  <si>
    <t>BANESCO 516</t>
  </si>
  <si>
    <t>BANESCO 084</t>
  </si>
  <si>
    <t>VENEZUELA 717</t>
  </si>
  <si>
    <t>MERCANTIL 031</t>
  </si>
  <si>
    <t>RELIVE C.A</t>
  </si>
  <si>
    <t>VENEZUELA 957</t>
  </si>
  <si>
    <t>MERCANTIL 066</t>
  </si>
  <si>
    <t>MALIORCA</t>
  </si>
  <si>
    <t>VENEZUELA 341</t>
  </si>
  <si>
    <t>MERCANTIL 074</t>
  </si>
  <si>
    <t>BANESCO 587</t>
  </si>
  <si>
    <t>MERCANTIL 971</t>
  </si>
  <si>
    <t>DISPONIBLE</t>
  </si>
  <si>
    <t>MERCANTIL 015</t>
  </si>
  <si>
    <t>CUENTAS BANCARIAS</t>
  </si>
  <si>
    <t xml:space="preserve"> </t>
  </si>
  <si>
    <t>BANESCO</t>
  </si>
  <si>
    <t>VENEZUELA</t>
  </si>
  <si>
    <t>MERCANTIL</t>
  </si>
  <si>
    <t>PLAZA 780</t>
  </si>
  <si>
    <t>TESORO 433</t>
  </si>
  <si>
    <t>TESORO 510</t>
  </si>
  <si>
    <t>TESORO 439</t>
  </si>
  <si>
    <t>TESORO 506</t>
  </si>
  <si>
    <t xml:space="preserve">TESORO 486 </t>
  </si>
  <si>
    <t>TESORO</t>
  </si>
  <si>
    <t>TESORO 440</t>
  </si>
  <si>
    <t>TESORO 444</t>
  </si>
  <si>
    <t>MERCANTIL 854</t>
  </si>
  <si>
    <t>PLAZA 456</t>
  </si>
  <si>
    <t>PLAZA 756</t>
  </si>
  <si>
    <t>BANCAMIGA_8526</t>
  </si>
  <si>
    <t xml:space="preserve">DISPONIBLE BANCOS BASE NORTE </t>
  </si>
  <si>
    <t xml:space="preserve">BOVEDA CENTRAL BS </t>
  </si>
  <si>
    <t xml:space="preserve">INV LA REDOMA </t>
  </si>
  <si>
    <t>PLAZA 764</t>
  </si>
  <si>
    <t xml:space="preserve">TOTAL BS </t>
  </si>
  <si>
    <t>$</t>
  </si>
  <si>
    <t>BS</t>
  </si>
  <si>
    <t>TASA</t>
  </si>
  <si>
    <t xml:space="preserve">TOTAL Bs. </t>
  </si>
  <si>
    <t>MERCANTIL 058</t>
  </si>
  <si>
    <t>PLAZA 799</t>
  </si>
  <si>
    <t>TESORO 979</t>
  </si>
  <si>
    <t>PLAZA 748</t>
  </si>
  <si>
    <t>BANESCO 256</t>
  </si>
  <si>
    <t xml:space="preserve">COMPROMISOS </t>
  </si>
  <si>
    <t xml:space="preserve">PLAZA 448 PM </t>
  </si>
  <si>
    <t xml:space="preserve">PLAZA 286 PM </t>
  </si>
  <si>
    <t xml:space="preserve">PLAZA 430 PM </t>
  </si>
  <si>
    <t>IMPUESTOS</t>
  </si>
  <si>
    <t>DISVEN EXPRESS C.A</t>
  </si>
  <si>
    <t>CARONI 350</t>
  </si>
  <si>
    <t>CARONI</t>
  </si>
  <si>
    <t>CARONI 410</t>
  </si>
  <si>
    <t>VENEZUELA 857</t>
  </si>
  <si>
    <t>DISBOL EXPRESS C.A  (Y)</t>
  </si>
  <si>
    <t>CARONI 227</t>
  </si>
  <si>
    <t>VENEZUELA 768</t>
  </si>
  <si>
    <t>CARONI 327</t>
  </si>
  <si>
    <t>CARONI 210</t>
  </si>
  <si>
    <t>VENEZUELA 410</t>
  </si>
  <si>
    <t>PROVINCIAL 318</t>
  </si>
  <si>
    <t>BANESCO 417</t>
  </si>
  <si>
    <t>MERCANTIL 652</t>
  </si>
  <si>
    <t>OP. LAS AMERICA C.A</t>
  </si>
  <si>
    <t>CARONI 319</t>
  </si>
  <si>
    <t>VENEZUELA 755</t>
  </si>
  <si>
    <t>PROVINCIAL 377</t>
  </si>
  <si>
    <t>BANESCO 852</t>
  </si>
  <si>
    <t>MERCANTIL 717</t>
  </si>
  <si>
    <t>OP. UPATA C.A</t>
  </si>
  <si>
    <t>CARONI 285</t>
  </si>
  <si>
    <t>VENEZUELA 067</t>
  </si>
  <si>
    <t>BANESCO 814</t>
  </si>
  <si>
    <t>BANCAMIGA</t>
  </si>
  <si>
    <t>MERCANTIL 582</t>
  </si>
  <si>
    <t>OP. 192 CB C.A</t>
  </si>
  <si>
    <t>CARONI 269</t>
  </si>
  <si>
    <t>VENEZUELA 092</t>
  </si>
  <si>
    <t>BANESCO 940</t>
  </si>
  <si>
    <t>MERCANTIL 687</t>
  </si>
  <si>
    <t>OP. MANUEL PIAR C.A</t>
  </si>
  <si>
    <t>CARONI 772</t>
  </si>
  <si>
    <t>BANESCO 840</t>
  </si>
  <si>
    <t>MERCANTIL 695</t>
  </si>
  <si>
    <t>CARONI 109</t>
  </si>
  <si>
    <t>BANESCO 506</t>
  </si>
  <si>
    <t xml:space="preserve">MERCANTIL 776 </t>
  </si>
  <si>
    <t>DISBOL EXPRESS SUR (17 DIC)</t>
  </si>
  <si>
    <t>CARONI 566</t>
  </si>
  <si>
    <t>BANESCO 811</t>
  </si>
  <si>
    <t>MERCANTIL 660</t>
  </si>
  <si>
    <t>CONSOLIDADO EJERCICIO Al</t>
  </si>
  <si>
    <t>DISPONIBILIDAD BS</t>
  </si>
  <si>
    <t>PLAZA</t>
  </si>
  <si>
    <t xml:space="preserve">PROVINCIAL </t>
  </si>
  <si>
    <t>FAMILIA</t>
  </si>
  <si>
    <t>OP. PUERTO ORDAZ 2013 C.A</t>
  </si>
  <si>
    <t>OP. VENECIA</t>
  </si>
  <si>
    <t>OP. LECHERIA 2011 C.A</t>
  </si>
  <si>
    <t>OP. PUERTO LA CRUZ 2011 C.A</t>
  </si>
  <si>
    <t>OP. EL PUENTE 2011 C.A</t>
  </si>
  <si>
    <t>OP. MERCADO</t>
  </si>
  <si>
    <t xml:space="preserve">SALDO INICIAL </t>
  </si>
  <si>
    <t>PROVEEDORES Y SERVICIOS</t>
  </si>
  <si>
    <t>FONDO PM</t>
  </si>
  <si>
    <t>IGTF</t>
  </si>
  <si>
    <t xml:space="preserve">PROTECCION $ </t>
  </si>
  <si>
    <t>BANESCO 344</t>
  </si>
  <si>
    <t xml:space="preserve">PLAZA 339 PM </t>
  </si>
  <si>
    <t>PLAZA 894</t>
  </si>
  <si>
    <t>MERCANTIL 893</t>
  </si>
  <si>
    <t>IMPORTACION</t>
  </si>
  <si>
    <t>NOMINA/
MODELO</t>
  </si>
  <si>
    <t xml:space="preserve">
COMPROMISOS DEL DIA 22/05/2023</t>
  </si>
  <si>
    <t>BANESCO 895</t>
  </si>
  <si>
    <t>BODEGON UNARE</t>
  </si>
  <si>
    <t>EMPRESAS SALIENTES</t>
  </si>
  <si>
    <t>PLAZA 100</t>
  </si>
  <si>
    <t>ON - SUR</t>
  </si>
  <si>
    <t>MARGARITA</t>
  </si>
  <si>
    <t>TOTAL BS</t>
  </si>
  <si>
    <t>TOTAL $</t>
  </si>
  <si>
    <t>CONSOLIDADO EJERCICIO AL</t>
  </si>
  <si>
    <t>LEH</t>
  </si>
  <si>
    <t>PLC</t>
  </si>
  <si>
    <t>MER</t>
  </si>
  <si>
    <t>PTE</t>
  </si>
  <si>
    <t>FAM</t>
  </si>
  <si>
    <t>POZ</t>
  </si>
  <si>
    <t>DES</t>
  </si>
  <si>
    <t>RELIVE</t>
  </si>
  <si>
    <t>LECHERIA</t>
  </si>
  <si>
    <t xml:space="preserve">LCDLC </t>
  </si>
  <si>
    <t xml:space="preserve">VENECIA </t>
  </si>
  <si>
    <t>IVA</t>
  </si>
  <si>
    <t xml:space="preserve">ISLR </t>
  </si>
  <si>
    <t xml:space="preserve">RAZON SOCIAL </t>
  </si>
  <si>
    <t xml:space="preserve">TOTAL 
COMPROMISOS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</si>
</sst>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#,##0.00_ ;\-#,##0.00\ "/>
    <numFmt numFmtId="166" formatCode="_ * #,##0.0000_ ;_ * \-#,##0.0000_ ;_ * &quot;-&quot;??_ ;_ @_ "/>
    <numFmt numFmtId="167" formatCode="dd\/mm\/yyyy"/>
    <numFmt numFmtId="168" formatCode="_ * #,##0.0000_ ;_ * \-#,##0.0000_ ;_ * &quot;-&quot;????_ ;_ @_ "/>
    <numFmt numFmtId="169" formatCode="_ * #,##0.00_ ;_ * \-#,##0.00_ ;_ * &quot;-&quot;????_ ;_ @_ "/>
    <numFmt numFmtId="170" formatCode="_ [$Bs.S-200A]* #,##0.00_ ;_ [$Bs.S-200A]* \-#,##0.00_ ;_ [$Bs.S-200A]* &quot;-&quot;??_ ;_ @_ "/>
    <numFmt numFmtId="171" formatCode="_-[$$-540A]* #,##0.00_ ;_-[$$-540A]* \-#,##0.00\ ;_-[$$-540A]* &quot;-&quot;??_ ;_-@_ "/>
    <numFmt numFmtId="172" formatCode="_-[$$-240A]\ * #,##0.00_-;\-[$$-240A]\ * #,##0.00_-;_-[$$-240A]\ 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6" applyNumberFormat="0" applyAlignment="0" applyProtection="0"/>
    <xf numFmtId="0" fontId="17" fillId="7" borderId="7" applyNumberFormat="0" applyAlignment="0" applyProtection="0"/>
    <xf numFmtId="0" fontId="18" fillId="7" borderId="6" applyNumberFormat="0" applyAlignment="0" applyProtection="0"/>
    <xf numFmtId="0" fontId="19" fillId="0" borderId="8" applyNumberFormat="0" applyFill="0" applyAlignment="0" applyProtection="0"/>
    <xf numFmtId="0" fontId="8" fillId="8" borderId="9" applyNumberFormat="0" applyAlignment="0" applyProtection="0"/>
    <xf numFmtId="0" fontId="20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" fillId="33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0" applyNumberFormat="0" applyBorder="0" applyAlignment="0" applyProtection="0"/>
    <xf numFmtId="0" fontId="31" fillId="6" borderId="6" applyNumberFormat="0" applyAlignment="0" applyProtection="0"/>
    <xf numFmtId="0" fontId="32" fillId="7" borderId="7" applyNumberFormat="0" applyAlignment="0" applyProtection="0"/>
    <xf numFmtId="0" fontId="33" fillId="7" borderId="6" applyNumberFormat="0" applyAlignment="0" applyProtection="0"/>
    <xf numFmtId="0" fontId="34" fillId="0" borderId="8" applyNumberFormat="0" applyFill="0" applyAlignment="0" applyProtection="0"/>
    <xf numFmtId="0" fontId="35" fillId="8" borderId="9" applyNumberFormat="0" applyAlignment="0" applyProtection="0"/>
    <xf numFmtId="0" fontId="36" fillId="0" borderId="0" applyNumberFormat="0" applyFill="0" applyBorder="0" applyAlignment="0" applyProtection="0"/>
    <xf numFmtId="0" fontId="23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39" fillId="33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43" fontId="4" fillId="0" borderId="0" xfId="1" applyFont="1" applyProtection="1"/>
    <xf numFmtId="43" fontId="4" fillId="35" borderId="14" xfId="1" applyFont="1" applyFill="1" applyBorder="1" applyProtection="1"/>
    <xf numFmtId="43" fontId="4" fillId="35" borderId="15" xfId="1" applyFont="1" applyFill="1" applyBorder="1" applyProtection="1"/>
    <xf numFmtId="43" fontId="0" fillId="0" borderId="0" xfId="1" applyFont="1"/>
    <xf numFmtId="43" fontId="2" fillId="0" borderId="18" xfId="0" applyNumberFormat="1" applyFont="1" applyBorder="1"/>
    <xf numFmtId="0" fontId="2" fillId="0" borderId="18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0" fillId="0" borderId="14" xfId="0" applyFill="1" applyBorder="1"/>
    <xf numFmtId="0" fontId="2" fillId="0" borderId="14" xfId="0" applyFont="1" applyBorder="1" applyAlignment="1">
      <alignment horizontal="center"/>
    </xf>
    <xf numFmtId="43" fontId="2" fillId="0" borderId="15" xfId="1" applyFont="1" applyBorder="1" applyAlignment="1">
      <alignment horizontal="center"/>
    </xf>
    <xf numFmtId="0" fontId="0" fillId="0" borderId="0" xfId="0" applyFill="1"/>
    <xf numFmtId="43" fontId="0" fillId="0" borderId="0" xfId="0" applyNumberFormat="1"/>
    <xf numFmtId="0" fontId="0" fillId="36" borderId="0" xfId="0" applyFill="1" applyBorder="1"/>
    <xf numFmtId="43" fontId="0" fillId="0" borderId="15" xfId="1" applyFont="1" applyFill="1" applyBorder="1"/>
    <xf numFmtId="43" fontId="5" fillId="35" borderId="14" xfId="1" applyFont="1" applyFill="1" applyBorder="1" applyProtection="1"/>
    <xf numFmtId="43" fontId="5" fillId="35" borderId="15" xfId="1" applyFont="1" applyFill="1" applyBorder="1" applyProtection="1"/>
    <xf numFmtId="0" fontId="40" fillId="37" borderId="12" xfId="0" applyFont="1" applyFill="1" applyBorder="1" applyAlignment="1" applyProtection="1">
      <alignment horizontal="center" vertical="center" wrapText="1"/>
    </xf>
    <xf numFmtId="14" fontId="40" fillId="37" borderId="13" xfId="0" applyNumberFormat="1" applyFont="1" applyFill="1" applyBorder="1" applyAlignment="1" applyProtection="1">
      <alignment horizontal="center" vertical="center" wrapText="1"/>
    </xf>
    <xf numFmtId="43" fontId="2" fillId="37" borderId="15" xfId="1" applyFont="1" applyFill="1" applyBorder="1" applyAlignment="1">
      <alignment horizontal="center"/>
    </xf>
    <xf numFmtId="43" fontId="2" fillId="37" borderId="14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2" fillId="0" borderId="0" xfId="1" applyFont="1" applyBorder="1"/>
    <xf numFmtId="43" fontId="40" fillId="39" borderId="2" xfId="1" applyFont="1" applyFill="1" applyBorder="1" applyProtection="1"/>
    <xf numFmtId="0" fontId="40" fillId="40" borderId="2" xfId="0" applyFont="1" applyFill="1" applyBorder="1" applyAlignment="1" applyProtection="1">
      <alignment horizontal="center" vertical="center" wrapText="1"/>
    </xf>
    <xf numFmtId="167" fontId="40" fillId="40" borderId="2" xfId="0" applyNumberFormat="1" applyFont="1" applyFill="1" applyBorder="1" applyAlignment="1" applyProtection="1">
      <alignment horizontal="center" vertical="center"/>
    </xf>
    <xf numFmtId="43" fontId="42" fillId="0" borderId="2" xfId="1" applyFont="1" applyFill="1" applyBorder="1" applyProtection="1"/>
    <xf numFmtId="43" fontId="42" fillId="38" borderId="2" xfId="1" applyFont="1" applyFill="1" applyBorder="1" applyProtection="1"/>
    <xf numFmtId="43" fontId="43" fillId="38" borderId="2" xfId="1" applyFont="1" applyFill="1" applyBorder="1" applyProtection="1"/>
    <xf numFmtId="0" fontId="45" fillId="0" borderId="0" xfId="0" applyFont="1" applyFill="1" applyProtection="1"/>
    <xf numFmtId="43" fontId="42" fillId="0" borderId="0" xfId="1" applyFont="1" applyFill="1" applyProtection="1"/>
    <xf numFmtId="43" fontId="45" fillId="0" borderId="0" xfId="1" applyFont="1" applyFill="1" applyProtection="1"/>
    <xf numFmtId="0" fontId="44" fillId="2" borderId="2" xfId="0" applyFont="1" applyFill="1" applyBorder="1" applyAlignment="1" applyProtection="1">
      <alignment horizontal="center" vertical="center"/>
    </xf>
    <xf numFmtId="43" fontId="40" fillId="2" borderId="2" xfId="0" applyNumberFormat="1" applyFont="1" applyFill="1" applyBorder="1" applyAlignment="1" applyProtection="1">
      <alignment horizontal="center" vertical="center" wrapText="1"/>
    </xf>
    <xf numFmtId="43" fontId="46" fillId="2" borderId="2" xfId="0" applyNumberFormat="1" applyFont="1" applyFill="1" applyBorder="1" applyAlignment="1" applyProtection="1">
      <alignment horizontal="center" vertical="center" wrapText="1"/>
    </xf>
    <xf numFmtId="14" fontId="46" fillId="2" borderId="2" xfId="0" applyNumberFormat="1" applyFont="1" applyFill="1" applyBorder="1" applyAlignment="1" applyProtection="1">
      <alignment horizontal="center" vertical="center" wrapText="1"/>
    </xf>
    <xf numFmtId="43" fontId="44" fillId="2" borderId="2" xfId="1" applyFont="1" applyFill="1" applyBorder="1" applyAlignment="1" applyProtection="1">
      <alignment horizontal="center" vertical="center"/>
    </xf>
    <xf numFmtId="43" fontId="46" fillId="0" borderId="1" xfId="0" applyNumberFormat="1" applyFont="1" applyFill="1" applyBorder="1" applyAlignment="1" applyProtection="1">
      <alignment horizontal="center" vertical="center" wrapText="1"/>
    </xf>
    <xf numFmtId="0" fontId="40" fillId="40" borderId="2" xfId="0" applyFont="1" applyFill="1" applyBorder="1" applyProtection="1"/>
    <xf numFmtId="43" fontId="40" fillId="40" borderId="2" xfId="1" applyFont="1" applyFill="1" applyBorder="1" applyAlignment="1" applyProtection="1">
      <alignment vertical="center"/>
    </xf>
    <xf numFmtId="43" fontId="40" fillId="40" borderId="2" xfId="1" applyFont="1" applyFill="1" applyBorder="1" applyProtection="1"/>
    <xf numFmtId="4" fontId="42" fillId="38" borderId="2" xfId="0" applyNumberFormat="1" applyFont="1" applyFill="1" applyBorder="1"/>
    <xf numFmtId="43" fontId="42" fillId="38" borderId="2" xfId="1" applyFont="1" applyFill="1" applyBorder="1"/>
    <xf numFmtId="165" fontId="42" fillId="38" borderId="2" xfId="1" applyNumberFormat="1" applyFont="1" applyFill="1" applyBorder="1"/>
    <xf numFmtId="43" fontId="42" fillId="38" borderId="2" xfId="1" applyFont="1" applyFill="1" applyBorder="1" applyProtection="1">
      <protection locked="0"/>
    </xf>
    <xf numFmtId="43" fontId="42" fillId="38" borderId="2" xfId="1" applyFont="1" applyFill="1" applyBorder="1" applyAlignment="1" applyProtection="1">
      <alignment horizontal="center"/>
    </xf>
    <xf numFmtId="165" fontId="42" fillId="38" borderId="2" xfId="1" applyNumberFormat="1" applyFont="1" applyFill="1" applyBorder="1" applyProtection="1">
      <protection locked="0"/>
    </xf>
    <xf numFmtId="4" fontId="42" fillId="38" borderId="2" xfId="0" applyNumberFormat="1" applyFont="1" applyFill="1" applyBorder="1" applyProtection="1">
      <protection locked="0"/>
    </xf>
    <xf numFmtId="43" fontId="40" fillId="38" borderId="2" xfId="1" applyFont="1" applyFill="1" applyBorder="1"/>
    <xf numFmtId="43" fontId="42" fillId="40" borderId="2" xfId="1" applyFont="1" applyFill="1" applyBorder="1" applyAlignment="1" applyProtection="1">
      <alignment horizontal="center"/>
    </xf>
    <xf numFmtId="43" fontId="42" fillId="0" borderId="2" xfId="1" applyFont="1" applyFill="1" applyBorder="1"/>
    <xf numFmtId="4" fontId="42" fillId="0" borderId="2" xfId="0" applyNumberFormat="1" applyFont="1" applyFill="1" applyBorder="1" applyProtection="1">
      <protection locked="0"/>
    </xf>
    <xf numFmtId="43" fontId="40" fillId="0" borderId="2" xfId="1" applyFont="1" applyFill="1" applyBorder="1" applyProtection="1"/>
    <xf numFmtId="0" fontId="42" fillId="0" borderId="0" xfId="0" applyFont="1" applyFill="1" applyProtection="1"/>
    <xf numFmtId="43" fontId="40" fillId="0" borderId="0" xfId="1" applyFont="1" applyFill="1" applyBorder="1" applyProtection="1"/>
    <xf numFmtId="4" fontId="42" fillId="0" borderId="0" xfId="0" applyNumberFormat="1" applyFont="1" applyFill="1" applyProtection="1"/>
    <xf numFmtId="43" fontId="42" fillId="0" borderId="0" xfId="0" applyNumberFormat="1" applyFont="1" applyFill="1" applyProtection="1"/>
    <xf numFmtId="43" fontId="42" fillId="0" borderId="0" xfId="1" applyFont="1" applyFill="1" applyBorder="1" applyAlignment="1" applyProtection="1">
      <alignment horizontal="center"/>
    </xf>
    <xf numFmtId="0" fontId="40" fillId="0" borderId="0" xfId="0" applyFont="1" applyFill="1" applyAlignment="1" applyProtection="1">
      <alignment horizontal="center"/>
    </xf>
    <xf numFmtId="0" fontId="42" fillId="0" borderId="0" xfId="0" applyFont="1" applyFill="1" applyAlignment="1" applyProtection="1">
      <alignment horizontal="center"/>
    </xf>
    <xf numFmtId="43" fontId="42" fillId="0" borderId="0" xfId="1" applyNumberFormat="1" applyFont="1" applyFill="1" applyProtection="1"/>
    <xf numFmtId="43" fontId="42" fillId="0" borderId="19" xfId="1" applyFont="1" applyFill="1" applyBorder="1" applyProtection="1"/>
    <xf numFmtId="43" fontId="42" fillId="0" borderId="20" xfId="1" applyFont="1" applyFill="1" applyBorder="1" applyProtection="1"/>
    <xf numFmtId="43" fontId="40" fillId="0" borderId="0" xfId="1" applyFont="1" applyFill="1" applyProtection="1"/>
    <xf numFmtId="43" fontId="40" fillId="0" borderId="0" xfId="1" applyFont="1" applyFill="1" applyAlignment="1" applyProtection="1">
      <alignment horizontal="right"/>
    </xf>
    <xf numFmtId="166" fontId="40" fillId="0" borderId="0" xfId="1" applyNumberFormat="1" applyFont="1" applyFill="1" applyAlignment="1" applyProtection="1">
      <alignment horizontal="left" indent="2"/>
    </xf>
    <xf numFmtId="43" fontId="42" fillId="0" borderId="0" xfId="1" applyFont="1" applyFill="1" applyAlignment="1" applyProtection="1">
      <alignment horizontal="center"/>
    </xf>
    <xf numFmtId="14" fontId="47" fillId="0" borderId="0" xfId="0" applyNumberFormat="1" applyFont="1" applyFill="1" applyAlignment="1" applyProtection="1">
      <alignment horizontal="left" wrapText="1"/>
    </xf>
    <xf numFmtId="0" fontId="48" fillId="0" borderId="0" xfId="0" applyFont="1" applyFill="1" applyProtection="1"/>
    <xf numFmtId="43" fontId="42" fillId="0" borderId="0" xfId="0" applyNumberFormat="1" applyFont="1" applyFill="1" applyAlignment="1" applyProtection="1">
      <alignment horizontal="center"/>
    </xf>
    <xf numFmtId="43" fontId="40" fillId="40" borderId="2" xfId="1" applyFont="1" applyFill="1" applyBorder="1" applyAlignment="1" applyProtection="1">
      <alignment horizontal="center" vertical="center"/>
    </xf>
    <xf numFmtId="43" fontId="43" fillId="0" borderId="0" xfId="1" applyFont="1" applyFill="1" applyProtection="1"/>
    <xf numFmtId="43" fontId="42" fillId="0" borderId="0" xfId="1" applyFont="1" applyFill="1" applyBorder="1" applyProtection="1"/>
    <xf numFmtId="43" fontId="49" fillId="2" borderId="2" xfId="1" applyFont="1" applyFill="1" applyBorder="1" applyAlignment="1" applyProtection="1">
      <alignment horizontal="center" vertical="center" wrapText="1"/>
    </xf>
    <xf numFmtId="43" fontId="49" fillId="40" borderId="2" xfId="1" applyFont="1" applyFill="1" applyBorder="1" applyAlignment="1" applyProtection="1">
      <alignment vertical="center"/>
    </xf>
    <xf numFmtId="43" fontId="49" fillId="40" borderId="2" xfId="1" applyFont="1" applyFill="1" applyBorder="1" applyProtection="1"/>
    <xf numFmtId="0" fontId="43" fillId="0" borderId="0" xfId="0" applyFont="1" applyFill="1" applyProtection="1"/>
    <xf numFmtId="43" fontId="43" fillId="0" borderId="0" xfId="1" applyFont="1" applyFill="1" applyBorder="1" applyAlignment="1" applyProtection="1"/>
    <xf numFmtId="43" fontId="43" fillId="0" borderId="0" xfId="0" applyNumberFormat="1" applyFont="1" applyFill="1" applyProtection="1"/>
    <xf numFmtId="43" fontId="5" fillId="35" borderId="16" xfId="1" applyFont="1" applyFill="1" applyBorder="1" applyProtection="1"/>
    <xf numFmtId="43" fontId="5" fillId="35" borderId="17" xfId="1" applyFont="1" applyFill="1" applyBorder="1" applyProtection="1"/>
    <xf numFmtId="165" fontId="42" fillId="0" borderId="2" xfId="1" applyNumberFormat="1" applyFont="1" applyFill="1" applyBorder="1" applyProtection="1">
      <protection locked="0"/>
    </xf>
    <xf numFmtId="43" fontId="42" fillId="0" borderId="2" xfId="1" applyFont="1" applyFill="1" applyBorder="1" applyProtection="1">
      <protection locked="0"/>
    </xf>
    <xf numFmtId="43" fontId="43" fillId="0" borderId="2" xfId="1" applyFont="1" applyFill="1" applyBorder="1" applyProtection="1"/>
    <xf numFmtId="165" fontId="42" fillId="0" borderId="2" xfId="1" applyNumberFormat="1" applyFont="1" applyFill="1" applyBorder="1"/>
    <xf numFmtId="4" fontId="42" fillId="0" borderId="2" xfId="0" applyNumberFormat="1" applyFont="1" applyFill="1" applyBorder="1"/>
    <xf numFmtId="43" fontId="40" fillId="0" borderId="2" xfId="1" applyFont="1" applyFill="1" applyBorder="1"/>
    <xf numFmtId="4" fontId="42" fillId="0" borderId="2" xfId="0" applyNumberFormat="1" applyFont="1" applyFill="1" applyBorder="1" applyProtection="1"/>
    <xf numFmtId="0" fontId="50" fillId="0" borderId="0" xfId="0" applyFont="1" applyFill="1" applyProtection="1"/>
    <xf numFmtId="10" fontId="51" fillId="41" borderId="0" xfId="0" applyNumberFormat="1" applyFont="1" applyFill="1" applyProtection="1"/>
    <xf numFmtId="168" fontId="42" fillId="0" borderId="0" xfId="0" applyNumberFormat="1" applyFont="1" applyFill="1" applyProtection="1"/>
    <xf numFmtId="169" fontId="42" fillId="0" borderId="0" xfId="0" applyNumberFormat="1" applyFont="1" applyFill="1" applyProtection="1"/>
    <xf numFmtId="43" fontId="42" fillId="42" borderId="2" xfId="1" applyFont="1" applyFill="1" applyBorder="1" applyProtection="1"/>
    <xf numFmtId="43" fontId="42" fillId="43" borderId="2" xfId="1" applyFont="1" applyFill="1" applyBorder="1" applyProtection="1"/>
    <xf numFmtId="43" fontId="42" fillId="43" borderId="2" xfId="1" applyFont="1" applyFill="1" applyBorder="1" applyProtection="1">
      <protection locked="0"/>
    </xf>
    <xf numFmtId="43" fontId="43" fillId="43" borderId="2" xfId="1" applyFont="1" applyFill="1" applyBorder="1" applyProtection="1"/>
    <xf numFmtId="43" fontId="42" fillId="43" borderId="2" xfId="1" applyFont="1" applyFill="1" applyBorder="1" applyAlignment="1" applyProtection="1">
      <alignment horizontal="center"/>
    </xf>
    <xf numFmtId="43" fontId="42" fillId="43" borderId="0" xfId="1" applyFont="1" applyFill="1" applyProtection="1"/>
    <xf numFmtId="4" fontId="42" fillId="43" borderId="2" xfId="0" applyNumberFormat="1" applyFont="1" applyFill="1" applyBorder="1"/>
    <xf numFmtId="43" fontId="42" fillId="43" borderId="2" xfId="1" applyFont="1" applyFill="1" applyBorder="1"/>
    <xf numFmtId="4" fontId="42" fillId="43" borderId="2" xfId="0" applyNumberFormat="1" applyFont="1" applyFill="1" applyBorder="1" applyProtection="1">
      <protection locked="0"/>
    </xf>
    <xf numFmtId="43" fontId="40" fillId="43" borderId="2" xfId="1" applyFont="1" applyFill="1" applyBorder="1"/>
    <xf numFmtId="165" fontId="40" fillId="43" borderId="2" xfId="1" applyNumberFormat="1" applyFont="1" applyFill="1" applyBorder="1"/>
    <xf numFmtId="43" fontId="40" fillId="43" borderId="2" xfId="1" applyFont="1" applyFill="1" applyBorder="1" applyProtection="1"/>
    <xf numFmtId="43" fontId="43" fillId="43" borderId="0" xfId="1" applyFont="1" applyFill="1" applyProtection="1"/>
    <xf numFmtId="43" fontId="49" fillId="43" borderId="2" xfId="1" applyFont="1" applyFill="1" applyBorder="1" applyAlignment="1" applyProtection="1">
      <alignment horizontal="center"/>
    </xf>
    <xf numFmtId="4" fontId="42" fillId="44" borderId="2" xfId="0" applyNumberFormat="1" applyFont="1" applyFill="1" applyBorder="1"/>
    <xf numFmtId="43" fontId="42" fillId="44" borderId="2" xfId="1" applyFont="1" applyFill="1" applyBorder="1" applyProtection="1"/>
    <xf numFmtId="43" fontId="42" fillId="44" borderId="2" xfId="1" applyFont="1" applyFill="1" applyBorder="1" applyAlignment="1" applyProtection="1">
      <alignment horizontal="center"/>
    </xf>
    <xf numFmtId="4" fontId="42" fillId="45" borderId="2" xfId="0" applyNumberFormat="1" applyFont="1" applyFill="1" applyBorder="1"/>
    <xf numFmtId="4" fontId="42" fillId="37" borderId="2" xfId="0" applyNumberFormat="1" applyFont="1" applyFill="1" applyBorder="1"/>
    <xf numFmtId="43" fontId="42" fillId="37" borderId="2" xfId="1" applyFont="1" applyFill="1" applyBorder="1" applyProtection="1"/>
    <xf numFmtId="43" fontId="42" fillId="37" borderId="2" xfId="1" applyFont="1" applyFill="1" applyBorder="1" applyAlignment="1" applyProtection="1">
      <alignment horizontal="center"/>
    </xf>
    <xf numFmtId="43" fontId="42" fillId="37" borderId="2" xfId="1" applyFont="1" applyFill="1" applyBorder="1" applyAlignment="1" applyProtection="1"/>
    <xf numFmtId="4" fontId="42" fillId="46" borderId="2" xfId="0" applyNumberFormat="1" applyFont="1" applyFill="1" applyBorder="1"/>
    <xf numFmtId="43" fontId="42" fillId="46" borderId="2" xfId="1" applyFont="1" applyFill="1" applyBorder="1"/>
    <xf numFmtId="4" fontId="42" fillId="34" borderId="2" xfId="0" applyNumberFormat="1" applyFont="1" applyFill="1" applyBorder="1"/>
    <xf numFmtId="43" fontId="42" fillId="34" borderId="2" xfId="1" applyFont="1" applyFill="1" applyBorder="1" applyProtection="1"/>
    <xf numFmtId="43" fontId="42" fillId="34" borderId="2" xfId="1" applyFont="1" applyFill="1" applyBorder="1" applyAlignment="1" applyProtection="1">
      <alignment horizontal="center"/>
    </xf>
    <xf numFmtId="4" fontId="42" fillId="34" borderId="2" xfId="0" applyNumberFormat="1" applyFont="1" applyFill="1" applyBorder="1" applyAlignment="1">
      <alignment horizontal="right"/>
    </xf>
    <xf numFmtId="4" fontId="42" fillId="47" borderId="2" xfId="0" applyNumberFormat="1" applyFont="1" applyFill="1" applyBorder="1"/>
    <xf numFmtId="43" fontId="42" fillId="47" borderId="2" xfId="1" applyFont="1" applyFill="1" applyBorder="1" applyProtection="1"/>
    <xf numFmtId="43" fontId="42" fillId="47" borderId="2" xfId="1" applyFont="1" applyFill="1" applyBorder="1" applyAlignment="1" applyProtection="1">
      <alignment horizontal="center"/>
    </xf>
    <xf numFmtId="43" fontId="42" fillId="47" borderId="2" xfId="1" applyFont="1" applyFill="1" applyBorder="1" applyAlignment="1" applyProtection="1"/>
    <xf numFmtId="4" fontId="42" fillId="48" borderId="2" xfId="0" applyNumberFormat="1" applyFont="1" applyFill="1" applyBorder="1" applyProtection="1"/>
    <xf numFmtId="170" fontId="40" fillId="39" borderId="13" xfId="1" applyNumberFormat="1" applyFont="1" applyFill="1" applyBorder="1" applyProtection="1"/>
    <xf numFmtId="171" fontId="40" fillId="39" borderId="17" xfId="1" applyNumberFormat="1" applyFont="1" applyFill="1" applyBorder="1" applyProtection="1"/>
    <xf numFmtId="0" fontId="40" fillId="40" borderId="23" xfId="0" applyFont="1" applyFill="1" applyBorder="1" applyAlignment="1" applyProtection="1">
      <alignment horizontal="center" vertical="center" wrapText="1"/>
    </xf>
    <xf numFmtId="167" fontId="40" fillId="40" borderId="24" xfId="0" applyNumberFormat="1" applyFont="1" applyFill="1" applyBorder="1" applyAlignment="1" applyProtection="1">
      <alignment horizontal="center" vertical="center"/>
    </xf>
    <xf numFmtId="43" fontId="42" fillId="46" borderId="2" xfId="1" applyFont="1" applyFill="1" applyBorder="1" applyProtection="1"/>
    <xf numFmtId="43" fontId="42" fillId="46" borderId="2" xfId="1" applyFont="1" applyFill="1" applyBorder="1" applyAlignment="1" applyProtection="1">
      <alignment horizontal="center"/>
    </xf>
    <xf numFmtId="4" fontId="42" fillId="46" borderId="2" xfId="0" applyNumberFormat="1" applyFont="1" applyFill="1" applyBorder="1" applyAlignment="1">
      <alignment horizontal="right"/>
    </xf>
    <xf numFmtId="4" fontId="42" fillId="49" borderId="2" xfId="0" applyNumberFormat="1" applyFont="1" applyFill="1" applyBorder="1"/>
    <xf numFmtId="43" fontId="42" fillId="49" borderId="2" xfId="1" applyFont="1" applyFill="1" applyBorder="1" applyProtection="1"/>
    <xf numFmtId="43" fontId="42" fillId="49" borderId="2" xfId="1" applyFont="1" applyFill="1" applyBorder="1" applyAlignment="1" applyProtection="1">
      <alignment horizontal="center"/>
    </xf>
    <xf numFmtId="43" fontId="42" fillId="49" borderId="2" xfId="1" applyFont="1" applyFill="1" applyBorder="1" applyAlignment="1" applyProtection="1"/>
    <xf numFmtId="170" fontId="40" fillId="0" borderId="13" xfId="1" applyNumberFormat="1" applyFont="1" applyFill="1" applyBorder="1" applyProtection="1"/>
    <xf numFmtId="171" fontId="40" fillId="0" borderId="17" xfId="1" applyNumberFormat="1" applyFont="1" applyFill="1" applyBorder="1" applyProtection="1"/>
    <xf numFmtId="171" fontId="40" fillId="0" borderId="25" xfId="1" applyNumberFormat="1" applyFont="1" applyFill="1" applyBorder="1" applyProtection="1"/>
    <xf numFmtId="43" fontId="44" fillId="40" borderId="12" xfId="1" applyFont="1" applyFill="1" applyBorder="1" applyAlignment="1" applyProtection="1">
      <alignment horizontal="right"/>
    </xf>
    <xf numFmtId="43" fontId="44" fillId="40" borderId="16" xfId="1" applyFont="1" applyFill="1" applyBorder="1" applyAlignment="1" applyProtection="1">
      <alignment horizontal="right"/>
    </xf>
    <xf numFmtId="43" fontId="45" fillId="0" borderId="0" xfId="1" applyFont="1" applyFill="1" applyAlignment="1" applyProtection="1"/>
    <xf numFmtId="43" fontId="42" fillId="48" borderId="2" xfId="1" applyFont="1" applyFill="1" applyBorder="1" applyProtection="1"/>
    <xf numFmtId="43" fontId="42" fillId="47" borderId="0" xfId="1" applyFont="1" applyFill="1" applyProtection="1"/>
    <xf numFmtId="168" fontId="45" fillId="0" borderId="0" xfId="0" applyNumberFormat="1" applyFont="1" applyFill="1" applyProtection="1"/>
    <xf numFmtId="4" fontId="42" fillId="42" borderId="2" xfId="0" applyNumberFormat="1" applyFont="1" applyFill="1" applyBorder="1"/>
    <xf numFmtId="43" fontId="42" fillId="42" borderId="2" xfId="1" applyFont="1" applyFill="1" applyBorder="1" applyAlignment="1" applyProtection="1">
      <alignment horizontal="center"/>
    </xf>
    <xf numFmtId="43" fontId="2" fillId="37" borderId="27" xfId="1" applyFont="1" applyFill="1" applyBorder="1" applyAlignment="1">
      <alignment horizontal="center"/>
    </xf>
    <xf numFmtId="43" fontId="0" fillId="0" borderId="27" xfId="1" applyFont="1" applyFill="1" applyBorder="1"/>
    <xf numFmtId="43" fontId="2" fillId="0" borderId="27" xfId="1" applyFont="1" applyBorder="1" applyAlignment="1">
      <alignment horizontal="center"/>
    </xf>
    <xf numFmtId="43" fontId="42" fillId="45" borderId="2" xfId="1" applyFont="1" applyFill="1" applyBorder="1" applyAlignment="1" applyProtection="1">
      <alignment horizontal="center"/>
    </xf>
    <xf numFmtId="4" fontId="42" fillId="45" borderId="2" xfId="0" applyNumberFormat="1" applyFont="1" applyFill="1" applyBorder="1" applyAlignment="1">
      <alignment horizontal="right"/>
    </xf>
    <xf numFmtId="43" fontId="42" fillId="45" borderId="2" xfId="1" applyFont="1" applyFill="1" applyBorder="1"/>
    <xf numFmtId="4" fontId="42" fillId="50" borderId="2" xfId="0" applyNumberFormat="1" applyFont="1" applyFill="1" applyBorder="1"/>
    <xf numFmtId="43" fontId="42" fillId="50" borderId="2" xfId="1" applyFont="1" applyFill="1" applyBorder="1" applyProtection="1"/>
    <xf numFmtId="43" fontId="42" fillId="50" borderId="2" xfId="1" applyFont="1" applyFill="1" applyBorder="1" applyAlignment="1" applyProtection="1">
      <alignment horizontal="center"/>
    </xf>
    <xf numFmtId="43" fontId="42" fillId="50" borderId="2" xfId="1" applyFont="1" applyFill="1" applyBorder="1" applyAlignment="1" applyProtection="1"/>
    <xf numFmtId="14" fontId="52" fillId="0" borderId="0" xfId="0" applyNumberFormat="1" applyFont="1" applyFill="1" applyAlignment="1" applyProtection="1">
      <alignment horizontal="left" wrapText="1"/>
    </xf>
    <xf numFmtId="0" fontId="40" fillId="2" borderId="2" xfId="0" applyFont="1" applyFill="1" applyBorder="1" applyAlignment="1" applyProtection="1">
      <alignment horizontal="center" vertical="center"/>
    </xf>
    <xf numFmtId="14" fontId="40" fillId="2" borderId="2" xfId="0" applyNumberFormat="1" applyFont="1" applyFill="1" applyBorder="1" applyAlignment="1" applyProtection="1">
      <alignment horizontal="center" vertical="center" wrapText="1"/>
    </xf>
    <xf numFmtId="43" fontId="40" fillId="2" borderId="2" xfId="1" applyFont="1" applyFill="1" applyBorder="1" applyAlignment="1" applyProtection="1">
      <alignment horizontal="center" vertical="center" wrapText="1"/>
    </xf>
    <xf numFmtId="43" fontId="40" fillId="2" borderId="2" xfId="1" applyFont="1" applyFill="1" applyBorder="1" applyAlignment="1" applyProtection="1">
      <alignment horizontal="center" vertical="center"/>
    </xf>
    <xf numFmtId="43" fontId="40" fillId="0" borderId="1" xfId="0" applyNumberFormat="1" applyFont="1" applyFill="1" applyBorder="1" applyAlignment="1" applyProtection="1">
      <alignment horizontal="center" vertical="center" wrapText="1"/>
    </xf>
    <xf numFmtId="10" fontId="53" fillId="41" borderId="0" xfId="0" applyNumberFormat="1" applyFont="1" applyFill="1" applyProtection="1"/>
    <xf numFmtId="43" fontId="42" fillId="0" borderId="0" xfId="1" applyFont="1" applyFill="1" applyBorder="1" applyAlignment="1" applyProtection="1"/>
    <xf numFmtId="43" fontId="40" fillId="40" borderId="12" xfId="1" applyFont="1" applyFill="1" applyBorder="1" applyAlignment="1" applyProtection="1">
      <alignment horizontal="right"/>
    </xf>
    <xf numFmtId="43" fontId="40" fillId="40" borderId="16" xfId="1" applyFont="1" applyFill="1" applyBorder="1" applyAlignment="1" applyProtection="1">
      <alignment horizontal="right"/>
    </xf>
    <xf numFmtId="43" fontId="42" fillId="0" borderId="0" xfId="1" applyFont="1" applyFill="1" applyAlignment="1" applyProtection="1"/>
    <xf numFmtId="165" fontId="43" fillId="0" borderId="2" xfId="1" applyNumberFormat="1" applyFont="1" applyFill="1" applyBorder="1" applyProtection="1">
      <protection locked="0"/>
    </xf>
    <xf numFmtId="170" fontId="42" fillId="0" borderId="0" xfId="1" applyNumberFormat="1" applyFont="1" applyFill="1" applyProtection="1"/>
    <xf numFmtId="172" fontId="40" fillId="0" borderId="0" xfId="1" applyNumberFormat="1" applyFont="1" applyFill="1" applyProtection="1"/>
    <xf numFmtId="170" fontId="42" fillId="0" borderId="0" xfId="1" applyNumberFormat="1" applyFont="1" applyFill="1" applyBorder="1" applyProtection="1"/>
    <xf numFmtId="43" fontId="40" fillId="0" borderId="0" xfId="1" applyFont="1" applyFill="1" applyBorder="1" applyAlignment="1" applyProtection="1">
      <alignment horizontal="center"/>
    </xf>
    <xf numFmtId="43" fontId="40" fillId="0" borderId="0" xfId="1" applyFont="1" applyFill="1" applyAlignment="1" applyProtection="1">
      <alignment horizontal="center"/>
    </xf>
    <xf numFmtId="43" fontId="0" fillId="0" borderId="2" xfId="1" applyFont="1" applyBorder="1"/>
    <xf numFmtId="43" fontId="2" fillId="0" borderId="2" xfId="1" applyFont="1" applyBorder="1"/>
    <xf numFmtId="0" fontId="2" fillId="0" borderId="2" xfId="0" applyFont="1" applyBorder="1"/>
    <xf numFmtId="43" fontId="2" fillId="0" borderId="0" xfId="0" applyNumberFormat="1" applyFont="1"/>
    <xf numFmtId="0" fontId="2" fillId="0" borderId="0" xfId="0" applyFont="1" applyAlignment="1"/>
    <xf numFmtId="43" fontId="2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3" fontId="2" fillId="0" borderId="2" xfId="0" applyNumberFormat="1" applyFont="1" applyBorder="1"/>
    <xf numFmtId="4" fontId="42" fillId="47" borderId="2" xfId="0" applyNumberFormat="1" applyFont="1" applyFill="1" applyBorder="1" applyAlignment="1">
      <alignment horizontal="right"/>
    </xf>
    <xf numFmtId="4" fontId="42" fillId="35" borderId="2" xfId="0" applyNumberFormat="1" applyFont="1" applyFill="1" applyBorder="1"/>
    <xf numFmtId="0" fontId="47" fillId="0" borderId="0" xfId="0" applyFont="1" applyFill="1" applyAlignment="1" applyProtection="1">
      <alignment horizontal="right" wrapText="1"/>
    </xf>
    <xf numFmtId="0" fontId="52" fillId="0" borderId="0" xfId="0" applyFont="1" applyFill="1" applyAlignment="1" applyProtection="1">
      <alignment horizontal="right" wrapText="1"/>
    </xf>
    <xf numFmtId="43" fontId="40" fillId="0" borderId="21" xfId="1" applyFont="1" applyFill="1" applyBorder="1" applyAlignment="1" applyProtection="1">
      <alignment horizontal="center" vertical="center"/>
    </xf>
    <xf numFmtId="43" fontId="40" fillId="0" borderId="22" xfId="1" applyFont="1" applyFill="1" applyBorder="1" applyAlignment="1" applyProtection="1">
      <alignment horizontal="center" vertical="center"/>
    </xf>
    <xf numFmtId="43" fontId="40" fillId="0" borderId="19" xfId="1" applyFont="1" applyFill="1" applyBorder="1" applyAlignment="1" applyProtection="1">
      <alignment horizontal="center" vertical="center"/>
    </xf>
    <xf numFmtId="0" fontId="2" fillId="37" borderId="12" xfId="0" applyFont="1" applyFill="1" applyBorder="1" applyAlignment="1">
      <alignment horizontal="center" vertical="center" wrapText="1"/>
    </xf>
    <xf numFmtId="0" fontId="2" fillId="37" borderId="26" xfId="0" applyFont="1" applyFill="1" applyBorder="1" applyAlignment="1">
      <alignment horizontal="center" vertical="center" wrapText="1"/>
    </xf>
    <xf numFmtId="0" fontId="2" fillId="37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94">
    <cellStyle name="20% - Énfasis1" xfId="24" builtinId="30" customBuiltin="1"/>
    <cellStyle name="20% - Énfasis1 2" xfId="66"/>
    <cellStyle name="20% - Énfasis2" xfId="28" builtinId="34" customBuiltin="1"/>
    <cellStyle name="20% - Énfasis2 2" xfId="70"/>
    <cellStyle name="20% - Énfasis3" xfId="32" builtinId="38" customBuiltin="1"/>
    <cellStyle name="20% - Énfasis3 2" xfId="74"/>
    <cellStyle name="20% - Énfasis4" xfId="36" builtinId="42" customBuiltin="1"/>
    <cellStyle name="20% - Énfasis4 2" xfId="78"/>
    <cellStyle name="20% - Énfasis5" xfId="40" builtinId="46" customBuiltin="1"/>
    <cellStyle name="20% - Énfasis5 2" xfId="82"/>
    <cellStyle name="20% - Énfasis6" xfId="44" builtinId="50" customBuiltin="1"/>
    <cellStyle name="20% - Énfasis6 2" xfId="86"/>
    <cellStyle name="40% - Énfasis1" xfId="25" builtinId="31" customBuiltin="1"/>
    <cellStyle name="40% - Énfasis1 2" xfId="67"/>
    <cellStyle name="40% - Énfasis2" xfId="29" builtinId="35" customBuiltin="1"/>
    <cellStyle name="40% - Énfasis2 2" xfId="71"/>
    <cellStyle name="40% - Énfasis3" xfId="33" builtinId="39" customBuiltin="1"/>
    <cellStyle name="40% - Énfasis3 2" xfId="75"/>
    <cellStyle name="40% - Énfasis4" xfId="37" builtinId="43" customBuiltin="1"/>
    <cellStyle name="40% - Énfasis4 2" xfId="79"/>
    <cellStyle name="40% - Énfasis5" xfId="41" builtinId="47" customBuiltin="1"/>
    <cellStyle name="40% - Énfasis5 2" xfId="83"/>
    <cellStyle name="40% - Énfasis6" xfId="45" builtinId="51" customBuiltin="1"/>
    <cellStyle name="40% - Énfasis6 2" xfId="87"/>
    <cellStyle name="60% - Énfasis1" xfId="26" builtinId="32" customBuiltin="1"/>
    <cellStyle name="60% - Énfasis1 2" xfId="68"/>
    <cellStyle name="60% - Énfasis2" xfId="30" builtinId="36" customBuiltin="1"/>
    <cellStyle name="60% - Énfasis2 2" xfId="72"/>
    <cellStyle name="60% - Énfasis3" xfId="34" builtinId="40" customBuiltin="1"/>
    <cellStyle name="60% - Énfasis3 2" xfId="76"/>
    <cellStyle name="60% - Énfasis4" xfId="38" builtinId="44" customBuiltin="1"/>
    <cellStyle name="60% - Énfasis4 2" xfId="80"/>
    <cellStyle name="60% - Énfasis5" xfId="42" builtinId="48" customBuiltin="1"/>
    <cellStyle name="60% - Énfasis5 2" xfId="84"/>
    <cellStyle name="60% - Énfasis6" xfId="46" builtinId="52" customBuiltin="1"/>
    <cellStyle name="60% - Énfasis6 2" xfId="88"/>
    <cellStyle name="Buena" xfId="11" builtinId="26" customBuiltin="1"/>
    <cellStyle name="Buena 2" xfId="53"/>
    <cellStyle name="Cálculo" xfId="16" builtinId="22" customBuiltin="1"/>
    <cellStyle name="Cálculo 2" xfId="58"/>
    <cellStyle name="Celda de comprobación" xfId="18" builtinId="23" customBuiltin="1"/>
    <cellStyle name="Celda de comprobación 2" xfId="60"/>
    <cellStyle name="Celda vinculada" xfId="17" builtinId="24" customBuiltin="1"/>
    <cellStyle name="Celda vinculada 2" xfId="59"/>
    <cellStyle name="Encabezado 1 2" xfId="49"/>
    <cellStyle name="Encabezado 4" xfId="10" builtinId="19" customBuiltin="1"/>
    <cellStyle name="Encabezado 4 2" xfId="52"/>
    <cellStyle name="Énfasis1" xfId="23" builtinId="29" customBuiltin="1"/>
    <cellStyle name="Énfasis1 2" xfId="65"/>
    <cellStyle name="Énfasis2" xfId="27" builtinId="33" customBuiltin="1"/>
    <cellStyle name="Énfasis2 2" xfId="69"/>
    <cellStyle name="Énfasis3" xfId="31" builtinId="37" customBuiltin="1"/>
    <cellStyle name="Énfasis3 2" xfId="73"/>
    <cellStyle name="Énfasis4" xfId="35" builtinId="41" customBuiltin="1"/>
    <cellStyle name="Énfasis4 2" xfId="77"/>
    <cellStyle name="Énfasis5" xfId="39" builtinId="45" customBuiltin="1"/>
    <cellStyle name="Énfasis5 2" xfId="81"/>
    <cellStyle name="Énfasis6" xfId="43" builtinId="49" customBuiltin="1"/>
    <cellStyle name="Énfasis6 2" xfId="85"/>
    <cellStyle name="Entrada" xfId="14" builtinId="20" customBuiltin="1"/>
    <cellStyle name="Entrada 2" xfId="56"/>
    <cellStyle name="Incorrecto" xfId="12" builtinId="27" customBuiltin="1"/>
    <cellStyle name="Incorrecto 2" xfId="54"/>
    <cellStyle name="Millares" xfId="1" builtinId="3"/>
    <cellStyle name="Millares 10 4 15 2" xfId="4"/>
    <cellStyle name="Millares 10 4 15 2 2" xfId="91"/>
    <cellStyle name="Millares 10 4 2 12 2 2 2 6 34 2 7" xfId="3"/>
    <cellStyle name="Millares 10 4 2 12 2 2 2 6 34 2 7 2" xfId="90"/>
    <cellStyle name="Millares 2" xfId="89"/>
    <cellStyle name="Millares 3" xfId="93"/>
    <cellStyle name="Neutral" xfId="13" builtinId="28" customBuiltin="1"/>
    <cellStyle name="Neutral 2" xfId="55"/>
    <cellStyle name="Normal" xfId="0" builtinId="0"/>
    <cellStyle name="Normal 2" xfId="2"/>
    <cellStyle name="Normal 2 2" xfId="5"/>
    <cellStyle name="Normal 2 2 2" xfId="92"/>
    <cellStyle name="Normal 3" xfId="47"/>
    <cellStyle name="Notas" xfId="20" builtinId="10" customBuiltin="1"/>
    <cellStyle name="Notas 2" xfId="62"/>
    <cellStyle name="Salida" xfId="15" builtinId="21" customBuiltin="1"/>
    <cellStyle name="Salida 2" xfId="57"/>
    <cellStyle name="Texto de advertencia" xfId="19" builtinId="11" customBuiltin="1"/>
    <cellStyle name="Texto de advertencia 2" xfId="61"/>
    <cellStyle name="Texto explicativo" xfId="21" builtinId="53" customBuiltin="1"/>
    <cellStyle name="Texto explicativo 2" xfId="63"/>
    <cellStyle name="Título" xfId="6" builtinId="15" customBuiltin="1"/>
    <cellStyle name="Título 1" xfId="7" builtinId="16" customBuiltin="1"/>
    <cellStyle name="Título 2" xfId="8" builtinId="17" customBuiltin="1"/>
    <cellStyle name="Título 2 2" xfId="50"/>
    <cellStyle name="Título 3" xfId="9" builtinId="18" customBuiltin="1"/>
    <cellStyle name="Título 3 2" xfId="51"/>
    <cellStyle name="Título 4" xfId="48"/>
    <cellStyle name="Total" xfId="22" builtinId="25" customBuiltin="1"/>
    <cellStyle name="Total 2" xfId="6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33CC"/>
      <color rgb="FFCC99FF"/>
      <color rgb="FFCCCCFF"/>
      <color rgb="FFFFFF99"/>
      <color rgb="FFFF3300"/>
      <color rgb="FFFFCC99"/>
      <color rgb="FFFFCC66"/>
      <color rgb="FF00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50"/>
    <pageSetUpPr fitToPage="1"/>
  </sheetPr>
  <dimension ref="A1:O124"/>
  <sheetViews>
    <sheetView showGridLines="0" zoomScale="115" zoomScaleNormal="115" zoomScaleSheetLayoutView="100" workbookViewId="0">
      <pane xSplit="1" ySplit="4" topLeftCell="B111" activePane="bottomRight" state="frozen"/>
      <selection pane="topRight" activeCell="B1" sqref="B1"/>
      <selection pane="bottomLeft" activeCell="A6" sqref="A6"/>
      <selection pane="bottomRight" activeCell="C104" sqref="C104"/>
    </sheetView>
  </sheetViews>
  <sheetFormatPr baseColWidth="10" defaultRowHeight="15.75" outlineLevelRow="1" x14ac:dyDescent="0.25"/>
  <cols>
    <col min="1" max="1" width="24.42578125" style="30" customWidth="1"/>
    <col min="2" max="2" width="17.5703125" style="30" customWidth="1"/>
    <col min="3" max="3" width="14.140625" style="31" customWidth="1"/>
    <col min="4" max="4" width="21.85546875" style="32" customWidth="1"/>
    <col min="5" max="5" width="16.140625" style="32" customWidth="1"/>
    <col min="6" max="6" width="15.5703125" style="32" customWidth="1"/>
    <col min="7" max="7" width="17.7109375" style="32" customWidth="1"/>
    <col min="8" max="8" width="13.7109375" style="32" hidden="1" customWidth="1"/>
    <col min="9" max="9" width="17.85546875" style="72" hidden="1" customWidth="1"/>
    <col min="10" max="10" width="16.5703125" style="32" customWidth="1"/>
    <col min="11" max="11" width="19.7109375" style="32" hidden="1" customWidth="1"/>
    <col min="12" max="12" width="9.140625" style="54" bestFit="1" customWidth="1"/>
    <col min="13" max="16384" width="11.42578125" style="30"/>
  </cols>
  <sheetData>
    <row r="1" spans="1:15" ht="4.5" customHeight="1" x14ac:dyDescent="0.25"/>
    <row r="2" spans="1:15" s="69" customFormat="1" ht="18.75" customHeight="1" x14ac:dyDescent="0.3">
      <c r="A2" s="186" t="s">
        <v>102</v>
      </c>
      <c r="B2" s="186"/>
      <c r="C2" s="186"/>
      <c r="D2" s="186"/>
      <c r="E2" s="186"/>
      <c r="F2" s="186"/>
      <c r="G2" s="186"/>
      <c r="H2" s="186"/>
      <c r="I2" s="186"/>
      <c r="J2" s="68">
        <v>45141</v>
      </c>
      <c r="L2" s="89"/>
    </row>
    <row r="3" spans="1:15" ht="6.75" customHeight="1" x14ac:dyDescent="0.25"/>
    <row r="4" spans="1:15" ht="37.5" customHeight="1" x14ac:dyDescent="0.35">
      <c r="A4" s="33" t="s">
        <v>23</v>
      </c>
      <c r="B4" s="34" t="s">
        <v>113</v>
      </c>
      <c r="C4" s="34" t="s">
        <v>117</v>
      </c>
      <c r="D4" s="35" t="s">
        <v>123</v>
      </c>
      <c r="E4" s="35" t="s">
        <v>59</v>
      </c>
      <c r="F4" s="35" t="s">
        <v>122</v>
      </c>
      <c r="G4" s="36" t="s">
        <v>114</v>
      </c>
      <c r="H4" s="35" t="s">
        <v>115</v>
      </c>
      <c r="I4" s="74" t="s">
        <v>116</v>
      </c>
      <c r="J4" s="37" t="s">
        <v>21</v>
      </c>
      <c r="K4" s="38"/>
      <c r="L4" s="90">
        <v>2.5000000000000001E-2</v>
      </c>
    </row>
    <row r="5" spans="1:15" s="54" customFormat="1" x14ac:dyDescent="0.25">
      <c r="A5" s="39" t="s">
        <v>1</v>
      </c>
      <c r="B5" s="40">
        <f t="shared" ref="B5:J5" si="0">SUM(B6:B11)</f>
        <v>711964.72</v>
      </c>
      <c r="C5" s="40">
        <f t="shared" si="0"/>
        <v>191000</v>
      </c>
      <c r="D5" s="40">
        <f t="shared" si="0"/>
        <v>13945.170000000002</v>
      </c>
      <c r="E5" s="40">
        <f t="shared" si="0"/>
        <v>0</v>
      </c>
      <c r="F5" s="40">
        <f>SUM(F6:F11)</f>
        <v>0</v>
      </c>
      <c r="G5" s="40">
        <f t="shared" si="0"/>
        <v>474564.58999999997</v>
      </c>
      <c r="H5" s="40">
        <f t="shared" si="0"/>
        <v>0</v>
      </c>
      <c r="I5" s="75">
        <f t="shared" si="0"/>
        <v>16987.744000000002</v>
      </c>
      <c r="J5" s="40">
        <f t="shared" si="0"/>
        <v>15467.215999999979</v>
      </c>
      <c r="K5" s="41"/>
    </row>
    <row r="6" spans="1:15" s="31" customFormat="1" outlineLevel="1" x14ac:dyDescent="0.25">
      <c r="A6" s="28" t="s">
        <v>2</v>
      </c>
      <c r="B6" s="117">
        <v>70457.95</v>
      </c>
      <c r="C6" s="43"/>
      <c r="D6" s="43"/>
      <c r="E6" s="43"/>
      <c r="F6" s="43"/>
      <c r="G6" s="44">
        <v>62833</v>
      </c>
      <c r="H6" s="45"/>
      <c r="I6" s="29">
        <f t="shared" ref="I6:I11" si="1">SUM(C6:H6)*$L$4</f>
        <v>1570.825</v>
      </c>
      <c r="J6" s="46">
        <f>B6-(C6+D6+E6+F6+H6+I6+G6)</f>
        <v>6054.125</v>
      </c>
      <c r="K6" s="43"/>
      <c r="O6" s="31">
        <f>835.36*28.8789</f>
        <v>24124.277904000002</v>
      </c>
    </row>
    <row r="7" spans="1:15" s="31" customFormat="1" outlineLevel="1" x14ac:dyDescent="0.25">
      <c r="A7" s="28" t="s">
        <v>3</v>
      </c>
      <c r="B7" s="117">
        <v>86000</v>
      </c>
      <c r="C7" s="43">
        <v>74000</v>
      </c>
      <c r="D7" s="43">
        <v>8930</v>
      </c>
      <c r="E7" s="43"/>
      <c r="F7" s="43"/>
      <c r="G7" s="47"/>
      <c r="H7" s="45"/>
      <c r="I7" s="29">
        <f t="shared" si="1"/>
        <v>2073.25</v>
      </c>
      <c r="J7" s="46">
        <f>B7-(C7+D7+E7+F7+H7+I7+G7)</f>
        <v>996.75</v>
      </c>
      <c r="K7" s="43"/>
    </row>
    <row r="8" spans="1:15" s="31" customFormat="1" outlineLevel="1" x14ac:dyDescent="0.25">
      <c r="A8" s="28" t="s">
        <v>4</v>
      </c>
      <c r="B8" s="117">
        <v>547281.98</v>
      </c>
      <c r="C8" s="43">
        <v>117000</v>
      </c>
      <c r="D8" s="43">
        <f>2602.5+93+1179.89+134.98+135.43+261.42+225.47+240.96+141.52</f>
        <v>5015.170000000001</v>
      </c>
      <c r="E8" s="43"/>
      <c r="F8" s="43"/>
      <c r="G8" s="47">
        <f>700+3148.47+75000+120385.82+73285.21+103624.62+20980+14607.47</f>
        <v>411731.58999999997</v>
      </c>
      <c r="H8" s="45"/>
      <c r="I8" s="29">
        <f t="shared" si="1"/>
        <v>13343.669000000002</v>
      </c>
      <c r="J8" s="46">
        <f>B8-(C8+D8+E8+F8+H8+I8+G8)</f>
        <v>191.55099999997765</v>
      </c>
      <c r="K8" s="43"/>
    </row>
    <row r="9" spans="1:15" s="31" customFormat="1" outlineLevel="1" x14ac:dyDescent="0.25">
      <c r="A9" s="28" t="s">
        <v>29</v>
      </c>
      <c r="B9" s="107">
        <v>4388.8900000000003</v>
      </c>
      <c r="C9" s="43"/>
      <c r="D9" s="43"/>
      <c r="E9" s="43"/>
      <c r="F9" s="43"/>
      <c r="G9" s="45"/>
      <c r="H9" s="43"/>
      <c r="I9" s="29">
        <f t="shared" si="1"/>
        <v>0</v>
      </c>
      <c r="J9" s="46">
        <f t="shared" ref="J9:J11" si="2">B9-(C9+D9+E9+F9+H9+I9+G9)</f>
        <v>4388.8900000000003</v>
      </c>
      <c r="K9" s="43"/>
    </row>
    <row r="10" spans="1:15" s="72" customFormat="1" outlineLevel="1" x14ac:dyDescent="0.25">
      <c r="A10" s="28" t="s">
        <v>56</v>
      </c>
      <c r="B10" s="117">
        <v>1.35</v>
      </c>
      <c r="C10" s="43"/>
      <c r="D10" s="43"/>
      <c r="E10" s="43"/>
      <c r="F10" s="43"/>
      <c r="G10" s="45"/>
      <c r="H10" s="43"/>
      <c r="I10" s="28">
        <f t="shared" si="1"/>
        <v>0</v>
      </c>
      <c r="J10" s="46">
        <f t="shared" si="2"/>
        <v>1.35</v>
      </c>
      <c r="K10" s="43"/>
      <c r="L10" s="31"/>
    </row>
    <row r="11" spans="1:15" s="31" customFormat="1" outlineLevel="1" x14ac:dyDescent="0.25">
      <c r="A11" s="28" t="s">
        <v>39</v>
      </c>
      <c r="B11" s="117">
        <v>3834.55</v>
      </c>
      <c r="C11" s="43"/>
      <c r="D11" s="43"/>
      <c r="E11" s="43"/>
      <c r="F11" s="43"/>
      <c r="G11" s="28"/>
      <c r="H11" s="43"/>
      <c r="I11" s="29">
        <f t="shared" si="1"/>
        <v>0</v>
      </c>
      <c r="J11" s="46">
        <f t="shared" si="2"/>
        <v>3834.55</v>
      </c>
      <c r="K11" s="43"/>
    </row>
    <row r="12" spans="1:15" s="31" customFormat="1" x14ac:dyDescent="0.25">
      <c r="A12" s="41" t="s">
        <v>13</v>
      </c>
      <c r="B12" s="41">
        <f t="shared" ref="B12:J12" si="3">SUM(B13:B18)</f>
        <v>238106.63999999998</v>
      </c>
      <c r="C12" s="41">
        <f t="shared" si="3"/>
        <v>90000</v>
      </c>
      <c r="D12" s="41">
        <f t="shared" si="3"/>
        <v>3315.2200000000003</v>
      </c>
      <c r="E12" s="41">
        <f t="shared" si="3"/>
        <v>30412</v>
      </c>
      <c r="F12" s="41">
        <f t="shared" si="3"/>
        <v>80000</v>
      </c>
      <c r="G12" s="41">
        <f>SUM(G13:G18)</f>
        <v>18612.11</v>
      </c>
      <c r="H12" s="41">
        <f t="shared" si="3"/>
        <v>0</v>
      </c>
      <c r="I12" s="76">
        <f t="shared" si="3"/>
        <v>5558.4832500000002</v>
      </c>
      <c r="J12" s="41">
        <f t="shared" si="3"/>
        <v>10208.826749999998</v>
      </c>
      <c r="K12" s="41"/>
    </row>
    <row r="13" spans="1:15" s="31" customFormat="1" outlineLevel="1" x14ac:dyDescent="0.25">
      <c r="A13" s="28" t="s">
        <v>54</v>
      </c>
      <c r="B13" s="117">
        <v>40975.14</v>
      </c>
      <c r="C13" s="51"/>
      <c r="D13" s="27"/>
      <c r="E13" s="31">
        <v>30412</v>
      </c>
      <c r="F13" s="51"/>
      <c r="G13" s="82">
        <v>7026.96</v>
      </c>
      <c r="H13" s="83"/>
      <c r="I13" s="84">
        <f t="shared" ref="I13:I18" si="4">SUM(C13:H13)*$L$4</f>
        <v>935.97400000000005</v>
      </c>
      <c r="J13" s="46">
        <f>B13-(C13+D13+F13+E13+H13+I13+G13)</f>
        <v>2600.2059999999983</v>
      </c>
      <c r="K13" s="43"/>
    </row>
    <row r="14" spans="1:15" s="31" customFormat="1" outlineLevel="1" x14ac:dyDescent="0.25">
      <c r="A14" s="28" t="s">
        <v>14</v>
      </c>
      <c r="B14" s="116">
        <v>93305.64</v>
      </c>
      <c r="C14" s="87">
        <v>90000</v>
      </c>
      <c r="D14" s="85"/>
      <c r="E14" s="82"/>
      <c r="F14" s="82"/>
      <c r="G14" s="85"/>
      <c r="H14" s="83"/>
      <c r="I14" s="84">
        <f t="shared" si="4"/>
        <v>2250</v>
      </c>
      <c r="J14" s="46">
        <f t="shared" ref="J14:J18" si="5">B14-(C14+D14+F14+E14+H14+I14+G14)</f>
        <v>1055.6399999999994</v>
      </c>
      <c r="K14" s="43"/>
    </row>
    <row r="15" spans="1:15" s="31" customFormat="1" outlineLevel="1" x14ac:dyDescent="0.25">
      <c r="A15" s="28" t="s">
        <v>15</v>
      </c>
      <c r="B15" s="117">
        <v>97710.89</v>
      </c>
      <c r="C15" s="51"/>
      <c r="D15" s="85">
        <f>1257.55+2057.67</f>
        <v>3315.2200000000003</v>
      </c>
      <c r="E15" s="51"/>
      <c r="F15" s="82">
        <v>80000</v>
      </c>
      <c r="G15" s="82">
        <f>8459+3126.15</f>
        <v>11585.15</v>
      </c>
      <c r="H15" s="83"/>
      <c r="I15" s="84">
        <f t="shared" si="4"/>
        <v>2372.5092500000001</v>
      </c>
      <c r="J15" s="46">
        <f>B15-(C15+D15+F15+E15+H15+I15+G15)</f>
        <v>438.01075000000128</v>
      </c>
      <c r="K15" s="43"/>
    </row>
    <row r="16" spans="1:15" s="31" customFormat="1" outlineLevel="1" x14ac:dyDescent="0.25">
      <c r="A16" s="28" t="s">
        <v>31</v>
      </c>
      <c r="B16" s="93">
        <v>60.23</v>
      </c>
      <c r="C16" s="51"/>
      <c r="D16" s="27"/>
      <c r="E16" s="27"/>
      <c r="F16" s="27"/>
      <c r="G16" s="83"/>
      <c r="H16" s="83"/>
      <c r="I16" s="84">
        <f t="shared" si="4"/>
        <v>0</v>
      </c>
      <c r="J16" s="46">
        <f t="shared" si="5"/>
        <v>60.23</v>
      </c>
      <c r="K16" s="28"/>
    </row>
    <row r="17" spans="1:12" s="72" customFormat="1" outlineLevel="1" x14ac:dyDescent="0.25">
      <c r="A17" s="28" t="s">
        <v>58</v>
      </c>
      <c r="B17" s="117">
        <v>18.96</v>
      </c>
      <c r="C17" s="51"/>
      <c r="D17" s="27"/>
      <c r="E17" s="27"/>
      <c r="F17" s="27"/>
      <c r="G17" s="83"/>
      <c r="H17" s="83"/>
      <c r="I17" s="27">
        <f t="shared" si="4"/>
        <v>0</v>
      </c>
      <c r="J17" s="46">
        <f t="shared" si="5"/>
        <v>18.96</v>
      </c>
      <c r="K17" s="28"/>
      <c r="L17" s="31"/>
    </row>
    <row r="18" spans="1:12" s="31" customFormat="1" outlineLevel="1" x14ac:dyDescent="0.25">
      <c r="A18" s="28" t="s">
        <v>28</v>
      </c>
      <c r="B18" s="117">
        <v>6035.78</v>
      </c>
      <c r="C18" s="51"/>
      <c r="D18" s="51"/>
      <c r="E18" s="27"/>
      <c r="F18" s="51"/>
      <c r="G18" s="83"/>
      <c r="H18" s="83"/>
      <c r="I18" s="84">
        <f t="shared" si="4"/>
        <v>0</v>
      </c>
      <c r="J18" s="46">
        <f t="shared" si="5"/>
        <v>6035.78</v>
      </c>
      <c r="K18" s="28"/>
    </row>
    <row r="19" spans="1:12" s="31" customFormat="1" x14ac:dyDescent="0.25">
      <c r="A19" s="41" t="s">
        <v>108</v>
      </c>
      <c r="B19" s="41">
        <f t="shared" ref="B19:K19" si="6">SUM(B20:B24)</f>
        <v>225338.31999999995</v>
      </c>
      <c r="C19" s="41">
        <f t="shared" si="6"/>
        <v>0</v>
      </c>
      <c r="D19" s="41">
        <f t="shared" si="6"/>
        <v>2055.04</v>
      </c>
      <c r="E19" s="41"/>
      <c r="F19" s="41">
        <f t="shared" si="6"/>
        <v>44052</v>
      </c>
      <c r="G19" s="41">
        <f t="shared" si="6"/>
        <v>82632</v>
      </c>
      <c r="H19" s="41">
        <f t="shared" si="6"/>
        <v>0</v>
      </c>
      <c r="I19" s="76">
        <f t="shared" si="6"/>
        <v>4893.8760000000002</v>
      </c>
      <c r="J19" s="41">
        <f t="shared" si="6"/>
        <v>24689.403999999995</v>
      </c>
      <c r="K19" s="41">
        <f t="shared" si="6"/>
        <v>0</v>
      </c>
    </row>
    <row r="20" spans="1:12" s="31" customFormat="1" outlineLevel="1" x14ac:dyDescent="0.25">
      <c r="A20" s="28" t="s">
        <v>37</v>
      </c>
      <c r="B20" s="117">
        <v>71189.289999999994</v>
      </c>
      <c r="C20" s="51"/>
      <c r="D20" s="27">
        <f>1274.98+780.06</f>
        <v>2055.04</v>
      </c>
      <c r="E20" s="27"/>
      <c r="F20" s="27"/>
      <c r="G20" s="83">
        <f>27934+29800+1170</f>
        <v>58904</v>
      </c>
      <c r="H20" s="27"/>
      <c r="I20" s="84">
        <f t="shared" ref="I20:I24" si="7">SUM(C20:H20)*$L$4</f>
        <v>1523.9760000000001</v>
      </c>
      <c r="J20" s="46">
        <f t="shared" ref="J20:J24" si="8">B20-(C20+D20+F20+E20+H20+I20+G20)</f>
        <v>8706.2739999999903</v>
      </c>
      <c r="K20" s="28"/>
    </row>
    <row r="21" spans="1:12" s="31" customFormat="1" outlineLevel="1" x14ac:dyDescent="0.25">
      <c r="A21" s="28" t="s">
        <v>100</v>
      </c>
      <c r="B21" s="117">
        <v>147191.5</v>
      </c>
      <c r="C21" s="51"/>
      <c r="D21" s="27"/>
      <c r="E21" s="27">
        <v>67016</v>
      </c>
      <c r="F21" s="27">
        <v>44052</v>
      </c>
      <c r="G21" s="83">
        <f>15928+7800</f>
        <v>23728</v>
      </c>
      <c r="H21" s="27"/>
      <c r="I21" s="84">
        <f t="shared" si="7"/>
        <v>3369.9</v>
      </c>
      <c r="J21" s="46">
        <f t="shared" si="8"/>
        <v>9025.6000000000058</v>
      </c>
      <c r="K21" s="28"/>
    </row>
    <row r="22" spans="1:12" s="31" customFormat="1" outlineLevel="1" x14ac:dyDescent="0.25">
      <c r="A22" s="28" t="s">
        <v>40</v>
      </c>
      <c r="B22" s="117">
        <v>2440.1799999999998</v>
      </c>
      <c r="C22" s="51"/>
      <c r="D22" s="27"/>
      <c r="E22" s="83"/>
      <c r="F22" s="83"/>
      <c r="G22" s="83"/>
      <c r="H22" s="27"/>
      <c r="I22" s="84">
        <f t="shared" si="7"/>
        <v>0</v>
      </c>
      <c r="J22" s="46">
        <f t="shared" si="8"/>
        <v>2440.1799999999998</v>
      </c>
      <c r="K22" s="28"/>
    </row>
    <row r="23" spans="1:12" s="31" customFormat="1" outlineLevel="1" x14ac:dyDescent="0.25">
      <c r="A23" s="28" t="s">
        <v>38</v>
      </c>
      <c r="B23" s="117">
        <v>14.02</v>
      </c>
      <c r="C23" s="51"/>
      <c r="D23" s="27"/>
      <c r="E23" s="27"/>
      <c r="F23" s="27"/>
      <c r="G23" s="83"/>
      <c r="H23" s="27"/>
      <c r="I23" s="84">
        <f t="shared" si="7"/>
        <v>0</v>
      </c>
      <c r="J23" s="46">
        <f t="shared" si="8"/>
        <v>14.02</v>
      </c>
      <c r="K23" s="28"/>
    </row>
    <row r="24" spans="1:12" s="31" customFormat="1" outlineLevel="1" x14ac:dyDescent="0.25">
      <c r="A24" s="28" t="s">
        <v>52</v>
      </c>
      <c r="B24" s="108">
        <v>4503.33</v>
      </c>
      <c r="C24" s="51"/>
      <c r="D24" s="27"/>
      <c r="E24" s="27"/>
      <c r="F24" s="27"/>
      <c r="G24" s="83"/>
      <c r="H24" s="27"/>
      <c r="I24" s="84">
        <f t="shared" si="7"/>
        <v>0</v>
      </c>
      <c r="J24" s="46">
        <f t="shared" si="8"/>
        <v>4503.33</v>
      </c>
      <c r="K24" s="28"/>
    </row>
    <row r="25" spans="1:12" s="31" customFormat="1" x14ac:dyDescent="0.25">
      <c r="A25" s="41" t="s">
        <v>109</v>
      </c>
      <c r="B25" s="41">
        <f t="shared" ref="B25:J25" si="9">SUM(B26:B30)</f>
        <v>80448.97</v>
      </c>
      <c r="C25" s="41">
        <f t="shared" si="9"/>
        <v>15000</v>
      </c>
      <c r="D25" s="41">
        <f t="shared" si="9"/>
        <v>1667.93</v>
      </c>
      <c r="E25" s="41">
        <f t="shared" si="9"/>
        <v>0</v>
      </c>
      <c r="F25" s="41">
        <f>SUM(F26:F30)</f>
        <v>0</v>
      </c>
      <c r="G25" s="41">
        <f t="shared" si="9"/>
        <v>56600</v>
      </c>
      <c r="H25" s="41">
        <f t="shared" si="9"/>
        <v>0</v>
      </c>
      <c r="I25" s="76">
        <f t="shared" si="9"/>
        <v>1831.6982499999999</v>
      </c>
      <c r="J25" s="41">
        <f t="shared" si="9"/>
        <v>5349.3417500000005</v>
      </c>
      <c r="K25" s="41"/>
    </row>
    <row r="26" spans="1:12" s="31" customFormat="1" outlineLevel="1" x14ac:dyDescent="0.25">
      <c r="A26" s="28" t="s">
        <v>9</v>
      </c>
      <c r="B26" s="120">
        <v>30918.84</v>
      </c>
      <c r="C26" s="43"/>
      <c r="D26" s="51"/>
      <c r="E26" s="51"/>
      <c r="G26" s="83">
        <v>29000</v>
      </c>
      <c r="H26" s="51"/>
      <c r="I26" s="84">
        <f>SUM(C26:H26)*$L$4</f>
        <v>725</v>
      </c>
      <c r="J26" s="46">
        <f>B26-(C26+D26+F26+E26+H26+I26+G26)</f>
        <v>1193.8400000000001</v>
      </c>
      <c r="K26" s="43"/>
    </row>
    <row r="27" spans="1:12" s="31" customFormat="1" outlineLevel="1" x14ac:dyDescent="0.25">
      <c r="A27" s="28" t="s">
        <v>22</v>
      </c>
      <c r="B27" s="117">
        <v>32102.240000000002</v>
      </c>
      <c r="C27" s="45"/>
      <c r="D27" s="51">
        <f>970.57+697.36</f>
        <v>1667.93</v>
      </c>
      <c r="E27" s="27"/>
      <c r="F27" s="27"/>
      <c r="G27" s="83">
        <f>8600+19000</f>
        <v>27600</v>
      </c>
      <c r="H27" s="51"/>
      <c r="I27" s="84">
        <f>SUM(C27:H27)*$L$4</f>
        <v>731.69825000000003</v>
      </c>
      <c r="J27" s="46">
        <f>B27-(C27+D27+F27+E27+H27+I27+G27)</f>
        <v>2102.61175</v>
      </c>
      <c r="K27" s="43"/>
    </row>
    <row r="28" spans="1:12" s="31" customFormat="1" outlineLevel="1" x14ac:dyDescent="0.25">
      <c r="A28" s="28" t="s">
        <v>33</v>
      </c>
      <c r="B28" s="108">
        <v>1468.19</v>
      </c>
      <c r="C28" s="43"/>
      <c r="D28" s="51"/>
      <c r="E28" s="27"/>
      <c r="F28" s="27"/>
      <c r="G28" s="83"/>
      <c r="H28" s="83"/>
      <c r="I28" s="84">
        <f>SUM(C28:H28)*$L$4</f>
        <v>0</v>
      </c>
      <c r="J28" s="46">
        <f>B28-(C28+D28+F28+E28+H28+I28+G28)</f>
        <v>1468.19</v>
      </c>
      <c r="K28" s="28"/>
    </row>
    <row r="29" spans="1:12" s="72" customFormat="1" outlineLevel="1" x14ac:dyDescent="0.25">
      <c r="A29" s="28" t="s">
        <v>57</v>
      </c>
      <c r="B29" s="118">
        <v>23.3</v>
      </c>
      <c r="C29" s="43"/>
      <c r="D29" s="51"/>
      <c r="E29" s="27"/>
      <c r="F29" s="27"/>
      <c r="G29" s="83"/>
      <c r="H29" s="83"/>
      <c r="I29" s="27">
        <f>SUM(C29:H29)*$L$4</f>
        <v>0</v>
      </c>
      <c r="J29" s="46">
        <f>B29-(C29+D29+F29+E29+H29+I29+G29)</f>
        <v>23.3</v>
      </c>
      <c r="K29" s="28"/>
      <c r="L29" s="31"/>
    </row>
    <row r="30" spans="1:12" s="31" customFormat="1" outlineLevel="1" x14ac:dyDescent="0.25">
      <c r="A30" s="28" t="s">
        <v>44</v>
      </c>
      <c r="B30" s="118">
        <v>15936.4</v>
      </c>
      <c r="C30" s="43">
        <v>15000</v>
      </c>
      <c r="D30" s="27"/>
      <c r="E30" s="27"/>
      <c r="F30" s="27"/>
      <c r="G30" s="83"/>
      <c r="H30" s="27"/>
      <c r="I30" s="84">
        <f>SUM(C30:H30)*$L$4</f>
        <v>375</v>
      </c>
      <c r="J30" s="46">
        <f>B30-(C30+D30+F30+E30+H30+I30+G30)</f>
        <v>561.39999999999964</v>
      </c>
      <c r="K30" s="28"/>
    </row>
    <row r="31" spans="1:12" s="54" customFormat="1" x14ac:dyDescent="0.25">
      <c r="A31" s="39" t="s">
        <v>110</v>
      </c>
      <c r="B31" s="41">
        <f t="shared" ref="B31:J31" si="10">SUM(B32:B35)</f>
        <v>342.64</v>
      </c>
      <c r="C31" s="41">
        <f t="shared" si="10"/>
        <v>0</v>
      </c>
      <c r="D31" s="41">
        <f t="shared" si="10"/>
        <v>0</v>
      </c>
      <c r="E31" s="41">
        <f t="shared" si="10"/>
        <v>0</v>
      </c>
      <c r="F31" s="41">
        <f t="shared" si="10"/>
        <v>0</v>
      </c>
      <c r="G31" s="41">
        <f>SUM(G32:G35)</f>
        <v>0</v>
      </c>
      <c r="H31" s="41">
        <f t="shared" si="10"/>
        <v>0</v>
      </c>
      <c r="I31" s="76">
        <f t="shared" si="10"/>
        <v>0</v>
      </c>
      <c r="J31" s="41">
        <f t="shared" si="10"/>
        <v>342.64</v>
      </c>
      <c r="K31" s="41"/>
      <c r="L31" s="57"/>
    </row>
    <row r="32" spans="1:12" s="98" customFormat="1" ht="17.25" customHeight="1" outlineLevel="1" x14ac:dyDescent="0.25">
      <c r="A32" s="94" t="s">
        <v>5</v>
      </c>
      <c r="B32" s="117">
        <v>14.14</v>
      </c>
      <c r="C32" s="100"/>
      <c r="D32" s="100"/>
      <c r="E32" s="100"/>
      <c r="F32" s="100"/>
      <c r="G32" s="94"/>
      <c r="H32" s="100"/>
      <c r="I32" s="96">
        <f>SUM(C32:H32)*$L$4</f>
        <v>0</v>
      </c>
      <c r="J32" s="97">
        <f>B32-(C32+D32+F32+E32+H32+I32+G32)</f>
        <v>14.14</v>
      </c>
      <c r="K32" s="100"/>
    </row>
    <row r="33" spans="1:12" s="98" customFormat="1" outlineLevel="1" x14ac:dyDescent="0.25">
      <c r="A33" s="94" t="s">
        <v>6</v>
      </c>
      <c r="B33" s="117">
        <v>15.54</v>
      </c>
      <c r="C33" s="94"/>
      <c r="D33" s="94"/>
      <c r="E33" s="94"/>
      <c r="F33" s="94"/>
      <c r="G33" s="95"/>
      <c r="H33" s="95"/>
      <c r="I33" s="96">
        <f>SUM(C33:H33)*$L$4</f>
        <v>0</v>
      </c>
      <c r="J33" s="97">
        <f>B33-(C33+D33+F33+E33+H33+I33+G33)</f>
        <v>15.54</v>
      </c>
      <c r="K33" s="100"/>
    </row>
    <row r="34" spans="1:12" s="98" customFormat="1" outlineLevel="1" x14ac:dyDescent="0.25">
      <c r="A34" s="94" t="s">
        <v>30</v>
      </c>
      <c r="B34" s="97">
        <v>231.76</v>
      </c>
      <c r="C34" s="94"/>
      <c r="D34" s="94"/>
      <c r="E34" s="94"/>
      <c r="F34" s="94"/>
      <c r="G34" s="95"/>
      <c r="H34" s="94"/>
      <c r="I34" s="96">
        <f>SUM(C34:H34)*$L$4</f>
        <v>0</v>
      </c>
      <c r="J34" s="97">
        <f t="shared" ref="J34:J84" si="11">B34-(C34+D34+F34+E34+H34+I34+G34)</f>
        <v>231.76</v>
      </c>
      <c r="K34" s="94"/>
    </row>
    <row r="35" spans="1:12" s="98" customFormat="1" outlineLevel="1" x14ac:dyDescent="0.25">
      <c r="A35" s="94" t="s">
        <v>53</v>
      </c>
      <c r="B35" s="117">
        <v>81.2</v>
      </c>
      <c r="C35" s="104"/>
      <c r="D35" s="94"/>
      <c r="E35" s="94"/>
      <c r="F35" s="94"/>
      <c r="G35" s="95"/>
      <c r="H35" s="94"/>
      <c r="I35" s="96">
        <f>SUM(C35:H35)*$L$4</f>
        <v>0</v>
      </c>
      <c r="J35" s="97">
        <f t="shared" si="11"/>
        <v>81.2</v>
      </c>
      <c r="K35" s="94"/>
    </row>
    <row r="36" spans="1:12" s="31" customFormat="1" x14ac:dyDescent="0.25">
      <c r="A36" s="41" t="s">
        <v>111</v>
      </c>
      <c r="B36" s="41">
        <f>SUM(B37:B41)</f>
        <v>5834.0900000000011</v>
      </c>
      <c r="C36" s="41">
        <f t="shared" ref="C36:J36" si="12">SUM(C37:C41)</f>
        <v>0</v>
      </c>
      <c r="D36" s="41">
        <f t="shared" si="12"/>
        <v>0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0</v>
      </c>
      <c r="I36" s="76">
        <f t="shared" si="12"/>
        <v>0</v>
      </c>
      <c r="J36" s="41">
        <f t="shared" si="12"/>
        <v>5834.0900000000011</v>
      </c>
      <c r="K36" s="41"/>
    </row>
    <row r="37" spans="1:12" s="98" customFormat="1" outlineLevel="1" x14ac:dyDescent="0.25">
      <c r="A37" s="94" t="s">
        <v>10</v>
      </c>
      <c r="B37" s="117">
        <v>86.64</v>
      </c>
      <c r="C37" s="103"/>
      <c r="D37" s="100"/>
      <c r="E37" s="100"/>
      <c r="F37" s="100"/>
      <c r="G37" s="95"/>
      <c r="H37" s="100"/>
      <c r="I37" s="96">
        <f>SUM(C37:H37)*$L$4</f>
        <v>0</v>
      </c>
      <c r="J37" s="97">
        <f t="shared" si="11"/>
        <v>86.64</v>
      </c>
      <c r="K37" s="100"/>
    </row>
    <row r="38" spans="1:12" s="98" customFormat="1" outlineLevel="1" x14ac:dyDescent="0.25">
      <c r="A38" s="94" t="s">
        <v>11</v>
      </c>
      <c r="B38" s="115">
        <v>75.23</v>
      </c>
      <c r="C38" s="100"/>
      <c r="D38" s="100"/>
      <c r="E38" s="100"/>
      <c r="F38" s="100"/>
      <c r="G38" s="95"/>
      <c r="H38" s="95"/>
      <c r="I38" s="96">
        <f>SUM(C38:H38)*$L$4</f>
        <v>0</v>
      </c>
      <c r="J38" s="97">
        <f t="shared" si="11"/>
        <v>75.23</v>
      </c>
      <c r="K38" s="100"/>
    </row>
    <row r="39" spans="1:12" s="98" customFormat="1" outlineLevel="1" x14ac:dyDescent="0.25">
      <c r="A39" s="94" t="s">
        <v>12</v>
      </c>
      <c r="B39" s="117">
        <v>121.36</v>
      </c>
      <c r="C39" s="100"/>
      <c r="D39" s="100"/>
      <c r="E39" s="95"/>
      <c r="F39" s="95"/>
      <c r="G39" s="95"/>
      <c r="H39" s="95"/>
      <c r="I39" s="96">
        <f>SUM(C39:H39)*$L$4</f>
        <v>0</v>
      </c>
      <c r="J39" s="97">
        <f t="shared" si="11"/>
        <v>121.36</v>
      </c>
      <c r="K39" s="100"/>
    </row>
    <row r="40" spans="1:12" s="98" customFormat="1" outlineLevel="1" x14ac:dyDescent="0.25">
      <c r="A40" s="94" t="s">
        <v>32</v>
      </c>
      <c r="B40" s="109">
        <v>5492.3</v>
      </c>
      <c r="C40" s="94"/>
      <c r="D40" s="94"/>
      <c r="E40" s="94"/>
      <c r="F40" s="94"/>
      <c r="G40" s="95"/>
      <c r="H40" s="95"/>
      <c r="I40" s="96">
        <f>SUM(C40:H40)*$L$4</f>
        <v>0</v>
      </c>
      <c r="J40" s="97">
        <f t="shared" si="11"/>
        <v>5492.3</v>
      </c>
      <c r="K40" s="94"/>
    </row>
    <row r="41" spans="1:12" s="98" customFormat="1" outlineLevel="1" x14ac:dyDescent="0.25">
      <c r="A41" s="94" t="s">
        <v>51</v>
      </c>
      <c r="B41" s="117">
        <v>58.56</v>
      </c>
      <c r="C41" s="104"/>
      <c r="D41" s="94"/>
      <c r="E41" s="94"/>
      <c r="F41" s="94"/>
      <c r="G41" s="95"/>
      <c r="H41" s="95"/>
      <c r="I41" s="96">
        <f>SUM(C41:H41)*$L$4</f>
        <v>0</v>
      </c>
      <c r="J41" s="97">
        <f t="shared" si="11"/>
        <v>58.56</v>
      </c>
      <c r="K41" s="94"/>
    </row>
    <row r="42" spans="1:12" s="31" customFormat="1" x14ac:dyDescent="0.25">
      <c r="A42" s="41" t="s">
        <v>112</v>
      </c>
      <c r="B42" s="41">
        <f>SUM(B43:B47)</f>
        <v>4803.33</v>
      </c>
      <c r="C42" s="41">
        <f t="shared" ref="C42:J42" si="13">SUM(C43:C47)</f>
        <v>0</v>
      </c>
      <c r="D42" s="41">
        <f t="shared" si="13"/>
        <v>0</v>
      </c>
      <c r="E42" s="41">
        <f t="shared" si="13"/>
        <v>0</v>
      </c>
      <c r="F42" s="41">
        <f t="shared" si="13"/>
        <v>0</v>
      </c>
      <c r="G42" s="41">
        <f t="shared" si="13"/>
        <v>0</v>
      </c>
      <c r="H42" s="41">
        <f t="shared" si="13"/>
        <v>0</v>
      </c>
      <c r="I42" s="76">
        <f t="shared" si="13"/>
        <v>0</v>
      </c>
      <c r="J42" s="41">
        <f t="shared" si="13"/>
        <v>4803.33</v>
      </c>
      <c r="K42" s="41"/>
    </row>
    <row r="43" spans="1:12" s="98" customFormat="1" outlineLevel="1" x14ac:dyDescent="0.25">
      <c r="A43" s="94" t="s">
        <v>128</v>
      </c>
      <c r="B43" s="117">
        <v>44.18</v>
      </c>
      <c r="C43" s="102"/>
      <c r="D43" s="100"/>
      <c r="E43" s="100"/>
      <c r="F43" s="100"/>
      <c r="G43" s="95"/>
      <c r="H43" s="100"/>
      <c r="I43" s="96">
        <f>SUM(C43:H43)*$L$4</f>
        <v>0</v>
      </c>
      <c r="J43" s="97">
        <f t="shared" si="11"/>
        <v>44.18</v>
      </c>
      <c r="K43" s="100"/>
    </row>
    <row r="44" spans="1:12" s="105" customFormat="1" outlineLevel="1" x14ac:dyDescent="0.25">
      <c r="A44" s="94" t="s">
        <v>119</v>
      </c>
      <c r="B44" s="117">
        <v>4592.8999999999996</v>
      </c>
      <c r="C44" s="100"/>
      <c r="D44" s="100"/>
      <c r="E44" s="100"/>
      <c r="F44" s="100"/>
      <c r="G44" s="95"/>
      <c r="H44" s="100"/>
      <c r="I44" s="94">
        <f>SUM(C44:H44)*$L$4</f>
        <v>0</v>
      </c>
      <c r="J44" s="97">
        <f t="shared" si="11"/>
        <v>4592.8999999999996</v>
      </c>
      <c r="K44" s="100"/>
      <c r="L44" s="98"/>
    </row>
    <row r="45" spans="1:12" s="98" customFormat="1" outlineLevel="1" x14ac:dyDescent="0.25">
      <c r="A45" s="94" t="s">
        <v>7</v>
      </c>
      <c r="B45" s="117">
        <v>36.46</v>
      </c>
      <c r="C45" s="100"/>
      <c r="D45" s="100"/>
      <c r="E45" s="100"/>
      <c r="F45" s="100"/>
      <c r="G45" s="95"/>
      <c r="H45" s="100"/>
      <c r="I45" s="96">
        <f>SUM(C45:H45)*$L$4</f>
        <v>0</v>
      </c>
      <c r="J45" s="97">
        <f t="shared" si="11"/>
        <v>36.46</v>
      </c>
      <c r="K45" s="100"/>
    </row>
    <row r="46" spans="1:12" s="98" customFormat="1" outlineLevel="1" x14ac:dyDescent="0.25">
      <c r="A46" s="94" t="s">
        <v>8</v>
      </c>
      <c r="B46" s="115">
        <v>34.9</v>
      </c>
      <c r="C46" s="100"/>
      <c r="D46" s="99"/>
      <c r="E46" s="100"/>
      <c r="F46" s="100"/>
      <c r="G46" s="95"/>
      <c r="H46" s="100"/>
      <c r="I46" s="96">
        <f>SUM(C46:H46)*$L$4</f>
        <v>0</v>
      </c>
      <c r="J46" s="97">
        <f t="shared" si="11"/>
        <v>34.9</v>
      </c>
      <c r="K46" s="100"/>
    </row>
    <row r="47" spans="1:12" s="98" customFormat="1" outlineLevel="1" x14ac:dyDescent="0.25">
      <c r="A47" s="94" t="s">
        <v>50</v>
      </c>
      <c r="B47" s="117">
        <v>94.89</v>
      </c>
      <c r="C47" s="99"/>
      <c r="D47" s="94"/>
      <c r="E47" s="99"/>
      <c r="F47" s="99"/>
      <c r="G47" s="101"/>
      <c r="H47" s="99"/>
      <c r="I47" s="96">
        <f>SUM(C47:H47)*$L$4</f>
        <v>0</v>
      </c>
      <c r="J47" s="97">
        <f t="shared" si="11"/>
        <v>94.89</v>
      </c>
      <c r="K47" s="99"/>
    </row>
    <row r="48" spans="1:12" s="31" customFormat="1" x14ac:dyDescent="0.25">
      <c r="A48" s="41" t="s">
        <v>16</v>
      </c>
      <c r="B48" s="41">
        <f t="shared" ref="B48:H48" si="14">SUM(B49:B52)</f>
        <v>1427.22</v>
      </c>
      <c r="C48" s="41">
        <f t="shared" si="14"/>
        <v>0</v>
      </c>
      <c r="D48" s="41">
        <f t="shared" si="14"/>
        <v>0</v>
      </c>
      <c r="E48" s="41">
        <f t="shared" si="14"/>
        <v>0</v>
      </c>
      <c r="F48" s="41">
        <f t="shared" si="14"/>
        <v>0</v>
      </c>
      <c r="G48" s="41">
        <f t="shared" si="14"/>
        <v>0</v>
      </c>
      <c r="H48" s="41">
        <f t="shared" si="14"/>
        <v>0</v>
      </c>
      <c r="I48" s="76">
        <f>SUM(I49:I51)</f>
        <v>0</v>
      </c>
      <c r="J48" s="41">
        <f>SUM(J49:K52)</f>
        <v>1427.22</v>
      </c>
      <c r="K48" s="41">
        <f>SUM(K49:K51)</f>
        <v>0</v>
      </c>
    </row>
    <row r="49" spans="1:11" s="98" customFormat="1" outlineLevel="1" x14ac:dyDescent="0.25">
      <c r="A49" s="94" t="s">
        <v>17</v>
      </c>
      <c r="B49" s="115">
        <v>49.53</v>
      </c>
      <c r="C49" s="100"/>
      <c r="D49" s="100"/>
      <c r="E49" s="100"/>
      <c r="F49" s="100"/>
      <c r="G49" s="101"/>
      <c r="H49" s="100"/>
      <c r="I49" s="96">
        <f>SUM(C49:H49)*$L$4</f>
        <v>0</v>
      </c>
      <c r="J49" s="97">
        <f t="shared" si="11"/>
        <v>49.53</v>
      </c>
      <c r="K49" s="100"/>
    </row>
    <row r="50" spans="1:11" s="98" customFormat="1" outlineLevel="1" x14ac:dyDescent="0.25">
      <c r="A50" s="94" t="s">
        <v>35</v>
      </c>
      <c r="B50" s="108">
        <v>1602.47</v>
      </c>
      <c r="C50" s="100"/>
      <c r="D50" s="99"/>
      <c r="E50" s="99"/>
      <c r="F50" s="99"/>
      <c r="G50" s="101"/>
      <c r="H50" s="99"/>
      <c r="I50" s="96">
        <f>SUM(C50:H50)*$L$4</f>
        <v>0</v>
      </c>
      <c r="J50" s="97">
        <f t="shared" si="11"/>
        <v>1602.47</v>
      </c>
      <c r="K50" s="99"/>
    </row>
    <row r="51" spans="1:11" s="98" customFormat="1" outlineLevel="1" x14ac:dyDescent="0.25">
      <c r="A51" s="94" t="s">
        <v>18</v>
      </c>
      <c r="B51" s="117">
        <v>-283.45</v>
      </c>
      <c r="C51" s="100"/>
      <c r="D51" s="99"/>
      <c r="E51" s="100"/>
      <c r="F51" s="100"/>
      <c r="G51" s="95"/>
      <c r="H51" s="95"/>
      <c r="I51" s="96">
        <f>SUM(C51:H51)*$L$4</f>
        <v>0</v>
      </c>
      <c r="J51" s="97">
        <f t="shared" si="11"/>
        <v>-283.45</v>
      </c>
      <c r="K51" s="100"/>
    </row>
    <row r="52" spans="1:11" s="98" customFormat="1" outlineLevel="1" x14ac:dyDescent="0.25">
      <c r="A52" s="94" t="s">
        <v>125</v>
      </c>
      <c r="B52" s="110">
        <v>58.67</v>
      </c>
      <c r="C52" s="102"/>
      <c r="D52" s="99"/>
      <c r="E52" s="100"/>
      <c r="F52" s="100"/>
      <c r="G52" s="95"/>
      <c r="H52" s="95"/>
      <c r="I52" s="96">
        <f>SUM(C52:H52)*$L$4</f>
        <v>0</v>
      </c>
      <c r="J52" s="97">
        <f t="shared" si="11"/>
        <v>58.67</v>
      </c>
      <c r="K52" s="100"/>
    </row>
    <row r="53" spans="1:11" s="31" customFormat="1" x14ac:dyDescent="0.25">
      <c r="A53" s="41" t="s">
        <v>106</v>
      </c>
      <c r="B53" s="41">
        <f t="shared" ref="B53:J53" si="15">SUM(B54:B56)</f>
        <v>476.86</v>
      </c>
      <c r="C53" s="41">
        <f t="shared" si="15"/>
        <v>0</v>
      </c>
      <c r="D53" s="41">
        <f t="shared" si="15"/>
        <v>0</v>
      </c>
      <c r="E53" s="41">
        <f t="shared" si="15"/>
        <v>0</v>
      </c>
      <c r="F53" s="41">
        <f t="shared" si="15"/>
        <v>0</v>
      </c>
      <c r="G53" s="41">
        <f t="shared" si="15"/>
        <v>0</v>
      </c>
      <c r="H53" s="41">
        <f t="shared" si="15"/>
        <v>0</v>
      </c>
      <c r="I53" s="76">
        <f t="shared" si="15"/>
        <v>0</v>
      </c>
      <c r="J53" s="41">
        <f t="shared" si="15"/>
        <v>476.86</v>
      </c>
      <c r="K53" s="41"/>
    </row>
    <row r="54" spans="1:11" s="31" customFormat="1" outlineLevel="1" x14ac:dyDescent="0.25">
      <c r="A54" s="28" t="s">
        <v>19</v>
      </c>
      <c r="B54" s="119">
        <v>105.78</v>
      </c>
      <c r="C54" s="42"/>
      <c r="D54" s="43"/>
      <c r="E54" s="43"/>
      <c r="F54" s="43"/>
      <c r="G54" s="48"/>
      <c r="H54" s="43"/>
      <c r="I54" s="29">
        <f>SUM(C54:H54)*$L$4</f>
        <v>0</v>
      </c>
      <c r="J54" s="46">
        <f t="shared" si="11"/>
        <v>105.78</v>
      </c>
      <c r="K54" s="43"/>
    </row>
    <row r="55" spans="1:11" s="31" customFormat="1" outlineLevel="1" x14ac:dyDescent="0.25">
      <c r="A55" s="28" t="s">
        <v>36</v>
      </c>
      <c r="B55" s="109">
        <v>147.59</v>
      </c>
      <c r="C55" s="42"/>
      <c r="D55" s="43"/>
      <c r="E55" s="43"/>
      <c r="F55" s="43"/>
      <c r="G55" s="48"/>
      <c r="H55" s="43"/>
      <c r="I55" s="29">
        <f>SUM(C55:H55)*$L$4</f>
        <v>0</v>
      </c>
      <c r="J55" s="46">
        <f t="shared" si="11"/>
        <v>147.59</v>
      </c>
      <c r="K55" s="43"/>
    </row>
    <row r="56" spans="1:11" s="31" customFormat="1" outlineLevel="1" x14ac:dyDescent="0.25">
      <c r="A56" s="28" t="s">
        <v>20</v>
      </c>
      <c r="B56" s="117">
        <v>223.49</v>
      </c>
      <c r="C56" s="42"/>
      <c r="D56" s="43"/>
      <c r="E56" s="43"/>
      <c r="F56" s="43"/>
      <c r="G56" s="45"/>
      <c r="H56" s="45"/>
      <c r="I56" s="29">
        <f>SUM(C56:H56)*$L$4</f>
        <v>0</v>
      </c>
      <c r="J56" s="46">
        <f t="shared" si="11"/>
        <v>223.49</v>
      </c>
      <c r="K56" s="43"/>
    </row>
    <row r="57" spans="1:11" s="31" customFormat="1" x14ac:dyDescent="0.25">
      <c r="A57" s="41" t="s">
        <v>43</v>
      </c>
      <c r="B57" s="41">
        <f>SUM(B58:B60)</f>
        <v>243.41</v>
      </c>
      <c r="C57" s="41">
        <f t="shared" ref="C57:J57" si="16">SUM(C58:C60)</f>
        <v>0</v>
      </c>
      <c r="D57" s="41">
        <f t="shared" si="16"/>
        <v>0</v>
      </c>
      <c r="E57" s="41">
        <f t="shared" si="16"/>
        <v>0</v>
      </c>
      <c r="F57" s="41">
        <f t="shared" si="16"/>
        <v>0</v>
      </c>
      <c r="G57" s="41">
        <f t="shared" si="16"/>
        <v>0</v>
      </c>
      <c r="H57" s="41">
        <f t="shared" si="16"/>
        <v>0</v>
      </c>
      <c r="I57" s="76">
        <f t="shared" si="16"/>
        <v>0</v>
      </c>
      <c r="J57" s="41">
        <f t="shared" si="16"/>
        <v>243.41</v>
      </c>
      <c r="K57" s="41"/>
    </row>
    <row r="58" spans="1:11" s="98" customFormat="1" outlineLevel="1" x14ac:dyDescent="0.25">
      <c r="A58" s="94" t="s">
        <v>118</v>
      </c>
      <c r="B58" s="118">
        <v>29.86</v>
      </c>
      <c r="C58" s="94"/>
      <c r="D58" s="94"/>
      <c r="E58" s="94"/>
      <c r="F58" s="94"/>
      <c r="G58" s="95"/>
      <c r="H58" s="95"/>
      <c r="I58" s="96">
        <f>SUM(C58:H58)*$L$4</f>
        <v>0</v>
      </c>
      <c r="J58" s="97">
        <f>B58-(C58+D58+F58+E58+H58+I58+G58)</f>
        <v>29.86</v>
      </c>
      <c r="K58" s="94"/>
    </row>
    <row r="59" spans="1:11" s="98" customFormat="1" outlineLevel="1" x14ac:dyDescent="0.25">
      <c r="A59" s="94" t="s">
        <v>120</v>
      </c>
      <c r="B59" s="117">
        <v>57.64</v>
      </c>
      <c r="C59" s="94"/>
      <c r="D59" s="94"/>
      <c r="E59" s="94"/>
      <c r="F59" s="94"/>
      <c r="G59" s="95"/>
      <c r="H59" s="95"/>
      <c r="I59" s="96">
        <f>SUM(C59:H59)*$L$4</f>
        <v>0</v>
      </c>
      <c r="J59" s="97">
        <f t="shared" si="11"/>
        <v>57.64</v>
      </c>
      <c r="K59" s="94"/>
    </row>
    <row r="60" spans="1:11" s="98" customFormat="1" outlineLevel="1" x14ac:dyDescent="0.25">
      <c r="A60" s="94" t="s">
        <v>121</v>
      </c>
      <c r="B60" s="118">
        <v>155.91</v>
      </c>
      <c r="C60" s="94"/>
      <c r="D60" s="94"/>
      <c r="E60" s="94"/>
      <c r="F60" s="94"/>
      <c r="G60" s="95"/>
      <c r="H60" s="95"/>
      <c r="I60" s="96">
        <f>SUM(C60:H60)*$L$4</f>
        <v>0</v>
      </c>
      <c r="J60" s="97">
        <f>B60-(C60+D60+F60+E60+H60+I60+G60)</f>
        <v>155.91</v>
      </c>
      <c r="K60" s="94"/>
    </row>
    <row r="61" spans="1:11" s="31" customFormat="1" x14ac:dyDescent="0.25">
      <c r="A61" s="39" t="s">
        <v>60</v>
      </c>
      <c r="B61" s="41">
        <f t="shared" ref="B61:K61" si="17">SUM(B62:B64)</f>
        <v>12604.98</v>
      </c>
      <c r="C61" s="41">
        <f t="shared" si="17"/>
        <v>12000</v>
      </c>
      <c r="D61" s="41">
        <f t="shared" si="17"/>
        <v>0</v>
      </c>
      <c r="E61" s="41">
        <f t="shared" si="17"/>
        <v>24.75</v>
      </c>
      <c r="F61" s="41">
        <f t="shared" si="17"/>
        <v>0</v>
      </c>
      <c r="G61" s="41">
        <f t="shared" si="17"/>
        <v>0</v>
      </c>
      <c r="H61" s="41">
        <f t="shared" si="17"/>
        <v>0</v>
      </c>
      <c r="I61" s="76">
        <f t="shared" si="17"/>
        <v>300.61875000000003</v>
      </c>
      <c r="J61" s="41">
        <f t="shared" si="17"/>
        <v>279.61125000000061</v>
      </c>
      <c r="K61" s="41">
        <f t="shared" si="17"/>
        <v>0</v>
      </c>
    </row>
    <row r="62" spans="1:11" s="31" customFormat="1" outlineLevel="1" x14ac:dyDescent="0.25">
      <c r="A62" s="28" t="s">
        <v>61</v>
      </c>
      <c r="B62" s="114">
        <v>63.88</v>
      </c>
      <c r="C62" s="43"/>
      <c r="D62" s="44"/>
      <c r="E62" s="43"/>
      <c r="F62" s="43"/>
      <c r="G62" s="47"/>
      <c r="H62" s="45"/>
      <c r="I62" s="29">
        <f>SUM(C62:H62)*$L$4</f>
        <v>0</v>
      </c>
      <c r="J62" s="46">
        <f t="shared" si="11"/>
        <v>63.88</v>
      </c>
      <c r="K62" s="43"/>
    </row>
    <row r="63" spans="1:11" s="31" customFormat="1" outlineLevel="1" x14ac:dyDescent="0.25">
      <c r="A63" s="28" t="s">
        <v>63</v>
      </c>
      <c r="B63" s="114">
        <v>101.34</v>
      </c>
      <c r="C63" s="43"/>
      <c r="D63" s="44"/>
      <c r="E63" s="43"/>
      <c r="F63" s="43"/>
      <c r="G63" s="47"/>
      <c r="H63" s="45"/>
      <c r="I63" s="29">
        <f>SUM(C63:H63)*$L$4</f>
        <v>0</v>
      </c>
      <c r="J63" s="46">
        <f t="shared" si="11"/>
        <v>101.34</v>
      </c>
      <c r="K63" s="43"/>
    </row>
    <row r="64" spans="1:11" s="31" customFormat="1" outlineLevel="1" x14ac:dyDescent="0.25">
      <c r="A64" s="28" t="s">
        <v>64</v>
      </c>
      <c r="B64" s="124">
        <v>12439.76</v>
      </c>
      <c r="C64" s="28">
        <v>12000</v>
      </c>
      <c r="D64" s="43"/>
      <c r="E64" s="43">
        <v>24.75</v>
      </c>
      <c r="F64" s="43"/>
      <c r="G64" s="47"/>
      <c r="H64" s="45"/>
      <c r="I64" s="29">
        <f>SUM(C64:H64)*$L$4</f>
        <v>300.61875000000003</v>
      </c>
      <c r="J64" s="46">
        <f t="shared" si="11"/>
        <v>114.39125000000058</v>
      </c>
      <c r="K64" s="28"/>
    </row>
    <row r="65" spans="1:11" s="31" customFormat="1" x14ac:dyDescent="0.25">
      <c r="A65" s="39" t="s">
        <v>65</v>
      </c>
      <c r="B65" s="41">
        <f t="shared" ref="B65:K65" si="18">SUM(B66:B67)</f>
        <v>208.82999999999998</v>
      </c>
      <c r="C65" s="41">
        <f t="shared" si="18"/>
        <v>0</v>
      </c>
      <c r="D65" s="41">
        <f t="shared" si="18"/>
        <v>0</v>
      </c>
      <c r="E65" s="41">
        <f t="shared" si="18"/>
        <v>0</v>
      </c>
      <c r="F65" s="41">
        <f t="shared" si="18"/>
        <v>0</v>
      </c>
      <c r="G65" s="41">
        <f>SUM(G66:G67)</f>
        <v>0</v>
      </c>
      <c r="H65" s="41">
        <f t="shared" si="18"/>
        <v>0</v>
      </c>
      <c r="I65" s="76">
        <f t="shared" si="18"/>
        <v>0</v>
      </c>
      <c r="J65" s="41">
        <f t="shared" si="18"/>
        <v>208.82999999999998</v>
      </c>
      <c r="K65" s="41">
        <f t="shared" si="18"/>
        <v>0</v>
      </c>
    </row>
    <row r="66" spans="1:11" s="31" customFormat="1" outlineLevel="1" x14ac:dyDescent="0.25">
      <c r="A66" s="28" t="s">
        <v>66</v>
      </c>
      <c r="B66" s="113">
        <v>137.47</v>
      </c>
      <c r="C66" s="43"/>
      <c r="D66" s="43"/>
      <c r="E66" s="43"/>
      <c r="F66" s="43"/>
      <c r="G66" s="45"/>
      <c r="H66" s="43"/>
      <c r="I66" s="29">
        <f>SUM(C66:H66)*$L$4</f>
        <v>0</v>
      </c>
      <c r="J66" s="46">
        <f t="shared" si="11"/>
        <v>137.47</v>
      </c>
      <c r="K66" s="43"/>
    </row>
    <row r="67" spans="1:11" s="31" customFormat="1" outlineLevel="1" x14ac:dyDescent="0.25">
      <c r="A67" s="28" t="s">
        <v>67</v>
      </c>
      <c r="B67" s="123">
        <v>71.36</v>
      </c>
      <c r="C67" s="43"/>
      <c r="D67" s="43"/>
      <c r="E67" s="28"/>
      <c r="F67" s="28"/>
      <c r="G67" s="28"/>
      <c r="H67" s="43"/>
      <c r="I67" s="29">
        <f>SUM(C67:H67)*$L$4</f>
        <v>0</v>
      </c>
      <c r="J67" s="46">
        <f>B67-(C67+D67+F67+E67+H67+I67+G67)</f>
        <v>71.36</v>
      </c>
      <c r="K67" s="43"/>
    </row>
    <row r="68" spans="1:11" s="31" customFormat="1" x14ac:dyDescent="0.25">
      <c r="A68" s="41" t="s">
        <v>107</v>
      </c>
      <c r="B68" s="41">
        <f t="shared" ref="B68:J68" si="19">SUM(B69:B74)</f>
        <v>55024.070000000007</v>
      </c>
      <c r="C68" s="41">
        <f t="shared" si="19"/>
        <v>17000</v>
      </c>
      <c r="D68" s="41">
        <f t="shared" si="19"/>
        <v>0</v>
      </c>
      <c r="E68" s="41">
        <f t="shared" si="19"/>
        <v>0</v>
      </c>
      <c r="F68" s="41">
        <f>SUM(F69:F74)</f>
        <v>0</v>
      </c>
      <c r="G68" s="41">
        <f t="shared" si="19"/>
        <v>30000</v>
      </c>
      <c r="H68" s="41">
        <f t="shared" si="19"/>
        <v>0</v>
      </c>
      <c r="I68" s="76">
        <f t="shared" si="19"/>
        <v>1175</v>
      </c>
      <c r="J68" s="41">
        <f t="shared" si="19"/>
        <v>6849.0700000000015</v>
      </c>
      <c r="K68" s="41">
        <f>SUM(K69:K73)</f>
        <v>0</v>
      </c>
    </row>
    <row r="69" spans="1:11" s="31" customFormat="1" outlineLevel="1" x14ac:dyDescent="0.25">
      <c r="A69" s="28" t="s">
        <v>68</v>
      </c>
      <c r="B69" s="113">
        <v>22.2</v>
      </c>
      <c r="C69" s="43"/>
      <c r="D69" s="43"/>
      <c r="E69" s="49"/>
      <c r="F69" s="49"/>
      <c r="G69" s="43"/>
      <c r="H69" s="43"/>
      <c r="I69" s="29">
        <f t="shared" ref="I69:I74" si="20">SUM(C69:H69)*$L$4</f>
        <v>0</v>
      </c>
      <c r="J69" s="46">
        <f t="shared" si="11"/>
        <v>22.2</v>
      </c>
      <c r="K69" s="43"/>
    </row>
    <row r="70" spans="1:11" s="31" customFormat="1" outlineLevel="1" x14ac:dyDescent="0.25">
      <c r="A70" s="28" t="s">
        <v>69</v>
      </c>
      <c r="B70" s="113">
        <v>58.15</v>
      </c>
      <c r="C70" s="43"/>
      <c r="D70" s="43"/>
      <c r="E70" s="43"/>
      <c r="F70" s="43"/>
      <c r="G70" s="43"/>
      <c r="H70" s="43"/>
      <c r="I70" s="29">
        <f t="shared" si="20"/>
        <v>0</v>
      </c>
      <c r="J70" s="46">
        <f t="shared" si="11"/>
        <v>58.15</v>
      </c>
      <c r="K70" s="43"/>
    </row>
    <row r="71" spans="1:11" s="31" customFormat="1" outlineLevel="1" x14ac:dyDescent="0.25">
      <c r="A71" s="28" t="s">
        <v>70</v>
      </c>
      <c r="B71" s="123">
        <v>3027.05</v>
      </c>
      <c r="C71" s="43"/>
      <c r="D71" s="43"/>
      <c r="E71" s="49"/>
      <c r="F71" s="49"/>
      <c r="G71" s="43"/>
      <c r="H71" s="43"/>
      <c r="I71" s="29">
        <f t="shared" si="20"/>
        <v>0</v>
      </c>
      <c r="J71" s="46">
        <f t="shared" si="11"/>
        <v>3027.05</v>
      </c>
      <c r="K71" s="43"/>
    </row>
    <row r="72" spans="1:11" s="31" customFormat="1" outlineLevel="1" x14ac:dyDescent="0.25">
      <c r="A72" s="28" t="s">
        <v>71</v>
      </c>
      <c r="B72" s="121">
        <v>1822.88</v>
      </c>
      <c r="C72" s="43"/>
      <c r="D72" s="43"/>
      <c r="E72" s="51"/>
      <c r="F72" s="51"/>
      <c r="G72" s="51"/>
      <c r="H72" s="51"/>
      <c r="I72" s="84">
        <f t="shared" si="20"/>
        <v>0</v>
      </c>
      <c r="J72" s="46">
        <f t="shared" si="11"/>
        <v>1822.88</v>
      </c>
      <c r="K72" s="28"/>
    </row>
    <row r="73" spans="1:11" s="31" customFormat="1" outlineLevel="1" x14ac:dyDescent="0.25">
      <c r="A73" s="28" t="s">
        <v>72</v>
      </c>
      <c r="B73" s="121">
        <v>18024.7</v>
      </c>
      <c r="C73" s="43">
        <v>17000</v>
      </c>
      <c r="D73" s="43"/>
      <c r="E73" s="27"/>
      <c r="F73" s="27"/>
      <c r="G73" s="51"/>
      <c r="H73" s="27"/>
      <c r="I73" s="84">
        <f t="shared" si="20"/>
        <v>425</v>
      </c>
      <c r="J73" s="46">
        <f t="shared" si="11"/>
        <v>599.70000000000073</v>
      </c>
      <c r="K73" s="28"/>
    </row>
    <row r="74" spans="1:11" s="31" customFormat="1" outlineLevel="1" x14ac:dyDescent="0.25">
      <c r="A74" s="28" t="s">
        <v>73</v>
      </c>
      <c r="B74" s="121">
        <v>32069.09</v>
      </c>
      <c r="C74" s="28"/>
      <c r="D74" s="43"/>
      <c r="E74" s="27"/>
      <c r="F74" s="27"/>
      <c r="G74" s="83">
        <v>30000</v>
      </c>
      <c r="H74" s="27"/>
      <c r="I74" s="84">
        <f t="shared" si="20"/>
        <v>750</v>
      </c>
      <c r="J74" s="46">
        <f>B74-(C74+D74+F74+E74+H74+I74+G74)</f>
        <v>1319.0900000000001</v>
      </c>
      <c r="K74" s="28"/>
    </row>
    <row r="75" spans="1:11" s="31" customFormat="1" x14ac:dyDescent="0.25">
      <c r="A75" s="41" t="s">
        <v>74</v>
      </c>
      <c r="B75" s="41">
        <f t="shared" ref="B75:J75" si="21">SUM(B76:B80)</f>
        <v>60410.97</v>
      </c>
      <c r="C75" s="41">
        <f t="shared" si="21"/>
        <v>19000</v>
      </c>
      <c r="D75" s="41">
        <f t="shared" si="21"/>
        <v>981.46</v>
      </c>
      <c r="E75" s="41">
        <f t="shared" si="21"/>
        <v>0</v>
      </c>
      <c r="F75" s="41">
        <f t="shared" si="21"/>
        <v>0</v>
      </c>
      <c r="G75" s="41">
        <f t="shared" si="21"/>
        <v>28103</v>
      </c>
      <c r="H75" s="41">
        <f t="shared" si="21"/>
        <v>0</v>
      </c>
      <c r="I75" s="76">
        <f t="shared" si="21"/>
        <v>1202.1115</v>
      </c>
      <c r="J75" s="41">
        <f t="shared" si="21"/>
        <v>11124.398499999999</v>
      </c>
      <c r="K75" s="41">
        <f>SUM(K76:K79)</f>
        <v>0</v>
      </c>
    </row>
    <row r="76" spans="1:11" s="31" customFormat="1" outlineLevel="1" x14ac:dyDescent="0.25">
      <c r="A76" s="28" t="s">
        <v>75</v>
      </c>
      <c r="B76" s="113">
        <v>21.47</v>
      </c>
      <c r="C76" s="43"/>
      <c r="D76" s="43"/>
      <c r="E76" s="43"/>
      <c r="F76" s="43"/>
      <c r="G76" s="45"/>
      <c r="H76" s="43"/>
      <c r="I76" s="29">
        <f>SUM(C76:H76)*$L$4</f>
        <v>0</v>
      </c>
      <c r="J76" s="46">
        <f t="shared" si="11"/>
        <v>21.47</v>
      </c>
      <c r="K76" s="43"/>
    </row>
    <row r="77" spans="1:11" s="31" customFormat="1" outlineLevel="1" x14ac:dyDescent="0.25">
      <c r="A77" s="28" t="s">
        <v>76</v>
      </c>
      <c r="B77" s="123">
        <v>1429.77</v>
      </c>
      <c r="C77" s="43"/>
      <c r="D77" s="43"/>
      <c r="E77" s="43"/>
      <c r="F77" s="43"/>
      <c r="G77" s="45"/>
      <c r="H77" s="43"/>
      <c r="I77" s="29">
        <f>SUM(C77:H77)*$L$4</f>
        <v>0</v>
      </c>
      <c r="J77" s="46">
        <f t="shared" si="11"/>
        <v>1429.77</v>
      </c>
      <c r="K77" s="43"/>
    </row>
    <row r="78" spans="1:11" s="31" customFormat="1" outlineLevel="1" x14ac:dyDescent="0.25">
      <c r="A78" s="28" t="s">
        <v>77</v>
      </c>
      <c r="B78" s="122">
        <v>29362.59</v>
      </c>
      <c r="C78" s="43">
        <v>10000</v>
      </c>
      <c r="D78" s="51"/>
      <c r="E78" s="51"/>
      <c r="F78" s="51"/>
      <c r="G78" s="83">
        <v>18000</v>
      </c>
      <c r="H78" s="51"/>
      <c r="I78" s="84">
        <f>SUM(C78:H78)*$L$4</f>
        <v>700</v>
      </c>
      <c r="J78" s="46">
        <f t="shared" si="11"/>
        <v>662.59000000000015</v>
      </c>
      <c r="K78" s="43"/>
    </row>
    <row r="79" spans="1:11" s="31" customFormat="1" outlineLevel="1" x14ac:dyDescent="0.25">
      <c r="A79" s="28" t="s">
        <v>78</v>
      </c>
      <c r="B79" s="122">
        <v>19860.23</v>
      </c>
      <c r="C79" s="43">
        <v>9000</v>
      </c>
      <c r="D79" s="51"/>
      <c r="E79" s="51"/>
      <c r="F79" s="51"/>
      <c r="G79" s="51">
        <v>10103</v>
      </c>
      <c r="H79" s="51"/>
      <c r="I79" s="84">
        <f>SUM(C79:G79)*$L$4</f>
        <v>477.57500000000005</v>
      </c>
      <c r="J79" s="46">
        <f t="shared" si="11"/>
        <v>279.65499999999884</v>
      </c>
      <c r="K79" s="43"/>
    </row>
    <row r="80" spans="1:11" s="31" customFormat="1" outlineLevel="1" x14ac:dyDescent="0.25">
      <c r="A80" s="28" t="s">
        <v>79</v>
      </c>
      <c r="B80" s="121">
        <v>9736.91</v>
      </c>
      <c r="C80" s="43"/>
      <c r="D80" s="51">
        <f>544.46+437</f>
        <v>981.46</v>
      </c>
      <c r="E80" s="27"/>
      <c r="F80" s="27"/>
      <c r="G80" s="83"/>
      <c r="H80" s="83"/>
      <c r="I80" s="84">
        <f>SUM(C80:H80)*$L$4</f>
        <v>24.536500000000004</v>
      </c>
      <c r="J80" s="46">
        <f t="shared" si="11"/>
        <v>8730.9135000000006</v>
      </c>
      <c r="K80" s="28"/>
    </row>
    <row r="81" spans="1:11" s="31" customFormat="1" x14ac:dyDescent="0.25">
      <c r="A81" s="41" t="s">
        <v>80</v>
      </c>
      <c r="B81" s="41">
        <f t="shared" ref="B81:K81" si="22">SUM(B82:B85)</f>
        <v>49575.28</v>
      </c>
      <c r="C81" s="41">
        <f t="shared" si="22"/>
        <v>14000</v>
      </c>
      <c r="D81" s="41">
        <f t="shared" si="22"/>
        <v>329.36</v>
      </c>
      <c r="E81" s="41">
        <f t="shared" si="22"/>
        <v>0</v>
      </c>
      <c r="F81" s="41">
        <f t="shared" si="22"/>
        <v>0</v>
      </c>
      <c r="G81" s="41">
        <f t="shared" si="22"/>
        <v>21000</v>
      </c>
      <c r="H81" s="41">
        <f t="shared" si="22"/>
        <v>0</v>
      </c>
      <c r="I81" s="76">
        <f t="shared" si="22"/>
        <v>883.23400000000004</v>
      </c>
      <c r="J81" s="41">
        <f t="shared" si="22"/>
        <v>13362.686000000002</v>
      </c>
      <c r="K81" s="41">
        <f t="shared" si="22"/>
        <v>0</v>
      </c>
    </row>
    <row r="82" spans="1:11" s="31" customFormat="1" outlineLevel="1" x14ac:dyDescent="0.25">
      <c r="A82" s="28" t="s">
        <v>81</v>
      </c>
      <c r="B82" s="111">
        <v>41.76</v>
      </c>
      <c r="C82" s="44"/>
      <c r="D82" s="43"/>
      <c r="E82" s="83"/>
      <c r="F82" s="83"/>
      <c r="G82" s="83"/>
      <c r="H82" s="51"/>
      <c r="I82" s="84">
        <f>SUM(C82:H82)*$L$4</f>
        <v>0</v>
      </c>
      <c r="J82" s="46">
        <f t="shared" si="11"/>
        <v>41.76</v>
      </c>
      <c r="K82" s="43"/>
    </row>
    <row r="83" spans="1:11" s="31" customFormat="1" outlineLevel="1" x14ac:dyDescent="0.25">
      <c r="A83" s="28" t="s">
        <v>82</v>
      </c>
      <c r="B83" s="121">
        <v>14510.12</v>
      </c>
      <c r="C83" s="44">
        <v>14000</v>
      </c>
      <c r="D83" s="43"/>
      <c r="E83" s="83"/>
      <c r="F83" s="83"/>
      <c r="G83" s="83"/>
      <c r="H83" s="83"/>
      <c r="I83" s="84">
        <f>SUM(C83:H83)*$L$4</f>
        <v>350</v>
      </c>
      <c r="J83" s="46">
        <f t="shared" si="11"/>
        <v>160.1200000000008</v>
      </c>
      <c r="K83" s="43"/>
    </row>
    <row r="84" spans="1:11" s="31" customFormat="1" outlineLevel="1" x14ac:dyDescent="0.25">
      <c r="A84" s="28" t="s">
        <v>83</v>
      </c>
      <c r="B84" s="121">
        <v>7806.13</v>
      </c>
      <c r="C84" s="44"/>
      <c r="D84" s="43"/>
      <c r="E84" s="51"/>
      <c r="F84" s="51"/>
      <c r="G84" s="83"/>
      <c r="H84" s="83"/>
      <c r="I84" s="84">
        <f>SUM(C84:H84)*$L$4</f>
        <v>0</v>
      </c>
      <c r="J84" s="46">
        <f t="shared" si="11"/>
        <v>7806.13</v>
      </c>
      <c r="K84" s="43"/>
    </row>
    <row r="85" spans="1:11" s="31" customFormat="1" outlineLevel="1" x14ac:dyDescent="0.25">
      <c r="A85" s="28" t="s">
        <v>85</v>
      </c>
      <c r="B85" s="121">
        <v>27217.27</v>
      </c>
      <c r="C85" s="44"/>
      <c r="D85" s="43">
        <f>181.46+147.9</f>
        <v>329.36</v>
      </c>
      <c r="E85" s="85"/>
      <c r="F85" s="85"/>
      <c r="G85" s="83">
        <v>21000</v>
      </c>
      <c r="H85" s="83"/>
      <c r="I85" s="84">
        <f>SUM(C85:H85)*$L$4</f>
        <v>533.23400000000004</v>
      </c>
      <c r="J85" s="46">
        <f>B85-(C85+D85+F85+E85+H85+I85+G85)</f>
        <v>5354.6759999999995</v>
      </c>
      <c r="K85" s="43"/>
    </row>
    <row r="86" spans="1:11" s="31" customFormat="1" x14ac:dyDescent="0.25">
      <c r="A86" s="41" t="s">
        <v>86</v>
      </c>
      <c r="B86" s="41">
        <f t="shared" ref="B86:J86" si="23">SUM(B87:B90)</f>
        <v>119840.31999999999</v>
      </c>
      <c r="C86" s="41">
        <f t="shared" si="23"/>
        <v>8000</v>
      </c>
      <c r="D86" s="41">
        <f t="shared" si="23"/>
        <v>0</v>
      </c>
      <c r="E86" s="41">
        <f t="shared" si="23"/>
        <v>102834.29</v>
      </c>
      <c r="F86" s="41">
        <f t="shared" si="23"/>
        <v>0</v>
      </c>
      <c r="G86" s="41">
        <f t="shared" si="23"/>
        <v>0</v>
      </c>
      <c r="H86" s="41">
        <f t="shared" si="23"/>
        <v>0</v>
      </c>
      <c r="I86" s="76">
        <f t="shared" si="23"/>
        <v>2770.85725</v>
      </c>
      <c r="J86" s="41">
        <f t="shared" si="23"/>
        <v>6235.1727499999997</v>
      </c>
      <c r="K86" s="41">
        <f>SUM(K87:K89)</f>
        <v>0</v>
      </c>
    </row>
    <row r="87" spans="1:11" s="31" customFormat="1" outlineLevel="1" x14ac:dyDescent="0.25">
      <c r="A87" s="28" t="s">
        <v>87</v>
      </c>
      <c r="B87" s="112">
        <v>117.41</v>
      </c>
      <c r="C87" s="43"/>
      <c r="D87" s="43"/>
      <c r="E87" s="43"/>
      <c r="F87" s="43"/>
      <c r="G87" s="48"/>
      <c r="H87" s="43"/>
      <c r="I87" s="29">
        <f>SUM(C87:H87)*$L$4</f>
        <v>0</v>
      </c>
      <c r="J87" s="46">
        <f>B87-(C87+D87+F87+E87+H87+I87+G87)</f>
        <v>117.41</v>
      </c>
      <c r="K87" s="43"/>
    </row>
    <row r="88" spans="1:11" s="31" customFormat="1" outlineLevel="1" x14ac:dyDescent="0.25">
      <c r="A88" s="28" t="s">
        <v>88</v>
      </c>
      <c r="B88" s="122">
        <v>2014.13</v>
      </c>
      <c r="C88" s="43"/>
      <c r="D88" s="51"/>
      <c r="E88" s="87"/>
      <c r="F88" s="87"/>
      <c r="G88" s="82"/>
      <c r="H88" s="51"/>
      <c r="I88" s="84">
        <f>SUM(C88:H88)*$L$4</f>
        <v>0</v>
      </c>
      <c r="J88" s="46">
        <f>B88-(C88+D88+F88+E88+H88+I88+G88)</f>
        <v>2014.13</v>
      </c>
      <c r="K88" s="42"/>
    </row>
    <row r="89" spans="1:11" s="31" customFormat="1" outlineLevel="1" x14ac:dyDescent="0.25">
      <c r="A89" s="28" t="s">
        <v>89</v>
      </c>
      <c r="B89" s="121">
        <v>113926.9</v>
      </c>
      <c r="C89" s="43">
        <v>8000</v>
      </c>
      <c r="D89" s="86"/>
      <c r="E89" s="86">
        <f>37323.85+9680.42+672.68+45476.92+9680.42</f>
        <v>102834.29</v>
      </c>
      <c r="F89" s="86"/>
      <c r="G89" s="82"/>
      <c r="H89" s="51"/>
      <c r="I89" s="84">
        <f>SUM(C89:H89)*$L$4</f>
        <v>2770.85725</v>
      </c>
      <c r="J89" s="46">
        <f>B89-(C89+D89+F89+E89+H89+I89+G89)</f>
        <v>321.75274999999965</v>
      </c>
      <c r="K89" s="42"/>
    </row>
    <row r="90" spans="1:11" s="31" customFormat="1" outlineLevel="1" x14ac:dyDescent="0.25">
      <c r="A90" s="28" t="s">
        <v>90</v>
      </c>
      <c r="B90" s="121">
        <v>3781.88</v>
      </c>
      <c r="C90" s="43"/>
      <c r="D90" s="86"/>
      <c r="E90" s="86"/>
      <c r="F90" s="86"/>
      <c r="G90" s="82"/>
      <c r="H90" s="51"/>
      <c r="I90" s="84">
        <f>SUM(C90:H90)*$L$4</f>
        <v>0</v>
      </c>
      <c r="J90" s="46">
        <f>B90-(C90+D90+F90+E90+H90+I90+G90)</f>
        <v>3781.88</v>
      </c>
      <c r="K90" s="42"/>
    </row>
    <row r="91" spans="1:11" s="31" customFormat="1" x14ac:dyDescent="0.25">
      <c r="A91" s="41" t="s">
        <v>91</v>
      </c>
      <c r="B91" s="41">
        <f>SUM(B92:B94)</f>
        <v>20499.43</v>
      </c>
      <c r="C91" s="41">
        <f t="shared" ref="C91:J91" si="24">SUM(C92:C94)</f>
        <v>0</v>
      </c>
      <c r="D91" s="41">
        <f t="shared" si="24"/>
        <v>192.64</v>
      </c>
      <c r="E91" s="41">
        <f t="shared" si="24"/>
        <v>0</v>
      </c>
      <c r="F91" s="41">
        <f t="shared" si="24"/>
        <v>0</v>
      </c>
      <c r="G91" s="41">
        <f t="shared" si="24"/>
        <v>8848.43</v>
      </c>
      <c r="H91" s="41">
        <f t="shared" si="24"/>
        <v>0</v>
      </c>
      <c r="I91" s="76">
        <f t="shared" si="24"/>
        <v>226.02675000000005</v>
      </c>
      <c r="J91" s="41">
        <f t="shared" si="24"/>
        <v>11232.33325</v>
      </c>
      <c r="K91" s="50">
        <f>SUM(K92:K93)</f>
        <v>0</v>
      </c>
    </row>
    <row r="92" spans="1:11" s="31" customFormat="1" outlineLevel="1" x14ac:dyDescent="0.25">
      <c r="A92" s="28" t="s">
        <v>92</v>
      </c>
      <c r="B92" s="112">
        <v>122.76</v>
      </c>
      <c r="C92" s="43"/>
      <c r="D92" s="51"/>
      <c r="E92" s="51"/>
      <c r="F92" s="51"/>
      <c r="G92" s="52"/>
      <c r="H92" s="51"/>
      <c r="I92" s="84">
        <f>SUM(C92:H92)*$L$4</f>
        <v>0</v>
      </c>
      <c r="J92" s="46">
        <f>B92-(C92+D92+F92+E92+H92+I92+G92)</f>
        <v>122.76</v>
      </c>
      <c r="K92" s="43"/>
    </row>
    <row r="93" spans="1:11" s="31" customFormat="1" outlineLevel="1" x14ac:dyDescent="0.25">
      <c r="A93" s="28" t="s">
        <v>93</v>
      </c>
      <c r="B93" s="122">
        <v>7544.75</v>
      </c>
      <c r="C93" s="43"/>
      <c r="D93" s="51"/>
      <c r="E93" s="51"/>
      <c r="F93" s="51"/>
      <c r="G93" s="52">
        <v>2848.43</v>
      </c>
      <c r="H93" s="51"/>
      <c r="I93" s="84">
        <f>SUM(C93:H93)*$L$4</f>
        <v>71.210750000000004</v>
      </c>
      <c r="J93" s="46">
        <f>B93-(C93+D93+F93+E93+H93+I93+G93)</f>
        <v>4625.1092499999995</v>
      </c>
      <c r="K93" s="43"/>
    </row>
    <row r="94" spans="1:11" s="31" customFormat="1" outlineLevel="1" x14ac:dyDescent="0.25">
      <c r="A94" s="28" t="s">
        <v>94</v>
      </c>
      <c r="B94" s="121">
        <v>12831.92</v>
      </c>
      <c r="C94" s="43"/>
      <c r="D94" s="51">
        <f>140.79+51.85</f>
        <v>192.64</v>
      </c>
      <c r="E94" s="51"/>
      <c r="F94" s="51"/>
      <c r="G94" s="52">
        <v>6000</v>
      </c>
      <c r="H94" s="51"/>
      <c r="I94" s="84">
        <f>SUM(C94:H94)*$L$4</f>
        <v>154.81600000000003</v>
      </c>
      <c r="J94" s="46">
        <f>B94-(C94+D94+F94+E94+H94+I94+G94)</f>
        <v>6484.4639999999999</v>
      </c>
      <c r="K94" s="43"/>
    </row>
    <row r="95" spans="1:11" s="31" customFormat="1" x14ac:dyDescent="0.25">
      <c r="A95" s="41" t="s">
        <v>126</v>
      </c>
      <c r="B95" s="41">
        <f t="shared" ref="B95:K95" si="25">SUM(B96:B98)</f>
        <v>107009.47</v>
      </c>
      <c r="C95" s="41">
        <f t="shared" si="25"/>
        <v>0</v>
      </c>
      <c r="D95" s="41">
        <f t="shared" si="25"/>
        <v>0</v>
      </c>
      <c r="E95" s="41">
        <f t="shared" si="25"/>
        <v>58271.899999999994</v>
      </c>
      <c r="F95" s="41">
        <f t="shared" si="25"/>
        <v>0</v>
      </c>
      <c r="G95" s="41">
        <f t="shared" si="25"/>
        <v>30000</v>
      </c>
      <c r="H95" s="41">
        <f t="shared" si="25"/>
        <v>0</v>
      </c>
      <c r="I95" s="76">
        <f t="shared" si="25"/>
        <v>2206.7975000000001</v>
      </c>
      <c r="J95" s="41">
        <f t="shared" si="25"/>
        <v>16530.772500000003</v>
      </c>
      <c r="K95" s="50">
        <f t="shared" si="25"/>
        <v>0</v>
      </c>
    </row>
    <row r="96" spans="1:11" s="31" customFormat="1" outlineLevel="1" x14ac:dyDescent="0.25">
      <c r="A96" s="28" t="s">
        <v>95</v>
      </c>
      <c r="B96" s="111">
        <v>100.88</v>
      </c>
      <c r="C96" s="43"/>
      <c r="D96" s="43"/>
      <c r="E96" s="43"/>
      <c r="F96" s="43"/>
      <c r="G96" s="48"/>
      <c r="H96" s="43"/>
      <c r="I96" s="29">
        <f>SUM(C96:H96)*$L$4</f>
        <v>0</v>
      </c>
      <c r="J96" s="46">
        <f>B96-(C96+D96+F96+E96+H96+I96+G96)</f>
        <v>100.88</v>
      </c>
      <c r="K96" s="43"/>
    </row>
    <row r="97" spans="1:12" s="31" customFormat="1" outlineLevel="1" x14ac:dyDescent="0.25">
      <c r="A97" s="28" t="s">
        <v>96</v>
      </c>
      <c r="B97" s="123">
        <v>44949.32</v>
      </c>
      <c r="C97" s="43"/>
      <c r="D97" s="51"/>
      <c r="E97" s="51">
        <f>37323.85+672.68</f>
        <v>37996.53</v>
      </c>
      <c r="F97" s="51"/>
      <c r="G97" s="88"/>
      <c r="H97" s="51"/>
      <c r="I97" s="84">
        <f>SUM(C97:H97)*$L$4</f>
        <v>949.91325000000006</v>
      </c>
      <c r="J97" s="46">
        <f>B97-(C97+D97+F97+E97+H97+I97+G97)</f>
        <v>6002.8767500000031</v>
      </c>
      <c r="K97" s="43"/>
    </row>
    <row r="98" spans="1:12" s="31" customFormat="1" outlineLevel="1" x14ac:dyDescent="0.25">
      <c r="A98" s="28" t="s">
        <v>97</v>
      </c>
      <c r="B98" s="123">
        <v>61959.27</v>
      </c>
      <c r="C98" s="43"/>
      <c r="D98" s="51"/>
      <c r="E98" s="51">
        <v>20275.37</v>
      </c>
      <c r="F98" s="51"/>
      <c r="G98" s="125">
        <v>30000</v>
      </c>
      <c r="H98" s="51"/>
      <c r="I98" s="84">
        <f>SUM(C98:H98)*$L$4</f>
        <v>1256.8842500000001</v>
      </c>
      <c r="J98" s="46">
        <f>B98-(C98+D98+F98+E98+H98+I98+G98)</f>
        <v>10427.015749999999</v>
      </c>
      <c r="K98" s="43"/>
    </row>
    <row r="99" spans="1:12" s="31" customFormat="1" x14ac:dyDescent="0.25">
      <c r="A99" s="41" t="s">
        <v>98</v>
      </c>
      <c r="B99" s="41">
        <f t="shared" ref="B99:J99" si="26">SUM(B100:B102)</f>
        <v>18916.169999999998</v>
      </c>
      <c r="C99" s="41">
        <f t="shared" si="26"/>
        <v>0</v>
      </c>
      <c r="D99" s="41">
        <f t="shared" si="26"/>
        <v>385.59000000000003</v>
      </c>
      <c r="E99" s="41">
        <f t="shared" si="26"/>
        <v>0</v>
      </c>
      <c r="F99" s="41"/>
      <c r="G99" s="41">
        <f t="shared" si="26"/>
        <v>7487</v>
      </c>
      <c r="H99" s="41">
        <f t="shared" si="26"/>
        <v>0</v>
      </c>
      <c r="I99" s="76">
        <f t="shared" si="26"/>
        <v>196.81475000000003</v>
      </c>
      <c r="J99" s="41">
        <f t="shared" si="26"/>
        <v>10846.765249999999</v>
      </c>
      <c r="K99" s="50">
        <f>SUM(K100:K101)</f>
        <v>0</v>
      </c>
    </row>
    <row r="100" spans="1:12" s="31" customFormat="1" outlineLevel="1" x14ac:dyDescent="0.25">
      <c r="A100" s="27" t="s">
        <v>99</v>
      </c>
      <c r="B100" s="111">
        <v>352.91</v>
      </c>
      <c r="C100" s="51"/>
      <c r="D100" s="51"/>
      <c r="E100" s="51"/>
      <c r="F100" s="51"/>
      <c r="G100" s="52"/>
      <c r="H100" s="51"/>
      <c r="I100" s="29">
        <f>SUM(C100:H100)*$L$4</f>
        <v>0</v>
      </c>
      <c r="J100" s="46">
        <f>B100-(C100+D100+F100+E100+H100+I100+G100)</f>
        <v>352.91</v>
      </c>
      <c r="K100" s="51"/>
    </row>
    <row r="101" spans="1:12" s="31" customFormat="1" outlineLevel="1" x14ac:dyDescent="0.25">
      <c r="A101" s="27" t="s">
        <v>100</v>
      </c>
      <c r="B101" s="121">
        <v>8012.78</v>
      </c>
      <c r="C101" s="51"/>
      <c r="D101" s="51"/>
      <c r="E101" s="51"/>
      <c r="F101" s="51"/>
      <c r="G101" s="52">
        <v>2487</v>
      </c>
      <c r="H101" s="51"/>
      <c r="I101" s="29">
        <f>SUM(C101:H101)*$L$4</f>
        <v>62.175000000000004</v>
      </c>
      <c r="J101" s="46">
        <f>B101-(C101+D101+F101+E101+H101+I101+G101)</f>
        <v>5463.6049999999996</v>
      </c>
      <c r="K101" s="51"/>
    </row>
    <row r="102" spans="1:12" s="31" customFormat="1" outlineLevel="1" x14ac:dyDescent="0.25">
      <c r="A102" s="27" t="s">
        <v>101</v>
      </c>
      <c r="B102" s="121">
        <v>10550.48</v>
      </c>
      <c r="C102" s="51"/>
      <c r="D102" s="51">
        <f>173.25+212.34</f>
        <v>385.59000000000003</v>
      </c>
      <c r="E102" s="51"/>
      <c r="F102" s="51"/>
      <c r="G102" s="52">
        <v>5000</v>
      </c>
      <c r="H102" s="51"/>
      <c r="I102" s="29">
        <f>SUM(C102:H102)*$L$4</f>
        <v>134.63975000000002</v>
      </c>
      <c r="J102" s="46">
        <f>B102-(C102+D102+F102+E102+H102+I102+G102)</f>
        <v>5030.2502499999991</v>
      </c>
      <c r="K102" s="51"/>
    </row>
    <row r="103" spans="1:12" s="31" customFormat="1" x14ac:dyDescent="0.25">
      <c r="A103" s="71" t="s">
        <v>0</v>
      </c>
      <c r="B103" s="41">
        <f t="shared" ref="B103:K103" si="27">+B5+B12+B19+B25+B31+B36+B42+B48+B53+B57+B61+B65+B68+B75+B81+B86+B91+B95+B99</f>
        <v>1713075.72</v>
      </c>
      <c r="C103" s="41">
        <f t="shared" si="27"/>
        <v>366000</v>
      </c>
      <c r="D103" s="41">
        <f t="shared" si="27"/>
        <v>22872.410000000003</v>
      </c>
      <c r="E103" s="41">
        <f t="shared" si="27"/>
        <v>191542.93999999997</v>
      </c>
      <c r="F103" s="41">
        <f t="shared" si="27"/>
        <v>124052</v>
      </c>
      <c r="G103" s="41">
        <f t="shared" si="27"/>
        <v>757847.13</v>
      </c>
      <c r="H103" s="41">
        <f t="shared" si="27"/>
        <v>0</v>
      </c>
      <c r="I103" s="76">
        <f t="shared" si="27"/>
        <v>38233.262000000002</v>
      </c>
      <c r="J103" s="41">
        <f t="shared" si="27"/>
        <v>145511.97799999997</v>
      </c>
      <c r="K103" s="53">
        <f t="shared" si="27"/>
        <v>0</v>
      </c>
    </row>
    <row r="104" spans="1:12" s="31" customFormat="1" ht="15" customHeight="1" x14ac:dyDescent="0.25">
      <c r="A104" s="54"/>
      <c r="B104" s="55"/>
      <c r="C104" s="31">
        <f>C103/C122</f>
        <v>12300.081664476626</v>
      </c>
      <c r="D104" s="31">
        <f>+D103-8000</f>
        <v>14872.410000000003</v>
      </c>
      <c r="I104" s="72"/>
    </row>
    <row r="105" spans="1:12" s="54" customFormat="1" hidden="1" x14ac:dyDescent="0.25">
      <c r="C105" s="31"/>
      <c r="D105" s="31"/>
      <c r="E105" s="31"/>
      <c r="F105" s="31"/>
      <c r="G105" s="31"/>
      <c r="H105" s="31"/>
      <c r="I105" s="72"/>
      <c r="J105" s="31"/>
      <c r="K105" s="31"/>
      <c r="L105" s="31"/>
    </row>
    <row r="106" spans="1:12" s="54" customFormat="1" hidden="1" x14ac:dyDescent="0.25">
      <c r="C106" s="56"/>
      <c r="D106" s="31"/>
      <c r="E106" s="56"/>
      <c r="F106" s="56"/>
      <c r="G106" s="31"/>
      <c r="H106" s="56"/>
      <c r="I106" s="72"/>
      <c r="J106" s="31"/>
      <c r="K106" s="56"/>
      <c r="L106" s="31"/>
    </row>
    <row r="107" spans="1:12" s="54" customFormat="1" hidden="1" x14ac:dyDescent="0.25">
      <c r="C107" s="31"/>
      <c r="D107" s="31"/>
      <c r="E107" s="31"/>
      <c r="F107" s="31"/>
      <c r="G107" s="31"/>
      <c r="H107" s="31"/>
      <c r="I107" s="72"/>
      <c r="J107" s="31"/>
      <c r="K107" s="31"/>
      <c r="L107" s="31"/>
    </row>
    <row r="108" spans="1:12" s="54" customFormat="1" x14ac:dyDescent="0.25">
      <c r="C108" s="31"/>
      <c r="D108" s="31"/>
      <c r="E108" s="31"/>
      <c r="F108" s="31"/>
      <c r="G108" s="31"/>
      <c r="H108" s="31"/>
      <c r="I108" s="72"/>
      <c r="J108" s="31"/>
      <c r="K108" s="31"/>
      <c r="L108" s="31"/>
    </row>
    <row r="109" spans="1:12" s="54" customFormat="1" ht="3.75" customHeight="1" x14ac:dyDescent="0.25">
      <c r="B109" s="31"/>
      <c r="D109" s="31"/>
      <c r="E109" s="56"/>
      <c r="F109" s="56"/>
      <c r="H109" s="31"/>
      <c r="I109" s="72"/>
      <c r="K109" s="31"/>
      <c r="L109" s="31"/>
    </row>
    <row r="110" spans="1:12" s="54" customFormat="1" ht="15.75" customHeight="1" x14ac:dyDescent="0.25">
      <c r="B110" s="57"/>
      <c r="C110" s="31"/>
      <c r="D110" s="31"/>
      <c r="E110" s="31"/>
      <c r="F110" s="31"/>
      <c r="G110" s="31"/>
      <c r="H110" s="31"/>
      <c r="I110" s="72"/>
      <c r="K110" s="31"/>
      <c r="L110" s="31"/>
    </row>
    <row r="111" spans="1:12" s="54" customFormat="1" ht="45" customHeight="1" x14ac:dyDescent="0.25">
      <c r="A111" s="58"/>
      <c r="B111" s="58"/>
      <c r="C111" s="31"/>
      <c r="D111" s="25" t="s">
        <v>103</v>
      </c>
      <c r="E111" s="26">
        <f ca="1">TODAY()</f>
        <v>45324</v>
      </c>
      <c r="F111" s="60"/>
      <c r="G111" s="61"/>
      <c r="H111" s="59"/>
      <c r="I111" s="77"/>
      <c r="J111" s="31"/>
      <c r="K111" s="31"/>
      <c r="L111" s="31"/>
    </row>
    <row r="112" spans="1:12" s="54" customFormat="1" x14ac:dyDescent="0.25">
      <c r="A112" s="58"/>
      <c r="B112" s="58"/>
      <c r="C112" s="31"/>
      <c r="D112" s="27" t="s">
        <v>84</v>
      </c>
      <c r="E112" s="27">
        <f>+$J$22</f>
        <v>2440.1799999999998</v>
      </c>
      <c r="F112" s="60"/>
      <c r="G112" s="72"/>
      <c r="H112" s="60"/>
      <c r="I112" s="78"/>
      <c r="J112" s="31"/>
      <c r="K112" s="31"/>
      <c r="L112" s="31"/>
    </row>
    <row r="113" spans="1:12" s="54" customFormat="1" x14ac:dyDescent="0.25">
      <c r="A113" s="58"/>
      <c r="B113" s="58"/>
      <c r="C113" s="31"/>
      <c r="D113" s="27" t="s">
        <v>25</v>
      </c>
      <c r="E113" s="27">
        <f>+$J$6+$J$13+$J$21+$J$26+$J$32+$J$37+$J$45+$J$54+$J$58+$J$73+$J$79+$J$84+$J$89+$J$93+$J$97+$J$101+J52</f>
        <v>44304.149749999997</v>
      </c>
      <c r="F113" s="73"/>
      <c r="G113" s="31"/>
      <c r="H113" s="60"/>
      <c r="I113" s="78"/>
      <c r="J113" s="31"/>
      <c r="K113" s="31"/>
      <c r="L113" s="31"/>
    </row>
    <row r="114" spans="1:12" s="54" customFormat="1" x14ac:dyDescent="0.25">
      <c r="A114" s="58"/>
      <c r="B114" s="58"/>
      <c r="C114" s="31"/>
      <c r="D114" s="27" t="s">
        <v>62</v>
      </c>
      <c r="E114" s="27">
        <f>+$J$62+$J$63+$J$66+$J$69+$J$70+$J$76+$J$82+$J$87+$J$92+$J$96+$J$100</f>
        <v>1140.23</v>
      </c>
      <c r="F114" s="73"/>
      <c r="G114" s="31"/>
      <c r="H114" s="60"/>
      <c r="I114" s="78"/>
      <c r="J114" s="31"/>
      <c r="K114" s="31"/>
      <c r="L114" s="31"/>
    </row>
    <row r="115" spans="1:12" s="54" customFormat="1" x14ac:dyDescent="0.25">
      <c r="A115" s="58"/>
      <c r="B115" s="58"/>
      <c r="C115" s="31"/>
      <c r="D115" s="27" t="s">
        <v>27</v>
      </c>
      <c r="E115" s="27">
        <f>+$J$8+$J$15+$J$20+$J$27+$J$33+$J$39+$J$47+$J$51+$J$56+$J$60+$J$74+$J$80+$J$85+$J$90+$J$94+$J$98+$J$102</f>
        <v>52894.476999999963</v>
      </c>
      <c r="F115" s="73"/>
      <c r="G115" s="31"/>
      <c r="H115" s="70"/>
      <c r="I115" s="78"/>
      <c r="J115" s="31"/>
      <c r="K115" s="31"/>
      <c r="L115" s="31"/>
    </row>
    <row r="116" spans="1:12" s="54" customFormat="1" x14ac:dyDescent="0.25">
      <c r="A116" s="58"/>
      <c r="B116" s="58"/>
      <c r="C116" s="31"/>
      <c r="D116" s="27" t="s">
        <v>104</v>
      </c>
      <c r="E116" s="27">
        <f>+$J$11+$J$18+$J$23+$J$30+$J$35+$J$41+$J$43+$J$59+$J$10+$J$17+$J$29+$J$44</f>
        <v>15323.839999999998</v>
      </c>
      <c r="F116" s="73"/>
      <c r="G116" s="31"/>
      <c r="H116" s="60"/>
      <c r="I116" s="78"/>
      <c r="J116" s="31"/>
      <c r="K116" s="31"/>
      <c r="L116" s="31"/>
    </row>
    <row r="117" spans="1:12" s="54" customFormat="1" x14ac:dyDescent="0.25">
      <c r="A117" s="58"/>
      <c r="B117" s="58"/>
      <c r="C117" s="31"/>
      <c r="D117" s="27" t="s">
        <v>105</v>
      </c>
      <c r="E117" s="27">
        <f>+$J$72+$J$78</f>
        <v>2485.4700000000003</v>
      </c>
      <c r="F117" s="73"/>
      <c r="G117" s="31"/>
      <c r="H117" s="58"/>
      <c r="I117" s="78"/>
      <c r="J117" s="61"/>
      <c r="K117" s="31"/>
      <c r="L117" s="31"/>
    </row>
    <row r="118" spans="1:12" s="54" customFormat="1" x14ac:dyDescent="0.25">
      <c r="A118" s="58"/>
      <c r="B118" s="58"/>
      <c r="C118" s="31"/>
      <c r="D118" s="27" t="s">
        <v>34</v>
      </c>
      <c r="E118" s="27">
        <f>+$J$9+$J$16+$J$24+$J$28+$J$34+$J$40+$J$50+$J$55</f>
        <v>17894.760000000002</v>
      </c>
      <c r="F118" s="73"/>
      <c r="G118" s="31"/>
      <c r="H118" s="58"/>
      <c r="I118" s="78"/>
      <c r="J118" s="61"/>
      <c r="K118" s="31"/>
      <c r="L118" s="31"/>
    </row>
    <row r="119" spans="1:12" s="54" customFormat="1" x14ac:dyDescent="0.25">
      <c r="A119" s="58"/>
      <c r="B119" s="58"/>
      <c r="C119" s="31"/>
      <c r="D119" s="27" t="s">
        <v>26</v>
      </c>
      <c r="E119" s="27">
        <f>+$J$7+$J$14+$J$38+$J$46+$J$49+$J$64+$J$67+$J$71+$J$77+$J$83+$J$88</f>
        <v>9028.8712500000001</v>
      </c>
      <c r="G119" s="31"/>
      <c r="H119" s="58"/>
      <c r="I119" s="78"/>
      <c r="J119" s="31"/>
      <c r="K119" s="31"/>
      <c r="L119" s="31"/>
    </row>
    <row r="120" spans="1:12" s="54" customFormat="1" hidden="1" x14ac:dyDescent="0.25">
      <c r="A120" s="58"/>
      <c r="B120" s="58"/>
      <c r="C120" s="31"/>
      <c r="D120" s="62" t="s">
        <v>42</v>
      </c>
      <c r="E120" s="63">
        <v>0</v>
      </c>
      <c r="F120" s="73"/>
      <c r="G120" s="64"/>
      <c r="I120" s="77"/>
      <c r="J120" s="57"/>
      <c r="K120" s="31"/>
      <c r="L120" s="31"/>
    </row>
    <row r="121" spans="1:12" s="54" customFormat="1" x14ac:dyDescent="0.25">
      <c r="A121" s="58"/>
      <c r="B121" s="58"/>
      <c r="C121" s="65" t="s">
        <v>48</v>
      </c>
      <c r="D121" s="24" t="s">
        <v>49</v>
      </c>
      <c r="E121" s="24">
        <f>SUM($E$112:$E$120)</f>
        <v>145511.97799999997</v>
      </c>
      <c r="G121" s="64"/>
      <c r="I121" s="77"/>
      <c r="J121" s="57"/>
      <c r="K121" s="31"/>
      <c r="L121" s="31"/>
    </row>
    <row r="122" spans="1:12" s="54" customFormat="1" x14ac:dyDescent="0.25">
      <c r="A122" s="58"/>
      <c r="B122" s="58"/>
      <c r="C122" s="66">
        <v>29.7559</v>
      </c>
      <c r="D122" s="24" t="s">
        <v>46</v>
      </c>
      <c r="E122" s="24">
        <f>$E$121/$C$122</f>
        <v>4890.1891053538957</v>
      </c>
      <c r="F122" s="91"/>
      <c r="G122" s="64"/>
      <c r="H122" s="57"/>
      <c r="I122" s="77"/>
      <c r="J122" s="57"/>
      <c r="K122" s="31"/>
      <c r="L122" s="31"/>
    </row>
    <row r="123" spans="1:12" s="54" customFormat="1" ht="16.5" customHeight="1" x14ac:dyDescent="0.25">
      <c r="A123" s="58"/>
      <c r="B123" s="58"/>
      <c r="C123" s="92"/>
      <c r="D123" s="104" t="s">
        <v>127</v>
      </c>
      <c r="E123" s="106">
        <f>+J31+J36+J42+J48+J57</f>
        <v>12650.69</v>
      </c>
      <c r="G123" s="57"/>
      <c r="H123" s="67"/>
      <c r="I123" s="79"/>
      <c r="J123" s="31"/>
      <c r="K123" s="31"/>
    </row>
    <row r="124" spans="1:12" s="54" customFormat="1" x14ac:dyDescent="0.25">
      <c r="C124" s="31"/>
      <c r="D124" s="32"/>
      <c r="E124" s="32"/>
      <c r="F124" s="31"/>
      <c r="G124" s="31"/>
      <c r="I124" s="77"/>
    </row>
  </sheetData>
  <sheetProtection selectLockedCells="1" selectUnlockedCells="1"/>
  <autoFilter ref="A4:O104"/>
  <mergeCells count="1">
    <mergeCell ref="A2:I2"/>
  </mergeCells>
  <conditionalFormatting sqref="J37:J41 J43:J47 J96:J98 J87:J90 J85 J100:J102 J69:J74 J66:J67 J32:J35 J6:J11 J13:J18 J54:J56 J20:J24 J49:J52 J77:J80 J26:J30">
    <cfRule type="cellIs" dxfId="8" priority="5" operator="lessThan">
      <formula>0</formula>
    </cfRule>
  </conditionalFormatting>
  <conditionalFormatting sqref="J58:J60">
    <cfRule type="cellIs" dxfId="7" priority="4" operator="lessThan">
      <formula>0</formula>
    </cfRule>
  </conditionalFormatting>
  <conditionalFormatting sqref="J92:J94 J82:J83 J76 J62:J64">
    <cfRule type="cellIs" dxfId="6" priority="3" operator="lessThan">
      <formula>0</formula>
    </cfRule>
  </conditionalFormatting>
  <conditionalFormatting sqref="J84">
    <cfRule type="cellIs" dxfId="5" priority="2" operator="lessThan">
      <formula>0</formula>
    </cfRule>
  </conditionalFormatting>
  <conditionalFormatting sqref="E123">
    <cfRule type="cellIs" dxfId="4" priority="1" operator="lessThan">
      <formula>0</formula>
    </cfRule>
  </conditionalFormatting>
  <printOptions horizontalCentered="1" verticalCentered="1"/>
  <pageMargins left="0.11811023622047245" right="0.31496062992125984" top="0.19685039370078741" bottom="0.19685039370078741" header="0.31496062992125984" footer="0.31496062992125984"/>
  <pageSetup scale="45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50"/>
    <pageSetUpPr fitToPage="1"/>
  </sheetPr>
  <dimension ref="A1:L74"/>
  <sheetViews>
    <sheetView showGridLines="0" tabSelected="1" zoomScaleNormal="100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E8" sqref="E8"/>
    </sheetView>
  </sheetViews>
  <sheetFormatPr baseColWidth="10" defaultRowHeight="15.75" outlineLevelRow="1" x14ac:dyDescent="0.25"/>
  <cols>
    <col min="1" max="1" width="31.42578125" style="54" customWidth="1"/>
    <col min="2" max="2" width="17.140625" style="54" customWidth="1"/>
    <col min="3" max="3" width="21.140625" style="31" bestFit="1" customWidth="1"/>
    <col min="4" max="4" width="20.7109375" style="31" bestFit="1" customWidth="1"/>
    <col min="5" max="5" width="19.28515625" style="31" bestFit="1" customWidth="1"/>
    <col min="6" max="6" width="21.140625" style="31" bestFit="1" customWidth="1"/>
    <col min="7" max="7" width="22.85546875" style="31" bestFit="1" customWidth="1"/>
    <col min="8" max="8" width="17.85546875" style="31" hidden="1" customWidth="1"/>
    <col min="9" max="9" width="11.7109375" style="31" hidden="1" customWidth="1"/>
    <col min="10" max="10" width="19.28515625" style="31" bestFit="1" customWidth="1"/>
    <col min="11" max="11" width="11.28515625" style="31" bestFit="1" customWidth="1"/>
    <col min="12" max="12" width="14.140625" style="54" bestFit="1" customWidth="1"/>
    <col min="13" max="13" width="14.85546875" style="54" bestFit="1" customWidth="1"/>
    <col min="14" max="16384" width="11.42578125" style="54"/>
  </cols>
  <sheetData>
    <row r="1" spans="1:12" ht="4.5" customHeight="1" x14ac:dyDescent="0.25"/>
    <row r="2" spans="1:12" s="89" customFormat="1" ht="18.75" customHeight="1" x14ac:dyDescent="0.3">
      <c r="A2" s="187" t="s">
        <v>133</v>
      </c>
      <c r="B2" s="187"/>
      <c r="C2" s="187"/>
      <c r="D2" s="187"/>
      <c r="E2" s="187"/>
      <c r="F2" s="187"/>
      <c r="G2" s="187"/>
      <c r="H2" s="187"/>
      <c r="I2" s="187"/>
      <c r="J2" s="158">
        <v>45324</v>
      </c>
    </row>
    <row r="3" spans="1:12" ht="6.75" customHeight="1" x14ac:dyDescent="0.25"/>
    <row r="4" spans="1:12" ht="37.5" customHeight="1" x14ac:dyDescent="0.35">
      <c r="A4" s="159" t="s">
        <v>23</v>
      </c>
      <c r="B4" s="34" t="s">
        <v>113</v>
      </c>
      <c r="C4" s="34" t="s">
        <v>117</v>
      </c>
      <c r="D4" s="34" t="s">
        <v>123</v>
      </c>
      <c r="E4" s="34" t="s">
        <v>59</v>
      </c>
      <c r="F4" s="34" t="s">
        <v>122</v>
      </c>
      <c r="G4" s="160" t="s">
        <v>114</v>
      </c>
      <c r="H4" s="34" t="s">
        <v>115</v>
      </c>
      <c r="I4" s="161" t="s">
        <v>116</v>
      </c>
      <c r="J4" s="162" t="s">
        <v>21</v>
      </c>
      <c r="K4" s="163"/>
      <c r="L4" s="164">
        <v>2.5000000000000001E-2</v>
      </c>
    </row>
    <row r="5" spans="1:12" x14ac:dyDescent="0.25">
      <c r="A5" s="39" t="s">
        <v>1</v>
      </c>
      <c r="B5" s="40">
        <f t="shared" ref="B5:J5" si="0">SUM(B6:B8)</f>
        <v>249879.78</v>
      </c>
      <c r="C5" s="40">
        <f t="shared" si="0"/>
        <v>0</v>
      </c>
      <c r="D5" s="40">
        <f t="shared" si="0"/>
        <v>43000</v>
      </c>
      <c r="E5" s="40">
        <f t="shared" si="0"/>
        <v>127000</v>
      </c>
      <c r="F5" s="40">
        <f t="shared" si="0"/>
        <v>0</v>
      </c>
      <c r="G5" s="40">
        <f t="shared" si="0"/>
        <v>68900</v>
      </c>
      <c r="H5" s="40">
        <f t="shared" si="0"/>
        <v>0</v>
      </c>
      <c r="I5" s="40">
        <f t="shared" si="0"/>
        <v>5972.5</v>
      </c>
      <c r="J5" s="40">
        <f t="shared" si="0"/>
        <v>5007.2799999999925</v>
      </c>
      <c r="K5" s="41"/>
    </row>
    <row r="6" spans="1:12" s="31" customFormat="1" ht="15.75" customHeight="1" outlineLevel="1" x14ac:dyDescent="0.25">
      <c r="A6" s="28" t="s">
        <v>2</v>
      </c>
      <c r="B6" s="121">
        <v>1448.53</v>
      </c>
      <c r="C6" s="43"/>
      <c r="D6" s="43"/>
      <c r="E6" s="51"/>
      <c r="F6" s="51"/>
      <c r="G6" s="44"/>
      <c r="H6" s="45"/>
      <c r="I6" s="28">
        <f>SUM(C6:H6)*$L$4</f>
        <v>0</v>
      </c>
      <c r="J6" s="46">
        <f>B6-(C6+D6+E6+F6+H6+I6+G6)</f>
        <v>1448.53</v>
      </c>
      <c r="K6" s="43"/>
    </row>
    <row r="7" spans="1:12" s="31" customFormat="1" ht="15.75" customHeight="1" outlineLevel="1" x14ac:dyDescent="0.25">
      <c r="A7" s="28" t="s">
        <v>3</v>
      </c>
      <c r="B7" s="121">
        <v>14771.07</v>
      </c>
      <c r="C7" s="43"/>
      <c r="D7" s="43"/>
      <c r="E7" s="51"/>
      <c r="F7" s="51"/>
      <c r="G7" s="47">
        <v>14000</v>
      </c>
      <c r="H7" s="45"/>
      <c r="I7" s="28">
        <f>SUM(C7:H7)*$L$4</f>
        <v>350</v>
      </c>
      <c r="J7" s="46">
        <f>B7-(C7+D7+E7+F7+H7+I7+G7)</f>
        <v>421.06999999999971</v>
      </c>
      <c r="K7" s="43"/>
    </row>
    <row r="8" spans="1:12" s="31" customFormat="1" outlineLevel="1" x14ac:dyDescent="0.25">
      <c r="A8" s="28" t="s">
        <v>4</v>
      </c>
      <c r="B8" s="121">
        <v>233660.18</v>
      </c>
      <c r="C8" s="43"/>
      <c r="D8" s="43">
        <v>43000</v>
      </c>
      <c r="E8" s="82">
        <v>127000</v>
      </c>
      <c r="F8" s="82"/>
      <c r="G8" s="47">
        <f>1500+49000+3300+1100</f>
        <v>54900</v>
      </c>
      <c r="H8" s="45"/>
      <c r="I8" s="28">
        <f>SUM(C8:H8)*$L$4</f>
        <v>5622.5</v>
      </c>
      <c r="J8" s="46">
        <f>B8-(C8+D8+E8+F8+H8+I8+G8)</f>
        <v>3137.679999999993</v>
      </c>
      <c r="K8" s="43"/>
    </row>
    <row r="9" spans="1:12" s="31" customFormat="1" ht="15.75" customHeight="1" x14ac:dyDescent="0.25">
      <c r="A9" s="41" t="s">
        <v>13</v>
      </c>
      <c r="B9" s="41">
        <f t="shared" ref="B9:J9" si="1">SUM(B10:B12)</f>
        <v>120146.79</v>
      </c>
      <c r="C9" s="41">
        <f t="shared" si="1"/>
        <v>0</v>
      </c>
      <c r="D9" s="41">
        <f t="shared" si="1"/>
        <v>0</v>
      </c>
      <c r="E9" s="41">
        <f t="shared" si="1"/>
        <v>25365</v>
      </c>
      <c r="F9" s="41">
        <f t="shared" si="1"/>
        <v>0</v>
      </c>
      <c r="G9" s="41">
        <f t="shared" si="1"/>
        <v>86000</v>
      </c>
      <c r="H9" s="41">
        <f t="shared" si="1"/>
        <v>0</v>
      </c>
      <c r="I9" s="41">
        <f t="shared" si="1"/>
        <v>2784.125</v>
      </c>
      <c r="J9" s="41">
        <f t="shared" si="1"/>
        <v>5997.6649999999954</v>
      </c>
      <c r="K9" s="41"/>
    </row>
    <row r="10" spans="1:12" s="31" customFormat="1" ht="15.75" customHeight="1" outlineLevel="1" x14ac:dyDescent="0.25">
      <c r="A10" s="28" t="s">
        <v>54</v>
      </c>
      <c r="B10" s="121">
        <v>5957.79</v>
      </c>
      <c r="C10" s="51"/>
      <c r="D10" s="84"/>
      <c r="E10" s="169"/>
      <c r="F10" s="51"/>
      <c r="G10" s="82">
        <v>5000</v>
      </c>
      <c r="H10" s="83"/>
      <c r="I10" s="27">
        <f>SUM(C10:H10)*$L$4</f>
        <v>125</v>
      </c>
      <c r="J10" s="46">
        <f>B10-(C10+D10+F10+E10+H10+I10+G10)</f>
        <v>832.79</v>
      </c>
      <c r="K10" s="43"/>
    </row>
    <row r="11" spans="1:12" s="31" customFormat="1" ht="15.75" customHeight="1" outlineLevel="1" x14ac:dyDescent="0.25">
      <c r="A11" s="28" t="s">
        <v>14</v>
      </c>
      <c r="B11" s="121">
        <v>1620.52</v>
      </c>
      <c r="C11" s="87"/>
      <c r="D11" s="85"/>
      <c r="E11" s="82"/>
      <c r="F11" s="82"/>
      <c r="G11" s="85"/>
      <c r="H11" s="83"/>
      <c r="I11" s="27">
        <f>SUM(C11:H11)*$L$4</f>
        <v>0</v>
      </c>
      <c r="J11" s="46">
        <f>B11-(C11+D11+F11+E11+H11+I11+G11)</f>
        <v>1620.52</v>
      </c>
      <c r="K11" s="43"/>
    </row>
    <row r="12" spans="1:12" s="31" customFormat="1" outlineLevel="1" x14ac:dyDescent="0.25">
      <c r="A12" s="28" t="s">
        <v>15</v>
      </c>
      <c r="B12" s="121">
        <v>112568.48</v>
      </c>
      <c r="C12" s="51"/>
      <c r="D12" s="85"/>
      <c r="E12" s="51">
        <v>25365</v>
      </c>
      <c r="F12" s="82"/>
      <c r="G12" s="82">
        <f>27000+54000</f>
        <v>81000</v>
      </c>
      <c r="H12" s="83"/>
      <c r="I12" s="27">
        <f>SUM(C12:H12)*$L$4</f>
        <v>2659.125</v>
      </c>
      <c r="J12" s="46">
        <f>B12-(C12+D12+F12+E12+H12+I12+G12)</f>
        <v>3544.3549999999959</v>
      </c>
      <c r="K12" s="43"/>
    </row>
    <row r="13" spans="1:12" s="31" customFormat="1" ht="15.75" customHeight="1" x14ac:dyDescent="0.25">
      <c r="A13" s="41" t="s">
        <v>108</v>
      </c>
      <c r="B13" s="41">
        <f t="shared" ref="B13:K13" si="2">SUM(B14:B16)</f>
        <v>187582.57</v>
      </c>
      <c r="C13" s="41">
        <f t="shared" si="2"/>
        <v>0</v>
      </c>
      <c r="D13" s="41">
        <f t="shared" si="2"/>
        <v>0</v>
      </c>
      <c r="E13" s="41">
        <f t="shared" si="2"/>
        <v>0</v>
      </c>
      <c r="F13" s="41">
        <f t="shared" si="2"/>
        <v>0</v>
      </c>
      <c r="G13" s="41">
        <f t="shared" si="2"/>
        <v>180500</v>
      </c>
      <c r="H13" s="41">
        <f t="shared" si="2"/>
        <v>0</v>
      </c>
      <c r="I13" s="41">
        <f t="shared" si="2"/>
        <v>4512.5</v>
      </c>
      <c r="J13" s="41">
        <f t="shared" si="2"/>
        <v>2570.0700000000074</v>
      </c>
      <c r="K13" s="41">
        <f t="shared" si="2"/>
        <v>0</v>
      </c>
    </row>
    <row r="14" spans="1:12" s="31" customFormat="1" outlineLevel="1" x14ac:dyDescent="0.25">
      <c r="A14" s="28" t="s">
        <v>37</v>
      </c>
      <c r="B14" s="121">
        <v>156611.1</v>
      </c>
      <c r="C14" s="51"/>
      <c r="D14" s="28"/>
      <c r="E14" s="27"/>
      <c r="F14" s="28"/>
      <c r="G14" s="45">
        <f>50000+92000+1700+7800</f>
        <v>151500</v>
      </c>
      <c r="H14" s="27"/>
      <c r="I14" s="27">
        <f>SUM(C14:H14)*$L$4</f>
        <v>3787.5</v>
      </c>
      <c r="J14" s="46">
        <f>B14-(C14+D14+F14+E14+H14+I14+G14)</f>
        <v>1323.6000000000058</v>
      </c>
      <c r="K14" s="28"/>
    </row>
    <row r="15" spans="1:12" s="31" customFormat="1" ht="15.75" customHeight="1" outlineLevel="1" x14ac:dyDescent="0.25">
      <c r="A15" s="28" t="s">
        <v>100</v>
      </c>
      <c r="B15" s="121">
        <v>30134.99</v>
      </c>
      <c r="C15" s="51"/>
      <c r="D15" s="28"/>
      <c r="E15" s="84"/>
      <c r="F15" s="28"/>
      <c r="G15" s="45">
        <v>29000</v>
      </c>
      <c r="H15" s="27"/>
      <c r="I15" s="27">
        <f>SUM(C15:H15)*$L$4</f>
        <v>725</v>
      </c>
      <c r="J15" s="46">
        <f>B15-(C15+D15+F15+E15+H15+I15+G15)</f>
        <v>409.9900000000016</v>
      </c>
      <c r="K15" s="28"/>
    </row>
    <row r="16" spans="1:12" s="31" customFormat="1" ht="15.75" customHeight="1" outlineLevel="1" x14ac:dyDescent="0.25">
      <c r="A16" s="28" t="s">
        <v>40</v>
      </c>
      <c r="B16" s="121">
        <v>836.48</v>
      </c>
      <c r="C16" s="51"/>
      <c r="D16" s="28"/>
      <c r="E16" s="45"/>
      <c r="F16" s="83"/>
      <c r="G16" s="83"/>
      <c r="H16" s="27"/>
      <c r="I16" s="27">
        <f>SUM(C16:H16)*$L$4</f>
        <v>0</v>
      </c>
      <c r="J16" s="46">
        <f>B16-(C16+D16+F16+E16+H16+I16+G16)</f>
        <v>836.48</v>
      </c>
      <c r="K16" s="28"/>
    </row>
    <row r="17" spans="1:11" s="31" customFormat="1" ht="15.75" customHeight="1" x14ac:dyDescent="0.25">
      <c r="A17" s="41" t="s">
        <v>109</v>
      </c>
      <c r="B17" s="41">
        <f t="shared" ref="B17:J17" si="3">SUM(B18:B19)</f>
        <v>88415.41</v>
      </c>
      <c r="C17" s="41">
        <f t="shared" si="3"/>
        <v>0</v>
      </c>
      <c r="D17" s="41">
        <f t="shared" si="3"/>
        <v>0</v>
      </c>
      <c r="E17" s="41">
        <f t="shared" si="3"/>
        <v>0</v>
      </c>
      <c r="F17" s="41">
        <f t="shared" si="3"/>
        <v>0</v>
      </c>
      <c r="G17" s="41">
        <f t="shared" si="3"/>
        <v>80700</v>
      </c>
      <c r="H17" s="41">
        <f t="shared" si="3"/>
        <v>0</v>
      </c>
      <c r="I17" s="41">
        <f t="shared" si="3"/>
        <v>2017.5</v>
      </c>
      <c r="J17" s="41">
        <f t="shared" si="3"/>
        <v>5697.9100000000062</v>
      </c>
      <c r="K17" s="41"/>
    </row>
    <row r="18" spans="1:11" s="31" customFormat="1" ht="15.75" customHeight="1" outlineLevel="1" x14ac:dyDescent="0.25">
      <c r="A18" s="28" t="s">
        <v>9</v>
      </c>
      <c r="B18" s="184">
        <v>473.95</v>
      </c>
      <c r="C18" s="43"/>
      <c r="D18" s="51"/>
      <c r="E18" s="51"/>
      <c r="F18" s="28"/>
      <c r="G18" s="45"/>
      <c r="H18" s="51"/>
      <c r="I18" s="27">
        <f>SUM(C18:H18)*$L$4</f>
        <v>0</v>
      </c>
      <c r="J18" s="46">
        <f>B18-(C18+D18+F18+E18+H18+I18+G18)</f>
        <v>473.95</v>
      </c>
      <c r="K18" s="43"/>
    </row>
    <row r="19" spans="1:11" s="31" customFormat="1" outlineLevel="1" x14ac:dyDescent="0.25">
      <c r="A19" s="28" t="s">
        <v>22</v>
      </c>
      <c r="B19" s="121">
        <v>87941.46</v>
      </c>
      <c r="C19" s="45"/>
      <c r="D19" s="51"/>
      <c r="E19" s="27"/>
      <c r="F19" s="28"/>
      <c r="G19" s="45">
        <f>3400+5300+33000+39000</f>
        <v>80700</v>
      </c>
      <c r="H19" s="51"/>
      <c r="I19" s="27">
        <f>SUM(C19:H19)*$L$4</f>
        <v>2017.5</v>
      </c>
      <c r="J19" s="46">
        <f>B19-(C19+D19+F19+E19+H19+I19+G19)</f>
        <v>5223.9600000000064</v>
      </c>
      <c r="K19" s="43"/>
    </row>
    <row r="20" spans="1:11" s="31" customFormat="1" ht="15.75" customHeight="1" x14ac:dyDescent="0.25">
      <c r="A20" s="41" t="s">
        <v>106</v>
      </c>
      <c r="B20" s="41">
        <f t="shared" ref="B20:J20" si="4">SUM(B21:B22)</f>
        <v>146.07999999999998</v>
      </c>
      <c r="C20" s="41">
        <f t="shared" si="4"/>
        <v>0</v>
      </c>
      <c r="D20" s="41">
        <f t="shared" si="4"/>
        <v>0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</v>
      </c>
      <c r="I20" s="41">
        <f t="shared" si="4"/>
        <v>0</v>
      </c>
      <c r="J20" s="41">
        <f t="shared" si="4"/>
        <v>146.07999999999998</v>
      </c>
      <c r="K20" s="41"/>
    </row>
    <row r="21" spans="1:11" s="31" customFormat="1" ht="15.75" customHeight="1" outlineLevel="1" x14ac:dyDescent="0.25">
      <c r="A21" s="28" t="s">
        <v>19</v>
      </c>
      <c r="B21" s="123">
        <v>99.66</v>
      </c>
      <c r="C21" s="42"/>
      <c r="D21" s="43"/>
      <c r="E21" s="43"/>
      <c r="F21" s="43"/>
      <c r="G21" s="48"/>
      <c r="H21" s="43"/>
      <c r="I21" s="28">
        <f>SUM(C21:H21)*$L$4</f>
        <v>0</v>
      </c>
      <c r="J21" s="46">
        <f>B21-(C21+D21+F21+E21+H21+I21+G21)</f>
        <v>99.66</v>
      </c>
      <c r="K21" s="43"/>
    </row>
    <row r="22" spans="1:11" s="31" customFormat="1" ht="15.75" customHeight="1" outlineLevel="1" x14ac:dyDescent="0.25">
      <c r="A22" s="28" t="s">
        <v>20</v>
      </c>
      <c r="B22" s="121">
        <v>46.42</v>
      </c>
      <c r="C22" s="42"/>
      <c r="D22" s="43"/>
      <c r="E22" s="43"/>
      <c r="F22" s="43"/>
      <c r="G22" s="45"/>
      <c r="H22" s="45"/>
      <c r="I22" s="28">
        <f>SUM(C22:H22)*$L$4</f>
        <v>0</v>
      </c>
      <c r="J22" s="46">
        <f>B22-(C22+D22+F22+E22+H22+I22+G22)</f>
        <v>46.42</v>
      </c>
      <c r="K22" s="43"/>
    </row>
    <row r="23" spans="1:11" s="31" customFormat="1" ht="15.75" customHeight="1" x14ac:dyDescent="0.25">
      <c r="A23" s="39" t="s">
        <v>60</v>
      </c>
      <c r="B23" s="41">
        <f t="shared" ref="B23:K23" si="5">SUM(B24:B24)</f>
        <v>176.86</v>
      </c>
      <c r="C23" s="41">
        <f t="shared" si="5"/>
        <v>0</v>
      </c>
      <c r="D23" s="41">
        <f t="shared" si="5"/>
        <v>0</v>
      </c>
      <c r="E23" s="41">
        <f t="shared" si="5"/>
        <v>0</v>
      </c>
      <c r="F23" s="41">
        <f t="shared" si="5"/>
        <v>0</v>
      </c>
      <c r="G23" s="41">
        <f t="shared" si="5"/>
        <v>0</v>
      </c>
      <c r="H23" s="41">
        <f t="shared" si="5"/>
        <v>0</v>
      </c>
      <c r="I23" s="41">
        <f t="shared" si="5"/>
        <v>0</v>
      </c>
      <c r="J23" s="41">
        <f t="shared" si="5"/>
        <v>176.86</v>
      </c>
      <c r="K23" s="41">
        <f t="shared" si="5"/>
        <v>0</v>
      </c>
    </row>
    <row r="24" spans="1:11" s="31" customFormat="1" ht="15.75" customHeight="1" outlineLevel="1" x14ac:dyDescent="0.25">
      <c r="A24" s="28" t="s">
        <v>64</v>
      </c>
      <c r="B24" s="185">
        <v>176.86</v>
      </c>
      <c r="C24" s="28"/>
      <c r="D24" s="43"/>
      <c r="E24" s="43"/>
      <c r="F24" s="43"/>
      <c r="G24" s="47"/>
      <c r="H24" s="45"/>
      <c r="I24" s="28">
        <f>SUM(C24:H24)*$L$4</f>
        <v>0</v>
      </c>
      <c r="J24" s="46">
        <f>B24-(C24+D24+F24+E24+H24+I24+G24)</f>
        <v>176.86</v>
      </c>
      <c r="K24" s="28"/>
    </row>
    <row r="25" spans="1:11" s="31" customFormat="1" ht="15.75" customHeight="1" x14ac:dyDescent="0.25">
      <c r="A25" s="41" t="s">
        <v>74</v>
      </c>
      <c r="B25" s="41">
        <f t="shared" ref="B25:J25" si="6">SUM(B26:B28)</f>
        <v>137779.63</v>
      </c>
      <c r="C25" s="41">
        <f t="shared" si="6"/>
        <v>0</v>
      </c>
      <c r="D25" s="41">
        <f t="shared" si="6"/>
        <v>17000</v>
      </c>
      <c r="E25" s="41">
        <f t="shared" si="6"/>
        <v>0</v>
      </c>
      <c r="F25" s="41">
        <f t="shared" si="6"/>
        <v>0</v>
      </c>
      <c r="G25" s="41">
        <f t="shared" si="6"/>
        <v>104500</v>
      </c>
      <c r="H25" s="41">
        <f t="shared" si="6"/>
        <v>0</v>
      </c>
      <c r="I25" s="41">
        <f t="shared" si="6"/>
        <v>3037.5</v>
      </c>
      <c r="J25" s="41">
        <f t="shared" si="6"/>
        <v>13242.130000000001</v>
      </c>
      <c r="K25" s="41">
        <f>SUM(K26:K27)</f>
        <v>0</v>
      </c>
    </row>
    <row r="26" spans="1:11" s="31" customFormat="1" ht="15.75" customHeight="1" outlineLevel="1" x14ac:dyDescent="0.25">
      <c r="A26" s="28" t="s">
        <v>76</v>
      </c>
      <c r="B26" s="185">
        <v>12340.13</v>
      </c>
      <c r="C26" s="43"/>
      <c r="D26" s="43"/>
      <c r="E26" s="43"/>
      <c r="F26" s="43"/>
      <c r="G26" s="45"/>
      <c r="H26" s="43"/>
      <c r="I26" s="28">
        <f>SUM(C26:H26)*$L$4</f>
        <v>0</v>
      </c>
      <c r="J26" s="46">
        <f>B26-(C26+D26+F26+E26+H26+I26+G26)</f>
        <v>12340.13</v>
      </c>
      <c r="K26" s="43"/>
    </row>
    <row r="27" spans="1:11" s="31" customFormat="1" ht="15.75" customHeight="1" outlineLevel="1" x14ac:dyDescent="0.25">
      <c r="A27" s="28" t="s">
        <v>78</v>
      </c>
      <c r="B27" s="185">
        <v>4952.8900000000003</v>
      </c>
      <c r="C27" s="43"/>
      <c r="D27" s="43"/>
      <c r="E27" s="43"/>
      <c r="F27" s="28"/>
      <c r="G27" s="43">
        <v>4500</v>
      </c>
      <c r="H27" s="51"/>
      <c r="I27" s="27">
        <f>SUM(C27:G27)*$L$4</f>
        <v>112.5</v>
      </c>
      <c r="J27" s="46">
        <f>B27-(C27+D27+F27+E27+H27+I27+G27)</f>
        <v>340.39000000000033</v>
      </c>
      <c r="K27" s="43"/>
    </row>
    <row r="28" spans="1:11" s="31" customFormat="1" ht="15.75" customHeight="1" outlineLevel="1" x14ac:dyDescent="0.25">
      <c r="A28" s="28" t="s">
        <v>79</v>
      </c>
      <c r="B28" s="185">
        <v>120486.61</v>
      </c>
      <c r="C28" s="43"/>
      <c r="D28" s="43">
        <v>17000</v>
      </c>
      <c r="E28" s="28"/>
      <c r="F28" s="28"/>
      <c r="G28" s="45">
        <f>15000+80000+5000</f>
        <v>100000</v>
      </c>
      <c r="H28" s="83"/>
      <c r="I28" s="27">
        <f>SUM(C28:H28)*$L$4</f>
        <v>2925</v>
      </c>
      <c r="J28" s="46">
        <f>B28-(C28+D28+F28+E28+H28+I28+G28)</f>
        <v>561.61000000000058</v>
      </c>
      <c r="K28" s="28"/>
    </row>
    <row r="29" spans="1:11" s="31" customFormat="1" ht="15.75" customHeight="1" x14ac:dyDescent="0.25">
      <c r="A29" s="41" t="s">
        <v>80</v>
      </c>
      <c r="B29" s="41">
        <f t="shared" ref="B29:K29" si="7">SUM(B30:B32)</f>
        <v>16686.669999999998</v>
      </c>
      <c r="C29" s="41">
        <f t="shared" si="7"/>
        <v>0</v>
      </c>
      <c r="D29" s="41">
        <f t="shared" si="7"/>
        <v>0</v>
      </c>
      <c r="E29" s="41">
        <f t="shared" si="7"/>
        <v>0</v>
      </c>
      <c r="F29" s="41">
        <f t="shared" si="7"/>
        <v>0</v>
      </c>
      <c r="G29" s="41">
        <f t="shared" si="7"/>
        <v>2500</v>
      </c>
      <c r="H29" s="41">
        <f t="shared" si="7"/>
        <v>0</v>
      </c>
      <c r="I29" s="41">
        <f t="shared" si="7"/>
        <v>62.5</v>
      </c>
      <c r="J29" s="41">
        <f t="shared" si="7"/>
        <v>14124.169999999998</v>
      </c>
      <c r="K29" s="41">
        <f t="shared" si="7"/>
        <v>0</v>
      </c>
    </row>
    <row r="30" spans="1:11" s="31" customFormat="1" ht="15.75" customHeight="1" outlineLevel="1" x14ac:dyDescent="0.25">
      <c r="A30" s="28" t="s">
        <v>82</v>
      </c>
      <c r="B30" s="185">
        <v>4303.74</v>
      </c>
      <c r="C30" s="44"/>
      <c r="D30" s="43"/>
      <c r="E30" s="83"/>
      <c r="F30" s="45"/>
      <c r="G30" s="45"/>
      <c r="H30" s="83"/>
      <c r="I30" s="27">
        <f>SUM(C30:H30)*$L$4</f>
        <v>0</v>
      </c>
      <c r="J30" s="46">
        <f>B30-(C30+D30+F30+E30+H30+I30+G30)</f>
        <v>4303.74</v>
      </c>
      <c r="K30" s="43"/>
    </row>
    <row r="31" spans="1:11" s="31" customFormat="1" ht="15.75" customHeight="1" outlineLevel="1" x14ac:dyDescent="0.25">
      <c r="A31" s="28" t="s">
        <v>83</v>
      </c>
      <c r="B31" s="185">
        <v>6443.99</v>
      </c>
      <c r="C31" s="44"/>
      <c r="D31" s="43"/>
      <c r="E31" s="51"/>
      <c r="F31" s="43"/>
      <c r="G31" s="45"/>
      <c r="H31" s="83"/>
      <c r="I31" s="27">
        <f>SUM(C31:H31)*$L$4</f>
        <v>0</v>
      </c>
      <c r="J31" s="46">
        <f>B31-(C31+D31+F31+E31+H31+I31+G31)</f>
        <v>6443.99</v>
      </c>
      <c r="K31" s="43"/>
    </row>
    <row r="32" spans="1:11" s="31" customFormat="1" ht="15.75" customHeight="1" outlineLevel="1" x14ac:dyDescent="0.25">
      <c r="A32" s="28" t="s">
        <v>85</v>
      </c>
      <c r="B32" s="185">
        <v>5938.94</v>
      </c>
      <c r="C32" s="44"/>
      <c r="D32" s="43"/>
      <c r="E32" s="86"/>
      <c r="F32" s="44"/>
      <c r="G32" s="45">
        <v>2500</v>
      </c>
      <c r="H32" s="83"/>
      <c r="I32" s="27">
        <f>SUM(C32:H32)*$L$4</f>
        <v>62.5</v>
      </c>
      <c r="J32" s="46">
        <f>B32-(C32+D32+F32+E32+H32+I32+G32)</f>
        <v>3376.4399999999996</v>
      </c>
      <c r="K32" s="43"/>
    </row>
    <row r="33" spans="1:12" s="31" customFormat="1" ht="15.75" customHeight="1" x14ac:dyDescent="0.25">
      <c r="A33" s="41" t="s">
        <v>98</v>
      </c>
      <c r="B33" s="41">
        <f t="shared" ref="B33:J33" si="8">SUM(B34:B35)</f>
        <v>42679.19</v>
      </c>
      <c r="C33" s="41">
        <f t="shared" si="8"/>
        <v>0</v>
      </c>
      <c r="D33" s="41">
        <f t="shared" si="8"/>
        <v>0</v>
      </c>
      <c r="E33" s="41">
        <f t="shared" si="8"/>
        <v>0</v>
      </c>
      <c r="F33" s="41">
        <f t="shared" si="8"/>
        <v>0</v>
      </c>
      <c r="G33" s="41">
        <f t="shared" si="8"/>
        <v>21500</v>
      </c>
      <c r="H33" s="41">
        <f t="shared" si="8"/>
        <v>0</v>
      </c>
      <c r="I33" s="41">
        <f t="shared" si="8"/>
        <v>537.5</v>
      </c>
      <c r="J33" s="41">
        <f t="shared" si="8"/>
        <v>20641.690000000002</v>
      </c>
      <c r="K33" s="50">
        <f>SUM(K34:K34)</f>
        <v>0</v>
      </c>
    </row>
    <row r="34" spans="1:12" s="31" customFormat="1" ht="15.75" customHeight="1" outlineLevel="1" x14ac:dyDescent="0.25">
      <c r="A34" s="27" t="s">
        <v>100</v>
      </c>
      <c r="B34" s="185">
        <v>21772.83</v>
      </c>
      <c r="C34" s="51"/>
      <c r="D34" s="43"/>
      <c r="E34" s="43"/>
      <c r="F34" s="48"/>
      <c r="G34" s="48">
        <v>21000</v>
      </c>
      <c r="H34" s="51"/>
      <c r="I34" s="28">
        <f>SUM(C34:H34)*$L$4</f>
        <v>525</v>
      </c>
      <c r="J34" s="46">
        <f>B34-(C34+D34+F34+E34+H34+I34+G34)</f>
        <v>247.83000000000175</v>
      </c>
      <c r="K34" s="51"/>
    </row>
    <row r="35" spans="1:12" s="31" customFormat="1" ht="15.75" customHeight="1" outlineLevel="1" x14ac:dyDescent="0.25">
      <c r="A35" s="27" t="s">
        <v>101</v>
      </c>
      <c r="B35" s="185">
        <v>20906.36</v>
      </c>
      <c r="C35" s="51"/>
      <c r="D35" s="43"/>
      <c r="E35" s="43"/>
      <c r="F35" s="48"/>
      <c r="G35" s="48">
        <v>500</v>
      </c>
      <c r="H35" s="51"/>
      <c r="I35" s="28">
        <f>SUM(C35:H35)*$L$4</f>
        <v>12.5</v>
      </c>
      <c r="J35" s="46">
        <f>B35-(C35+D35+F35+E35+H35+I35+G35)</f>
        <v>20393.86</v>
      </c>
      <c r="K35" s="51"/>
    </row>
    <row r="36" spans="1:12" s="31" customFormat="1" ht="15.75" customHeight="1" x14ac:dyDescent="0.25">
      <c r="A36" s="71" t="s">
        <v>0</v>
      </c>
      <c r="B36" s="41">
        <f t="shared" ref="B36:J36" si="9">+B5+B9+B13+B17+B20+B23+B25+B29+B33</f>
        <v>843492.98</v>
      </c>
      <c r="C36" s="41">
        <f t="shared" si="9"/>
        <v>0</v>
      </c>
      <c r="D36" s="41">
        <f t="shared" si="9"/>
        <v>60000</v>
      </c>
      <c r="E36" s="41">
        <f t="shared" si="9"/>
        <v>152365</v>
      </c>
      <c r="F36" s="41">
        <f t="shared" si="9"/>
        <v>0</v>
      </c>
      <c r="G36" s="41">
        <f t="shared" si="9"/>
        <v>544600</v>
      </c>
      <c r="H36" s="41">
        <f t="shared" si="9"/>
        <v>0</v>
      </c>
      <c r="I36" s="41">
        <f t="shared" si="9"/>
        <v>18924.125</v>
      </c>
      <c r="J36" s="41">
        <f t="shared" si="9"/>
        <v>67603.85500000001</v>
      </c>
      <c r="K36" s="53"/>
    </row>
    <row r="37" spans="1:12" s="31" customFormat="1" ht="15" customHeight="1" x14ac:dyDescent="0.25">
      <c r="A37" s="54"/>
      <c r="B37" s="55"/>
    </row>
    <row r="38" spans="1:12" hidden="1" x14ac:dyDescent="0.25">
      <c r="L38" s="31"/>
    </row>
    <row r="39" spans="1:12" hidden="1" x14ac:dyDescent="0.25">
      <c r="C39" s="56"/>
      <c r="E39" s="56"/>
      <c r="F39" s="56"/>
      <c r="H39" s="56"/>
      <c r="K39" s="56"/>
      <c r="L39" s="31"/>
    </row>
    <row r="40" spans="1:12" hidden="1" x14ac:dyDescent="0.25">
      <c r="L40" s="31"/>
    </row>
    <row r="41" spans="1:12" x14ac:dyDescent="0.25">
      <c r="L41" s="31"/>
    </row>
    <row r="42" spans="1:12" ht="3.75" customHeight="1" x14ac:dyDescent="0.25">
      <c r="B42" s="31"/>
      <c r="C42" s="54"/>
      <c r="E42" s="56"/>
      <c r="F42" s="56"/>
      <c r="G42" s="54"/>
      <c r="J42" s="54"/>
      <c r="L42" s="31"/>
    </row>
    <row r="43" spans="1:12" ht="15.75" customHeight="1" x14ac:dyDescent="0.25">
      <c r="B43" s="57"/>
      <c r="J43" s="54"/>
      <c r="L43" s="31"/>
    </row>
    <row r="44" spans="1:12" ht="45" customHeight="1" x14ac:dyDescent="0.25">
      <c r="A44" s="58"/>
      <c r="B44" s="58"/>
      <c r="D44" s="25" t="s">
        <v>103</v>
      </c>
      <c r="E44" s="26">
        <f ca="1">TODAY()</f>
        <v>45324</v>
      </c>
      <c r="F44" s="70"/>
      <c r="G44" s="61"/>
      <c r="H44" s="59"/>
      <c r="I44" s="54"/>
      <c r="J44" s="66"/>
      <c r="L44" s="31">
        <f>65+160</f>
        <v>225</v>
      </c>
    </row>
    <row r="45" spans="1:12" ht="18" customHeight="1" x14ac:dyDescent="0.25">
      <c r="A45" s="58"/>
      <c r="B45" s="58"/>
      <c r="D45" s="27" t="s">
        <v>84</v>
      </c>
      <c r="E45" s="27">
        <f>+$J$16</f>
        <v>836.48</v>
      </c>
      <c r="F45" s="60"/>
      <c r="H45" s="60"/>
      <c r="I45" s="165"/>
      <c r="L45" s="31"/>
    </row>
    <row r="46" spans="1:12" ht="18" customHeight="1" x14ac:dyDescent="0.25">
      <c r="A46" s="58"/>
      <c r="B46" s="58"/>
      <c r="D46" s="27" t="s">
        <v>25</v>
      </c>
      <c r="E46" s="27">
        <f>+$J$6+$J$10+$J$15+$J$18+$J$21+$J$27+$J$31+$J$34</f>
        <v>10297.130000000003</v>
      </c>
      <c r="F46" s="73"/>
      <c r="H46" s="60"/>
      <c r="I46" s="165"/>
      <c r="L46" s="31"/>
    </row>
    <row r="47" spans="1:12" ht="18.75" customHeight="1" x14ac:dyDescent="0.25">
      <c r="A47" s="58"/>
      <c r="B47" s="58"/>
      <c r="D47" s="27" t="s">
        <v>27</v>
      </c>
      <c r="E47" s="27">
        <f>+$J$8+$J$12+$J$14+$J$19+$J$22+$J$28+$J$32+$J$35</f>
        <v>37607.925000000003</v>
      </c>
      <c r="F47" s="73"/>
      <c r="H47" s="60"/>
      <c r="I47" s="165"/>
      <c r="L47" s="31"/>
    </row>
    <row r="48" spans="1:12" ht="17.25" customHeight="1" x14ac:dyDescent="0.25">
      <c r="A48" s="58"/>
      <c r="B48" s="58"/>
      <c r="D48" s="27" t="s">
        <v>26</v>
      </c>
      <c r="E48" s="27">
        <f>+$J$7+$J$11+$J$24+$J$26+$J$30</f>
        <v>18862.32</v>
      </c>
      <c r="F48" s="173"/>
      <c r="G48" s="174"/>
      <c r="H48" s="60"/>
      <c r="I48" s="165"/>
      <c r="L48" s="31"/>
    </row>
    <row r="49" spans="1:12" ht="17.25" customHeight="1" x14ac:dyDescent="0.25">
      <c r="A49" s="58"/>
      <c r="B49" s="58"/>
      <c r="C49" s="65" t="s">
        <v>48</v>
      </c>
      <c r="D49" s="24" t="s">
        <v>49</v>
      </c>
      <c r="E49" s="24">
        <f>E45+E46+E47+E48</f>
        <v>67603.85500000001</v>
      </c>
      <c r="F49" s="172"/>
      <c r="G49" s="170"/>
      <c r="H49" s="58"/>
      <c r="I49" s="165"/>
      <c r="J49" s="61"/>
      <c r="L49" s="31"/>
    </row>
    <row r="50" spans="1:12" ht="18.75" customHeight="1" x14ac:dyDescent="0.25">
      <c r="A50" s="58"/>
      <c r="B50" s="58"/>
      <c r="C50" s="66">
        <v>36.235199999999999</v>
      </c>
      <c r="D50" s="24" t="s">
        <v>46</v>
      </c>
      <c r="E50" s="24">
        <f>$E$49/$C$50</f>
        <v>1865.6956495341549</v>
      </c>
      <c r="F50" s="73"/>
      <c r="G50" s="171"/>
      <c r="H50" s="58"/>
      <c r="I50" s="165"/>
      <c r="J50" s="61"/>
      <c r="L50" s="31"/>
    </row>
    <row r="51" spans="1:12" ht="16.5" customHeight="1" x14ac:dyDescent="0.25">
      <c r="A51" s="58"/>
      <c r="B51" s="58"/>
      <c r="C51" s="31">
        <f>3500*C50</f>
        <v>126823.2</v>
      </c>
      <c r="H51" s="58"/>
      <c r="I51" s="165"/>
      <c r="L51" s="31"/>
    </row>
    <row r="52" spans="1:12" ht="15" customHeight="1" x14ac:dyDescent="0.25">
      <c r="A52" s="58"/>
      <c r="B52" s="58"/>
      <c r="F52" s="73"/>
      <c r="G52" s="64"/>
      <c r="H52" s="54"/>
      <c r="I52" s="54"/>
      <c r="J52" s="57"/>
      <c r="L52" s="31"/>
    </row>
    <row r="53" spans="1:12" ht="16.5" thickBot="1" x14ac:dyDescent="0.3">
      <c r="A53" s="58"/>
      <c r="B53" s="58"/>
      <c r="C53" s="57"/>
      <c r="F53" s="91"/>
      <c r="G53" s="64"/>
      <c r="H53" s="54"/>
      <c r="I53" s="54"/>
      <c r="J53" s="57"/>
      <c r="L53" s="31"/>
    </row>
    <row r="54" spans="1:12" ht="16.5" thickBot="1" x14ac:dyDescent="0.3">
      <c r="A54" s="58"/>
      <c r="B54" s="58"/>
      <c r="C54" s="57"/>
      <c r="D54" s="128" t="s">
        <v>103</v>
      </c>
      <c r="E54" s="129">
        <f ca="1">TODAY()</f>
        <v>45324</v>
      </c>
      <c r="F54" s="57"/>
      <c r="G54" s="64"/>
      <c r="H54" s="57"/>
      <c r="I54" s="54"/>
      <c r="J54" s="57"/>
      <c r="L54" s="31"/>
    </row>
    <row r="55" spans="1:12" x14ac:dyDescent="0.25">
      <c r="D55" s="188" t="s">
        <v>129</v>
      </c>
      <c r="E55" s="137">
        <f>+E49</f>
        <v>67603.85500000001</v>
      </c>
      <c r="H55" s="54"/>
      <c r="I55" s="54"/>
      <c r="J55" s="57"/>
      <c r="K55" s="54"/>
    </row>
    <row r="56" spans="1:12" ht="16.5" thickBot="1" x14ac:dyDescent="0.3">
      <c r="D56" s="189"/>
      <c r="E56" s="138">
        <f>+E50</f>
        <v>1865.6956495341549</v>
      </c>
    </row>
    <row r="57" spans="1:12" x14ac:dyDescent="0.25">
      <c r="D57" s="188" t="s">
        <v>130</v>
      </c>
      <c r="E57" s="137">
        <v>5832.09</v>
      </c>
    </row>
    <row r="58" spans="1:12" ht="16.5" thickBot="1" x14ac:dyDescent="0.3">
      <c r="D58" s="190"/>
      <c r="E58" s="139">
        <f>E57/C50</f>
        <v>160.95095376871109</v>
      </c>
    </row>
    <row r="59" spans="1:12" x14ac:dyDescent="0.25">
      <c r="D59" s="166" t="s">
        <v>131</v>
      </c>
      <c r="E59" s="126">
        <f>+E55+E57</f>
        <v>73435.945000000007</v>
      </c>
    </row>
    <row r="60" spans="1:12" ht="16.5" thickBot="1" x14ac:dyDescent="0.3">
      <c r="D60" s="167" t="s">
        <v>132</v>
      </c>
      <c r="E60" s="127">
        <f>+E56+E58</f>
        <v>2026.646603302866</v>
      </c>
    </row>
    <row r="74" spans="6:7" x14ac:dyDescent="0.25">
      <c r="F74" s="168"/>
      <c r="G74" s="168"/>
    </row>
  </sheetData>
  <sheetProtection selectLockedCells="1" selectUnlockedCells="1"/>
  <autoFilter ref="A4:L36"/>
  <mergeCells count="3">
    <mergeCell ref="A2:I2"/>
    <mergeCell ref="D55:D56"/>
    <mergeCell ref="D57:D58"/>
  </mergeCells>
  <conditionalFormatting sqref="J32 J18:J19 J14:J16 J10:J12 J30 J24 J34:J35 J26:J28 J6:J8 J21:J22">
    <cfRule type="cellIs" dxfId="3" priority="5" operator="lessThan">
      <formula>0</formula>
    </cfRule>
  </conditionalFormatting>
  <conditionalFormatting sqref="J31">
    <cfRule type="cellIs" dxfId="2" priority="2" operator="lessThan">
      <formula>0</formula>
    </cfRule>
  </conditionalFormatting>
  <printOptions horizontalCentered="1" verticalCentered="1"/>
  <pageMargins left="0.11811023622047245" right="0.31496062992125984" top="0.19685039370078741" bottom="0.19685039370078741" header="0.31496062992125984" footer="0.31496062992125984"/>
  <pageSetup scale="4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C124"/>
  <sheetViews>
    <sheetView showGridLines="0" zoomScale="115" zoomScaleNormal="115" zoomScaleSheetLayoutView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111" sqref="A111"/>
    </sheetView>
  </sheetViews>
  <sheetFormatPr baseColWidth="10" defaultRowHeight="15.75" outlineLevelRow="1" x14ac:dyDescent="0.25"/>
  <cols>
    <col min="1" max="1" width="24.42578125" style="30" customWidth="1"/>
    <col min="2" max="2" width="17.5703125" style="30" customWidth="1"/>
    <col min="3" max="16384" width="11.42578125" style="30"/>
  </cols>
  <sheetData>
    <row r="1" spans="1:3" ht="4.5" customHeight="1" x14ac:dyDescent="0.25"/>
    <row r="2" spans="1:3" s="69" customFormat="1" ht="18.75" customHeight="1" x14ac:dyDescent="0.3">
      <c r="A2" s="186" t="s">
        <v>102</v>
      </c>
      <c r="B2" s="186"/>
    </row>
    <row r="3" spans="1:3" ht="6.75" customHeight="1" x14ac:dyDescent="0.25"/>
    <row r="4" spans="1:3" ht="37.5" customHeight="1" x14ac:dyDescent="0.25">
      <c r="A4" s="33" t="s">
        <v>23</v>
      </c>
      <c r="B4" s="34" t="s">
        <v>113</v>
      </c>
    </row>
    <row r="5" spans="1:3" s="54" customFormat="1" x14ac:dyDescent="0.25">
      <c r="A5" s="39" t="s">
        <v>1</v>
      </c>
      <c r="B5" s="40">
        <f t="shared" ref="B5" si="0">SUM(B6:B11)</f>
        <v>581064.85000000009</v>
      </c>
    </row>
    <row r="6" spans="1:3" s="31" customFormat="1" outlineLevel="1" x14ac:dyDescent="0.25">
      <c r="A6" s="28" t="s">
        <v>2</v>
      </c>
      <c r="B6" s="115">
        <v>66627.23</v>
      </c>
      <c r="C6" s="31">
        <f>835.36*28.8789</f>
        <v>24124.277904000002</v>
      </c>
    </row>
    <row r="7" spans="1:3" s="31" customFormat="1" outlineLevel="1" x14ac:dyDescent="0.25">
      <c r="A7" s="28" t="s">
        <v>3</v>
      </c>
      <c r="B7" s="115">
        <v>13476.95</v>
      </c>
    </row>
    <row r="8" spans="1:3" s="31" customFormat="1" outlineLevel="1" x14ac:dyDescent="0.25">
      <c r="A8" s="28" t="s">
        <v>4</v>
      </c>
      <c r="B8" s="115">
        <v>489486.9</v>
      </c>
    </row>
    <row r="9" spans="1:3" s="144" customFormat="1" outlineLevel="1" x14ac:dyDescent="0.25">
      <c r="A9" s="122" t="s">
        <v>29</v>
      </c>
      <c r="B9" s="121">
        <v>4388.8900000000003</v>
      </c>
    </row>
    <row r="10" spans="1:3" s="72" customFormat="1" outlineLevel="1" x14ac:dyDescent="0.25">
      <c r="A10" s="28" t="s">
        <v>56</v>
      </c>
      <c r="B10" s="115">
        <v>1.35</v>
      </c>
    </row>
    <row r="11" spans="1:3" s="31" customFormat="1" outlineLevel="1" x14ac:dyDescent="0.25">
      <c r="A11" s="28" t="s">
        <v>39</v>
      </c>
      <c r="B11" s="115">
        <v>7083.53</v>
      </c>
    </row>
    <row r="12" spans="1:3" s="31" customFormat="1" x14ac:dyDescent="0.25">
      <c r="A12" s="41" t="s">
        <v>13</v>
      </c>
      <c r="B12" s="41">
        <f t="shared" ref="B12" si="1">SUM(B13:B18)</f>
        <v>154337.21</v>
      </c>
    </row>
    <row r="13" spans="1:3" s="31" customFormat="1" outlineLevel="1" x14ac:dyDescent="0.25">
      <c r="A13" s="28" t="s">
        <v>54</v>
      </c>
      <c r="B13" s="115">
        <v>61556.36</v>
      </c>
    </row>
    <row r="14" spans="1:3" s="31" customFormat="1" outlineLevel="1" x14ac:dyDescent="0.25">
      <c r="A14" s="28" t="s">
        <v>14</v>
      </c>
      <c r="B14" s="116">
        <v>14112.19</v>
      </c>
    </row>
    <row r="15" spans="1:3" s="31" customFormat="1" outlineLevel="1" x14ac:dyDescent="0.25">
      <c r="A15" s="28" t="s">
        <v>15</v>
      </c>
      <c r="B15" s="115">
        <v>60749.85</v>
      </c>
    </row>
    <row r="16" spans="1:3" s="144" customFormat="1" outlineLevel="1" x14ac:dyDescent="0.25">
      <c r="A16" s="122" t="s">
        <v>31</v>
      </c>
      <c r="B16" s="122">
        <v>60.23</v>
      </c>
    </row>
    <row r="17" spans="1:2" s="72" customFormat="1" outlineLevel="1" x14ac:dyDescent="0.25">
      <c r="A17" s="28" t="s">
        <v>58</v>
      </c>
      <c r="B17" s="115">
        <v>18.96</v>
      </c>
    </row>
    <row r="18" spans="1:2" s="31" customFormat="1" outlineLevel="1" x14ac:dyDescent="0.25">
      <c r="A18" s="28" t="s">
        <v>28</v>
      </c>
      <c r="B18" s="115">
        <v>17839.62</v>
      </c>
    </row>
    <row r="19" spans="1:2" s="31" customFormat="1" x14ac:dyDescent="0.25">
      <c r="A19" s="41" t="s">
        <v>108</v>
      </c>
      <c r="B19" s="41">
        <f t="shared" ref="B19" si="2">SUM(B20:B24)</f>
        <v>154616.55999999997</v>
      </c>
    </row>
    <row r="20" spans="1:2" s="31" customFormat="1" outlineLevel="1" x14ac:dyDescent="0.25">
      <c r="A20" s="28" t="s">
        <v>37</v>
      </c>
      <c r="B20" s="115">
        <v>124963.03</v>
      </c>
    </row>
    <row r="21" spans="1:2" s="31" customFormat="1" outlineLevel="1" x14ac:dyDescent="0.25">
      <c r="A21" s="28" t="s">
        <v>100</v>
      </c>
      <c r="B21" s="115">
        <v>22696</v>
      </c>
    </row>
    <row r="22" spans="1:2" s="31" customFormat="1" outlineLevel="1" x14ac:dyDescent="0.25">
      <c r="A22" s="28" t="s">
        <v>40</v>
      </c>
      <c r="B22" s="115">
        <v>2440.1799999999998</v>
      </c>
    </row>
    <row r="23" spans="1:2" s="31" customFormat="1" outlineLevel="1" x14ac:dyDescent="0.25">
      <c r="A23" s="28" t="s">
        <v>38</v>
      </c>
      <c r="B23" s="115">
        <v>14.02</v>
      </c>
    </row>
    <row r="24" spans="1:2" s="144" customFormat="1" outlineLevel="1" x14ac:dyDescent="0.25">
      <c r="A24" s="122" t="s">
        <v>52</v>
      </c>
      <c r="B24" s="122">
        <v>4503.33</v>
      </c>
    </row>
    <row r="25" spans="1:2" s="31" customFormat="1" x14ac:dyDescent="0.25">
      <c r="A25" s="41" t="s">
        <v>109</v>
      </c>
      <c r="B25" s="41">
        <f t="shared" ref="B25" si="3">SUM(B26:B30)</f>
        <v>186655.52</v>
      </c>
    </row>
    <row r="26" spans="1:2" s="31" customFormat="1" outlineLevel="1" x14ac:dyDescent="0.25">
      <c r="A26" s="28" t="s">
        <v>9</v>
      </c>
      <c r="B26" s="132">
        <v>75249.86</v>
      </c>
    </row>
    <row r="27" spans="1:2" s="31" customFormat="1" outlineLevel="1" x14ac:dyDescent="0.25">
      <c r="A27" s="28" t="s">
        <v>22</v>
      </c>
      <c r="B27" s="115">
        <v>102709.2</v>
      </c>
    </row>
    <row r="28" spans="1:2" s="144" customFormat="1" outlineLevel="1" x14ac:dyDescent="0.25">
      <c r="A28" s="122" t="s">
        <v>33</v>
      </c>
      <c r="B28" s="122">
        <v>1468.19</v>
      </c>
    </row>
    <row r="29" spans="1:2" s="72" customFormat="1" outlineLevel="1" x14ac:dyDescent="0.25">
      <c r="A29" s="28" t="s">
        <v>57</v>
      </c>
      <c r="B29" s="130">
        <v>23.3</v>
      </c>
    </row>
    <row r="30" spans="1:2" s="31" customFormat="1" outlineLevel="1" x14ac:dyDescent="0.25">
      <c r="A30" s="28" t="s">
        <v>44</v>
      </c>
      <c r="B30" s="130">
        <v>7204.97</v>
      </c>
    </row>
    <row r="31" spans="1:2" s="54" customFormat="1" x14ac:dyDescent="0.25">
      <c r="A31" s="39" t="s">
        <v>110</v>
      </c>
      <c r="B31" s="41">
        <f t="shared" ref="B31" si="4">SUM(B32:B35)</f>
        <v>342.64</v>
      </c>
    </row>
    <row r="32" spans="1:2" s="98" customFormat="1" ht="17.25" customHeight="1" outlineLevel="1" x14ac:dyDescent="0.25">
      <c r="A32" s="94" t="s">
        <v>5</v>
      </c>
      <c r="B32" s="115">
        <v>14.14</v>
      </c>
    </row>
    <row r="33" spans="1:2" s="98" customFormat="1" outlineLevel="1" x14ac:dyDescent="0.25">
      <c r="A33" s="94" t="s">
        <v>6</v>
      </c>
      <c r="B33" s="115">
        <v>15.54</v>
      </c>
    </row>
    <row r="34" spans="1:2" s="144" customFormat="1" outlineLevel="1" x14ac:dyDescent="0.25">
      <c r="A34" s="122" t="s">
        <v>30</v>
      </c>
      <c r="B34" s="123">
        <v>231.76</v>
      </c>
    </row>
    <row r="35" spans="1:2" s="98" customFormat="1" outlineLevel="1" x14ac:dyDescent="0.25">
      <c r="A35" s="94" t="s">
        <v>53</v>
      </c>
      <c r="B35" s="115">
        <v>81.2</v>
      </c>
    </row>
    <row r="36" spans="1:2" s="31" customFormat="1" x14ac:dyDescent="0.25">
      <c r="A36" s="41" t="s">
        <v>111</v>
      </c>
      <c r="B36" s="41">
        <f>SUM(B37:B41)</f>
        <v>5834.0900000000011</v>
      </c>
    </row>
    <row r="37" spans="1:2" s="98" customFormat="1" outlineLevel="1" x14ac:dyDescent="0.25">
      <c r="A37" s="94" t="s">
        <v>10</v>
      </c>
      <c r="B37" s="115">
        <v>86.64</v>
      </c>
    </row>
    <row r="38" spans="1:2" s="98" customFormat="1" outlineLevel="1" x14ac:dyDescent="0.25">
      <c r="A38" s="94" t="s">
        <v>11</v>
      </c>
      <c r="B38" s="115">
        <v>75.23</v>
      </c>
    </row>
    <row r="39" spans="1:2" s="98" customFormat="1" outlineLevel="1" x14ac:dyDescent="0.25">
      <c r="A39" s="94" t="s">
        <v>12</v>
      </c>
      <c r="B39" s="115">
        <v>121.36</v>
      </c>
    </row>
    <row r="40" spans="1:2" s="144" customFormat="1" outlineLevel="1" x14ac:dyDescent="0.25">
      <c r="A40" s="122" t="s">
        <v>32</v>
      </c>
      <c r="B40" s="123">
        <v>5492.3</v>
      </c>
    </row>
    <row r="41" spans="1:2" s="98" customFormat="1" outlineLevel="1" x14ac:dyDescent="0.25">
      <c r="A41" s="94" t="s">
        <v>51</v>
      </c>
      <c r="B41" s="115">
        <v>58.56</v>
      </c>
    </row>
    <row r="42" spans="1:2" s="31" customFormat="1" x14ac:dyDescent="0.25">
      <c r="A42" s="41" t="s">
        <v>112</v>
      </c>
      <c r="B42" s="41">
        <f>SUM(B43:B47)</f>
        <v>4803.33</v>
      </c>
    </row>
    <row r="43" spans="1:2" s="98" customFormat="1" outlineLevel="1" x14ac:dyDescent="0.25">
      <c r="A43" s="94" t="s">
        <v>128</v>
      </c>
      <c r="B43" s="115">
        <v>44.18</v>
      </c>
    </row>
    <row r="44" spans="1:2" s="105" customFormat="1" outlineLevel="1" x14ac:dyDescent="0.25">
      <c r="A44" s="94" t="s">
        <v>119</v>
      </c>
      <c r="B44" s="115">
        <v>4592.8999999999996</v>
      </c>
    </row>
    <row r="45" spans="1:2" s="98" customFormat="1" outlineLevel="1" x14ac:dyDescent="0.25">
      <c r="A45" s="94" t="s">
        <v>7</v>
      </c>
      <c r="B45" s="115">
        <v>36.46</v>
      </c>
    </row>
    <row r="46" spans="1:2" s="98" customFormat="1" outlineLevel="1" x14ac:dyDescent="0.25">
      <c r="A46" s="94" t="s">
        <v>8</v>
      </c>
      <c r="B46" s="115">
        <v>34.9</v>
      </c>
    </row>
    <row r="47" spans="1:2" s="98" customFormat="1" outlineLevel="1" x14ac:dyDescent="0.25">
      <c r="A47" s="94" t="s">
        <v>50</v>
      </c>
      <c r="B47" s="115">
        <v>94.89</v>
      </c>
    </row>
    <row r="48" spans="1:2" s="31" customFormat="1" x14ac:dyDescent="0.25">
      <c r="A48" s="41" t="s">
        <v>16</v>
      </c>
      <c r="B48" s="41">
        <f t="shared" ref="B48" si="5">SUM(B49:B52)</f>
        <v>1427.22</v>
      </c>
    </row>
    <row r="49" spans="1:2" s="98" customFormat="1" outlineLevel="1" x14ac:dyDescent="0.25">
      <c r="A49" s="94" t="s">
        <v>17</v>
      </c>
      <c r="B49" s="115">
        <v>49.53</v>
      </c>
    </row>
    <row r="50" spans="1:2" s="144" customFormat="1" outlineLevel="1" x14ac:dyDescent="0.25">
      <c r="A50" s="122" t="s">
        <v>35</v>
      </c>
      <c r="B50" s="122">
        <v>1602.47</v>
      </c>
    </row>
    <row r="51" spans="1:2" s="98" customFormat="1" outlineLevel="1" x14ac:dyDescent="0.25">
      <c r="A51" s="94" t="s">
        <v>18</v>
      </c>
      <c r="B51" s="115">
        <v>-283.45</v>
      </c>
    </row>
    <row r="52" spans="1:2" s="98" customFormat="1" outlineLevel="1" x14ac:dyDescent="0.25">
      <c r="A52" s="94" t="s">
        <v>125</v>
      </c>
      <c r="B52" s="110">
        <v>58.67</v>
      </c>
    </row>
    <row r="53" spans="1:2" s="31" customFormat="1" x14ac:dyDescent="0.25">
      <c r="A53" s="41" t="s">
        <v>106</v>
      </c>
      <c r="B53" s="41">
        <f t="shared" ref="B53" si="6">SUM(B54:B56)</f>
        <v>476.86</v>
      </c>
    </row>
    <row r="54" spans="1:2" s="31" customFormat="1" outlineLevel="1" x14ac:dyDescent="0.25">
      <c r="A54" s="28" t="s">
        <v>19</v>
      </c>
      <c r="B54" s="131">
        <v>105.78</v>
      </c>
    </row>
    <row r="55" spans="1:2" s="144" customFormat="1" outlineLevel="1" x14ac:dyDescent="0.25">
      <c r="A55" s="122" t="s">
        <v>36</v>
      </c>
      <c r="B55" s="123">
        <v>147.59</v>
      </c>
    </row>
    <row r="56" spans="1:2" s="31" customFormat="1" outlineLevel="1" x14ac:dyDescent="0.25">
      <c r="A56" s="28" t="s">
        <v>20</v>
      </c>
      <c r="B56" s="115">
        <v>223.49</v>
      </c>
    </row>
    <row r="57" spans="1:2" s="31" customFormat="1" x14ac:dyDescent="0.25">
      <c r="A57" s="41" t="s">
        <v>43</v>
      </c>
      <c r="B57" s="41">
        <f>SUM(B58:B60)</f>
        <v>243.41</v>
      </c>
    </row>
    <row r="58" spans="1:2" s="98" customFormat="1" outlineLevel="1" x14ac:dyDescent="0.25">
      <c r="A58" s="94" t="s">
        <v>118</v>
      </c>
      <c r="B58" s="130">
        <v>29.86</v>
      </c>
    </row>
    <row r="59" spans="1:2" s="98" customFormat="1" outlineLevel="1" x14ac:dyDescent="0.25">
      <c r="A59" s="94" t="s">
        <v>120</v>
      </c>
      <c r="B59" s="115">
        <v>57.64</v>
      </c>
    </row>
    <row r="60" spans="1:2" s="98" customFormat="1" outlineLevel="1" x14ac:dyDescent="0.25">
      <c r="A60" s="94" t="s">
        <v>121</v>
      </c>
      <c r="B60" s="130">
        <v>155.91</v>
      </c>
    </row>
    <row r="61" spans="1:2" s="31" customFormat="1" x14ac:dyDescent="0.25">
      <c r="A61" s="39" t="s">
        <v>60</v>
      </c>
      <c r="B61" s="41">
        <f t="shared" ref="B61" si="7">SUM(B62:B64)</f>
        <v>303.01</v>
      </c>
    </row>
    <row r="62" spans="1:2" s="31" customFormat="1" outlineLevel="1" x14ac:dyDescent="0.25">
      <c r="A62" s="28" t="s">
        <v>61</v>
      </c>
      <c r="B62" s="114">
        <v>63.88</v>
      </c>
    </row>
    <row r="63" spans="1:2" s="31" customFormat="1" outlineLevel="1" x14ac:dyDescent="0.25">
      <c r="A63" s="28" t="s">
        <v>63</v>
      </c>
      <c r="B63" s="114">
        <v>101.34</v>
      </c>
    </row>
    <row r="64" spans="1:2" s="31" customFormat="1" outlineLevel="1" x14ac:dyDescent="0.25">
      <c r="A64" s="28" t="s">
        <v>64</v>
      </c>
      <c r="B64" s="136">
        <v>137.79</v>
      </c>
    </row>
    <row r="65" spans="1:2" s="31" customFormat="1" x14ac:dyDescent="0.25">
      <c r="A65" s="39" t="s">
        <v>65</v>
      </c>
      <c r="B65" s="41">
        <f t="shared" ref="B65" si="8">SUM(B66:B67)</f>
        <v>208.82999999999998</v>
      </c>
    </row>
    <row r="66" spans="1:2" s="31" customFormat="1" outlineLevel="1" x14ac:dyDescent="0.25">
      <c r="A66" s="28" t="s">
        <v>66</v>
      </c>
      <c r="B66" s="113">
        <v>137.47</v>
      </c>
    </row>
    <row r="67" spans="1:2" s="31" customFormat="1" outlineLevel="1" x14ac:dyDescent="0.25">
      <c r="A67" s="28" t="s">
        <v>67</v>
      </c>
      <c r="B67" s="135">
        <v>71.36</v>
      </c>
    </row>
    <row r="68" spans="1:2" s="31" customFormat="1" x14ac:dyDescent="0.25">
      <c r="A68" s="41" t="s">
        <v>107</v>
      </c>
      <c r="B68" s="41">
        <f t="shared" ref="B68" si="9">SUM(B69:B74)</f>
        <v>19845.64</v>
      </c>
    </row>
    <row r="69" spans="1:2" s="31" customFormat="1" outlineLevel="1" x14ac:dyDescent="0.25">
      <c r="A69" s="28" t="s">
        <v>68</v>
      </c>
      <c r="B69" s="113">
        <v>22.2</v>
      </c>
    </row>
    <row r="70" spans="1:2" s="31" customFormat="1" outlineLevel="1" x14ac:dyDescent="0.25">
      <c r="A70" s="28" t="s">
        <v>69</v>
      </c>
      <c r="B70" s="113">
        <v>58.15</v>
      </c>
    </row>
    <row r="71" spans="1:2" s="31" customFormat="1" outlineLevel="1" x14ac:dyDescent="0.25">
      <c r="A71" s="28" t="s">
        <v>70</v>
      </c>
      <c r="B71" s="135">
        <v>3027.05</v>
      </c>
    </row>
    <row r="72" spans="1:2" s="31" customFormat="1" outlineLevel="1" x14ac:dyDescent="0.25">
      <c r="A72" s="28" t="s">
        <v>71</v>
      </c>
      <c r="B72" s="133">
        <v>1822.88</v>
      </c>
    </row>
    <row r="73" spans="1:2" s="31" customFormat="1" outlineLevel="1" x14ac:dyDescent="0.25">
      <c r="A73" s="28" t="s">
        <v>72</v>
      </c>
      <c r="B73" s="133">
        <v>632.67999999999995</v>
      </c>
    </row>
    <row r="74" spans="1:2" s="31" customFormat="1" outlineLevel="1" x14ac:dyDescent="0.25">
      <c r="A74" s="28" t="s">
        <v>73</v>
      </c>
      <c r="B74" s="133">
        <v>14282.68</v>
      </c>
    </row>
    <row r="75" spans="1:2" s="31" customFormat="1" x14ac:dyDescent="0.25">
      <c r="A75" s="41" t="s">
        <v>74</v>
      </c>
      <c r="B75" s="41">
        <f t="shared" ref="B75" si="10">SUM(B76:B80)</f>
        <v>55039.25</v>
      </c>
    </row>
    <row r="76" spans="1:2" s="31" customFormat="1" outlineLevel="1" x14ac:dyDescent="0.25">
      <c r="A76" s="28" t="s">
        <v>75</v>
      </c>
      <c r="B76" s="113">
        <v>21.47</v>
      </c>
    </row>
    <row r="77" spans="1:2" s="31" customFormat="1" outlineLevel="1" x14ac:dyDescent="0.25">
      <c r="A77" s="28" t="s">
        <v>76</v>
      </c>
      <c r="B77" s="135">
        <v>1429.77</v>
      </c>
    </row>
    <row r="78" spans="1:2" s="31" customFormat="1" outlineLevel="1" x14ac:dyDescent="0.25">
      <c r="A78" s="28" t="s">
        <v>77</v>
      </c>
      <c r="B78" s="134">
        <v>6995.66</v>
      </c>
    </row>
    <row r="79" spans="1:2" s="31" customFormat="1" outlineLevel="1" x14ac:dyDescent="0.25">
      <c r="A79" s="28" t="s">
        <v>78</v>
      </c>
      <c r="B79" s="134">
        <v>348.54</v>
      </c>
    </row>
    <row r="80" spans="1:2" s="31" customFormat="1" outlineLevel="1" x14ac:dyDescent="0.25">
      <c r="A80" s="28" t="s">
        <v>79</v>
      </c>
      <c r="B80" s="133">
        <v>46243.81</v>
      </c>
    </row>
    <row r="81" spans="1:2" s="31" customFormat="1" x14ac:dyDescent="0.25">
      <c r="A81" s="41" t="s">
        <v>80</v>
      </c>
      <c r="B81" s="41">
        <f t="shared" ref="B81" si="11">SUM(B82:B85)</f>
        <v>20158.28</v>
      </c>
    </row>
    <row r="82" spans="1:2" s="31" customFormat="1" outlineLevel="1" x14ac:dyDescent="0.25">
      <c r="A82" s="28" t="s">
        <v>81</v>
      </c>
      <c r="B82" s="111">
        <v>41.76</v>
      </c>
    </row>
    <row r="83" spans="1:2" s="31" customFormat="1" outlineLevel="1" x14ac:dyDescent="0.25">
      <c r="A83" s="28" t="s">
        <v>82</v>
      </c>
      <c r="B83" s="133">
        <v>187.28</v>
      </c>
    </row>
    <row r="84" spans="1:2" s="31" customFormat="1" outlineLevel="1" x14ac:dyDescent="0.25">
      <c r="A84" s="28" t="s">
        <v>83</v>
      </c>
      <c r="B84" s="133">
        <v>7806.13</v>
      </c>
    </row>
    <row r="85" spans="1:2" s="31" customFormat="1" outlineLevel="1" x14ac:dyDescent="0.25">
      <c r="A85" s="28" t="s">
        <v>85</v>
      </c>
      <c r="B85" s="133">
        <v>12123.11</v>
      </c>
    </row>
    <row r="86" spans="1:2" s="31" customFormat="1" x14ac:dyDescent="0.25">
      <c r="A86" s="41" t="s">
        <v>86</v>
      </c>
      <c r="B86" s="41">
        <f t="shared" ref="B86" si="12">SUM(B87:B90)</f>
        <v>110402.16</v>
      </c>
    </row>
    <row r="87" spans="1:2" s="31" customFormat="1" outlineLevel="1" x14ac:dyDescent="0.25">
      <c r="A87" s="28" t="s">
        <v>87</v>
      </c>
      <c r="B87" s="112">
        <v>117.41</v>
      </c>
    </row>
    <row r="88" spans="1:2" s="31" customFormat="1" outlineLevel="1" x14ac:dyDescent="0.25">
      <c r="A88" s="28" t="s">
        <v>88</v>
      </c>
      <c r="B88" s="134">
        <v>2014.13</v>
      </c>
    </row>
    <row r="89" spans="1:2" s="31" customFormat="1" outlineLevel="1" x14ac:dyDescent="0.25">
      <c r="A89" s="28" t="s">
        <v>89</v>
      </c>
      <c r="B89" s="133">
        <v>104488.74</v>
      </c>
    </row>
    <row r="90" spans="1:2" s="31" customFormat="1" outlineLevel="1" x14ac:dyDescent="0.25">
      <c r="A90" s="28" t="s">
        <v>90</v>
      </c>
      <c r="B90" s="133">
        <v>3781.88</v>
      </c>
    </row>
    <row r="91" spans="1:2" s="31" customFormat="1" x14ac:dyDescent="0.25">
      <c r="A91" s="41" t="s">
        <v>91</v>
      </c>
      <c r="B91" s="41">
        <f>SUM(B92:B94)</f>
        <v>26229.71</v>
      </c>
    </row>
    <row r="92" spans="1:2" s="31" customFormat="1" outlineLevel="1" x14ac:dyDescent="0.25">
      <c r="A92" s="28" t="s">
        <v>92</v>
      </c>
      <c r="B92" s="112">
        <v>122.76</v>
      </c>
    </row>
    <row r="93" spans="1:2" s="31" customFormat="1" outlineLevel="1" x14ac:dyDescent="0.25">
      <c r="A93" s="28" t="s">
        <v>93</v>
      </c>
      <c r="B93" s="134">
        <v>16901.759999999998</v>
      </c>
    </row>
    <row r="94" spans="1:2" s="31" customFormat="1" outlineLevel="1" x14ac:dyDescent="0.25">
      <c r="A94" s="28" t="s">
        <v>94</v>
      </c>
      <c r="B94" s="133">
        <v>9205.19</v>
      </c>
    </row>
    <row r="95" spans="1:2" s="31" customFormat="1" x14ac:dyDescent="0.25">
      <c r="A95" s="41" t="s">
        <v>126</v>
      </c>
      <c r="B95" s="41">
        <f t="shared" ref="B95" si="13">SUM(B96:B98)</f>
        <v>54826.990000000005</v>
      </c>
    </row>
    <row r="96" spans="1:2" s="31" customFormat="1" outlineLevel="1" x14ac:dyDescent="0.25">
      <c r="A96" s="28" t="s">
        <v>95</v>
      </c>
      <c r="B96" s="111">
        <v>100.88</v>
      </c>
    </row>
    <row r="97" spans="1:2" s="31" customFormat="1" outlineLevel="1" x14ac:dyDescent="0.25">
      <c r="A97" s="28" t="s">
        <v>96</v>
      </c>
      <c r="B97" s="135">
        <v>18013.400000000001</v>
      </c>
    </row>
    <row r="98" spans="1:2" s="31" customFormat="1" outlineLevel="1" x14ac:dyDescent="0.25">
      <c r="A98" s="28" t="s">
        <v>97</v>
      </c>
      <c r="B98" s="135">
        <v>36712.71</v>
      </c>
    </row>
    <row r="99" spans="1:2" s="31" customFormat="1" x14ac:dyDescent="0.25">
      <c r="A99" s="41" t="s">
        <v>98</v>
      </c>
      <c r="B99" s="41">
        <f t="shared" ref="B99" si="14">SUM(B100:B102)</f>
        <v>24988.28</v>
      </c>
    </row>
    <row r="100" spans="1:2" s="31" customFormat="1" outlineLevel="1" x14ac:dyDescent="0.25">
      <c r="A100" s="27" t="s">
        <v>99</v>
      </c>
      <c r="B100" s="111">
        <v>352.91</v>
      </c>
    </row>
    <row r="101" spans="1:2" s="31" customFormat="1" outlineLevel="1" x14ac:dyDescent="0.25">
      <c r="A101" s="27" t="s">
        <v>100</v>
      </c>
      <c r="B101" s="133">
        <v>7341.19</v>
      </c>
    </row>
    <row r="102" spans="1:2" s="31" customFormat="1" outlineLevel="1" x14ac:dyDescent="0.25">
      <c r="A102" s="27" t="s">
        <v>101</v>
      </c>
      <c r="B102" s="133">
        <v>17294.18</v>
      </c>
    </row>
    <row r="103" spans="1:2" s="31" customFormat="1" x14ac:dyDescent="0.25">
      <c r="A103" s="71" t="s">
        <v>0</v>
      </c>
      <c r="B103" s="41">
        <f t="shared" ref="B103" si="15">+B5+B12+B19+B25+B31+B36+B42+B48+B53+B57+B61+B65+B68+B75+B81+B86+B91+B95+B99</f>
        <v>1401803.8399999999</v>
      </c>
    </row>
    <row r="104" spans="1:2" s="31" customFormat="1" ht="15" customHeight="1" x14ac:dyDescent="0.25">
      <c r="A104" s="54"/>
      <c r="B104" s="55"/>
    </row>
    <row r="105" spans="1:2" s="54" customFormat="1" hidden="1" x14ac:dyDescent="0.25"/>
    <row r="106" spans="1:2" s="54" customFormat="1" hidden="1" x14ac:dyDescent="0.25"/>
    <row r="107" spans="1:2" s="54" customFormat="1" hidden="1" x14ac:dyDescent="0.25"/>
    <row r="108" spans="1:2" s="54" customFormat="1" x14ac:dyDescent="0.25"/>
    <row r="109" spans="1:2" s="54" customFormat="1" ht="3.75" customHeight="1" x14ac:dyDescent="0.25">
      <c r="B109" s="31"/>
    </row>
    <row r="110" spans="1:2" s="54" customFormat="1" ht="15.75" customHeight="1" x14ac:dyDescent="0.25">
      <c r="B110" s="57"/>
    </row>
    <row r="111" spans="1:2" s="54" customFormat="1" ht="45" customHeight="1" x14ac:dyDescent="0.25">
      <c r="A111" s="58"/>
      <c r="B111" s="58"/>
    </row>
    <row r="112" spans="1:2" s="54" customFormat="1" x14ac:dyDescent="0.25">
      <c r="A112" s="58"/>
      <c r="B112" s="58"/>
    </row>
    <row r="113" spans="1:2" s="54" customFormat="1" x14ac:dyDescent="0.25">
      <c r="A113" s="58"/>
      <c r="B113" s="58"/>
    </row>
    <row r="114" spans="1:2" s="54" customFormat="1" x14ac:dyDescent="0.25">
      <c r="A114" s="58"/>
      <c r="B114" s="58"/>
    </row>
    <row r="115" spans="1:2" s="54" customFormat="1" x14ac:dyDescent="0.25">
      <c r="A115" s="58"/>
      <c r="B115" s="58"/>
    </row>
    <row r="116" spans="1:2" s="54" customFormat="1" x14ac:dyDescent="0.25">
      <c r="A116" s="58"/>
      <c r="B116" s="58"/>
    </row>
    <row r="117" spans="1:2" s="54" customFormat="1" x14ac:dyDescent="0.25">
      <c r="A117" s="58"/>
      <c r="B117" s="58"/>
    </row>
    <row r="118" spans="1:2" s="54" customFormat="1" x14ac:dyDescent="0.25">
      <c r="A118" s="58"/>
      <c r="B118" s="58"/>
    </row>
    <row r="119" spans="1:2" s="54" customFormat="1" x14ac:dyDescent="0.25">
      <c r="A119" s="58"/>
      <c r="B119" s="58"/>
    </row>
    <row r="120" spans="1:2" s="54" customFormat="1" hidden="1" x14ac:dyDescent="0.25">
      <c r="A120" s="58"/>
      <c r="B120" s="58"/>
    </row>
    <row r="121" spans="1:2" s="54" customFormat="1" x14ac:dyDescent="0.25">
      <c r="A121" s="58"/>
      <c r="B121" s="58"/>
    </row>
    <row r="122" spans="1:2" s="54" customFormat="1" x14ac:dyDescent="0.25">
      <c r="A122" s="58"/>
      <c r="B122" s="58"/>
    </row>
    <row r="123" spans="1:2" s="54" customFormat="1" ht="16.5" customHeight="1" x14ac:dyDescent="0.25">
      <c r="A123" s="58"/>
      <c r="B123" s="58"/>
    </row>
    <row r="124" spans="1:2" s="54" customFormat="1" x14ac:dyDescent="0.25"/>
  </sheetData>
  <sheetProtection selectLockedCells="1" selectUnlockedCells="1"/>
  <autoFilter ref="A4:C104"/>
  <mergeCells count="1">
    <mergeCell ref="A2:B2"/>
  </mergeCells>
  <printOptions horizontalCentered="1" verticalCentered="1"/>
  <pageMargins left="0.11811023622047245" right="0.31496062992125984" top="0.19685039370078741" bottom="0.19685039370078741" header="0.31496062992125984" footer="0.31496062992125984"/>
  <pageSetup scale="45" orientation="landscape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94"/>
  <sheetViews>
    <sheetView showGridLines="0" zoomScaleNormal="100" zoomScaleSheetLayoutView="100"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C49" sqref="C49"/>
    </sheetView>
  </sheetViews>
  <sheetFormatPr baseColWidth="10" defaultRowHeight="15.75" outlineLevelRow="1" x14ac:dyDescent="0.25"/>
  <cols>
    <col min="1" max="1" width="31.42578125" style="30" customWidth="1"/>
    <col min="2" max="2" width="17.5703125" style="30" customWidth="1"/>
    <col min="3" max="3" width="21.140625" style="31" bestFit="1" customWidth="1"/>
    <col min="4" max="4" width="20.7109375" style="32" bestFit="1" customWidth="1"/>
    <col min="5" max="5" width="18.5703125" style="31" bestFit="1" customWidth="1"/>
    <col min="6" max="6" width="21.140625" style="32" bestFit="1" customWidth="1"/>
    <col min="7" max="7" width="22.85546875" style="32" bestFit="1" customWidth="1"/>
    <col min="8" max="8" width="17.85546875" style="32" hidden="1" customWidth="1"/>
    <col min="9" max="9" width="11.7109375" style="72" hidden="1" customWidth="1"/>
    <col min="10" max="10" width="19.28515625" style="32" bestFit="1" customWidth="1"/>
    <col min="11" max="11" width="11.28515625" style="32" bestFit="1" customWidth="1"/>
    <col min="12" max="12" width="14.140625" style="54" bestFit="1" customWidth="1"/>
    <col min="13" max="13" width="14.140625" style="30" bestFit="1" customWidth="1"/>
    <col min="14" max="16384" width="11.42578125" style="30"/>
  </cols>
  <sheetData>
    <row r="1" spans="1:12" ht="4.5" customHeight="1" x14ac:dyDescent="0.25"/>
    <row r="2" spans="1:12" s="69" customFormat="1" ht="18.75" customHeight="1" x14ac:dyDescent="0.3">
      <c r="A2" s="186" t="s">
        <v>133</v>
      </c>
      <c r="B2" s="186"/>
      <c r="C2" s="186"/>
      <c r="D2" s="186"/>
      <c r="E2" s="186"/>
      <c r="F2" s="186"/>
      <c r="G2" s="186"/>
      <c r="H2" s="186"/>
      <c r="I2" s="186"/>
      <c r="J2" s="68">
        <v>45236</v>
      </c>
      <c r="L2" s="89"/>
    </row>
    <row r="3" spans="1:12" ht="6.75" customHeight="1" x14ac:dyDescent="0.25"/>
    <row r="4" spans="1:12" ht="37.5" customHeight="1" x14ac:dyDescent="0.35">
      <c r="A4" s="33" t="s">
        <v>23</v>
      </c>
      <c r="B4" s="34" t="s">
        <v>113</v>
      </c>
      <c r="C4" s="34" t="s">
        <v>117</v>
      </c>
      <c r="D4" s="35" t="s">
        <v>123</v>
      </c>
      <c r="E4" s="34" t="s">
        <v>59</v>
      </c>
      <c r="F4" s="35" t="s">
        <v>122</v>
      </c>
      <c r="G4" s="36" t="s">
        <v>114</v>
      </c>
      <c r="H4" s="35" t="s">
        <v>115</v>
      </c>
      <c r="I4" s="74" t="s">
        <v>116</v>
      </c>
      <c r="J4" s="37" t="s">
        <v>21</v>
      </c>
      <c r="K4" s="38"/>
      <c r="L4" s="90">
        <v>2.5000000000000001E-2</v>
      </c>
    </row>
    <row r="5" spans="1:12" s="54" customFormat="1" x14ac:dyDescent="0.25">
      <c r="A5" s="39" t="s">
        <v>1</v>
      </c>
      <c r="B5" s="40">
        <f t="shared" ref="B5:J5" si="0">SUM(B6:B9)</f>
        <v>1253391.0399999998</v>
      </c>
      <c r="C5" s="40">
        <f t="shared" si="0"/>
        <v>0</v>
      </c>
      <c r="D5" s="40">
        <f t="shared" si="0"/>
        <v>0</v>
      </c>
      <c r="E5" s="40">
        <f t="shared" si="0"/>
        <v>0</v>
      </c>
      <c r="F5" s="40">
        <f t="shared" si="0"/>
        <v>5962</v>
      </c>
      <c r="G5" s="40">
        <f t="shared" si="0"/>
        <v>1213166</v>
      </c>
      <c r="H5" s="40">
        <f t="shared" si="0"/>
        <v>0</v>
      </c>
      <c r="I5" s="75">
        <f t="shared" si="0"/>
        <v>30478.2</v>
      </c>
      <c r="J5" s="40">
        <f t="shared" si="0"/>
        <v>3784.8399999999683</v>
      </c>
      <c r="K5" s="41"/>
    </row>
    <row r="6" spans="1:12" s="31" customFormat="1" ht="15.75" customHeight="1" outlineLevel="1" x14ac:dyDescent="0.25">
      <c r="A6" s="28" t="s">
        <v>2</v>
      </c>
      <c r="B6" s="110">
        <v>165875.88</v>
      </c>
      <c r="C6" s="51"/>
      <c r="D6" s="51"/>
      <c r="E6" s="51"/>
      <c r="F6" s="51"/>
      <c r="G6" s="85">
        <v>160000</v>
      </c>
      <c r="H6" s="45"/>
      <c r="I6" s="29">
        <f t="shared" ref="I6:I9" si="1">SUM(C6:H6)*$L$4</f>
        <v>4000</v>
      </c>
      <c r="J6" s="46">
        <f>B6-(C6+D6+E6+F6+H6+I6+G6)</f>
        <v>1875.8800000000047</v>
      </c>
      <c r="K6" s="43"/>
    </row>
    <row r="7" spans="1:12" s="31" customFormat="1" ht="15.75" customHeight="1" outlineLevel="1" x14ac:dyDescent="0.25">
      <c r="A7" s="28" t="s">
        <v>3</v>
      </c>
      <c r="B7" s="110">
        <v>20477.61</v>
      </c>
      <c r="C7" s="43"/>
      <c r="D7" s="51"/>
      <c r="E7" s="51"/>
      <c r="F7" s="51"/>
      <c r="G7" s="82">
        <v>19000</v>
      </c>
      <c r="H7" s="45"/>
      <c r="I7" s="29">
        <f t="shared" si="1"/>
        <v>475</v>
      </c>
      <c r="J7" s="46">
        <f t="shared" ref="J7:J9" si="2">B7-(C7+D7+E7+F7+H7+I7+G7)</f>
        <v>1002.6100000000006</v>
      </c>
      <c r="K7" s="43"/>
      <c r="L7" s="31">
        <f>288-212</f>
        <v>76</v>
      </c>
    </row>
    <row r="8" spans="1:12" s="31" customFormat="1" outlineLevel="1" x14ac:dyDescent="0.25">
      <c r="A8" s="28" t="s">
        <v>4</v>
      </c>
      <c r="B8" s="110">
        <v>1062648.6599999999</v>
      </c>
      <c r="C8" s="51"/>
      <c r="D8" s="51"/>
      <c r="E8" s="82"/>
      <c r="F8" s="82">
        <v>1762</v>
      </c>
      <c r="G8" s="82">
        <f>728000+12166+294000</f>
        <v>1034166</v>
      </c>
      <c r="H8" s="45"/>
      <c r="I8" s="29">
        <f t="shared" si="1"/>
        <v>25898.2</v>
      </c>
      <c r="J8" s="46">
        <f t="shared" si="2"/>
        <v>822.45999999996275</v>
      </c>
      <c r="K8" s="43"/>
    </row>
    <row r="9" spans="1:12" s="31" customFormat="1" ht="15.75" customHeight="1" outlineLevel="1" x14ac:dyDescent="0.25">
      <c r="A9" s="143" t="s">
        <v>29</v>
      </c>
      <c r="B9" s="146">
        <v>4388.8900000000003</v>
      </c>
      <c r="C9" s="43"/>
      <c r="D9" s="51"/>
      <c r="E9" s="51"/>
      <c r="F9" s="51">
        <v>4200</v>
      </c>
      <c r="G9" s="83"/>
      <c r="H9" s="43"/>
      <c r="I9" s="29">
        <f t="shared" si="1"/>
        <v>105</v>
      </c>
      <c r="J9" s="46">
        <f t="shared" si="2"/>
        <v>83.890000000000327</v>
      </c>
      <c r="K9" s="43"/>
    </row>
    <row r="10" spans="1:12" s="31" customFormat="1" ht="15.75" customHeight="1" x14ac:dyDescent="0.25">
      <c r="A10" s="41" t="s">
        <v>13</v>
      </c>
      <c r="B10" s="41">
        <f t="shared" ref="B10:I10" si="3">SUM(B11:B14)</f>
        <v>795155.29</v>
      </c>
      <c r="C10" s="41">
        <f t="shared" si="3"/>
        <v>0</v>
      </c>
      <c r="D10" s="41">
        <f t="shared" si="3"/>
        <v>5073</v>
      </c>
      <c r="E10" s="41">
        <f t="shared" si="3"/>
        <v>0</v>
      </c>
      <c r="F10" s="41">
        <f t="shared" si="3"/>
        <v>0</v>
      </c>
      <c r="G10" s="41">
        <f t="shared" si="3"/>
        <v>648275</v>
      </c>
      <c r="H10" s="41">
        <f t="shared" si="3"/>
        <v>0</v>
      </c>
      <c r="I10" s="76">
        <f t="shared" si="3"/>
        <v>16333.7</v>
      </c>
      <c r="J10" s="41">
        <f>SUM(J11:J14)</f>
        <v>125473.59000000007</v>
      </c>
      <c r="K10" s="41"/>
    </row>
    <row r="11" spans="1:12" s="31" customFormat="1" ht="15.75" customHeight="1" outlineLevel="1" x14ac:dyDescent="0.25">
      <c r="A11" s="28" t="s">
        <v>54</v>
      </c>
      <c r="B11" s="110">
        <v>121594.89</v>
      </c>
      <c r="C11" s="51"/>
      <c r="D11" s="27"/>
      <c r="E11" s="82"/>
      <c r="F11" s="51"/>
      <c r="G11" s="82"/>
      <c r="H11" s="83"/>
      <c r="I11" s="84">
        <f>SUM(C11:H11)*$L$4</f>
        <v>0</v>
      </c>
      <c r="J11" s="46">
        <f>B11-(C11+D11+F11+E11+H11+I11+G11)</f>
        <v>121594.89</v>
      </c>
      <c r="K11" s="43"/>
    </row>
    <row r="12" spans="1:12" s="31" customFormat="1" ht="15.75" customHeight="1" outlineLevel="1" x14ac:dyDescent="0.25">
      <c r="A12" s="28" t="s">
        <v>14</v>
      </c>
      <c r="B12" s="153">
        <v>794.14</v>
      </c>
      <c r="C12" s="87"/>
      <c r="D12" s="85"/>
      <c r="E12" s="82"/>
      <c r="F12" s="82"/>
      <c r="G12" s="85"/>
      <c r="H12" s="83"/>
      <c r="I12" s="84">
        <f>SUM(C12:H12)*$L$4</f>
        <v>0</v>
      </c>
      <c r="J12" s="46">
        <f t="shared" ref="J12:J14" si="4">B12-(C12+D12+F12+E12+H12+I12+G12)</f>
        <v>794.14</v>
      </c>
      <c r="K12" s="43"/>
    </row>
    <row r="13" spans="1:12" s="31" customFormat="1" outlineLevel="1" x14ac:dyDescent="0.25">
      <c r="A13" s="28" t="s">
        <v>15</v>
      </c>
      <c r="B13" s="110">
        <v>672706.03</v>
      </c>
      <c r="C13" s="51"/>
      <c r="D13" s="85">
        <f>2073+3000</f>
        <v>5073</v>
      </c>
      <c r="E13" s="51"/>
      <c r="F13" s="82"/>
      <c r="G13" s="82">
        <f>607000+15000+1830+405+1500+20000+2540</f>
        <v>648275</v>
      </c>
      <c r="H13" s="83"/>
      <c r="I13" s="84">
        <f>SUM(C13:H13)*$L$4</f>
        <v>16333.7</v>
      </c>
      <c r="J13" s="46">
        <f t="shared" si="4"/>
        <v>3024.3300000000745</v>
      </c>
      <c r="K13" s="43"/>
    </row>
    <row r="14" spans="1:12" s="31" customFormat="1" ht="15.75" customHeight="1" outlineLevel="1" x14ac:dyDescent="0.25">
      <c r="A14" s="143" t="s">
        <v>31</v>
      </c>
      <c r="B14" s="93">
        <v>60.23</v>
      </c>
      <c r="C14" s="51"/>
      <c r="D14" s="27"/>
      <c r="E14" s="27"/>
      <c r="F14" s="27"/>
      <c r="G14" s="83"/>
      <c r="H14" s="83"/>
      <c r="I14" s="84">
        <f>SUM(C14:H14)*$L$4</f>
        <v>0</v>
      </c>
      <c r="J14" s="46">
        <f t="shared" si="4"/>
        <v>60.23</v>
      </c>
      <c r="K14" s="28"/>
    </row>
    <row r="15" spans="1:12" s="31" customFormat="1" ht="15.75" customHeight="1" x14ac:dyDescent="0.25">
      <c r="A15" s="41" t="s">
        <v>108</v>
      </c>
      <c r="B15" s="41">
        <f t="shared" ref="B15:K15" si="5">SUM(B16:B19)</f>
        <v>904212.6</v>
      </c>
      <c r="C15" s="41">
        <f t="shared" si="5"/>
        <v>14071</v>
      </c>
      <c r="D15" s="41">
        <f t="shared" si="5"/>
        <v>1257</v>
      </c>
      <c r="E15" s="41">
        <f t="shared" si="5"/>
        <v>0</v>
      </c>
      <c r="F15" s="41">
        <f>SUM(F16:F19)</f>
        <v>4300</v>
      </c>
      <c r="G15" s="41">
        <f t="shared" si="5"/>
        <v>834293.6</v>
      </c>
      <c r="H15" s="41">
        <f t="shared" si="5"/>
        <v>0</v>
      </c>
      <c r="I15" s="76">
        <f t="shared" si="5"/>
        <v>21348.04</v>
      </c>
      <c r="J15" s="41">
        <f t="shared" si="5"/>
        <v>28942.960000000021</v>
      </c>
      <c r="K15" s="41">
        <f t="shared" si="5"/>
        <v>0</v>
      </c>
    </row>
    <row r="16" spans="1:12" s="31" customFormat="1" outlineLevel="1" x14ac:dyDescent="0.25">
      <c r="A16" s="28" t="s">
        <v>37</v>
      </c>
      <c r="B16" s="110">
        <v>473533.5</v>
      </c>
      <c r="C16" s="51">
        <f>3518+10553</f>
        <v>14071</v>
      </c>
      <c r="D16" s="27">
        <v>1257</v>
      </c>
      <c r="E16" s="27"/>
      <c r="F16" s="27"/>
      <c r="G16" s="83">
        <f>5300+153000+118000+111000+1632+810+7922+4251+5109.8+5109.8+1000+9159</f>
        <v>422293.6</v>
      </c>
      <c r="H16" s="27"/>
      <c r="I16" s="84">
        <f>SUM(C16:H16)*$L$4</f>
        <v>10940.54</v>
      </c>
      <c r="J16" s="46">
        <f>B16-(C16+D16+F16+E16+H16+I16+G16)</f>
        <v>24971.360000000044</v>
      </c>
      <c r="K16" s="28"/>
    </row>
    <row r="17" spans="1:11" s="31" customFormat="1" ht="15.75" customHeight="1" outlineLevel="1" x14ac:dyDescent="0.25">
      <c r="A17" s="28" t="s">
        <v>100</v>
      </c>
      <c r="B17" s="110">
        <v>424888.6</v>
      </c>
      <c r="C17" s="51"/>
      <c r="D17" s="27"/>
      <c r="E17" s="27"/>
      <c r="F17" s="27"/>
      <c r="G17" s="83">
        <v>412000</v>
      </c>
      <c r="H17" s="27"/>
      <c r="I17" s="84">
        <f>SUM(C17:H17)*$L$4</f>
        <v>10300</v>
      </c>
      <c r="J17" s="46">
        <f>B17-(C17+D17+F17+E17+H17+I17+G17)</f>
        <v>2588.5999999999767</v>
      </c>
      <c r="K17" s="28"/>
    </row>
    <row r="18" spans="1:11" s="31" customFormat="1" ht="15.75" customHeight="1" outlineLevel="1" x14ac:dyDescent="0.25">
      <c r="A18" s="28" t="s">
        <v>40</v>
      </c>
      <c r="B18" s="110">
        <v>1287.17</v>
      </c>
      <c r="C18" s="51"/>
      <c r="D18" s="27"/>
      <c r="E18" s="83"/>
      <c r="F18" s="83"/>
      <c r="G18" s="83"/>
      <c r="H18" s="27"/>
      <c r="I18" s="84">
        <f>SUM(C18:H18)*$L$4</f>
        <v>0</v>
      </c>
      <c r="J18" s="46">
        <f>B18-(C18+D18+F18+E18+H18+I18+G18)</f>
        <v>1287.17</v>
      </c>
      <c r="K18" s="28"/>
    </row>
    <row r="19" spans="1:11" s="31" customFormat="1" ht="15.75" customHeight="1" outlineLevel="1" x14ac:dyDescent="0.25">
      <c r="A19" s="143" t="s">
        <v>52</v>
      </c>
      <c r="B19" s="93">
        <v>4503.33</v>
      </c>
      <c r="C19" s="51"/>
      <c r="D19" s="27"/>
      <c r="E19" s="27"/>
      <c r="F19" s="27">
        <v>4300</v>
      </c>
      <c r="G19" s="83"/>
      <c r="H19" s="27"/>
      <c r="I19" s="84">
        <f>SUM(C19:H19)*$L$4</f>
        <v>107.5</v>
      </c>
      <c r="J19" s="46">
        <f>B19-(C19+D19+F19+E19+H19+I19+G19)</f>
        <v>95.829999999999927</v>
      </c>
      <c r="K19" s="28"/>
    </row>
    <row r="20" spans="1:11" s="31" customFormat="1" ht="15.75" customHeight="1" x14ac:dyDescent="0.25">
      <c r="A20" s="41" t="s">
        <v>109</v>
      </c>
      <c r="B20" s="41">
        <f>SUM(B21:B23)</f>
        <v>704859.8899999999</v>
      </c>
      <c r="C20" s="41">
        <f>SUM(C21:C23)</f>
        <v>0</v>
      </c>
      <c r="D20" s="41">
        <f t="shared" ref="D20:J20" si="6">SUM(D21:D23)</f>
        <v>858.88</v>
      </c>
      <c r="E20" s="41">
        <f t="shared" si="6"/>
        <v>0</v>
      </c>
      <c r="F20" s="41">
        <f t="shared" si="6"/>
        <v>1400</v>
      </c>
      <c r="G20" s="41">
        <f t="shared" si="6"/>
        <v>564700</v>
      </c>
      <c r="H20" s="41">
        <f t="shared" si="6"/>
        <v>0</v>
      </c>
      <c r="I20" s="76">
        <f t="shared" si="6"/>
        <v>14173.972000000002</v>
      </c>
      <c r="J20" s="41">
        <f t="shared" si="6"/>
        <v>123727.03800000006</v>
      </c>
      <c r="K20" s="41"/>
    </row>
    <row r="21" spans="1:11" s="31" customFormat="1" ht="15.75" customHeight="1" outlineLevel="1" x14ac:dyDescent="0.25">
      <c r="A21" s="28" t="s">
        <v>9</v>
      </c>
      <c r="B21" s="152">
        <v>154430.54999999999</v>
      </c>
      <c r="C21" s="43"/>
      <c r="D21" s="51"/>
      <c r="E21" s="51"/>
      <c r="F21" s="27"/>
      <c r="G21" s="83">
        <v>32000</v>
      </c>
      <c r="H21" s="51"/>
      <c r="I21" s="84">
        <f>SUM(C21:H21)*$L$4</f>
        <v>800</v>
      </c>
      <c r="J21" s="46">
        <f>B21-(C21+D21+F21+E21+H21+I21+G21)</f>
        <v>121630.54999999999</v>
      </c>
      <c r="K21" s="43"/>
    </row>
    <row r="22" spans="1:11" s="31" customFormat="1" outlineLevel="1" x14ac:dyDescent="0.25">
      <c r="A22" s="28" t="s">
        <v>22</v>
      </c>
      <c r="B22" s="110">
        <v>548961.15</v>
      </c>
      <c r="C22" s="45"/>
      <c r="D22" s="51">
        <v>858.88</v>
      </c>
      <c r="E22" s="27"/>
      <c r="F22" s="27"/>
      <c r="G22" s="83">
        <f>2700+530000</f>
        <v>532700</v>
      </c>
      <c r="H22" s="51"/>
      <c r="I22" s="84">
        <f>SUM(C22:H22)*$L$4</f>
        <v>13338.972000000002</v>
      </c>
      <c r="J22" s="46">
        <f>B22-(C22+D22+F22+E22+H22+I22+G22)</f>
        <v>2063.298000000068</v>
      </c>
      <c r="K22" s="43"/>
    </row>
    <row r="23" spans="1:11" s="31" customFormat="1" ht="15.75" customHeight="1" outlineLevel="1" x14ac:dyDescent="0.25">
      <c r="A23" s="143" t="s">
        <v>33</v>
      </c>
      <c r="B23" s="93">
        <v>1468.19</v>
      </c>
      <c r="C23" s="43"/>
      <c r="D23" s="51"/>
      <c r="E23" s="27"/>
      <c r="F23" s="27">
        <v>1400</v>
      </c>
      <c r="G23" s="83"/>
      <c r="H23" s="83"/>
      <c r="I23" s="84">
        <f>SUM(C23:H23)*$L$4</f>
        <v>35</v>
      </c>
      <c r="J23" s="46">
        <f>B23-(C23+D23+F23+E23+H23+I23+G23)</f>
        <v>33.190000000000055</v>
      </c>
      <c r="K23" s="28"/>
    </row>
    <row r="24" spans="1:11" s="31" customFormat="1" ht="15.75" customHeight="1" x14ac:dyDescent="0.25">
      <c r="A24" s="41" t="s">
        <v>106</v>
      </c>
      <c r="B24" s="41">
        <f t="shared" ref="B24:J24" si="7">SUM(B25:B27)</f>
        <v>474.62</v>
      </c>
      <c r="C24" s="41">
        <f t="shared" si="7"/>
        <v>0</v>
      </c>
      <c r="D24" s="41">
        <f t="shared" si="7"/>
        <v>0</v>
      </c>
      <c r="E24" s="41">
        <f t="shared" si="7"/>
        <v>0</v>
      </c>
      <c r="F24" s="41">
        <f t="shared" si="7"/>
        <v>0</v>
      </c>
      <c r="G24" s="41">
        <f t="shared" si="7"/>
        <v>0</v>
      </c>
      <c r="H24" s="41">
        <f t="shared" si="7"/>
        <v>0</v>
      </c>
      <c r="I24" s="76">
        <f t="shared" si="7"/>
        <v>0</v>
      </c>
      <c r="J24" s="41">
        <f t="shared" si="7"/>
        <v>474.62</v>
      </c>
      <c r="K24" s="41"/>
    </row>
    <row r="25" spans="1:11" s="31" customFormat="1" ht="15.75" customHeight="1" outlineLevel="1" x14ac:dyDescent="0.25">
      <c r="A25" s="28" t="s">
        <v>19</v>
      </c>
      <c r="B25" s="151">
        <v>102.72</v>
      </c>
      <c r="C25" s="42"/>
      <c r="D25" s="43"/>
      <c r="E25" s="43"/>
      <c r="F25" s="43"/>
      <c r="G25" s="48"/>
      <c r="H25" s="43"/>
      <c r="I25" s="29">
        <f>SUM(C25:H25)*$L$4</f>
        <v>0</v>
      </c>
      <c r="J25" s="46">
        <f>B25-(C25+D25+F25+E25+H25+I25+G25)</f>
        <v>102.72</v>
      </c>
      <c r="K25" s="43"/>
    </row>
    <row r="26" spans="1:11" s="31" customFormat="1" ht="15.75" customHeight="1" outlineLevel="1" x14ac:dyDescent="0.25">
      <c r="A26" s="143" t="s">
        <v>36</v>
      </c>
      <c r="B26" s="147">
        <v>147.59</v>
      </c>
      <c r="C26" s="42"/>
      <c r="D26" s="43"/>
      <c r="E26" s="43"/>
      <c r="F26" s="43"/>
      <c r="G26" s="48"/>
      <c r="H26" s="43"/>
      <c r="I26" s="29">
        <f>SUM(C26:H26)*$L$4</f>
        <v>0</v>
      </c>
      <c r="J26" s="46">
        <f>B26-(C26+D26+F26+E26+H26+I26+G26)</f>
        <v>147.59</v>
      </c>
      <c r="K26" s="43"/>
    </row>
    <row r="27" spans="1:11" s="31" customFormat="1" ht="15.75" customHeight="1" outlineLevel="1" x14ac:dyDescent="0.25">
      <c r="A27" s="28" t="s">
        <v>20</v>
      </c>
      <c r="B27" s="110">
        <v>224.31</v>
      </c>
      <c r="C27" s="42"/>
      <c r="D27" s="43"/>
      <c r="E27" s="43"/>
      <c r="F27" s="43"/>
      <c r="G27" s="45"/>
      <c r="H27" s="45"/>
      <c r="I27" s="29">
        <f>SUM(C27:H27)*$L$4</f>
        <v>0</v>
      </c>
      <c r="J27" s="46">
        <f>B27-(C27+D27+F27+E27+H27+I27+G27)</f>
        <v>224.31</v>
      </c>
      <c r="K27" s="43"/>
    </row>
    <row r="28" spans="1:11" s="31" customFormat="1" ht="15.75" customHeight="1" x14ac:dyDescent="0.25">
      <c r="A28" s="39" t="s">
        <v>60</v>
      </c>
      <c r="B28" s="41">
        <f t="shared" ref="B28:K28" si="8">SUM(B29:B29)</f>
        <v>332.16</v>
      </c>
      <c r="C28" s="41">
        <f t="shared" si="8"/>
        <v>0</v>
      </c>
      <c r="D28" s="41">
        <f t="shared" si="8"/>
        <v>0</v>
      </c>
      <c r="E28" s="41">
        <f t="shared" si="8"/>
        <v>0</v>
      </c>
      <c r="F28" s="41">
        <f t="shared" si="8"/>
        <v>0</v>
      </c>
      <c r="G28" s="41">
        <f t="shared" si="8"/>
        <v>0</v>
      </c>
      <c r="H28" s="41">
        <f t="shared" si="8"/>
        <v>0</v>
      </c>
      <c r="I28" s="76">
        <f t="shared" si="8"/>
        <v>0</v>
      </c>
      <c r="J28" s="41">
        <f t="shared" si="8"/>
        <v>332.16</v>
      </c>
      <c r="K28" s="41">
        <f t="shared" si="8"/>
        <v>0</v>
      </c>
    </row>
    <row r="29" spans="1:11" s="31" customFormat="1" ht="15.75" customHeight="1" outlineLevel="1" x14ac:dyDescent="0.25">
      <c r="A29" s="28" t="s">
        <v>64</v>
      </c>
      <c r="B29" s="157">
        <v>332.16</v>
      </c>
      <c r="C29" s="28"/>
      <c r="D29" s="43"/>
      <c r="E29" s="43"/>
      <c r="F29" s="43"/>
      <c r="G29" s="47"/>
      <c r="H29" s="45"/>
      <c r="I29" s="29">
        <f>SUM(C29:H29)*$L$4</f>
        <v>0</v>
      </c>
      <c r="J29" s="46">
        <f>B29-(C29+D29+F29+E29+H29+I29+G29)</f>
        <v>332.16</v>
      </c>
      <c r="K29" s="28"/>
    </row>
    <row r="30" spans="1:11" s="31" customFormat="1" ht="15.75" customHeight="1" x14ac:dyDescent="0.25">
      <c r="A30" s="41" t="s">
        <v>107</v>
      </c>
      <c r="B30" s="41">
        <f t="shared" ref="B30:J30" si="9">SUM(B31:B33)</f>
        <v>832.69</v>
      </c>
      <c r="C30" s="41">
        <f t="shared" si="9"/>
        <v>0</v>
      </c>
      <c r="D30" s="41">
        <f t="shared" si="9"/>
        <v>0</v>
      </c>
      <c r="E30" s="41">
        <f t="shared" si="9"/>
        <v>0</v>
      </c>
      <c r="F30" s="41">
        <f t="shared" si="9"/>
        <v>0</v>
      </c>
      <c r="G30" s="41">
        <f t="shared" si="9"/>
        <v>0</v>
      </c>
      <c r="H30" s="41">
        <f t="shared" si="9"/>
        <v>0</v>
      </c>
      <c r="I30" s="76">
        <f t="shared" si="9"/>
        <v>0</v>
      </c>
      <c r="J30" s="41">
        <f t="shared" si="9"/>
        <v>832.69</v>
      </c>
      <c r="K30" s="41">
        <f>SUM(K31:K32)</f>
        <v>0</v>
      </c>
    </row>
    <row r="31" spans="1:11" s="31" customFormat="1" ht="15.75" customHeight="1" outlineLevel="1" x14ac:dyDescent="0.25">
      <c r="A31" s="28" t="s">
        <v>70</v>
      </c>
      <c r="B31" s="156">
        <v>25.03</v>
      </c>
      <c r="C31" s="43"/>
      <c r="D31" s="43"/>
      <c r="E31" s="27"/>
      <c r="F31" s="43"/>
      <c r="G31" s="43"/>
      <c r="H31" s="43"/>
      <c r="I31" s="29">
        <f t="shared" ref="I31:I33" si="10">SUM(C31:H31)*$L$4</f>
        <v>0</v>
      </c>
      <c r="J31" s="46">
        <f t="shared" ref="J31:J33" si="11">B31-(C31+D31+F31+E31+H31+I31+G31)</f>
        <v>25.03</v>
      </c>
      <c r="K31" s="43"/>
    </row>
    <row r="32" spans="1:11" s="31" customFormat="1" ht="15.75" customHeight="1" outlineLevel="1" x14ac:dyDescent="0.25">
      <c r="A32" s="28" t="s">
        <v>72</v>
      </c>
      <c r="B32" s="154">
        <v>503.93</v>
      </c>
      <c r="C32" s="51"/>
      <c r="D32" s="43"/>
      <c r="E32" s="27"/>
      <c r="F32" s="27"/>
      <c r="G32" s="51"/>
      <c r="H32" s="27"/>
      <c r="I32" s="84">
        <f t="shared" si="10"/>
        <v>0</v>
      </c>
      <c r="J32" s="46">
        <f t="shared" si="11"/>
        <v>503.93</v>
      </c>
      <c r="K32" s="28"/>
    </row>
    <row r="33" spans="1:11" s="31" customFormat="1" ht="15.75" customHeight="1" outlineLevel="1" x14ac:dyDescent="0.25">
      <c r="A33" s="28" t="s">
        <v>73</v>
      </c>
      <c r="B33" s="154">
        <v>303.73</v>
      </c>
      <c r="C33" s="28"/>
      <c r="D33" s="43"/>
      <c r="E33" s="27"/>
      <c r="F33" s="27"/>
      <c r="G33" s="83"/>
      <c r="H33" s="27"/>
      <c r="I33" s="84">
        <f t="shared" si="10"/>
        <v>0</v>
      </c>
      <c r="J33" s="46">
        <f t="shared" si="11"/>
        <v>303.73</v>
      </c>
      <c r="K33" s="28"/>
    </row>
    <row r="34" spans="1:11" s="31" customFormat="1" ht="15.75" customHeight="1" x14ac:dyDescent="0.25">
      <c r="A34" s="41" t="s">
        <v>74</v>
      </c>
      <c r="B34" s="41">
        <f t="shared" ref="B34:J34" si="12">SUM(B35:B37)</f>
        <v>370746.31</v>
      </c>
      <c r="C34" s="41">
        <f t="shared" si="12"/>
        <v>0</v>
      </c>
      <c r="D34" s="41">
        <f t="shared" si="12"/>
        <v>389.43</v>
      </c>
      <c r="E34" s="41">
        <f t="shared" si="12"/>
        <v>0</v>
      </c>
      <c r="F34" s="41">
        <f t="shared" si="12"/>
        <v>0</v>
      </c>
      <c r="G34" s="41">
        <f t="shared" si="12"/>
        <v>318000</v>
      </c>
      <c r="H34" s="41">
        <f t="shared" si="12"/>
        <v>0</v>
      </c>
      <c r="I34" s="76">
        <f t="shared" si="12"/>
        <v>7959.7357499999998</v>
      </c>
      <c r="J34" s="41">
        <f t="shared" si="12"/>
        <v>44397.144250000005</v>
      </c>
      <c r="K34" s="41">
        <f>SUM(K35:K36)</f>
        <v>0</v>
      </c>
    </row>
    <row r="35" spans="1:11" s="31" customFormat="1" ht="15.75" customHeight="1" outlineLevel="1" x14ac:dyDescent="0.25">
      <c r="A35" s="28" t="s">
        <v>76</v>
      </c>
      <c r="B35" s="156">
        <v>10905.08</v>
      </c>
      <c r="C35" s="43"/>
      <c r="D35" s="43"/>
      <c r="E35" s="43"/>
      <c r="F35" s="43"/>
      <c r="G35" s="45"/>
      <c r="H35" s="43"/>
      <c r="I35" s="29">
        <f>SUM(C35:H35)*$L$4</f>
        <v>0</v>
      </c>
      <c r="J35" s="46">
        <f>B35-(C35+D35+F35+E35+H35+I35+G35)</f>
        <v>10905.08</v>
      </c>
      <c r="K35" s="43"/>
    </row>
    <row r="36" spans="1:11" s="31" customFormat="1" ht="15.75" customHeight="1" outlineLevel="1" x14ac:dyDescent="0.25">
      <c r="A36" s="28" t="s">
        <v>78</v>
      </c>
      <c r="B36" s="155">
        <v>19688.490000000002</v>
      </c>
      <c r="C36" s="43"/>
      <c r="D36" s="51"/>
      <c r="E36" s="51"/>
      <c r="F36" s="27"/>
      <c r="G36" s="51"/>
      <c r="H36" s="51"/>
      <c r="I36" s="84">
        <f>SUM(C36:G36)*$L$4</f>
        <v>0</v>
      </c>
      <c r="J36" s="46">
        <f>B36-(C36+D36+F36+E36+H36+I36+G36)</f>
        <v>19688.490000000002</v>
      </c>
      <c r="K36" s="43"/>
    </row>
    <row r="37" spans="1:11" s="31" customFormat="1" ht="15.75" customHeight="1" outlineLevel="1" x14ac:dyDescent="0.25">
      <c r="A37" s="28" t="s">
        <v>79</v>
      </c>
      <c r="B37" s="154">
        <v>340152.74</v>
      </c>
      <c r="C37" s="43"/>
      <c r="D37" s="51">
        <v>389.43</v>
      </c>
      <c r="E37" s="27"/>
      <c r="F37" s="27"/>
      <c r="G37" s="83">
        <v>318000</v>
      </c>
      <c r="H37" s="83"/>
      <c r="I37" s="84">
        <f>SUM(C37:H37)*$L$4</f>
        <v>7959.7357499999998</v>
      </c>
      <c r="J37" s="46">
        <f>B37-(C37+D37+F37+E37+H37+I37+G37)</f>
        <v>13803.574250000005</v>
      </c>
      <c r="K37" s="28"/>
    </row>
    <row r="38" spans="1:11" s="31" customFormat="1" ht="15.75" customHeight="1" x14ac:dyDescent="0.25">
      <c r="A38" s="41" t="s">
        <v>80</v>
      </c>
      <c r="B38" s="41">
        <f t="shared" ref="B38:K38" si="13">SUM(B39:B41)</f>
        <v>65483.509999999995</v>
      </c>
      <c r="C38" s="41">
        <f t="shared" si="13"/>
        <v>0</v>
      </c>
      <c r="D38" s="41">
        <f t="shared" si="13"/>
        <v>168.07</v>
      </c>
      <c r="E38" s="41">
        <f t="shared" si="13"/>
        <v>0</v>
      </c>
      <c r="F38" s="41">
        <f t="shared" si="13"/>
        <v>0</v>
      </c>
      <c r="G38" s="41">
        <f t="shared" si="13"/>
        <v>2587</v>
      </c>
      <c r="H38" s="41">
        <f t="shared" si="13"/>
        <v>0</v>
      </c>
      <c r="I38" s="76">
        <f t="shared" si="13"/>
        <v>68.876750000000001</v>
      </c>
      <c r="J38" s="41">
        <f t="shared" si="13"/>
        <v>62659.563249999992</v>
      </c>
      <c r="K38" s="41">
        <f t="shared" si="13"/>
        <v>0</v>
      </c>
    </row>
    <row r="39" spans="1:11" s="31" customFormat="1" ht="15.75" customHeight="1" outlineLevel="1" x14ac:dyDescent="0.25">
      <c r="A39" s="28" t="s">
        <v>82</v>
      </c>
      <c r="B39" s="154">
        <v>12587.45</v>
      </c>
      <c r="C39" s="44"/>
      <c r="D39" s="43"/>
      <c r="E39" s="83"/>
      <c r="F39" s="83"/>
      <c r="G39" s="83"/>
      <c r="H39" s="83"/>
      <c r="I39" s="84">
        <f>SUM(C39:H39)*$L$4</f>
        <v>0</v>
      </c>
      <c r="J39" s="46">
        <f>B39-(C39+D39+F39+E39+H39+I39+G39)</f>
        <v>12587.45</v>
      </c>
      <c r="K39" s="43"/>
    </row>
    <row r="40" spans="1:11" s="31" customFormat="1" ht="15.75" customHeight="1" outlineLevel="1" x14ac:dyDescent="0.25">
      <c r="A40" s="28" t="s">
        <v>83</v>
      </c>
      <c r="B40" s="154">
        <v>17005.14</v>
      </c>
      <c r="C40" s="44"/>
      <c r="D40" s="43"/>
      <c r="E40" s="51"/>
      <c r="F40" s="51"/>
      <c r="G40" s="83"/>
      <c r="H40" s="83"/>
      <c r="I40" s="84">
        <f>SUM(C40:H40)*$L$4</f>
        <v>0</v>
      </c>
      <c r="J40" s="46">
        <f>B40-(C40+D40+F40+E40+H40+I40+G40)</f>
        <v>17005.14</v>
      </c>
      <c r="K40" s="43"/>
    </row>
    <row r="41" spans="1:11" s="31" customFormat="1" ht="15.75" customHeight="1" outlineLevel="1" x14ac:dyDescent="0.25">
      <c r="A41" s="28" t="s">
        <v>85</v>
      </c>
      <c r="B41" s="154">
        <v>35890.92</v>
      </c>
      <c r="C41" s="44"/>
      <c r="D41" s="43">
        <v>168.07</v>
      </c>
      <c r="E41" s="86"/>
      <c r="F41" s="85"/>
      <c r="G41" s="83">
        <f>561+2026</f>
        <v>2587</v>
      </c>
      <c r="H41" s="83"/>
      <c r="I41" s="84">
        <f>SUM(C41:H41)*$L$4</f>
        <v>68.876750000000001</v>
      </c>
      <c r="J41" s="46">
        <f>B41-(C41+D41+F41+E41+H41+I41+G41)</f>
        <v>33066.973249999995</v>
      </c>
      <c r="K41" s="43"/>
    </row>
    <row r="42" spans="1:11" s="31" customFormat="1" ht="15.75" customHeight="1" x14ac:dyDescent="0.25">
      <c r="A42" s="41" t="s">
        <v>86</v>
      </c>
      <c r="B42" s="41">
        <f t="shared" ref="B42:J42" si="14">SUM(B43:B45)</f>
        <v>599.57000000000005</v>
      </c>
      <c r="C42" s="41">
        <f t="shared" si="14"/>
        <v>0</v>
      </c>
      <c r="D42" s="41">
        <f t="shared" si="14"/>
        <v>0</v>
      </c>
      <c r="E42" s="41">
        <f t="shared" si="14"/>
        <v>0</v>
      </c>
      <c r="F42" s="41">
        <f t="shared" si="14"/>
        <v>0</v>
      </c>
      <c r="G42" s="41">
        <f t="shared" si="14"/>
        <v>0</v>
      </c>
      <c r="H42" s="41">
        <f t="shared" si="14"/>
        <v>0</v>
      </c>
      <c r="I42" s="76">
        <f t="shared" si="14"/>
        <v>0</v>
      </c>
      <c r="J42" s="41">
        <f t="shared" si="14"/>
        <v>599.57000000000005</v>
      </c>
      <c r="K42" s="41">
        <f>SUM(K43:K44)</f>
        <v>0</v>
      </c>
    </row>
    <row r="43" spans="1:11" s="31" customFormat="1" ht="15.75" customHeight="1" outlineLevel="1" x14ac:dyDescent="0.25">
      <c r="A43" s="28" t="s">
        <v>88</v>
      </c>
      <c r="B43" s="155">
        <v>275.23</v>
      </c>
      <c r="C43" s="43"/>
      <c r="D43" s="51"/>
      <c r="E43" s="87"/>
      <c r="F43" s="86"/>
      <c r="G43" s="82"/>
      <c r="H43" s="51"/>
      <c r="I43" s="84">
        <f>SUM(C43:H43)*$L$4</f>
        <v>0</v>
      </c>
      <c r="J43" s="46">
        <f>B43-(C43+D43+F43+E43+H43+I43+G43)</f>
        <v>275.23</v>
      </c>
      <c r="K43" s="42"/>
    </row>
    <row r="44" spans="1:11" s="31" customFormat="1" ht="15.75" customHeight="1" outlineLevel="1" x14ac:dyDescent="0.25">
      <c r="A44" s="28" t="s">
        <v>89</v>
      </c>
      <c r="B44" s="154">
        <v>181.71</v>
      </c>
      <c r="C44" s="43"/>
      <c r="D44" s="86"/>
      <c r="E44" s="86"/>
      <c r="F44" s="86"/>
      <c r="G44" s="82"/>
      <c r="H44" s="51"/>
      <c r="I44" s="84">
        <f>SUM(C44:H44)*$L$4</f>
        <v>0</v>
      </c>
      <c r="J44" s="46">
        <f>B44-(C44+D44+F44+E44+H44+I44+G44)</f>
        <v>181.71</v>
      </c>
      <c r="K44" s="42"/>
    </row>
    <row r="45" spans="1:11" s="31" customFormat="1" ht="15.75" customHeight="1" outlineLevel="1" x14ac:dyDescent="0.25">
      <c r="A45" s="28" t="s">
        <v>90</v>
      </c>
      <c r="B45" s="154">
        <v>142.63</v>
      </c>
      <c r="C45" s="43"/>
      <c r="D45" s="86"/>
      <c r="E45" s="86"/>
      <c r="F45" s="86"/>
      <c r="G45" s="82"/>
      <c r="H45" s="51"/>
      <c r="I45" s="84">
        <f>SUM(C45:H45)*$L$4</f>
        <v>0</v>
      </c>
      <c r="J45" s="46">
        <f>B45-(C45+D45+F45+E45+H45+I45+G45)</f>
        <v>142.63</v>
      </c>
      <c r="K45" s="42"/>
    </row>
    <row r="46" spans="1:11" s="31" customFormat="1" ht="15.75" customHeight="1" x14ac:dyDescent="0.25">
      <c r="A46" s="41" t="s">
        <v>91</v>
      </c>
      <c r="B46" s="41">
        <f t="shared" ref="B46:J46" si="15">SUM(B47:B48)</f>
        <v>604.47</v>
      </c>
      <c r="C46" s="41">
        <f t="shared" si="15"/>
        <v>259.38</v>
      </c>
      <c r="D46" s="41">
        <f t="shared" si="15"/>
        <v>0</v>
      </c>
      <c r="E46" s="41">
        <f t="shared" si="15"/>
        <v>0</v>
      </c>
      <c r="F46" s="41">
        <f t="shared" si="15"/>
        <v>0</v>
      </c>
      <c r="G46" s="41">
        <f t="shared" si="15"/>
        <v>0</v>
      </c>
      <c r="H46" s="41">
        <f t="shared" si="15"/>
        <v>0</v>
      </c>
      <c r="I46" s="76">
        <f t="shared" si="15"/>
        <v>6.4845000000000006</v>
      </c>
      <c r="J46" s="41">
        <f t="shared" si="15"/>
        <v>338.60550000000001</v>
      </c>
      <c r="K46" s="50">
        <f>SUM(K47:K47)</f>
        <v>0</v>
      </c>
    </row>
    <row r="47" spans="1:11" s="31" customFormat="1" ht="15.75" customHeight="1" outlineLevel="1" x14ac:dyDescent="0.25">
      <c r="A47" s="28" t="s">
        <v>93</v>
      </c>
      <c r="B47" s="155">
        <v>179.47</v>
      </c>
      <c r="C47" s="43"/>
      <c r="D47" s="51"/>
      <c r="E47" s="51"/>
      <c r="F47" s="51"/>
      <c r="G47" s="52"/>
      <c r="H47" s="51"/>
      <c r="I47" s="84">
        <f>SUM(C47:H47)*$L$4</f>
        <v>0</v>
      </c>
      <c r="J47" s="46">
        <f>B47-(C47+D47+F47+E47+H47+I47+G47)</f>
        <v>179.47</v>
      </c>
      <c r="K47" s="43"/>
    </row>
    <row r="48" spans="1:11" s="31" customFormat="1" ht="15.75" customHeight="1" outlineLevel="1" x14ac:dyDescent="0.25">
      <c r="A48" s="28" t="s">
        <v>94</v>
      </c>
      <c r="B48" s="154">
        <v>425</v>
      </c>
      <c r="C48" s="43">
        <v>259.38</v>
      </c>
      <c r="D48" s="51"/>
      <c r="E48" s="51"/>
      <c r="F48" s="51"/>
      <c r="G48" s="52"/>
      <c r="H48" s="51"/>
      <c r="I48" s="84">
        <f>SUM(C48:H48)*$L$4</f>
        <v>6.4845000000000006</v>
      </c>
      <c r="J48" s="46">
        <f>B48-(C48+D48+F48+E48+H48+I48+G48)</f>
        <v>159.13549999999998</v>
      </c>
      <c r="K48" s="43"/>
    </row>
    <row r="49" spans="1:12" s="31" customFormat="1" ht="15.75" customHeight="1" x14ac:dyDescent="0.25">
      <c r="A49" s="41" t="s">
        <v>126</v>
      </c>
      <c r="B49" s="41">
        <f t="shared" ref="B49:K49" si="16">SUM(B50:B51)</f>
        <v>89.940000000000012</v>
      </c>
      <c r="C49" s="41">
        <f t="shared" si="16"/>
        <v>0</v>
      </c>
      <c r="D49" s="41">
        <f t="shared" si="16"/>
        <v>0</v>
      </c>
      <c r="E49" s="41">
        <f t="shared" si="16"/>
        <v>0</v>
      </c>
      <c r="F49" s="41">
        <f t="shared" si="16"/>
        <v>0</v>
      </c>
      <c r="G49" s="41">
        <f t="shared" si="16"/>
        <v>0</v>
      </c>
      <c r="H49" s="41">
        <f t="shared" si="16"/>
        <v>0</v>
      </c>
      <c r="I49" s="76">
        <f t="shared" si="16"/>
        <v>0</v>
      </c>
      <c r="J49" s="41">
        <f t="shared" si="16"/>
        <v>89.940000000000012</v>
      </c>
      <c r="K49" s="50">
        <f t="shared" si="16"/>
        <v>0</v>
      </c>
    </row>
    <row r="50" spans="1:12" s="31" customFormat="1" ht="15.75" customHeight="1" outlineLevel="1" x14ac:dyDescent="0.25">
      <c r="A50" s="28" t="s">
        <v>96</v>
      </c>
      <c r="B50" s="156">
        <v>8.9</v>
      </c>
      <c r="C50" s="43"/>
      <c r="D50" s="51"/>
      <c r="E50" s="51"/>
      <c r="F50" s="51"/>
      <c r="G50" s="88"/>
      <c r="H50" s="51"/>
      <c r="I50" s="84">
        <f>SUM(C50:H50)*$L$4</f>
        <v>0</v>
      </c>
      <c r="J50" s="46">
        <f>B50-(C50+D50+F50+E50+H50+I50+G50)</f>
        <v>8.9</v>
      </c>
      <c r="K50" s="43"/>
    </row>
    <row r="51" spans="1:12" s="31" customFormat="1" ht="15.75" customHeight="1" outlineLevel="1" x14ac:dyDescent="0.25">
      <c r="A51" s="28" t="s">
        <v>97</v>
      </c>
      <c r="B51" s="156">
        <v>81.040000000000006</v>
      </c>
      <c r="C51" s="43"/>
      <c r="D51" s="51"/>
      <c r="E51" s="51"/>
      <c r="F51" s="51"/>
      <c r="G51" s="88"/>
      <c r="H51" s="51"/>
      <c r="I51" s="84">
        <f>SUM(C51:H51)*$L$4</f>
        <v>0</v>
      </c>
      <c r="J51" s="46">
        <f>B51-(C51+D51+F51+E51+H51+I51+G51)</f>
        <v>81.040000000000006</v>
      </c>
      <c r="K51" s="43"/>
    </row>
    <row r="52" spans="1:12" s="31" customFormat="1" ht="15.75" customHeight="1" x14ac:dyDescent="0.25">
      <c r="A52" s="41" t="s">
        <v>98</v>
      </c>
      <c r="B52" s="41">
        <f t="shared" ref="B52:J52" si="17">SUM(B53:B54)</f>
        <v>219181.58000000002</v>
      </c>
      <c r="C52" s="41">
        <f t="shared" si="17"/>
        <v>0</v>
      </c>
      <c r="D52" s="41">
        <f t="shared" si="17"/>
        <v>259.2</v>
      </c>
      <c r="E52" s="41">
        <f t="shared" si="17"/>
        <v>0</v>
      </c>
      <c r="F52" s="41">
        <f t="shared" si="17"/>
        <v>0</v>
      </c>
      <c r="G52" s="41">
        <f t="shared" si="17"/>
        <v>0</v>
      </c>
      <c r="H52" s="41">
        <f t="shared" si="17"/>
        <v>0</v>
      </c>
      <c r="I52" s="76">
        <f t="shared" si="17"/>
        <v>6.48</v>
      </c>
      <c r="J52" s="41">
        <f t="shared" si="17"/>
        <v>218915.90000000002</v>
      </c>
      <c r="K52" s="50">
        <f>SUM(K53:K53)</f>
        <v>0</v>
      </c>
    </row>
    <row r="53" spans="1:12" s="31" customFormat="1" ht="15.75" customHeight="1" outlineLevel="1" x14ac:dyDescent="0.25">
      <c r="A53" s="27" t="s">
        <v>100</v>
      </c>
      <c r="B53" s="154">
        <v>107379.77</v>
      </c>
      <c r="C53" s="51"/>
      <c r="D53" s="51"/>
      <c r="E53" s="51"/>
      <c r="F53" s="51"/>
      <c r="G53" s="52"/>
      <c r="H53" s="51"/>
      <c r="I53" s="29">
        <f>SUM(C53:H53)*$L$4</f>
        <v>0</v>
      </c>
      <c r="J53" s="46">
        <f>B53-(C53+D53+F53+E53+H53+I53+G53)</f>
        <v>107379.77</v>
      </c>
      <c r="K53" s="51"/>
    </row>
    <row r="54" spans="1:12" s="31" customFormat="1" ht="15.75" customHeight="1" outlineLevel="1" x14ac:dyDescent="0.25">
      <c r="A54" s="27" t="s">
        <v>101</v>
      </c>
      <c r="B54" s="154">
        <v>111801.81</v>
      </c>
      <c r="C54" s="51"/>
      <c r="D54" s="51">
        <v>259.2</v>
      </c>
      <c r="E54" s="51"/>
      <c r="F54" s="51"/>
      <c r="G54" s="52"/>
      <c r="H54" s="51"/>
      <c r="I54" s="29">
        <f>SUM(C54:H54)*$L$4</f>
        <v>6.48</v>
      </c>
      <c r="J54" s="46">
        <f>B54-(C54+D54+F54+E54+H54+I54+G54)</f>
        <v>111536.13</v>
      </c>
      <c r="K54" s="51"/>
    </row>
    <row r="55" spans="1:12" s="31" customFormat="1" ht="15.75" customHeight="1" x14ac:dyDescent="0.25">
      <c r="A55" s="71" t="s">
        <v>0</v>
      </c>
      <c r="B55" s="41">
        <f>+B5+B10+B15+B20++B24++B28+B30+B34+B38+B42+B46+B49+B52</f>
        <v>4315963.669999999</v>
      </c>
      <c r="C55" s="41">
        <f t="shared" ref="C55:J55" si="18">+C5+C10+C15+C20+C24+C28+C30+C34+C38+C42+C46+C49+C52</f>
        <v>14330.38</v>
      </c>
      <c r="D55" s="41">
        <f t="shared" si="18"/>
        <v>8005.58</v>
      </c>
      <c r="E55" s="41">
        <f t="shared" si="18"/>
        <v>0</v>
      </c>
      <c r="F55" s="41">
        <f>+F5+F10+F15+F20+F24+F28+F30+F34+F38+F42+F46+F49+F52</f>
        <v>11662</v>
      </c>
      <c r="G55" s="41">
        <f t="shared" si="18"/>
        <v>3581021.6</v>
      </c>
      <c r="H55" s="41">
        <f t="shared" si="18"/>
        <v>0</v>
      </c>
      <c r="I55" s="41">
        <f t="shared" si="18"/>
        <v>90375.489000000001</v>
      </c>
      <c r="J55" s="41">
        <f t="shared" si="18"/>
        <v>610568.62100000016</v>
      </c>
      <c r="K55" s="53"/>
    </row>
    <row r="56" spans="1:12" s="31" customFormat="1" ht="15" customHeight="1" x14ac:dyDescent="0.25">
      <c r="A56" s="54"/>
      <c r="B56" s="55"/>
      <c r="I56" s="72"/>
    </row>
    <row r="57" spans="1:12" s="54" customFormat="1" hidden="1" x14ac:dyDescent="0.25">
      <c r="C57" s="31"/>
      <c r="D57" s="31"/>
      <c r="E57" s="31"/>
      <c r="F57" s="31"/>
      <c r="G57" s="31"/>
      <c r="H57" s="31"/>
      <c r="I57" s="72"/>
      <c r="J57" s="31"/>
      <c r="K57" s="31"/>
      <c r="L57" s="31"/>
    </row>
    <row r="58" spans="1:12" s="54" customFormat="1" hidden="1" x14ac:dyDescent="0.25">
      <c r="C58" s="56"/>
      <c r="D58" s="31"/>
      <c r="E58" s="56"/>
      <c r="F58" s="56"/>
      <c r="G58" s="31"/>
      <c r="H58" s="56"/>
      <c r="I58" s="72"/>
      <c r="J58" s="31"/>
      <c r="K58" s="56"/>
      <c r="L58" s="31"/>
    </row>
    <row r="59" spans="1:12" s="54" customFormat="1" hidden="1" x14ac:dyDescent="0.25">
      <c r="C59" s="31"/>
      <c r="D59" s="31"/>
      <c r="E59" s="31"/>
      <c r="F59" s="31"/>
      <c r="G59" s="31"/>
      <c r="H59" s="31"/>
      <c r="I59" s="72"/>
      <c r="J59" s="31"/>
      <c r="K59" s="31"/>
      <c r="L59" s="31"/>
    </row>
    <row r="60" spans="1:12" s="54" customFormat="1" x14ac:dyDescent="0.25">
      <c r="C60" s="31"/>
      <c r="D60" s="31"/>
      <c r="E60" s="31"/>
      <c r="F60" s="31"/>
      <c r="G60" s="31"/>
      <c r="H60" s="31"/>
      <c r="I60" s="72"/>
      <c r="J60" s="31"/>
      <c r="K60" s="31"/>
      <c r="L60" s="31"/>
    </row>
    <row r="61" spans="1:12" s="54" customFormat="1" ht="3.75" customHeight="1" x14ac:dyDescent="0.25">
      <c r="B61" s="31"/>
      <c r="D61" s="31"/>
      <c r="E61" s="56"/>
      <c r="F61" s="56"/>
      <c r="H61" s="31"/>
      <c r="I61" s="72"/>
      <c r="K61" s="31"/>
      <c r="L61" s="31"/>
    </row>
    <row r="62" spans="1:12" s="54" customFormat="1" ht="15.75" customHeight="1" x14ac:dyDescent="0.25">
      <c r="B62" s="57"/>
      <c r="C62" s="31"/>
      <c r="D62" s="31"/>
      <c r="E62" s="31"/>
      <c r="F62" s="31"/>
      <c r="G62" s="31"/>
      <c r="H62" s="31"/>
      <c r="I62" s="72"/>
      <c r="K62" s="31"/>
      <c r="L62" s="31"/>
    </row>
    <row r="63" spans="1:12" s="54" customFormat="1" ht="45" customHeight="1" x14ac:dyDescent="0.25">
      <c r="A63" s="58"/>
      <c r="B63" s="58"/>
      <c r="C63" s="31"/>
      <c r="D63" s="25" t="s">
        <v>103</v>
      </c>
      <c r="E63" s="26">
        <f ca="1">TODAY()</f>
        <v>45324</v>
      </c>
      <c r="F63" s="70"/>
      <c r="G63" s="61"/>
      <c r="H63" s="59"/>
      <c r="I63" s="77"/>
      <c r="J63" s="31"/>
      <c r="K63" s="31"/>
      <c r="L63" s="31"/>
    </row>
    <row r="64" spans="1:12" s="54" customFormat="1" ht="18" customHeight="1" x14ac:dyDescent="0.25">
      <c r="A64" s="58"/>
      <c r="B64" s="58"/>
      <c r="C64" s="31"/>
      <c r="D64" s="27" t="s">
        <v>84</v>
      </c>
      <c r="E64" s="27">
        <f>+$J$18</f>
        <v>1287.17</v>
      </c>
      <c r="F64" s="60"/>
      <c r="G64" s="72"/>
      <c r="H64" s="60"/>
      <c r="I64" s="78"/>
      <c r="J64" s="31"/>
      <c r="K64" s="31"/>
      <c r="L64" s="31"/>
    </row>
    <row r="65" spans="1:12" s="54" customFormat="1" ht="18" customHeight="1" x14ac:dyDescent="0.25">
      <c r="A65" s="58"/>
      <c r="B65" s="58"/>
      <c r="C65" s="31"/>
      <c r="D65" s="27" t="s">
        <v>25</v>
      </c>
      <c r="E65" s="27">
        <f>+$J$6+$J$11+$J$17+$J$21+$J$25+$J$32+$J$36+$J$40+$J$44+$J$47+$J$50+$J$53</f>
        <v>392740.05000000005</v>
      </c>
      <c r="F65" s="73"/>
      <c r="G65" s="31"/>
      <c r="H65" s="60"/>
      <c r="I65" s="78"/>
      <c r="J65" s="31"/>
      <c r="K65" s="31"/>
      <c r="L65" s="31"/>
    </row>
    <row r="66" spans="1:12" s="54" customFormat="1" ht="18.75" customHeight="1" x14ac:dyDescent="0.25">
      <c r="A66" s="58"/>
      <c r="B66" s="58"/>
      <c r="C66" s="31"/>
      <c r="D66" s="27" t="s">
        <v>27</v>
      </c>
      <c r="E66" s="27">
        <f>+$J$8+$J$13+$J$16+$J$22+$J$27+$J$33+$J$37+$J$41+$J$45+$J$48+$J$51+$J$54</f>
        <v>190198.97100000014</v>
      </c>
      <c r="F66" s="73"/>
      <c r="G66" s="31"/>
      <c r="H66" s="60"/>
      <c r="I66" s="78"/>
      <c r="J66" s="31"/>
      <c r="K66" s="31"/>
      <c r="L66" s="31"/>
    </row>
    <row r="67" spans="1:12" s="54" customFormat="1" ht="17.25" customHeight="1" x14ac:dyDescent="0.25">
      <c r="A67" s="58"/>
      <c r="B67" s="58"/>
      <c r="C67" s="31"/>
      <c r="D67" s="27" t="s">
        <v>34</v>
      </c>
      <c r="E67" s="27">
        <f>+$J$9+$J$14+$J$19+$J$23+$J$26</f>
        <v>420.73000000000036</v>
      </c>
      <c r="F67" s="73"/>
      <c r="G67" s="31"/>
      <c r="H67" s="70"/>
      <c r="I67" s="78"/>
      <c r="J67" s="31"/>
      <c r="K67" s="31"/>
      <c r="L67" s="31"/>
    </row>
    <row r="68" spans="1:12" s="54" customFormat="1" ht="17.25" customHeight="1" x14ac:dyDescent="0.25">
      <c r="A68" s="58"/>
      <c r="B68" s="58"/>
      <c r="C68" s="31"/>
      <c r="D68" s="27" t="s">
        <v>26</v>
      </c>
      <c r="E68" s="27">
        <f>+$J$7+$J$12+$J$29+$J$31+$J$35+$J$39+$J$43</f>
        <v>25921.7</v>
      </c>
      <c r="F68" s="73"/>
      <c r="G68" s="31"/>
      <c r="H68" s="60"/>
      <c r="I68" s="78"/>
      <c r="J68" s="31"/>
      <c r="K68" s="31"/>
      <c r="L68" s="31"/>
    </row>
    <row r="69" spans="1:12" s="54" customFormat="1" ht="17.25" customHeight="1" x14ac:dyDescent="0.25">
      <c r="A69" s="58"/>
      <c r="B69" s="58"/>
      <c r="C69" s="65" t="s">
        <v>48</v>
      </c>
      <c r="D69" s="24" t="s">
        <v>49</v>
      </c>
      <c r="E69" s="24">
        <f>E64+E65+E66+E68</f>
        <v>610147.89100000006</v>
      </c>
      <c r="F69" s="73"/>
      <c r="G69" s="31"/>
      <c r="H69" s="58"/>
      <c r="I69" s="78"/>
      <c r="J69" s="61"/>
      <c r="K69" s="31"/>
      <c r="L69" s="31"/>
    </row>
    <row r="70" spans="1:12" s="54" customFormat="1" ht="18.75" customHeight="1" x14ac:dyDescent="0.25">
      <c r="A70" s="58"/>
      <c r="B70" s="58"/>
      <c r="C70" s="66">
        <v>35.172400000000003</v>
      </c>
      <c r="D70" s="24" t="s">
        <v>46</v>
      </c>
      <c r="E70" s="24">
        <f>$E$69/$C$70</f>
        <v>17347.348801901491</v>
      </c>
      <c r="F70" s="73"/>
      <c r="G70" s="31"/>
      <c r="H70" s="58"/>
      <c r="I70" s="78"/>
      <c r="J70" s="61"/>
      <c r="K70" s="31"/>
      <c r="L70" s="31"/>
    </row>
    <row r="71" spans="1:12" s="54" customFormat="1" ht="16.5" customHeight="1" x14ac:dyDescent="0.25">
      <c r="A71" s="58"/>
      <c r="B71" s="58"/>
      <c r="C71" s="31">
        <f>300*C70</f>
        <v>10551.720000000001</v>
      </c>
      <c r="D71" s="32"/>
      <c r="E71" s="31"/>
      <c r="G71" s="31"/>
      <c r="H71" s="58"/>
      <c r="I71" s="78"/>
      <c r="J71" s="31"/>
      <c r="K71" s="31"/>
      <c r="L71" s="31"/>
    </row>
    <row r="72" spans="1:12" s="54" customFormat="1" ht="15" customHeight="1" x14ac:dyDescent="0.25">
      <c r="A72" s="58"/>
      <c r="B72" s="58"/>
      <c r="C72" s="31"/>
      <c r="D72" s="32"/>
      <c r="E72" s="31"/>
      <c r="F72" s="73"/>
      <c r="G72" s="64"/>
      <c r="I72" s="77"/>
      <c r="J72" s="57"/>
      <c r="K72" s="31"/>
      <c r="L72" s="31"/>
    </row>
    <row r="73" spans="1:12" s="54" customFormat="1" ht="16.5" thickBot="1" x14ac:dyDescent="0.3">
      <c r="A73" s="58"/>
      <c r="B73" s="58"/>
      <c r="C73" s="57"/>
      <c r="D73" s="32"/>
      <c r="E73" s="31"/>
      <c r="F73" s="91"/>
      <c r="G73" s="64"/>
      <c r="I73" s="77"/>
      <c r="J73" s="57"/>
      <c r="K73" s="31"/>
      <c r="L73" s="31"/>
    </row>
    <row r="74" spans="1:12" s="54" customFormat="1" ht="16.5" thickBot="1" x14ac:dyDescent="0.3">
      <c r="A74" s="58"/>
      <c r="B74" s="58"/>
      <c r="C74" s="57"/>
      <c r="D74" s="128" t="s">
        <v>103</v>
      </c>
      <c r="E74" s="129">
        <f ca="1">TODAY()</f>
        <v>45324</v>
      </c>
      <c r="F74" s="57"/>
      <c r="G74" s="64"/>
      <c r="H74" s="57"/>
      <c r="I74" s="77"/>
      <c r="J74" s="57"/>
      <c r="K74" s="31"/>
      <c r="L74" s="31"/>
    </row>
    <row r="75" spans="1:12" s="54" customFormat="1" x14ac:dyDescent="0.25">
      <c r="C75" s="31"/>
      <c r="D75" s="188" t="s">
        <v>129</v>
      </c>
      <c r="E75" s="137">
        <f>+E69</f>
        <v>610147.89100000006</v>
      </c>
      <c r="F75" s="31"/>
      <c r="G75" s="31"/>
      <c r="I75" s="77"/>
      <c r="J75" s="57"/>
    </row>
    <row r="76" spans="1:12" ht="16.5" thickBot="1" x14ac:dyDescent="0.3">
      <c r="B76" s="145"/>
      <c r="D76" s="189"/>
      <c r="E76" s="138">
        <f>+E70</f>
        <v>17347.348801901491</v>
      </c>
    </row>
    <row r="77" spans="1:12" x14ac:dyDescent="0.25">
      <c r="D77" s="188" t="s">
        <v>130</v>
      </c>
      <c r="E77" s="137">
        <v>268934</v>
      </c>
    </row>
    <row r="78" spans="1:12" ht="16.5" thickBot="1" x14ac:dyDescent="0.3">
      <c r="D78" s="190"/>
      <c r="E78" s="139">
        <f>E77/C70</f>
        <v>7646.1657435944089</v>
      </c>
    </row>
    <row r="79" spans="1:12" x14ac:dyDescent="0.25">
      <c r="D79" s="140" t="s">
        <v>131</v>
      </c>
      <c r="E79" s="126">
        <f>+E75+E77</f>
        <v>879081.89100000006</v>
      </c>
    </row>
    <row r="80" spans="1:12" ht="16.5" thickBot="1" x14ac:dyDescent="0.3">
      <c r="D80" s="141" t="s">
        <v>132</v>
      </c>
      <c r="E80" s="127">
        <f>+E76+E78</f>
        <v>24993.514545495898</v>
      </c>
    </row>
    <row r="83" spans="5:7" x14ac:dyDescent="0.25">
      <c r="E83" s="32"/>
    </row>
    <row r="84" spans="5:7" x14ac:dyDescent="0.25">
      <c r="E84" s="32"/>
    </row>
    <row r="85" spans="5:7" x14ac:dyDescent="0.25">
      <c r="E85" s="32"/>
    </row>
    <row r="86" spans="5:7" x14ac:dyDescent="0.25">
      <c r="E86" s="32"/>
    </row>
    <row r="87" spans="5:7" x14ac:dyDescent="0.25">
      <c r="E87" s="32"/>
      <c r="F87" s="72"/>
    </row>
    <row r="88" spans="5:7" x14ac:dyDescent="0.25">
      <c r="E88" s="32"/>
      <c r="F88" s="72"/>
    </row>
    <row r="89" spans="5:7" x14ac:dyDescent="0.25">
      <c r="E89" s="32"/>
      <c r="F89" s="72"/>
    </row>
    <row r="90" spans="5:7" x14ac:dyDescent="0.25">
      <c r="E90" s="32"/>
      <c r="F90" s="72"/>
    </row>
    <row r="91" spans="5:7" x14ac:dyDescent="0.25">
      <c r="E91" s="32"/>
      <c r="F91" s="72"/>
    </row>
    <row r="92" spans="5:7" x14ac:dyDescent="0.25">
      <c r="F92" s="72"/>
    </row>
    <row r="93" spans="5:7" x14ac:dyDescent="0.25">
      <c r="F93" s="72"/>
    </row>
    <row r="94" spans="5:7" x14ac:dyDescent="0.25">
      <c r="F94" s="142"/>
      <c r="G94" s="142"/>
    </row>
  </sheetData>
  <sheetProtection selectLockedCells="1" selectUnlockedCells="1"/>
  <autoFilter ref="A4:O56"/>
  <mergeCells count="3">
    <mergeCell ref="A2:I2"/>
    <mergeCell ref="D75:D76"/>
    <mergeCell ref="D77:D78"/>
  </mergeCells>
  <conditionalFormatting sqref="J41 J25:J27 J21:J23 J16:J19 J11:J14 J39 J43:J45 J47:J48 J50:J51 J29 J53:J54 J35:J37 J31:J33 J6:J9">
    <cfRule type="cellIs" dxfId="1" priority="2" operator="lessThan">
      <formula>0</formula>
    </cfRule>
  </conditionalFormatting>
  <conditionalFormatting sqref="J40">
    <cfRule type="cellIs" dxfId="0" priority="1" operator="lessThan">
      <formula>0</formula>
    </cfRule>
  </conditionalFormatting>
  <printOptions horizontalCentered="1" verticalCentered="1"/>
  <pageMargins left="0.11811023622047245" right="0.31496062992125984" top="0.19685039370078741" bottom="0.19685039370078741" header="0.31496062992125984" footer="0.31496062992125984"/>
  <pageSetup scale="45" orientation="landscape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0000"/>
  </sheetPr>
  <dimension ref="A1:K60"/>
  <sheetViews>
    <sheetView zoomScaleNormal="100" workbookViewId="0">
      <selection activeCell="B21" sqref="B21"/>
    </sheetView>
  </sheetViews>
  <sheetFormatPr baseColWidth="10" defaultRowHeight="15" x14ac:dyDescent="0.25"/>
  <cols>
    <col min="2" max="2" width="20.7109375" bestFit="1" customWidth="1"/>
    <col min="3" max="3" width="12.28515625" customWidth="1"/>
    <col min="4" max="4" width="5.140625" customWidth="1"/>
    <col min="5" max="5" width="39.85546875" customWidth="1"/>
    <col min="6" max="6" width="19.5703125" customWidth="1"/>
    <col min="7" max="7" width="18.140625" customWidth="1"/>
    <col min="8" max="8" width="13.5703125" bestFit="1" customWidth="1"/>
    <col min="10" max="10" width="20.85546875" customWidth="1"/>
  </cols>
  <sheetData>
    <row r="1" spans="1:11" ht="15.75" thickBot="1" x14ac:dyDescent="0.3"/>
    <row r="2" spans="1:11" ht="47.25" x14ac:dyDescent="0.25">
      <c r="A2" s="1"/>
      <c r="B2" s="18" t="s">
        <v>41</v>
      </c>
      <c r="C2" s="19">
        <f ca="1">TODAY()</f>
        <v>45324</v>
      </c>
      <c r="E2" s="191" t="s">
        <v>124</v>
      </c>
      <c r="F2" s="192"/>
      <c r="G2" s="193"/>
    </row>
    <row r="3" spans="1:11" x14ac:dyDescent="0.25">
      <c r="A3" s="1"/>
      <c r="B3" s="2" t="e">
        <f>#REF!</f>
        <v>#REF!</v>
      </c>
      <c r="C3" s="3" t="e">
        <f>#REF!</f>
        <v>#REF!</v>
      </c>
      <c r="E3" s="21" t="s">
        <v>55</v>
      </c>
      <c r="F3" s="148" t="s">
        <v>46</v>
      </c>
      <c r="G3" s="20" t="s">
        <v>47</v>
      </c>
    </row>
    <row r="4" spans="1:11" x14ac:dyDescent="0.25">
      <c r="A4" s="1"/>
      <c r="B4" s="2" t="e">
        <f>#REF!</f>
        <v>#REF!</v>
      </c>
      <c r="C4" s="3" t="e">
        <f>#REF!</f>
        <v>#REF!</v>
      </c>
      <c r="E4" s="9" t="s">
        <v>134</v>
      </c>
      <c r="F4" s="149">
        <v>20000</v>
      </c>
      <c r="G4" s="15">
        <f>F4*$C$11</f>
        <v>724704</v>
      </c>
    </row>
    <row r="5" spans="1:11" ht="15.75" customHeight="1" x14ac:dyDescent="0.25">
      <c r="A5" s="1"/>
      <c r="B5" s="2" t="e">
        <f>#REF!</f>
        <v>#REF!</v>
      </c>
      <c r="C5" s="3" t="e">
        <f>#REF!</f>
        <v>#REF!</v>
      </c>
      <c r="E5" s="9" t="s">
        <v>135</v>
      </c>
      <c r="F5" s="149">
        <v>7000</v>
      </c>
      <c r="G5" s="15">
        <f>F5*$C$11</f>
        <v>253646.4</v>
      </c>
      <c r="J5" s="194"/>
      <c r="K5" s="194"/>
    </row>
    <row r="6" spans="1:11" x14ac:dyDescent="0.25">
      <c r="A6" s="1" t="s">
        <v>24</v>
      </c>
      <c r="B6" s="2" t="e">
        <f>#REF!</f>
        <v>#REF!</v>
      </c>
      <c r="C6" s="3" t="e">
        <f>#REF!</f>
        <v>#REF!</v>
      </c>
      <c r="E6" s="9" t="s">
        <v>136</v>
      </c>
      <c r="F6" s="149">
        <v>4000</v>
      </c>
      <c r="G6" s="15">
        <f t="shared" ref="G6:G13" si="0">F6*$C$11</f>
        <v>144940.79999999999</v>
      </c>
    </row>
    <row r="7" spans="1:11" x14ac:dyDescent="0.25">
      <c r="A7" s="1"/>
      <c r="B7" s="2" t="e">
        <f>#REF!</f>
        <v>#REF!</v>
      </c>
      <c r="C7" s="3" t="e">
        <f>#REF!</f>
        <v>#REF!</v>
      </c>
      <c r="E7" s="9" t="s">
        <v>137</v>
      </c>
      <c r="F7" s="149">
        <v>5000</v>
      </c>
      <c r="G7" s="15">
        <f t="shared" si="0"/>
        <v>181176</v>
      </c>
    </row>
    <row r="8" spans="1:11" x14ac:dyDescent="0.25">
      <c r="A8" s="1"/>
      <c r="B8" s="16" t="e">
        <f>#REF!</f>
        <v>#REF!</v>
      </c>
      <c r="C8" s="17" t="e">
        <f>#REF!</f>
        <v>#REF!</v>
      </c>
      <c r="E8" s="9" t="s">
        <v>138</v>
      </c>
      <c r="F8" s="149">
        <v>0</v>
      </c>
      <c r="G8" s="15">
        <f t="shared" si="0"/>
        <v>0</v>
      </c>
    </row>
    <row r="9" spans="1:11" ht="15.75" thickBot="1" x14ac:dyDescent="0.3">
      <c r="A9" s="14"/>
      <c r="B9" s="80" t="e">
        <f>#REF!</f>
        <v>#REF!</v>
      </c>
      <c r="C9" s="81" t="e">
        <f>#REF!</f>
        <v>#REF!</v>
      </c>
      <c r="E9" s="9" t="s">
        <v>139</v>
      </c>
      <c r="F9" s="149">
        <v>1000</v>
      </c>
      <c r="G9" s="15">
        <f t="shared" si="0"/>
        <v>36235.199999999997</v>
      </c>
      <c r="I9" s="4"/>
    </row>
    <row r="10" spans="1:11" x14ac:dyDescent="0.25">
      <c r="A10" s="14"/>
      <c r="B10" s="22"/>
      <c r="C10" s="22"/>
      <c r="E10" s="9">
        <v>192</v>
      </c>
      <c r="F10" s="149">
        <v>1000</v>
      </c>
      <c r="G10" s="15">
        <f t="shared" si="0"/>
        <v>36235.199999999997</v>
      </c>
      <c r="I10" s="4"/>
    </row>
    <row r="11" spans="1:11" x14ac:dyDescent="0.25">
      <c r="A11" s="14"/>
      <c r="B11" s="22"/>
      <c r="C11" s="22">
        <f>'01-02-2024'!$C$50</f>
        <v>36.235199999999999</v>
      </c>
      <c r="E11" s="9" t="s">
        <v>140</v>
      </c>
      <c r="F11" s="149">
        <v>1000</v>
      </c>
      <c r="G11" s="15">
        <f t="shared" si="0"/>
        <v>36235.199999999997</v>
      </c>
      <c r="I11" s="4"/>
    </row>
    <row r="12" spans="1:11" x14ac:dyDescent="0.25">
      <c r="A12" s="14"/>
      <c r="B12" s="22"/>
      <c r="C12" s="22"/>
      <c r="E12" s="9"/>
      <c r="F12" s="149"/>
      <c r="G12" s="15">
        <f t="shared" si="0"/>
        <v>0</v>
      </c>
      <c r="I12" s="4"/>
    </row>
    <row r="13" spans="1:11" x14ac:dyDescent="0.25">
      <c r="A13" s="14"/>
      <c r="B13" s="22"/>
      <c r="C13" s="23"/>
      <c r="E13" s="9"/>
      <c r="F13" s="149"/>
      <c r="G13" s="15">
        <f t="shared" si="0"/>
        <v>0</v>
      </c>
      <c r="I13" s="4"/>
    </row>
    <row r="14" spans="1:11" x14ac:dyDescent="0.25">
      <c r="A14" s="14"/>
      <c r="E14" s="10" t="s">
        <v>45</v>
      </c>
      <c r="F14" s="150">
        <f>SUM(F4:F13)</f>
        <v>39000</v>
      </c>
      <c r="G14" s="11">
        <f>SUM(G4:G13)</f>
        <v>1413172.7999999998</v>
      </c>
      <c r="I14" s="4"/>
    </row>
    <row r="15" spans="1:11" x14ac:dyDescent="0.25">
      <c r="G15" s="13"/>
    </row>
    <row r="16" spans="1:11" x14ac:dyDescent="0.25">
      <c r="G16" s="4"/>
    </row>
    <row r="17" spans="1:11" x14ac:dyDescent="0.25">
      <c r="G17" s="4"/>
    </row>
    <row r="18" spans="1:11" x14ac:dyDescent="0.25">
      <c r="G18" s="4"/>
    </row>
    <row r="19" spans="1:11" x14ac:dyDescent="0.25">
      <c r="G19" s="4"/>
    </row>
    <row r="20" spans="1:11" x14ac:dyDescent="0.25">
      <c r="G20" s="4"/>
    </row>
    <row r="21" spans="1:11" x14ac:dyDescent="0.25">
      <c r="G21" s="4"/>
    </row>
    <row r="22" spans="1:11" ht="17.25" customHeight="1" x14ac:dyDescent="0.25"/>
    <row r="23" spans="1:11" x14ac:dyDescent="0.25">
      <c r="E23" s="4"/>
      <c r="F23" s="4"/>
      <c r="G23" s="4"/>
    </row>
    <row r="25" spans="1:11" s="12" customFormat="1" x14ac:dyDescent="0.25">
      <c r="A25"/>
      <c r="E25"/>
      <c r="F25"/>
      <c r="G25" s="13"/>
      <c r="J25"/>
      <c r="K25"/>
    </row>
    <row r="26" spans="1:11" s="12" customFormat="1" x14ac:dyDescent="0.25">
      <c r="A26"/>
      <c r="E26"/>
      <c r="F26"/>
      <c r="G26"/>
      <c r="J26"/>
      <c r="K26"/>
    </row>
    <row r="27" spans="1:11" s="12" customFormat="1" x14ac:dyDescent="0.25">
      <c r="E27"/>
      <c r="F27"/>
      <c r="G27"/>
      <c r="J27"/>
      <c r="K27"/>
    </row>
    <row r="28" spans="1:11" s="12" customFormat="1" x14ac:dyDescent="0.25">
      <c r="E28"/>
      <c r="F28"/>
      <c r="G28"/>
      <c r="J28"/>
      <c r="K28"/>
    </row>
    <row r="29" spans="1:11" s="12" customFormat="1" x14ac:dyDescent="0.25">
      <c r="B29"/>
      <c r="C29"/>
      <c r="E29"/>
      <c r="F29"/>
      <c r="G29"/>
    </row>
    <row r="30" spans="1:11" s="12" customFormat="1" x14ac:dyDescent="0.25">
      <c r="B30"/>
      <c r="C30"/>
      <c r="E30"/>
      <c r="F30"/>
      <c r="G30"/>
    </row>
    <row r="40" spans="5:7" x14ac:dyDescent="0.25">
      <c r="G40" s="7"/>
    </row>
    <row r="41" spans="5:7" x14ac:dyDescent="0.25">
      <c r="E41" s="6"/>
      <c r="F41" s="6"/>
      <c r="G41" s="5"/>
    </row>
    <row r="58" spans="1:7" x14ac:dyDescent="0.25">
      <c r="B58" s="8"/>
      <c r="C58" s="8"/>
    </row>
    <row r="60" spans="1:7" s="6" customFormat="1" x14ac:dyDescent="0.25">
      <c r="A60" s="8"/>
      <c r="B60"/>
      <c r="C60"/>
      <c r="D60" s="8"/>
      <c r="E60"/>
      <c r="F60"/>
      <c r="G60"/>
    </row>
  </sheetData>
  <mergeCells count="2">
    <mergeCell ref="E2:G2"/>
    <mergeCell ref="J5:K5"/>
  </mergeCells>
  <pageMargins left="0.7" right="0.7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1"/>
  <sheetViews>
    <sheetView workbookViewId="0">
      <selection activeCell="G13" sqref="G13"/>
    </sheetView>
  </sheetViews>
  <sheetFormatPr baseColWidth="10" defaultRowHeight="15" x14ac:dyDescent="0.25"/>
  <cols>
    <col min="4" max="4" width="16.140625" customWidth="1"/>
    <col min="5" max="6" width="13.42578125" style="4" customWidth="1"/>
    <col min="7" max="7" width="16.140625" customWidth="1"/>
  </cols>
  <sheetData>
    <row r="3" spans="4:7" ht="30" x14ac:dyDescent="0.25">
      <c r="D3" s="181" t="s">
        <v>147</v>
      </c>
      <c r="E3" s="180" t="s">
        <v>145</v>
      </c>
      <c r="F3" s="180" t="s">
        <v>146</v>
      </c>
      <c r="G3" s="182" t="s">
        <v>148</v>
      </c>
    </row>
    <row r="4" spans="4:7" x14ac:dyDescent="0.25">
      <c r="D4" s="177" t="s">
        <v>141</v>
      </c>
      <c r="E4" s="175">
        <v>333424.56</v>
      </c>
      <c r="F4" s="175">
        <v>4162.63</v>
      </c>
      <c r="G4" s="183">
        <f>SUM(E4:F4)</f>
        <v>337587.19</v>
      </c>
    </row>
    <row r="5" spans="4:7" x14ac:dyDescent="0.25">
      <c r="D5" s="177" t="s">
        <v>142</v>
      </c>
      <c r="E5" s="175">
        <v>302541.84000000003</v>
      </c>
      <c r="F5" s="175">
        <v>3182.37</v>
      </c>
      <c r="G5" s="183">
        <f t="shared" ref="G5:G8" si="0">SUM(E5:F5)</f>
        <v>305724.21000000002</v>
      </c>
    </row>
    <row r="6" spans="4:7" x14ac:dyDescent="0.25">
      <c r="D6" s="177" t="s">
        <v>143</v>
      </c>
      <c r="E6" s="175">
        <v>312745.56</v>
      </c>
      <c r="F6" s="175">
        <v>14147.22</v>
      </c>
      <c r="G6" s="183">
        <f t="shared" si="0"/>
        <v>326892.77999999997</v>
      </c>
    </row>
    <row r="7" spans="4:7" x14ac:dyDescent="0.25">
      <c r="D7" s="177" t="s">
        <v>144</v>
      </c>
      <c r="E7" s="175">
        <v>492354.81</v>
      </c>
      <c r="F7" s="175">
        <v>9729.65</v>
      </c>
      <c r="G7" s="183">
        <f t="shared" si="0"/>
        <v>502084.46</v>
      </c>
    </row>
    <row r="8" spans="4:7" x14ac:dyDescent="0.25">
      <c r="E8" s="176">
        <f>SUM(E4:E7)</f>
        <v>1441066.77</v>
      </c>
      <c r="F8" s="176">
        <f>SUM(F4:F7)</f>
        <v>31221.870000000003</v>
      </c>
      <c r="G8" s="176">
        <f t="shared" si="0"/>
        <v>1472288.6400000001</v>
      </c>
    </row>
    <row r="11" spans="4:7" x14ac:dyDescent="0.25">
      <c r="E11" s="179"/>
      <c r="F11" s="178">
        <f>SUM(E8:F8)</f>
        <v>1472288.6400000001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01-08-2023</vt:lpstr>
      <vt:lpstr>01-02-2024</vt:lpstr>
      <vt:lpstr>Hoja1</vt:lpstr>
      <vt:lpstr>SALIENTES ON</vt:lpstr>
      <vt:lpstr>06-11-2023 SALIENTES SUR</vt:lpstr>
      <vt:lpstr>COMPROMISOS</vt:lpstr>
      <vt:lpstr>Hoja2</vt:lpstr>
      <vt:lpstr>'01-02-2024'!Área_de_impresión</vt:lpstr>
      <vt:lpstr>'01-08-2023'!Área_de_impresión</vt:lpstr>
      <vt:lpstr>'06-11-2023 SALIENTES SUR'!Área_de_impresión</vt:lpstr>
      <vt:lpstr>'SALIENTES ON'!Área_de_impresión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Ninoska Rodriguez</dc:creator>
  <cp:lastModifiedBy>Darlys Machado</cp:lastModifiedBy>
  <cp:lastPrinted>2023-04-04T20:46:38Z</cp:lastPrinted>
  <dcterms:created xsi:type="dcterms:W3CDTF">2021-11-18T16:18:13Z</dcterms:created>
  <dcterms:modified xsi:type="dcterms:W3CDTF">2024-02-02T15:16:08Z</dcterms:modified>
</cp:coreProperties>
</file>