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muno5\Desktop\Tiphaine\GitRepo\CD3_CD20\"/>
    </mc:Choice>
  </mc:AlternateContent>
  <bookViews>
    <workbookView xWindow="0" yWindow="0" windowWidth="21570" windowHeight="7785" tabRatio="854"/>
  </bookViews>
  <sheets>
    <sheet name="publi" sheetId="1" r:id="rId1"/>
    <sheet name="sacha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D15" i="1" l="1"/>
  <c r="BC15" i="1"/>
  <c r="AW31" i="1"/>
  <c r="AX31" i="1"/>
  <c r="AS6" i="1"/>
  <c r="BJ30" i="1" l="1"/>
  <c r="BJ31" i="1"/>
  <c r="BJ32" i="1"/>
  <c r="BJ33" i="1"/>
  <c r="BH34" i="1"/>
  <c r="BH33" i="1"/>
  <c r="BH32" i="1"/>
  <c r="BH31" i="1"/>
  <c r="BH30" i="1"/>
  <c r="AC32" i="1"/>
  <c r="AB32" i="1"/>
  <c r="AC31" i="1"/>
  <c r="AB31" i="1"/>
  <c r="AC30" i="1"/>
  <c r="AB30" i="1"/>
  <c r="AC29" i="1"/>
  <c r="AB29" i="1"/>
  <c r="AC28" i="1"/>
  <c r="AB28" i="1"/>
  <c r="BJ29" i="1"/>
  <c r="BK28" i="1"/>
  <c r="BK27" i="1"/>
  <c r="BJ26" i="1"/>
  <c r="BK25" i="1"/>
  <c r="AC27" i="1"/>
  <c r="AB27" i="1"/>
  <c r="AC26" i="1"/>
  <c r="AB26" i="1"/>
  <c r="AC25" i="1"/>
  <c r="AB25" i="1"/>
  <c r="AC24" i="1"/>
  <c r="AB24" i="1"/>
  <c r="AC23" i="1"/>
  <c r="AB23" i="1"/>
  <c r="BK20" i="1"/>
  <c r="BK21" i="1"/>
  <c r="BK22" i="1"/>
  <c r="BK23" i="1"/>
  <c r="BK24" i="1"/>
  <c r="AC22" i="1"/>
  <c r="AB22" i="1"/>
  <c r="AC21" i="1"/>
  <c r="AB21" i="1"/>
  <c r="AC20" i="1"/>
  <c r="AB20" i="1"/>
  <c r="AC17" i="1"/>
  <c r="AB17" i="1"/>
  <c r="AC16" i="1"/>
  <c r="AB16" i="1"/>
  <c r="AR37" i="1"/>
  <c r="BK16" i="1"/>
  <c r="BK17" i="1"/>
  <c r="BK18" i="1"/>
  <c r="BK19" i="1"/>
  <c r="AC15" i="1"/>
  <c r="AB15" i="1"/>
  <c r="AC14" i="1"/>
  <c r="AB14" i="1"/>
  <c r="AC13" i="1"/>
  <c r="AB13" i="1"/>
  <c r="AC12" i="1"/>
  <c r="AB12" i="1"/>
  <c r="BJ10" i="1" l="1"/>
  <c r="BJ36" i="1" s="1"/>
  <c r="BK12" i="1"/>
  <c r="BK13" i="1"/>
  <c r="BK14" i="1"/>
  <c r="BK15" i="1"/>
  <c r="BK11" i="1"/>
  <c r="BK7" i="1"/>
  <c r="BK8" i="1"/>
  <c r="BK9" i="1"/>
  <c r="BK6" i="1"/>
  <c r="BK36" i="1" s="1"/>
  <c r="AC11" i="1"/>
  <c r="AB11" i="1"/>
  <c r="AC10" i="1"/>
  <c r="AB10" i="1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J78" i="1"/>
  <c r="I78" i="1"/>
  <c r="H78" i="1"/>
  <c r="AO36" i="1"/>
  <c r="AN36" i="1"/>
  <c r="L34" i="1"/>
  <c r="I34" i="1"/>
  <c r="G34" i="1"/>
  <c r="F34" i="1"/>
  <c r="E34" i="1"/>
  <c r="C34" i="1"/>
  <c r="B34" i="1"/>
  <c r="AR33" i="1"/>
  <c r="AR32" i="1"/>
  <c r="AD32" i="1"/>
  <c r="X32" i="1"/>
  <c r="W32" i="1"/>
  <c r="R32" i="1"/>
  <c r="O32" i="1"/>
  <c r="P32" i="1" s="1"/>
  <c r="H32" i="1"/>
  <c r="D32" i="1"/>
  <c r="AR31" i="1"/>
  <c r="AD31" i="1"/>
  <c r="X31" i="1"/>
  <c r="W31" i="1"/>
  <c r="R31" i="1"/>
  <c r="O31" i="1"/>
  <c r="H31" i="1"/>
  <c r="D31" i="1"/>
  <c r="AR30" i="1"/>
  <c r="AD30" i="1"/>
  <c r="X30" i="1"/>
  <c r="W30" i="1"/>
  <c r="R30" i="1"/>
  <c r="T30" i="1" s="1"/>
  <c r="O30" i="1"/>
  <c r="H30" i="1"/>
  <c r="D30" i="1"/>
  <c r="AR29" i="1"/>
  <c r="AD29" i="1"/>
  <c r="X29" i="1"/>
  <c r="W29" i="1"/>
  <c r="R29" i="1"/>
  <c r="O29" i="1"/>
  <c r="H29" i="1"/>
  <c r="D29" i="1"/>
  <c r="AR28" i="1"/>
  <c r="AD28" i="1"/>
  <c r="X28" i="1"/>
  <c r="W28" i="1"/>
  <c r="R28" i="1"/>
  <c r="O28" i="1"/>
  <c r="H28" i="1"/>
  <c r="D28" i="1"/>
  <c r="AS27" i="1"/>
  <c r="AD27" i="1"/>
  <c r="X27" i="1"/>
  <c r="W27" i="1"/>
  <c r="R27" i="1"/>
  <c r="O27" i="1"/>
  <c r="H27" i="1"/>
  <c r="D27" i="1"/>
  <c r="AS26" i="1"/>
  <c r="AD26" i="1"/>
  <c r="X26" i="1"/>
  <c r="W26" i="1"/>
  <c r="R26" i="1"/>
  <c r="O26" i="1"/>
  <c r="H26" i="1"/>
  <c r="D26" i="1"/>
  <c r="AR25" i="1"/>
  <c r="AD25" i="1"/>
  <c r="X25" i="1"/>
  <c r="W25" i="1"/>
  <c r="R25" i="1"/>
  <c r="T25" i="1" s="1"/>
  <c r="O25" i="1"/>
  <c r="P25" i="1" s="1"/>
  <c r="H25" i="1"/>
  <c r="D25" i="1"/>
  <c r="AS24" i="1"/>
  <c r="AD24" i="1"/>
  <c r="X24" i="1"/>
  <c r="W24" i="1"/>
  <c r="R24" i="1"/>
  <c r="O24" i="1"/>
  <c r="P24" i="1" s="1"/>
  <c r="H24" i="1"/>
  <c r="D24" i="1"/>
  <c r="AS23" i="1"/>
  <c r="AD23" i="1"/>
  <c r="X23" i="1"/>
  <c r="W23" i="1"/>
  <c r="R23" i="1"/>
  <c r="O23" i="1"/>
  <c r="H23" i="1"/>
  <c r="D23" i="1"/>
  <c r="AS22" i="1"/>
  <c r="AD22" i="1"/>
  <c r="X22" i="1"/>
  <c r="W22" i="1"/>
  <c r="R22" i="1"/>
  <c r="T22" i="1" s="1"/>
  <c r="O22" i="1"/>
  <c r="H22" i="1"/>
  <c r="D22" i="1"/>
  <c r="AS21" i="1"/>
  <c r="AD21" i="1"/>
  <c r="X21" i="1"/>
  <c r="W21" i="1"/>
  <c r="R21" i="1"/>
  <c r="O21" i="1"/>
  <c r="H21" i="1"/>
  <c r="D21" i="1"/>
  <c r="AS20" i="1"/>
  <c r="AD20" i="1"/>
  <c r="X20" i="1"/>
  <c r="W20" i="1"/>
  <c r="R20" i="1"/>
  <c r="O20" i="1"/>
  <c r="H20" i="1"/>
  <c r="D20" i="1"/>
  <c r="AS19" i="1"/>
  <c r="AD19" i="1"/>
  <c r="W19" i="1"/>
  <c r="R19" i="1"/>
  <c r="O19" i="1"/>
  <c r="H19" i="1"/>
  <c r="D19" i="1"/>
  <c r="AS18" i="1"/>
  <c r="AD18" i="1"/>
  <c r="W18" i="1"/>
  <c r="R18" i="1"/>
  <c r="O18" i="1"/>
  <c r="H18" i="1"/>
  <c r="D18" i="1"/>
  <c r="AS17" i="1"/>
  <c r="AD17" i="1"/>
  <c r="X17" i="1"/>
  <c r="W17" i="1"/>
  <c r="R17" i="1"/>
  <c r="O17" i="1"/>
  <c r="H17" i="1"/>
  <c r="D17" i="1"/>
  <c r="AS16" i="1"/>
  <c r="AD16" i="1"/>
  <c r="X16" i="1"/>
  <c r="W16" i="1"/>
  <c r="R16" i="1"/>
  <c r="O16" i="1"/>
  <c r="H16" i="1"/>
  <c r="D16" i="1"/>
  <c r="AS15" i="1"/>
  <c r="AD15" i="1"/>
  <c r="X15" i="1"/>
  <c r="W15" i="1"/>
  <c r="R15" i="1"/>
  <c r="O15" i="1"/>
  <c r="H15" i="1"/>
  <c r="D15" i="1"/>
  <c r="AS14" i="1"/>
  <c r="AD14" i="1"/>
  <c r="X14" i="1"/>
  <c r="W14" i="1"/>
  <c r="R14" i="1"/>
  <c r="O14" i="1"/>
  <c r="H14" i="1"/>
  <c r="D14" i="1"/>
  <c r="AS13" i="1"/>
  <c r="AD13" i="1"/>
  <c r="X13" i="1"/>
  <c r="W13" i="1"/>
  <c r="R13" i="1"/>
  <c r="O13" i="1"/>
  <c r="H13" i="1"/>
  <c r="D13" i="1"/>
  <c r="AS12" i="1"/>
  <c r="AD12" i="1"/>
  <c r="X12" i="1"/>
  <c r="W12" i="1"/>
  <c r="R12" i="1"/>
  <c r="O12" i="1"/>
  <c r="H12" i="1"/>
  <c r="D12" i="1"/>
  <c r="AS11" i="1"/>
  <c r="AD11" i="1"/>
  <c r="X11" i="1"/>
  <c r="W11" i="1"/>
  <c r="R11" i="1"/>
  <c r="O11" i="1"/>
  <c r="H11" i="1"/>
  <c r="D11" i="1"/>
  <c r="AS10" i="1"/>
  <c r="X10" i="1"/>
  <c r="W10" i="1"/>
  <c r="R10" i="1"/>
  <c r="O10" i="1"/>
  <c r="H10" i="1"/>
  <c r="D10" i="1"/>
  <c r="AS9" i="1"/>
  <c r="AC9" i="1"/>
  <c r="AB9" i="1"/>
  <c r="X9" i="1"/>
  <c r="W9" i="1"/>
  <c r="R9" i="1"/>
  <c r="O9" i="1"/>
  <c r="H9" i="1"/>
  <c r="D9" i="1"/>
  <c r="AS8" i="1"/>
  <c r="AC8" i="1"/>
  <c r="AB8" i="1"/>
  <c r="X8" i="1"/>
  <c r="W8" i="1"/>
  <c r="R8" i="1"/>
  <c r="O8" i="1"/>
  <c r="H8" i="1"/>
  <c r="D8" i="1"/>
  <c r="AS7" i="1"/>
  <c r="AC7" i="1"/>
  <c r="AB7" i="1"/>
  <c r="X7" i="1"/>
  <c r="W7" i="1"/>
  <c r="R7" i="1"/>
  <c r="O7" i="1"/>
  <c r="P7" i="1" s="1"/>
  <c r="H7" i="1"/>
  <c r="D7" i="1"/>
  <c r="AD6" i="1"/>
  <c r="X6" i="1"/>
  <c r="W6" i="1"/>
  <c r="R6" i="1"/>
  <c r="O6" i="1"/>
  <c r="H6" i="1"/>
  <c r="D6" i="1"/>
  <c r="AD5" i="1"/>
  <c r="X5" i="1"/>
  <c r="W5" i="1"/>
  <c r="R5" i="1"/>
  <c r="O5" i="1"/>
  <c r="H5" i="1"/>
  <c r="D5" i="1"/>
  <c r="AD4" i="1"/>
  <c r="X4" i="1"/>
  <c r="W4" i="1"/>
  <c r="R4" i="1"/>
  <c r="O4" i="1"/>
  <c r="H4" i="1"/>
  <c r="D4" i="1"/>
  <c r="AC3" i="1"/>
  <c r="AB3" i="1"/>
  <c r="X3" i="1"/>
  <c r="W3" i="1"/>
  <c r="R3" i="1"/>
  <c r="O3" i="1"/>
  <c r="H3" i="1"/>
  <c r="D3" i="1"/>
  <c r="AC2" i="1"/>
  <c r="AB2" i="1"/>
  <c r="X2" i="1"/>
  <c r="W2" i="1"/>
  <c r="R2" i="1"/>
  <c r="O2" i="1"/>
  <c r="H2" i="1"/>
  <c r="D2" i="1"/>
  <c r="BJ38" i="1" l="1"/>
  <c r="S21" i="1"/>
  <c r="S26" i="1"/>
  <c r="S27" i="1"/>
  <c r="S29" i="1"/>
  <c r="S31" i="1"/>
  <c r="Q14" i="1"/>
  <c r="Q15" i="1"/>
  <c r="Q16" i="1"/>
  <c r="V21" i="1"/>
  <c r="AI21" i="1" s="1"/>
  <c r="V23" i="1"/>
  <c r="V24" i="1"/>
  <c r="AI24" i="1" s="1"/>
  <c r="V25" i="1"/>
  <c r="V27" i="1"/>
  <c r="V30" i="1"/>
  <c r="V31" i="1"/>
  <c r="AE31" i="1" s="1"/>
  <c r="T12" i="1"/>
  <c r="T13" i="1"/>
  <c r="T15" i="1"/>
  <c r="V19" i="1"/>
  <c r="AE19" i="1" s="1"/>
  <c r="AD10" i="1"/>
  <c r="P9" i="1"/>
  <c r="V32" i="1"/>
  <c r="Z32" i="1" s="1"/>
  <c r="AJ32" i="1" s="1"/>
  <c r="V3" i="1"/>
  <c r="AI3" i="1" s="1"/>
  <c r="V4" i="1"/>
  <c r="Z4" i="1" s="1"/>
  <c r="AJ4" i="1" s="1"/>
  <c r="P5" i="1"/>
  <c r="AD7" i="1"/>
  <c r="V9" i="1"/>
  <c r="AE9" i="1" s="1"/>
  <c r="V11" i="1"/>
  <c r="AE11" i="1" s="1"/>
  <c r="V12" i="1"/>
  <c r="AI12" i="1" s="1"/>
  <c r="P20" i="1"/>
  <c r="V10" i="1"/>
  <c r="Z10" i="1" s="1"/>
  <c r="AJ10" i="1" s="1"/>
  <c r="S11" i="1"/>
  <c r="V14" i="1"/>
  <c r="V15" i="1"/>
  <c r="Z15" i="1" s="1"/>
  <c r="AJ15" i="1" s="1"/>
  <c r="P16" i="1"/>
  <c r="Q19" i="1"/>
  <c r="Q20" i="1"/>
  <c r="Q21" i="1"/>
  <c r="T26" i="1"/>
  <c r="Q6" i="1"/>
  <c r="Q7" i="1"/>
  <c r="T8" i="1"/>
  <c r="S12" i="1"/>
  <c r="T21" i="1"/>
  <c r="Q26" i="1"/>
  <c r="P6" i="1"/>
  <c r="V8" i="1"/>
  <c r="AI8" i="1" s="1"/>
  <c r="AD9" i="1"/>
  <c r="V13" i="1"/>
  <c r="AE13" i="1" s="1"/>
  <c r="T14" i="1"/>
  <c r="P15" i="1"/>
  <c r="V16" i="1"/>
  <c r="AE16" i="1" s="1"/>
  <c r="T19" i="1"/>
  <c r="V20" i="1"/>
  <c r="Z20" i="1" s="1"/>
  <c r="AJ20" i="1" s="1"/>
  <c r="Q25" i="1"/>
  <c r="S8" i="1"/>
  <c r="Q10" i="1"/>
  <c r="Q11" i="1"/>
  <c r="V29" i="1"/>
  <c r="AE29" i="1" s="1"/>
  <c r="T2" i="1"/>
  <c r="T3" i="1"/>
  <c r="S4" i="1"/>
  <c r="V5" i="1"/>
  <c r="AI5" i="1" s="1"/>
  <c r="Q8" i="1"/>
  <c r="T10" i="1"/>
  <c r="T11" i="1"/>
  <c r="S14" i="1"/>
  <c r="S15" i="1"/>
  <c r="V18" i="1"/>
  <c r="AE18" i="1" s="1"/>
  <c r="T18" i="1"/>
  <c r="Q22" i="1"/>
  <c r="S22" i="1"/>
  <c r="V26" i="1"/>
  <c r="Z26" i="1" s="1"/>
  <c r="AJ26" i="1" s="1"/>
  <c r="Q29" i="1"/>
  <c r="S30" i="1"/>
  <c r="Q24" i="1"/>
  <c r="P8" i="1"/>
  <c r="P11" i="1"/>
  <c r="P14" i="1"/>
  <c r="Q18" i="1"/>
  <c r="P21" i="1"/>
  <c r="P28" i="1"/>
  <c r="T29" i="1"/>
  <c r="X35" i="1"/>
  <c r="V6" i="1"/>
  <c r="Z6" i="1" s="1"/>
  <c r="AJ6" i="1" s="1"/>
  <c r="S6" i="1"/>
  <c r="Q12" i="1"/>
  <c r="S13" i="1"/>
  <c r="Z14" i="1"/>
  <c r="AJ14" i="1" s="1"/>
  <c r="P22" i="1"/>
  <c r="S25" i="1"/>
  <c r="P29" i="1"/>
  <c r="Q30" i="1"/>
  <c r="Q32" i="1"/>
  <c r="AD2" i="1"/>
  <c r="AD3" i="1"/>
  <c r="V7" i="1"/>
  <c r="AE7" i="1" s="1"/>
  <c r="AD8" i="1"/>
  <c r="Q9" i="1"/>
  <c r="AS36" i="1"/>
  <c r="P10" i="1"/>
  <c r="S10" i="1"/>
  <c r="AE14" i="1"/>
  <c r="V22" i="1"/>
  <c r="Y22" i="1" s="1"/>
  <c r="V28" i="1"/>
  <c r="AE28" i="1" s="1"/>
  <c r="Q28" i="1"/>
  <c r="AE25" i="1"/>
  <c r="AI25" i="1"/>
  <c r="Z25" i="1"/>
  <c r="AJ25" i="1" s="1"/>
  <c r="Y25" i="1"/>
  <c r="AI15" i="1"/>
  <c r="Q2" i="1"/>
  <c r="P2" i="1"/>
  <c r="AE4" i="1"/>
  <c r="Y8" i="1"/>
  <c r="Q23" i="1"/>
  <c r="P23" i="1"/>
  <c r="Z24" i="1"/>
  <c r="AJ24" i="1" s="1"/>
  <c r="Y31" i="1"/>
  <c r="AE6" i="1"/>
  <c r="Y16" i="1"/>
  <c r="AE20" i="1"/>
  <c r="T23" i="1"/>
  <c r="S23" i="1"/>
  <c r="Z27" i="1"/>
  <c r="AJ27" i="1" s="1"/>
  <c r="AI27" i="1"/>
  <c r="Y27" i="1"/>
  <c r="AE27" i="1"/>
  <c r="Z30" i="1"/>
  <c r="AJ30" i="1" s="1"/>
  <c r="AE30" i="1"/>
  <c r="Y30" i="1"/>
  <c r="AI30" i="1"/>
  <c r="V2" i="1"/>
  <c r="S2" i="1"/>
  <c r="Q4" i="1"/>
  <c r="P4" i="1"/>
  <c r="Z5" i="1"/>
  <c r="AJ5" i="1" s="1"/>
  <c r="T5" i="1"/>
  <c r="S5" i="1"/>
  <c r="AE5" i="1"/>
  <c r="T6" i="1"/>
  <c r="Z9" i="1"/>
  <c r="AJ9" i="1" s="1"/>
  <c r="Z12" i="1"/>
  <c r="AJ12" i="1" s="1"/>
  <c r="AE12" i="1"/>
  <c r="Y12" i="1"/>
  <c r="T20" i="1"/>
  <c r="S20" i="1"/>
  <c r="AE21" i="1"/>
  <c r="Z21" i="1"/>
  <c r="AJ21" i="1" s="1"/>
  <c r="Y21" i="1"/>
  <c r="T32" i="1"/>
  <c r="S32" i="1"/>
  <c r="S3" i="1"/>
  <c r="Z11" i="1"/>
  <c r="AJ11" i="1" s="1"/>
  <c r="Q13" i="1"/>
  <c r="P13" i="1"/>
  <c r="W34" i="1"/>
  <c r="Q3" i="1"/>
  <c r="P3" i="1"/>
  <c r="T4" i="1"/>
  <c r="AI6" i="1"/>
  <c r="Q17" i="1"/>
  <c r="P17" i="1"/>
  <c r="W35" i="1"/>
  <c r="T28" i="1"/>
  <c r="S28" i="1"/>
  <c r="AI32" i="1"/>
  <c r="Y32" i="1"/>
  <c r="AE32" i="1"/>
  <c r="AI14" i="1"/>
  <c r="T16" i="1"/>
  <c r="S16" i="1"/>
  <c r="T17" i="1"/>
  <c r="Z23" i="1"/>
  <c r="AJ23" i="1" s="1"/>
  <c r="AI23" i="1"/>
  <c r="Y23" i="1"/>
  <c r="AE23" i="1"/>
  <c r="Q27" i="1"/>
  <c r="P27" i="1"/>
  <c r="Q31" i="1"/>
  <c r="P31" i="1"/>
  <c r="Z29" i="1"/>
  <c r="AJ29" i="1" s="1"/>
  <c r="T7" i="1"/>
  <c r="S7" i="1"/>
  <c r="Q5" i="1"/>
  <c r="T9" i="1"/>
  <c r="S9" i="1"/>
  <c r="P12" i="1"/>
  <c r="AI13" i="1"/>
  <c r="Y14" i="1"/>
  <c r="V17" i="1"/>
  <c r="S17" i="1"/>
  <c r="Z18" i="1"/>
  <c r="AJ18" i="1" s="1"/>
  <c r="T24" i="1"/>
  <c r="S24" i="1"/>
  <c r="AR36" i="1"/>
  <c r="P26" i="1"/>
  <c r="T27" i="1"/>
  <c r="P30" i="1"/>
  <c r="T31" i="1"/>
  <c r="AI9" i="1" l="1"/>
  <c r="Y3" i="1"/>
  <c r="AI31" i="1"/>
  <c r="AE24" i="1"/>
  <c r="Z8" i="1"/>
  <c r="AJ8" i="1" s="1"/>
  <c r="AE3" i="1"/>
  <c r="AI10" i="1"/>
  <c r="AI7" i="1"/>
  <c r="Y9" i="1"/>
  <c r="Y6" i="1"/>
  <c r="Z3" i="1"/>
  <c r="AJ3" i="1" s="1"/>
  <c r="Z31" i="1"/>
  <c r="AJ31" i="1" s="1"/>
  <c r="Y24" i="1"/>
  <c r="Z19" i="1"/>
  <c r="AJ19" i="1" s="1"/>
  <c r="AE10" i="1"/>
  <c r="AI29" i="1"/>
  <c r="Y10" i="1"/>
  <c r="AI19" i="1"/>
  <c r="Y7" i="1"/>
  <c r="Y5" i="1"/>
  <c r="AI28" i="1"/>
  <c r="AE8" i="1"/>
  <c r="Y29" i="1"/>
  <c r="AI11" i="1"/>
  <c r="AI16" i="1"/>
  <c r="Y4" i="1"/>
  <c r="Z16" i="1"/>
  <c r="AJ16" i="1" s="1"/>
  <c r="AI4" i="1"/>
  <c r="Y11" i="1"/>
  <c r="Y28" i="1"/>
  <c r="Y20" i="1"/>
  <c r="Y15" i="1"/>
  <c r="AI20" i="1"/>
  <c r="AE15" i="1"/>
  <c r="Y13" i="1"/>
  <c r="Y26" i="1"/>
  <c r="AI22" i="1"/>
  <c r="AE26" i="1"/>
  <c r="Z13" i="1"/>
  <c r="AJ13" i="1" s="1"/>
  <c r="AI18" i="1"/>
  <c r="AI26" i="1"/>
  <c r="Z22" i="1"/>
  <c r="AJ22" i="1" s="1"/>
  <c r="AE22" i="1"/>
  <c r="Z28" i="1"/>
  <c r="AJ28" i="1" s="1"/>
  <c r="Z7" i="1"/>
  <c r="AJ7" i="1" s="1"/>
  <c r="AE2" i="1"/>
  <c r="Z2" i="1"/>
  <c r="AJ2" i="1" s="1"/>
  <c r="Y2" i="1"/>
  <c r="V34" i="1"/>
  <c r="AI2" i="1"/>
  <c r="Z17" i="1"/>
  <c r="AJ17" i="1" s="1"/>
  <c r="AI17" i="1"/>
  <c r="Y17" i="1"/>
  <c r="AE17" i="1"/>
  <c r="V35" i="1"/>
  <c r="Z35" i="1" l="1"/>
  <c r="Y35" i="1"/>
</calcChain>
</file>

<file path=xl/sharedStrings.xml><?xml version="1.0" encoding="utf-8"?>
<sst xmlns="http://schemas.openxmlformats.org/spreadsheetml/2006/main" count="237" uniqueCount="103">
  <si>
    <t>Name</t>
  </si>
  <si>
    <t xml:space="preserve">B cells </t>
  </si>
  <si>
    <t>B cells</t>
  </si>
  <si>
    <t>B cells mean</t>
  </si>
  <si>
    <t>Red pixels</t>
  </si>
  <si>
    <t>T cells</t>
  </si>
  <si>
    <t>T cells mean</t>
  </si>
  <si>
    <t>Brown pixels</t>
  </si>
  <si>
    <t>Total pixels</t>
  </si>
  <si>
    <t>Ratio AU</t>
  </si>
  <si>
    <t>Tscore AU</t>
  </si>
  <si>
    <t>SscoreAU</t>
  </si>
  <si>
    <t>Ratio SEB</t>
  </si>
  <si>
    <t>Tscore SEB</t>
  </si>
  <si>
    <t>SscoreSEB</t>
  </si>
  <si>
    <t>Ratio manuels</t>
  </si>
  <si>
    <t>Ratio Sacha</t>
  </si>
  <si>
    <t>Ratio T</t>
  </si>
  <si>
    <t>T-Score</t>
  </si>
  <si>
    <t>S-Score</t>
  </si>
  <si>
    <t>NB red pixel PICCO</t>
  </si>
  <si>
    <t>NB brown pixel PICCO</t>
  </si>
  <si>
    <t>Nvx PICCO</t>
  </si>
  <si>
    <t>PICCO score</t>
  </si>
  <si>
    <t>Ratio T reprise prog</t>
  </si>
  <si>
    <t>T-score reprise prog</t>
  </si>
  <si>
    <t xml:space="preserve">ST5/1/gland_26_5.jpg </t>
  </si>
  <si>
    <t xml:space="preserve">ST5/1/gland_26_8.jpg </t>
  </si>
  <si>
    <t xml:space="preserve">ST5/1/gland_26_10.jpg </t>
  </si>
  <si>
    <t xml:space="preserve">ST5/1/gland_26_13.jpg </t>
  </si>
  <si>
    <t>T_PICCO-score</t>
  </si>
  <si>
    <t>Fichier</t>
  </si>
  <si>
    <t>Normalisation S-score</t>
  </si>
  <si>
    <t>Normalisation T-PICCO-score</t>
  </si>
  <si>
    <t>ST5/1/gland_26_18.jpg</t>
  </si>
  <si>
    <t xml:space="preserve">ST5/1/gland_26_21.jpg </t>
  </si>
  <si>
    <t xml:space="preserve">ST5/1/gland_49_18.jpg </t>
  </si>
  <si>
    <t xml:space="preserve">ST5/1/gland_71_30.jpg </t>
  </si>
  <si>
    <t xml:space="preserve">ST5/1/gland_71_47.jpg </t>
  </si>
  <si>
    <t xml:space="preserve">ST5/1/gland_71_48.jpg </t>
  </si>
  <si>
    <t xml:space="preserve">ST5/1/gland_71_54.jpg </t>
  </si>
  <si>
    <t xml:space="preserve">ST5/1/gland_71_62.jpg </t>
  </si>
  <si>
    <t xml:space="preserve">ST5/1/gland_71_65.jpg </t>
  </si>
  <si>
    <t xml:space="preserve">ST5/1/gland_71_83.jpg </t>
  </si>
  <si>
    <t xml:space="preserve">ST5/1/gland_86_0.jpg </t>
  </si>
  <si>
    <t xml:space="preserve">ST5/1/gland_86_2.jpg </t>
  </si>
  <si>
    <t xml:space="preserve">ST5/1/gland_86_3.jpg </t>
  </si>
  <si>
    <t xml:space="preserve">ST5/1/gland_87_16.jpg </t>
  </si>
  <si>
    <t xml:space="preserve">ST5/1/gland_87_24.jpg </t>
  </si>
  <si>
    <t xml:space="preserve">ST5/1/gland_87_28.jpg </t>
  </si>
  <si>
    <t xml:space="preserve">ST5/1/gland_87_29.jpg </t>
  </si>
  <si>
    <t xml:space="preserve">ST5/1/gland_89_0.jpg </t>
  </si>
  <si>
    <t xml:space="preserve">ST5/1/gland_89_1.jpg </t>
  </si>
  <si>
    <t>ST5/1/gland_89_2.jpg</t>
  </si>
  <si>
    <t xml:space="preserve">ST5/1/gland_89_3.jpg </t>
  </si>
  <si>
    <t xml:space="preserve">ST5/1/gland_89_4.jpg </t>
  </si>
  <si>
    <t xml:space="preserve">ST5/1/gland_89_5.jpg </t>
  </si>
  <si>
    <t xml:space="preserve">ST5/1/gland_89_6.jpg </t>
  </si>
  <si>
    <t xml:space="preserve">ST5/1/gland_89_7.jpg </t>
  </si>
  <si>
    <t xml:space="preserve">ST5/1/gland_89_8.jpg </t>
  </si>
  <si>
    <t xml:space="preserve">ST5/1/gland_89_9.jpg </t>
  </si>
  <si>
    <t>Moyenne</t>
  </si>
  <si>
    <t>Glands</t>
  </si>
  <si>
    <t>S-score</t>
  </si>
  <si>
    <t>Fichiers</t>
  </si>
  <si>
    <t>Ratio  PICCO</t>
  </si>
  <si>
    <t>Total number of pixel</t>
  </si>
  <si>
    <t>Number of red pixel (CD20)</t>
  </si>
  <si>
    <t>Number of brown pixel (CD3)</t>
  </si>
  <si>
    <t>Ratio CD20/CD3</t>
  </si>
  <si>
    <t>SEB</t>
  </si>
  <si>
    <t>LISA</t>
  </si>
  <si>
    <t>S-scoreseb</t>
  </si>
  <si>
    <t>S-scorelisa</t>
  </si>
  <si>
    <t>NDPI</t>
  </si>
  <si>
    <t>MRXS</t>
  </si>
  <si>
    <t>LAME1</t>
  </si>
  <si>
    <t>LAME2</t>
  </si>
  <si>
    <t>LAME5</t>
  </si>
  <si>
    <t>LAME7</t>
  </si>
  <si>
    <t>LAME8</t>
  </si>
  <si>
    <t>LAME10</t>
  </si>
  <si>
    <t>LAME11</t>
  </si>
  <si>
    <t>LAME15</t>
  </si>
  <si>
    <t>LAME16</t>
  </si>
  <si>
    <t>LAME19</t>
  </si>
  <si>
    <t>LAME20</t>
  </si>
  <si>
    <t>LAME21</t>
  </si>
  <si>
    <t>LAME22</t>
  </si>
  <si>
    <t>LAME23</t>
  </si>
  <si>
    <t>LAME24</t>
  </si>
  <si>
    <t>LAME25</t>
  </si>
  <si>
    <t>LAME26</t>
  </si>
  <si>
    <t>LAME29</t>
  </si>
  <si>
    <t>LAME30</t>
  </si>
  <si>
    <t>LAME31</t>
  </si>
  <si>
    <t>LAME32</t>
  </si>
  <si>
    <t>LAME34</t>
  </si>
  <si>
    <t>LAME41</t>
  </si>
  <si>
    <t>LAME50</t>
  </si>
  <si>
    <t>1 er normalisation programme non multipross</t>
  </si>
  <si>
    <t>2ieme normalisation programme multipross</t>
  </si>
  <si>
    <t>Ratio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</si>
</sst>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1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806000"/>
      <name val="Calibri"/>
      <family val="2"/>
      <charset val="1"/>
    </font>
    <font>
      <b/>
      <sz val="11"/>
      <color rgb="FF806000"/>
      <name val="Calibri"/>
      <family val="2"/>
      <charset val="1"/>
    </font>
    <font>
      <sz val="11"/>
      <color rgb="FF333F50"/>
      <name val="Calibri"/>
      <family val="2"/>
      <charset val="1"/>
    </font>
    <font>
      <b/>
      <sz val="11"/>
      <color rgb="FF333F50"/>
      <name val="Calibri"/>
      <family val="2"/>
      <charset val="1"/>
    </font>
    <font>
      <b/>
      <sz val="11"/>
      <color rgb="FF7030A0"/>
      <name val="Calibri"/>
      <family val="2"/>
      <charset val="1"/>
    </font>
    <font>
      <b/>
      <sz val="11"/>
      <color rgb="FFC55A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/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/>
    </xf>
    <xf numFmtId="164" fontId="0" fillId="0" borderId="0" xfId="0" applyNumberFormat="1" applyBorder="1"/>
    <xf numFmtId="0" fontId="10" fillId="0" borderId="0" xfId="0" applyFont="1" applyAlignment="1">
      <alignment horizontal="center"/>
    </xf>
    <xf numFmtId="164" fontId="0" fillId="0" borderId="0" xfId="0" applyNumberFormat="1"/>
    <xf numFmtId="0" fontId="0" fillId="0" borderId="2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0" xfId="0" applyBorder="1"/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2" xfId="0" applyFont="1" applyBorder="1"/>
    <xf numFmtId="2" fontId="1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2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008080"/>
      <rgbColor rgb="FFC0C0C0"/>
      <rgbColor rgb="FF808080"/>
      <rgbColor rgb="FF5B9BD5"/>
      <rgbColor rgb="FF7030A0"/>
      <rgbColor rgb="FFFFFFCC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48235"/>
      <rgbColor rgb="FF003300"/>
      <rgbColor rgb="FF333300"/>
      <rgbColor rgb="FFC55A11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5697045148504802E-2"/>
          <c:y val="1.5863640199139301E-2"/>
          <c:w val="0.96429025127670898"/>
          <c:h val="0.90799651224931799"/>
        </c:manualLayout>
      </c:layout>
      <c:lineChart>
        <c:grouping val="standard"/>
        <c:varyColors val="1"/>
        <c:ser>
          <c:idx val="0"/>
          <c:order val="0"/>
          <c:tx>
            <c:strRef>
              <c:f>publi!$O$1</c:f>
              <c:strCache>
                <c:ptCount val="1"/>
                <c:pt idx="0">
                  <c:v>Ratio AU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publi!$O$2:$O$17;publi!$O$20:$O$32</c:f>
              <c:numCache>
                <c:formatCode>General</c:formatCode>
                <c:ptCount val="29"/>
                <c:pt idx="0">
                  <c:v>0.102040816326531</c:v>
                </c:pt>
                <c:pt idx="1">
                  <c:v>0.223214285714286</c:v>
                </c:pt>
                <c:pt idx="2">
                  <c:v>0.77033492822966498</c:v>
                </c:pt>
                <c:pt idx="3">
                  <c:v>0.248756218905473</c:v>
                </c:pt>
                <c:pt idx="4">
                  <c:v>3.3142857142857101</c:v>
                </c:pt>
                <c:pt idx="5">
                  <c:v>0.597122302158273</c:v>
                </c:pt>
                <c:pt idx="6">
                  <c:v>0.294921875</c:v>
                </c:pt>
                <c:pt idx="7">
                  <c:v>0.28385416666666702</c:v>
                </c:pt>
                <c:pt idx="8">
                  <c:v>0.37396121883656502</c:v>
                </c:pt>
                <c:pt idx="9">
                  <c:v>0.43564356435643597</c:v>
                </c:pt>
                <c:pt idx="10">
                  <c:v>0.66666666666666696</c:v>
                </c:pt>
                <c:pt idx="11">
                  <c:v>1.60666666666667</c:v>
                </c:pt>
                <c:pt idx="12">
                  <c:v>1.10769230769231</c:v>
                </c:pt>
                <c:pt idx="13">
                  <c:v>0.85781990521327001</c:v>
                </c:pt>
                <c:pt idx="14">
                  <c:v>0.58603491271820496</c:v>
                </c:pt>
                <c:pt idx="15">
                  <c:v>0.231800766283525</c:v>
                </c:pt>
                <c:pt idx="16">
                  <c:v>0.11516853932584301</c:v>
                </c:pt>
                <c:pt idx="17">
                  <c:v>0.25611745513866202</c:v>
                </c:pt>
                <c:pt idx="18">
                  <c:v>0.20802919708029199</c:v>
                </c:pt>
                <c:pt idx="19">
                  <c:v>0.9</c:v>
                </c:pt>
                <c:pt idx="20">
                  <c:v>0</c:v>
                </c:pt>
                <c:pt idx="21">
                  <c:v>0.77272727272727304</c:v>
                </c:pt>
                <c:pt idx="22">
                  <c:v>0.2</c:v>
                </c:pt>
                <c:pt idx="23">
                  <c:v>0</c:v>
                </c:pt>
                <c:pt idx="24">
                  <c:v>0.17777777777777801</c:v>
                </c:pt>
                <c:pt idx="25">
                  <c:v>5.2631578947368397E-2</c:v>
                </c:pt>
                <c:pt idx="26">
                  <c:v>3.3333333333333298E-2</c:v>
                </c:pt>
                <c:pt idx="27">
                  <c:v>1.5625E-2</c:v>
                </c:pt>
                <c:pt idx="28">
                  <c:v>4.0293040293040303E-2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publi!$A$2:$A$17;publi!$A$20:$A$32</c15:sqref>
                        </c15:formulaRef>
                      </c:ext>
                    </c:extLst>
                    <c:strCache>
                      <c:ptCount val="29"/>
                      <c:pt idx="0">
                        <c:v>ST5/1/gland_26_5.jpg </c:v>
                      </c:pt>
                      <c:pt idx="1">
                        <c:v>ST5/1/gland_26_8.jpg </c:v>
                      </c:pt>
                      <c:pt idx="2">
                        <c:v>ST5/1/gland_26_10.jpg </c:v>
                      </c:pt>
                      <c:pt idx="3">
                        <c:v>ST5/1/gland_26_13.jpg </c:v>
                      </c:pt>
                      <c:pt idx="4">
                        <c:v>ST5/1/gland_26_18.jpg</c:v>
                      </c:pt>
                      <c:pt idx="5">
                        <c:v>ST5/1/gland_26_21.jpg </c:v>
                      </c:pt>
                      <c:pt idx="6">
                        <c:v>ST5/1/gland_49_18.jpg </c:v>
                      </c:pt>
                      <c:pt idx="7">
                        <c:v>ST5/1/gland_71_30.jpg </c:v>
                      </c:pt>
                      <c:pt idx="8">
                        <c:v>ST5/1/gland_71_47.jpg </c:v>
                      </c:pt>
                      <c:pt idx="9">
                        <c:v>ST5/1/gland_71_48.jpg </c:v>
                      </c:pt>
                      <c:pt idx="10">
                        <c:v>ST5/1/gland_71_54.jpg </c:v>
                      </c:pt>
                      <c:pt idx="11">
                        <c:v>ST5/1/gland_71_62.jpg </c:v>
                      </c:pt>
                      <c:pt idx="12">
                        <c:v>ST5/1/gland_71_65.jpg </c:v>
                      </c:pt>
                      <c:pt idx="13">
                        <c:v>ST5/1/gland_71_83.jpg </c:v>
                      </c:pt>
                      <c:pt idx="14">
                        <c:v>ST5/1/gland_86_0.jpg </c:v>
                      </c:pt>
                      <c:pt idx="15">
                        <c:v>ST5/1/gland_86_2.jpg </c:v>
                      </c:pt>
                      <c:pt idx="16">
                        <c:v>ST5/1/gland_87_24.jpg </c:v>
                      </c:pt>
                      <c:pt idx="17">
                        <c:v>ST5/1/gland_87_28.jpg </c:v>
                      </c:pt>
                      <c:pt idx="18">
                        <c:v>ST5/1/gland_87_29.jpg </c:v>
                      </c:pt>
                      <c:pt idx="19">
                        <c:v>ST5/1/gland_89_0.jpg </c:v>
                      </c:pt>
                      <c:pt idx="20">
                        <c:v>ST5/1/gland_89_1.jpg </c:v>
                      </c:pt>
                      <c:pt idx="21">
                        <c:v>ST5/1/gland_89_2.jpg</c:v>
                      </c:pt>
                      <c:pt idx="22">
                        <c:v>ST5/1/gland_89_3.jpg </c:v>
                      </c:pt>
                      <c:pt idx="23">
                        <c:v>ST5/1/gland_89_4.jpg </c:v>
                      </c:pt>
                      <c:pt idx="24">
                        <c:v>ST5/1/gland_89_5.jpg </c:v>
                      </c:pt>
                      <c:pt idx="25">
                        <c:v>ST5/1/gland_89_6.jpg </c:v>
                      </c:pt>
                      <c:pt idx="26">
                        <c:v>ST5/1/gland_89_7.jpg </c:v>
                      </c:pt>
                      <c:pt idx="27">
                        <c:v>ST5/1/gland_89_8.jpg </c:v>
                      </c:pt>
                      <c:pt idx="28">
                        <c:v>ST5/1/gland_89_9.jpg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B29-4E84-8286-C14253C661AE}"/>
            </c:ext>
          </c:extLst>
        </c:ser>
        <c:ser>
          <c:idx val="1"/>
          <c:order val="1"/>
          <c:tx>
            <c:strRef>
              <c:f>publi!$R$1</c:f>
              <c:strCache>
                <c:ptCount val="1"/>
                <c:pt idx="0">
                  <c:v>Ratio SEB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publi!$R$2:$R$17;publi!$R$20:$R$32</c:f>
              <c:numCache>
                <c:formatCode>General</c:formatCode>
                <c:ptCount val="29"/>
                <c:pt idx="0">
                  <c:v>0.11363636363636399</c:v>
                </c:pt>
                <c:pt idx="1">
                  <c:v>0.21052631578947401</c:v>
                </c:pt>
                <c:pt idx="2">
                  <c:v>0.84153005464480901</c:v>
                </c:pt>
                <c:pt idx="3">
                  <c:v>0.28804347826087001</c:v>
                </c:pt>
                <c:pt idx="4">
                  <c:v>0.34812286689419802</c:v>
                </c:pt>
                <c:pt idx="5">
                  <c:v>0.67500000000000004</c:v>
                </c:pt>
                <c:pt idx="6">
                  <c:v>0.28247422680412398</c:v>
                </c:pt>
                <c:pt idx="7">
                  <c:v>0.33681462140992202</c:v>
                </c:pt>
                <c:pt idx="8">
                  <c:v>0.39162561576354699</c:v>
                </c:pt>
                <c:pt idx="9">
                  <c:v>0.42379182156133799</c:v>
                </c:pt>
                <c:pt idx="10">
                  <c:v>0.79310344827586199</c:v>
                </c:pt>
                <c:pt idx="11">
                  <c:v>1.71428571428571</c:v>
                </c:pt>
                <c:pt idx="12">
                  <c:v>1.1735537190082601</c:v>
                </c:pt>
                <c:pt idx="13">
                  <c:v>0.93296089385474901</c:v>
                </c:pt>
                <c:pt idx="14">
                  <c:v>0.51715686274509798</c:v>
                </c:pt>
                <c:pt idx="15">
                  <c:v>0.22868217054263601</c:v>
                </c:pt>
                <c:pt idx="16">
                  <c:v>0.117370892018779</c:v>
                </c:pt>
                <c:pt idx="17">
                  <c:v>0.268738574040219</c:v>
                </c:pt>
                <c:pt idx="18">
                  <c:v>0.25925925925925902</c:v>
                </c:pt>
                <c:pt idx="19">
                  <c:v>1.31067961165049</c:v>
                </c:pt>
                <c:pt idx="20">
                  <c:v>0</c:v>
                </c:pt>
                <c:pt idx="21">
                  <c:v>0.90588235294117603</c:v>
                </c:pt>
                <c:pt idx="22">
                  <c:v>0.22222222222222199</c:v>
                </c:pt>
                <c:pt idx="23">
                  <c:v>0</c:v>
                </c:pt>
                <c:pt idx="24">
                  <c:v>0.185840707964602</c:v>
                </c:pt>
                <c:pt idx="25">
                  <c:v>5.8823529411764698E-2</c:v>
                </c:pt>
                <c:pt idx="26">
                  <c:v>3.2258064516128997E-2</c:v>
                </c:pt>
                <c:pt idx="27">
                  <c:v>2.8985507246376802E-2</c:v>
                </c:pt>
                <c:pt idx="28">
                  <c:v>3.03030303030303E-2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publi!$A$2:$A$17;publi!$A$20:$A$32</c15:sqref>
                        </c15:formulaRef>
                      </c:ext>
                    </c:extLst>
                    <c:strCache>
                      <c:ptCount val="29"/>
                      <c:pt idx="0">
                        <c:v>ST5/1/gland_26_5.jpg </c:v>
                      </c:pt>
                      <c:pt idx="1">
                        <c:v>ST5/1/gland_26_8.jpg </c:v>
                      </c:pt>
                      <c:pt idx="2">
                        <c:v>ST5/1/gland_26_10.jpg </c:v>
                      </c:pt>
                      <c:pt idx="3">
                        <c:v>ST5/1/gland_26_13.jpg </c:v>
                      </c:pt>
                      <c:pt idx="4">
                        <c:v>ST5/1/gland_26_18.jpg</c:v>
                      </c:pt>
                      <c:pt idx="5">
                        <c:v>ST5/1/gland_26_21.jpg </c:v>
                      </c:pt>
                      <c:pt idx="6">
                        <c:v>ST5/1/gland_49_18.jpg </c:v>
                      </c:pt>
                      <c:pt idx="7">
                        <c:v>ST5/1/gland_71_30.jpg </c:v>
                      </c:pt>
                      <c:pt idx="8">
                        <c:v>ST5/1/gland_71_47.jpg </c:v>
                      </c:pt>
                      <c:pt idx="9">
                        <c:v>ST5/1/gland_71_48.jpg </c:v>
                      </c:pt>
                      <c:pt idx="10">
                        <c:v>ST5/1/gland_71_54.jpg </c:v>
                      </c:pt>
                      <c:pt idx="11">
                        <c:v>ST5/1/gland_71_62.jpg </c:v>
                      </c:pt>
                      <c:pt idx="12">
                        <c:v>ST5/1/gland_71_65.jpg </c:v>
                      </c:pt>
                      <c:pt idx="13">
                        <c:v>ST5/1/gland_71_83.jpg </c:v>
                      </c:pt>
                      <c:pt idx="14">
                        <c:v>ST5/1/gland_86_0.jpg </c:v>
                      </c:pt>
                      <c:pt idx="15">
                        <c:v>ST5/1/gland_86_2.jpg </c:v>
                      </c:pt>
                      <c:pt idx="16">
                        <c:v>ST5/1/gland_87_24.jpg </c:v>
                      </c:pt>
                      <c:pt idx="17">
                        <c:v>ST5/1/gland_87_28.jpg </c:v>
                      </c:pt>
                      <c:pt idx="18">
                        <c:v>ST5/1/gland_87_29.jpg </c:v>
                      </c:pt>
                      <c:pt idx="19">
                        <c:v>ST5/1/gland_89_0.jpg </c:v>
                      </c:pt>
                      <c:pt idx="20">
                        <c:v>ST5/1/gland_89_1.jpg </c:v>
                      </c:pt>
                      <c:pt idx="21">
                        <c:v>ST5/1/gland_89_2.jpg</c:v>
                      </c:pt>
                      <c:pt idx="22">
                        <c:v>ST5/1/gland_89_3.jpg </c:v>
                      </c:pt>
                      <c:pt idx="23">
                        <c:v>ST5/1/gland_89_4.jpg </c:v>
                      </c:pt>
                      <c:pt idx="24">
                        <c:v>ST5/1/gland_89_5.jpg </c:v>
                      </c:pt>
                      <c:pt idx="25">
                        <c:v>ST5/1/gland_89_6.jpg </c:v>
                      </c:pt>
                      <c:pt idx="26">
                        <c:v>ST5/1/gland_89_7.jpg </c:v>
                      </c:pt>
                      <c:pt idx="27">
                        <c:v>ST5/1/gland_89_8.jpg </c:v>
                      </c:pt>
                      <c:pt idx="28">
                        <c:v>ST5/1/gland_89_9.jpg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B29-4E84-8286-C14253C661AE}"/>
            </c:ext>
          </c:extLst>
        </c:ser>
        <c:ser>
          <c:idx val="2"/>
          <c:order val="2"/>
          <c:tx>
            <c:strRef>
              <c:f>publi!$W$1</c:f>
              <c:strCache>
                <c:ptCount val="1"/>
                <c:pt idx="0">
                  <c:v>Ratio Sacha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publi!$W$2:$W$17;publi!$W$20:$W$32</c:f>
              <c:numCache>
                <c:formatCode>General</c:formatCode>
                <c:ptCount val="29"/>
                <c:pt idx="0">
                  <c:v>0.38700276846859999</c:v>
                </c:pt>
                <c:pt idx="1">
                  <c:v>0.30894874022588997</c:v>
                </c:pt>
                <c:pt idx="2">
                  <c:v>3.2335610589239998</c:v>
                </c:pt>
                <c:pt idx="3">
                  <c:v>1.1972042513863199</c:v>
                </c:pt>
                <c:pt idx="4">
                  <c:v>0.87818270380374597</c:v>
                </c:pt>
                <c:pt idx="5">
                  <c:v>2.2003021628498698</c:v>
                </c:pt>
                <c:pt idx="6">
                  <c:v>1.0445018108962001</c:v>
                </c:pt>
                <c:pt idx="7">
                  <c:v>0.89586776859504103</c:v>
                </c:pt>
                <c:pt idx="8">
                  <c:v>0.82127599310784305</c:v>
                </c:pt>
                <c:pt idx="9">
                  <c:v>1.23249859169355</c:v>
                </c:pt>
                <c:pt idx="10">
                  <c:v>1.6407030919102099</c:v>
                </c:pt>
                <c:pt idx="11">
                  <c:v>6.3214733645785204</c:v>
                </c:pt>
                <c:pt idx="12">
                  <c:v>3.2625713509105698</c:v>
                </c:pt>
                <c:pt idx="13">
                  <c:v>1.6673857619140999</c:v>
                </c:pt>
                <c:pt idx="14">
                  <c:v>2.0313641492474499</c:v>
                </c:pt>
                <c:pt idx="15">
                  <c:v>0.45537610119719901</c:v>
                </c:pt>
                <c:pt idx="16">
                  <c:v>0.25341932343635898</c:v>
                </c:pt>
                <c:pt idx="17">
                  <c:v>0.85170114870574998</c:v>
                </c:pt>
                <c:pt idx="18">
                  <c:v>0.64948558278056001</c:v>
                </c:pt>
                <c:pt idx="19">
                  <c:v>2.1617460500518999</c:v>
                </c:pt>
                <c:pt idx="20">
                  <c:v>2.49509391645641E-2</c:v>
                </c:pt>
                <c:pt idx="21">
                  <c:v>1.7938996451192699</c:v>
                </c:pt>
                <c:pt idx="22">
                  <c:v>0.29058295964125602</c:v>
                </c:pt>
                <c:pt idx="23">
                  <c:v>5.5813953488372103E-3</c:v>
                </c:pt>
                <c:pt idx="24">
                  <c:v>0.21059998727492499</c:v>
                </c:pt>
                <c:pt idx="25">
                  <c:v>5.9708295350957202E-2</c:v>
                </c:pt>
                <c:pt idx="26">
                  <c:v>2.03656560981254E-2</c:v>
                </c:pt>
                <c:pt idx="27">
                  <c:v>1.8467069782644199E-2</c:v>
                </c:pt>
                <c:pt idx="28">
                  <c:v>3.3982578787992102E-2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publi!$A$2:$A$17;publi!$A$20:$A$32</c15:sqref>
                        </c15:formulaRef>
                      </c:ext>
                    </c:extLst>
                    <c:strCache>
                      <c:ptCount val="29"/>
                      <c:pt idx="0">
                        <c:v>ST5/1/gland_26_5.jpg </c:v>
                      </c:pt>
                      <c:pt idx="1">
                        <c:v>ST5/1/gland_26_8.jpg </c:v>
                      </c:pt>
                      <c:pt idx="2">
                        <c:v>ST5/1/gland_26_10.jpg </c:v>
                      </c:pt>
                      <c:pt idx="3">
                        <c:v>ST5/1/gland_26_13.jpg </c:v>
                      </c:pt>
                      <c:pt idx="4">
                        <c:v>ST5/1/gland_26_18.jpg</c:v>
                      </c:pt>
                      <c:pt idx="5">
                        <c:v>ST5/1/gland_26_21.jpg </c:v>
                      </c:pt>
                      <c:pt idx="6">
                        <c:v>ST5/1/gland_49_18.jpg </c:v>
                      </c:pt>
                      <c:pt idx="7">
                        <c:v>ST5/1/gland_71_30.jpg </c:v>
                      </c:pt>
                      <c:pt idx="8">
                        <c:v>ST5/1/gland_71_47.jpg </c:v>
                      </c:pt>
                      <c:pt idx="9">
                        <c:v>ST5/1/gland_71_48.jpg </c:v>
                      </c:pt>
                      <c:pt idx="10">
                        <c:v>ST5/1/gland_71_54.jpg </c:v>
                      </c:pt>
                      <c:pt idx="11">
                        <c:v>ST5/1/gland_71_62.jpg </c:v>
                      </c:pt>
                      <c:pt idx="12">
                        <c:v>ST5/1/gland_71_65.jpg </c:v>
                      </c:pt>
                      <c:pt idx="13">
                        <c:v>ST5/1/gland_71_83.jpg </c:v>
                      </c:pt>
                      <c:pt idx="14">
                        <c:v>ST5/1/gland_86_0.jpg </c:v>
                      </c:pt>
                      <c:pt idx="15">
                        <c:v>ST5/1/gland_86_2.jpg </c:v>
                      </c:pt>
                      <c:pt idx="16">
                        <c:v>ST5/1/gland_87_24.jpg </c:v>
                      </c:pt>
                      <c:pt idx="17">
                        <c:v>ST5/1/gland_87_28.jpg </c:v>
                      </c:pt>
                      <c:pt idx="18">
                        <c:v>ST5/1/gland_87_29.jpg </c:v>
                      </c:pt>
                      <c:pt idx="19">
                        <c:v>ST5/1/gland_89_0.jpg </c:v>
                      </c:pt>
                      <c:pt idx="20">
                        <c:v>ST5/1/gland_89_1.jpg </c:v>
                      </c:pt>
                      <c:pt idx="21">
                        <c:v>ST5/1/gland_89_2.jpg</c:v>
                      </c:pt>
                      <c:pt idx="22">
                        <c:v>ST5/1/gland_89_3.jpg </c:v>
                      </c:pt>
                      <c:pt idx="23">
                        <c:v>ST5/1/gland_89_4.jpg </c:v>
                      </c:pt>
                      <c:pt idx="24">
                        <c:v>ST5/1/gland_89_5.jpg </c:v>
                      </c:pt>
                      <c:pt idx="25">
                        <c:v>ST5/1/gland_89_6.jpg </c:v>
                      </c:pt>
                      <c:pt idx="26">
                        <c:v>ST5/1/gland_89_7.jpg </c:v>
                      </c:pt>
                      <c:pt idx="27">
                        <c:v>ST5/1/gland_89_8.jpg </c:v>
                      </c:pt>
                      <c:pt idx="28">
                        <c:v>ST5/1/gland_89_9.jpg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B29-4E84-8286-C14253C661AE}"/>
            </c:ext>
          </c:extLst>
        </c:ser>
        <c:ser>
          <c:idx val="3"/>
          <c:order val="3"/>
          <c:tx>
            <c:strRef>
              <c:f>publi!$X$1</c:f>
              <c:strCache>
                <c:ptCount val="1"/>
                <c:pt idx="0">
                  <c:v>Ratio 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publi!$X$2:$X$17;publi!$X$20:$X$32</c:f>
              <c:numCache>
                <c:formatCode>General</c:formatCode>
                <c:ptCount val="29"/>
                <c:pt idx="0">
                  <c:v>0.12739283617146199</c:v>
                </c:pt>
                <c:pt idx="1">
                  <c:v>0.245668415196312</c:v>
                </c:pt>
                <c:pt idx="2">
                  <c:v>6.3827367773266294E-2</c:v>
                </c:pt>
                <c:pt idx="3">
                  <c:v>0.276266025330204</c:v>
                </c:pt>
                <c:pt idx="4">
                  <c:v>0.40556654171954798</c:v>
                </c:pt>
                <c:pt idx="5">
                  <c:v>0.51741177838497798</c:v>
                </c:pt>
                <c:pt idx="6">
                  <c:v>0.47194396619189199</c:v>
                </c:pt>
                <c:pt idx="7">
                  <c:v>0.47417416060373302</c:v>
                </c:pt>
                <c:pt idx="8">
                  <c:v>0.465525235130481</c:v>
                </c:pt>
                <c:pt idx="9">
                  <c:v>0.44902698282910902</c:v>
                </c:pt>
                <c:pt idx="10">
                  <c:v>0.34865822095082399</c:v>
                </c:pt>
                <c:pt idx="11">
                  <c:v>0.215136965464333</c:v>
                </c:pt>
                <c:pt idx="12">
                  <c:v>0.42031166261285402</c:v>
                </c:pt>
                <c:pt idx="13">
                  <c:v>0.306361377257445</c:v>
                </c:pt>
                <c:pt idx="14">
                  <c:v>0.14426167379690799</c:v>
                </c:pt>
                <c:pt idx="15">
                  <c:v>0.10108566309681399</c:v>
                </c:pt>
                <c:pt idx="16">
                  <c:v>0.48756666452483499</c:v>
                </c:pt>
                <c:pt idx="17">
                  <c:v>4.7328368534570502E-2</c:v>
                </c:pt>
                <c:pt idx="18">
                  <c:v>0.53229999509491299</c:v>
                </c:pt>
                <c:pt idx="19">
                  <c:v>0.17599189386023201</c:v>
                </c:pt>
                <c:pt idx="20">
                  <c:v>0.39512906361378097</c:v>
                </c:pt>
                <c:pt idx="21">
                  <c:v>0.137591487221568</c:v>
                </c:pt>
                <c:pt idx="22">
                  <c:v>7.5605323082708301E-2</c:v>
                </c:pt>
                <c:pt idx="23">
                  <c:v>0.19422107128254101</c:v>
                </c:pt>
                <c:pt idx="24">
                  <c:v>0.15938394745213999</c:v>
                </c:pt>
                <c:pt idx="25">
                  <c:v>4.2810016494226999E-2</c:v>
                </c:pt>
                <c:pt idx="26">
                  <c:v>0.15625732185605901</c:v>
                </c:pt>
                <c:pt idx="27">
                  <c:v>0.33834652788497599</c:v>
                </c:pt>
                <c:pt idx="28">
                  <c:v>0.40535913658354999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publi!$A$2:$A$17;publi!$A$20:$A$32</c15:sqref>
                        </c15:formulaRef>
                      </c:ext>
                    </c:extLst>
                    <c:strCache>
                      <c:ptCount val="29"/>
                      <c:pt idx="0">
                        <c:v>ST5/1/gland_26_5.jpg </c:v>
                      </c:pt>
                      <c:pt idx="1">
                        <c:v>ST5/1/gland_26_8.jpg </c:v>
                      </c:pt>
                      <c:pt idx="2">
                        <c:v>ST5/1/gland_26_10.jpg </c:v>
                      </c:pt>
                      <c:pt idx="3">
                        <c:v>ST5/1/gland_26_13.jpg </c:v>
                      </c:pt>
                      <c:pt idx="4">
                        <c:v>ST5/1/gland_26_18.jpg</c:v>
                      </c:pt>
                      <c:pt idx="5">
                        <c:v>ST5/1/gland_26_21.jpg </c:v>
                      </c:pt>
                      <c:pt idx="6">
                        <c:v>ST5/1/gland_49_18.jpg </c:v>
                      </c:pt>
                      <c:pt idx="7">
                        <c:v>ST5/1/gland_71_30.jpg </c:v>
                      </c:pt>
                      <c:pt idx="8">
                        <c:v>ST5/1/gland_71_47.jpg </c:v>
                      </c:pt>
                      <c:pt idx="9">
                        <c:v>ST5/1/gland_71_48.jpg </c:v>
                      </c:pt>
                      <c:pt idx="10">
                        <c:v>ST5/1/gland_71_54.jpg </c:v>
                      </c:pt>
                      <c:pt idx="11">
                        <c:v>ST5/1/gland_71_62.jpg </c:v>
                      </c:pt>
                      <c:pt idx="12">
                        <c:v>ST5/1/gland_71_65.jpg </c:v>
                      </c:pt>
                      <c:pt idx="13">
                        <c:v>ST5/1/gland_71_83.jpg </c:v>
                      </c:pt>
                      <c:pt idx="14">
                        <c:v>ST5/1/gland_86_0.jpg </c:v>
                      </c:pt>
                      <c:pt idx="15">
                        <c:v>ST5/1/gland_86_2.jpg </c:v>
                      </c:pt>
                      <c:pt idx="16">
                        <c:v>ST5/1/gland_87_24.jpg </c:v>
                      </c:pt>
                      <c:pt idx="17">
                        <c:v>ST5/1/gland_87_28.jpg </c:v>
                      </c:pt>
                      <c:pt idx="18">
                        <c:v>ST5/1/gland_87_29.jpg </c:v>
                      </c:pt>
                      <c:pt idx="19">
                        <c:v>ST5/1/gland_89_0.jpg </c:v>
                      </c:pt>
                      <c:pt idx="20">
                        <c:v>ST5/1/gland_89_1.jpg </c:v>
                      </c:pt>
                      <c:pt idx="21">
                        <c:v>ST5/1/gland_89_2.jpg</c:v>
                      </c:pt>
                      <c:pt idx="22">
                        <c:v>ST5/1/gland_89_3.jpg </c:v>
                      </c:pt>
                      <c:pt idx="23">
                        <c:v>ST5/1/gland_89_4.jpg </c:v>
                      </c:pt>
                      <c:pt idx="24">
                        <c:v>ST5/1/gland_89_5.jpg </c:v>
                      </c:pt>
                      <c:pt idx="25">
                        <c:v>ST5/1/gland_89_6.jpg </c:v>
                      </c:pt>
                      <c:pt idx="26">
                        <c:v>ST5/1/gland_89_7.jpg </c:v>
                      </c:pt>
                      <c:pt idx="27">
                        <c:v>ST5/1/gland_89_8.jpg </c:v>
                      </c:pt>
                      <c:pt idx="28">
                        <c:v>ST5/1/gland_89_9.jpg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B29-4E84-8286-C14253C661AE}"/>
            </c:ext>
          </c:extLst>
        </c:ser>
        <c:ser>
          <c:idx val="4"/>
          <c:order val="4"/>
          <c:tx>
            <c:strRef>
              <c:f>publi!$AH$1</c:f>
              <c:strCache>
                <c:ptCount val="1"/>
                <c:pt idx="0">
                  <c:v>Ratio T reprise prog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publi!$AH$2:$AH$17;publi!$AH$20:$AH$32</c:f>
              <c:numCache>
                <c:formatCode>General</c:formatCode>
                <c:ptCount val="29"/>
                <c:pt idx="0">
                  <c:v>0.15</c:v>
                </c:pt>
                <c:pt idx="1">
                  <c:v>0.17</c:v>
                </c:pt>
                <c:pt idx="2">
                  <c:v>0.43</c:v>
                </c:pt>
                <c:pt idx="3">
                  <c:v>0.21</c:v>
                </c:pt>
                <c:pt idx="4">
                  <c:v>0.22</c:v>
                </c:pt>
                <c:pt idx="5">
                  <c:v>0.31</c:v>
                </c:pt>
                <c:pt idx="6">
                  <c:v>0.21</c:v>
                </c:pt>
                <c:pt idx="7">
                  <c:v>0.24</c:v>
                </c:pt>
                <c:pt idx="8">
                  <c:v>0.22</c:v>
                </c:pt>
                <c:pt idx="9">
                  <c:v>0.22</c:v>
                </c:pt>
                <c:pt idx="10">
                  <c:v>0.34</c:v>
                </c:pt>
                <c:pt idx="11">
                  <c:v>0.48</c:v>
                </c:pt>
                <c:pt idx="12">
                  <c:v>0.43</c:v>
                </c:pt>
                <c:pt idx="13">
                  <c:v>0.32</c:v>
                </c:pt>
                <c:pt idx="14">
                  <c:v>0.33</c:v>
                </c:pt>
                <c:pt idx="15">
                  <c:v>0.17</c:v>
                </c:pt>
                <c:pt idx="16">
                  <c:v>0.14000000000000001</c:v>
                </c:pt>
                <c:pt idx="17">
                  <c:v>0.21</c:v>
                </c:pt>
                <c:pt idx="18">
                  <c:v>0.2</c:v>
                </c:pt>
                <c:pt idx="19">
                  <c:v>0.34</c:v>
                </c:pt>
                <c:pt idx="20">
                  <c:v>0.14000000000000001</c:v>
                </c:pt>
                <c:pt idx="21">
                  <c:v>0.32</c:v>
                </c:pt>
                <c:pt idx="22">
                  <c:v>0.15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0.09</c:v>
                </c:pt>
                <c:pt idx="27">
                  <c:v>0.11</c:v>
                </c:pt>
                <c:pt idx="28">
                  <c:v>7.0000000000000007E-2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publi!$A$2:$A$17;publi!$A$20:$A$32</c15:sqref>
                        </c15:formulaRef>
                      </c:ext>
                    </c:extLst>
                    <c:strCache>
                      <c:ptCount val="29"/>
                      <c:pt idx="0">
                        <c:v>ST5/1/gland_26_5.jpg </c:v>
                      </c:pt>
                      <c:pt idx="1">
                        <c:v>ST5/1/gland_26_8.jpg </c:v>
                      </c:pt>
                      <c:pt idx="2">
                        <c:v>ST5/1/gland_26_10.jpg </c:v>
                      </c:pt>
                      <c:pt idx="3">
                        <c:v>ST5/1/gland_26_13.jpg </c:v>
                      </c:pt>
                      <c:pt idx="4">
                        <c:v>ST5/1/gland_26_18.jpg</c:v>
                      </c:pt>
                      <c:pt idx="5">
                        <c:v>ST5/1/gland_26_21.jpg </c:v>
                      </c:pt>
                      <c:pt idx="6">
                        <c:v>ST5/1/gland_49_18.jpg </c:v>
                      </c:pt>
                      <c:pt idx="7">
                        <c:v>ST5/1/gland_71_30.jpg </c:v>
                      </c:pt>
                      <c:pt idx="8">
                        <c:v>ST5/1/gland_71_47.jpg </c:v>
                      </c:pt>
                      <c:pt idx="9">
                        <c:v>ST5/1/gland_71_48.jpg </c:v>
                      </c:pt>
                      <c:pt idx="10">
                        <c:v>ST5/1/gland_71_54.jpg </c:v>
                      </c:pt>
                      <c:pt idx="11">
                        <c:v>ST5/1/gland_71_62.jpg </c:v>
                      </c:pt>
                      <c:pt idx="12">
                        <c:v>ST5/1/gland_71_65.jpg </c:v>
                      </c:pt>
                      <c:pt idx="13">
                        <c:v>ST5/1/gland_71_83.jpg </c:v>
                      </c:pt>
                      <c:pt idx="14">
                        <c:v>ST5/1/gland_86_0.jpg </c:v>
                      </c:pt>
                      <c:pt idx="15">
                        <c:v>ST5/1/gland_86_2.jpg </c:v>
                      </c:pt>
                      <c:pt idx="16">
                        <c:v>ST5/1/gland_87_24.jpg </c:v>
                      </c:pt>
                      <c:pt idx="17">
                        <c:v>ST5/1/gland_87_28.jpg </c:v>
                      </c:pt>
                      <c:pt idx="18">
                        <c:v>ST5/1/gland_87_29.jpg </c:v>
                      </c:pt>
                      <c:pt idx="19">
                        <c:v>ST5/1/gland_89_0.jpg </c:v>
                      </c:pt>
                      <c:pt idx="20">
                        <c:v>ST5/1/gland_89_1.jpg </c:v>
                      </c:pt>
                      <c:pt idx="21">
                        <c:v>ST5/1/gland_89_2.jpg</c:v>
                      </c:pt>
                      <c:pt idx="22">
                        <c:v>ST5/1/gland_89_3.jpg </c:v>
                      </c:pt>
                      <c:pt idx="23">
                        <c:v>ST5/1/gland_89_4.jpg </c:v>
                      </c:pt>
                      <c:pt idx="24">
                        <c:v>ST5/1/gland_89_5.jpg </c:v>
                      </c:pt>
                      <c:pt idx="25">
                        <c:v>ST5/1/gland_89_6.jpg </c:v>
                      </c:pt>
                      <c:pt idx="26">
                        <c:v>ST5/1/gland_89_7.jpg </c:v>
                      </c:pt>
                      <c:pt idx="27">
                        <c:v>ST5/1/gland_89_8.jpg </c:v>
                      </c:pt>
                      <c:pt idx="28">
                        <c:v>ST5/1/gland_89_9.jpg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1B29-4E84-8286-C14253C6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291550"/>
        <c:axId val="21614214"/>
      </c:lineChart>
      <c:catAx>
        <c:axId val="212915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614214"/>
        <c:crosses val="autoZero"/>
        <c:auto val="1"/>
        <c:lblAlgn val="ctr"/>
        <c:lblOffset val="100"/>
        <c:noMultiLvlLbl val="1"/>
      </c:catAx>
      <c:valAx>
        <c:axId val="21614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29155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72329762923638E-2"/>
          <c:y val="3.3167749892329977E-2"/>
          <c:w val="0.91314796889081695"/>
          <c:h val="0.80791590815667402"/>
        </c:manualLayout>
      </c:layout>
      <c:lineChart>
        <c:grouping val="standard"/>
        <c:varyColors val="1"/>
        <c:ser>
          <c:idx val="0"/>
          <c:order val="0"/>
          <c:tx>
            <c:strRef>
              <c:f>publi!$Z$1</c:f>
              <c:strCache>
                <c:ptCount val="1"/>
                <c:pt idx="0">
                  <c:v>S-Score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publi!$Z$2:$Z$32</c:f>
              <c:numCache>
                <c:formatCode>General</c:formatCode>
                <c:ptCount val="31"/>
                <c:pt idx="0">
                  <c:v>0.27947588674816959</c:v>
                </c:pt>
                <c:pt idx="1">
                  <c:v>9.2134580933855126E-2</c:v>
                </c:pt>
                <c:pt idx="2">
                  <c:v>2.4299896303525683</c:v>
                </c:pt>
                <c:pt idx="3">
                  <c:v>0.92967178385385418</c:v>
                </c:pt>
                <c:pt idx="4">
                  <c:v>0.21354855746228274</c:v>
                </c:pt>
                <c:pt idx="5">
                  <c:v>1.5670975296452396</c:v>
                </c:pt>
                <c:pt idx="6">
                  <c:v>0.75563521109680276</c:v>
                </c:pt>
                <c:pt idx="7">
                  <c:v>0.58556789897313788</c:v>
                </c:pt>
                <c:pt idx="8">
                  <c:v>0.43796438945725669</c:v>
                </c:pt>
                <c:pt idx="9">
                  <c:v>0.80242866162362247</c:v>
                </c:pt>
                <c:pt idx="10">
                  <c:v>0.91489664029730422</c:v>
                </c:pt>
                <c:pt idx="11">
                  <c:v>4.665676263129245</c:v>
                </c:pt>
                <c:pt idx="12">
                  <c:v>2.1231291198348758</c:v>
                </c:pt>
                <c:pt idx="13">
                  <c:v>0.77507806960640846</c:v>
                </c:pt>
                <c:pt idx="14">
                  <c:v>1.4800662506071549</c:v>
                </c:pt>
                <c:pt idx="15">
                  <c:v>0.22512561950163062</c:v>
                </c:pt>
                <c:pt idx="16">
                  <c:v>1.5575796183650401</c:v>
                </c:pt>
                <c:pt idx="17">
                  <c:v>0.8480855921019953</c:v>
                </c:pt>
                <c:pt idx="18">
                  <c:v>0.13705103699134641</c:v>
                </c:pt>
                <c:pt idx="19">
                  <c:v>0.5896321831885083</c:v>
                </c:pt>
                <c:pt idx="20">
                  <c:v>0.41480957577530653</c:v>
                </c:pt>
                <c:pt idx="21">
                  <c:v>1.0802009856742147</c:v>
                </c:pt>
                <c:pt idx="22">
                  <c:v>2.4950939164564059E-2</c:v>
                </c:pt>
                <c:pt idx="23">
                  <c:v>0.95966051468448421</c:v>
                </c:pt>
                <c:pt idx="24">
                  <c:v>8.0056643851781906E-2</c:v>
                </c:pt>
                <c:pt idx="25">
                  <c:v>5.5813953488372094E-3</c:v>
                </c:pt>
                <c:pt idx="26">
                  <c:v>2.9148374371699426E-2</c:v>
                </c:pt>
                <c:pt idx="27">
                  <c:v>4.1527397954016013E-3</c:v>
                </c:pt>
                <c:pt idx="28">
                  <c:v>1.2421229147776207E-2</c:v>
                </c:pt>
                <c:pt idx="29">
                  <c:v>4.0893211947993849E-3</c:v>
                </c:pt>
                <c:pt idx="30">
                  <c:v>1.1051405102535383E-3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5-4CC1-B346-A45D90619ED5}"/>
            </c:ext>
          </c:extLst>
        </c:ser>
        <c:ser>
          <c:idx val="1"/>
          <c:order val="1"/>
          <c:tx>
            <c:strRef>
              <c:f>publi!$Y$1</c:f>
              <c:strCache>
                <c:ptCount val="1"/>
                <c:pt idx="0">
                  <c:v>T-Score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publi!$Y$2:$Y$32</c:f>
              <c:numCache>
                <c:formatCode>General</c:formatCode>
                <c:ptCount val="31"/>
                <c:pt idx="0">
                  <c:v>1.9865954451032022E-2</c:v>
                </c:pt>
                <c:pt idx="1">
                  <c:v>2.8854255904276788E-2</c:v>
                </c:pt>
                <c:pt idx="2">
                  <c:v>0.73974406079816224</c:v>
                </c:pt>
                <c:pt idx="3">
                  <c:v>8.7335577977367129E-3</c:v>
                </c:pt>
                <c:pt idx="4">
                  <c:v>0.25906760462191564</c:v>
                </c:pt>
                <c:pt idx="5">
                  <c:v>0.11579285481965551</c:v>
                </c:pt>
                <c:pt idx="6">
                  <c:v>0.18307736639249411</c:v>
                </c:pt>
                <c:pt idx="7">
                  <c:v>0.16387429098182915</c:v>
                </c:pt>
                <c:pt idx="8">
                  <c:v>8.2213631479894189E-2</c:v>
                </c:pt>
                <c:pt idx="9">
                  <c:v>1.8957052759178694E-2</c:v>
                </c:pt>
                <c:pt idx="10">
                  <c:v>0.37714823066207909</c:v>
                </c:pt>
                <c:pt idx="11">
                  <c:v>1.440660135984942</c:v>
                </c:pt>
                <c:pt idx="12">
                  <c:v>0.71913056846284329</c:v>
                </c:pt>
                <c:pt idx="13">
                  <c:v>0.5859463150502473</c:v>
                </c:pt>
                <c:pt idx="14">
                  <c:v>0.40703622484338831</c:v>
                </c:pt>
                <c:pt idx="15">
                  <c:v>0.1291648185987545</c:v>
                </c:pt>
                <c:pt idx="18">
                  <c:v>0.37119837807982176</c:v>
                </c:pt>
                <c:pt idx="19">
                  <c:v>0.21474059698267095</c:v>
                </c:pt>
                <c:pt idx="20">
                  <c:v>0.29762398808965951</c:v>
                </c:pt>
                <c:pt idx="21">
                  <c:v>0.9055531705174501</c:v>
                </c:pt>
                <c:pt idx="22">
                  <c:v>0.3951290636137812</c:v>
                </c:pt>
                <c:pt idx="23">
                  <c:v>0.69664764321321471</c:v>
                </c:pt>
                <c:pt idx="24">
                  <c:v>0.13492099270676533</c:v>
                </c:pt>
                <c:pt idx="25">
                  <c:v>0.19422107128254054</c:v>
                </c:pt>
                <c:pt idx="26">
                  <c:v>2.2067665451085905E-2</c:v>
                </c:pt>
                <c:pt idx="27">
                  <c:v>1.2745539061328533E-2</c:v>
                </c:pt>
                <c:pt idx="28">
                  <c:v>0.12347043661015702</c:v>
                </c:pt>
                <c:pt idx="29">
                  <c:v>0.31579013690753227</c:v>
                </c:pt>
                <c:pt idx="30">
                  <c:v>0.37027141728530483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5-4CC1-B346-A45D90619ED5}"/>
            </c:ext>
          </c:extLst>
        </c:ser>
        <c:ser>
          <c:idx val="2"/>
          <c:order val="2"/>
          <c:tx>
            <c:strRef>
              <c:f>publi!$AI$1</c:f>
              <c:strCache>
                <c:ptCount val="1"/>
                <c:pt idx="0">
                  <c:v>T-score reprise prog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publi!$AI$2:$AI$32</c:f>
              <c:numCache>
                <c:formatCode>General</c:formatCode>
                <c:ptCount val="31"/>
                <c:pt idx="0">
                  <c:v>4.2473118279569885E-2</c:v>
                </c:pt>
                <c:pt idx="1">
                  <c:v>4.681415929203539E-2</c:v>
                </c:pt>
                <c:pt idx="2">
                  <c:v>0.37357142857142861</c:v>
                </c:pt>
                <c:pt idx="3">
                  <c:v>5.7532467532467518E-2</c:v>
                </c:pt>
                <c:pt idx="4">
                  <c:v>0.44463414634146348</c:v>
                </c:pt>
                <c:pt idx="5">
                  <c:v>0.32320463320463316</c:v>
                </c:pt>
                <c:pt idx="6">
                  <c:v>7.8866599799398224E-2</c:v>
                </c:pt>
                <c:pt idx="7">
                  <c:v>7.0299869621903543E-2</c:v>
                </c:pt>
                <c:pt idx="8">
                  <c:v>0.1633116036505867</c:v>
                </c:pt>
                <c:pt idx="9">
                  <c:v>0.21006993006993005</c:v>
                </c:pt>
                <c:pt idx="10">
                  <c:v>0.38580645161290322</c:v>
                </c:pt>
                <c:pt idx="11">
                  <c:v>1.1757971014492754</c:v>
                </c:pt>
                <c:pt idx="12">
                  <c:v>0.70944223107569737</c:v>
                </c:pt>
                <c:pt idx="13">
                  <c:v>0.57230769230769241</c:v>
                </c:pt>
                <c:pt idx="14">
                  <c:v>0.22129789864029664</c:v>
                </c:pt>
                <c:pt idx="15">
                  <c:v>6.0250481695568375E-2</c:v>
                </c:pt>
                <c:pt idx="16">
                  <c:v>0.53909465020576131</c:v>
                </c:pt>
                <c:pt idx="17">
                  <c:v>0.66790352504638217</c:v>
                </c:pt>
                <c:pt idx="18">
                  <c:v>2.3631713554987221E-2</c:v>
                </c:pt>
                <c:pt idx="19">
                  <c:v>5.2068965517241411E-2</c:v>
                </c:pt>
                <c:pt idx="20">
                  <c:v>3.4676007005253917E-2</c:v>
                </c:pt>
                <c:pt idx="21">
                  <c:v>0.74154506437768242</c:v>
                </c:pt>
                <c:pt idx="22">
                  <c:v>0.14000000000000001</c:v>
                </c:pt>
                <c:pt idx="23">
                  <c:v>0.51423913043478264</c:v>
                </c:pt>
                <c:pt idx="24">
                  <c:v>6.0526315789473678E-2</c:v>
                </c:pt>
                <c:pt idx="25">
                  <c:v>0.09</c:v>
                </c:pt>
                <c:pt idx="26">
                  <c:v>3.1451612903225817E-2</c:v>
                </c:pt>
                <c:pt idx="27">
                  <c:v>4.4444444444444453E-2</c:v>
                </c:pt>
                <c:pt idx="28">
                  <c:v>5.7213114754098356E-2</c:v>
                </c:pt>
                <c:pt idx="29">
                  <c:v>8.7443609022556393E-2</c:v>
                </c:pt>
                <c:pt idx="30">
                  <c:v>3.4912280701754395E-2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5-4CC1-B346-A45D9061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8367"/>
        <c:axId val="28466796"/>
      </c:lineChart>
      <c:catAx>
        <c:axId val="5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8466796"/>
        <c:crosses val="autoZero"/>
        <c:auto val="1"/>
        <c:lblAlgn val="ctr"/>
        <c:lblOffset val="100"/>
        <c:noMultiLvlLbl val="1"/>
      </c:catAx>
      <c:valAx>
        <c:axId val="28466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68367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77782690394606E-2"/>
          <c:y val="4.6432229429839503E-2"/>
          <c:w val="0.93713385652702597"/>
          <c:h val="0.80110227771545595"/>
        </c:manualLayout>
      </c:layout>
      <c:lineChart>
        <c:grouping val="standard"/>
        <c:varyColors val="1"/>
        <c:ser>
          <c:idx val="0"/>
          <c:order val="0"/>
          <c:tx>
            <c:strRef>
              <c:f>publi!$H$44</c:f>
              <c:strCache>
                <c:ptCount val="1"/>
                <c:pt idx="0">
                  <c:v>Ratio manuels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publi!$H$45:$H$72</c:f>
              <c:numCache>
                <c:formatCode>0.000</c:formatCode>
                <c:ptCount val="28"/>
                <c:pt idx="0">
                  <c:v>0.10752688172043</c:v>
                </c:pt>
                <c:pt idx="1">
                  <c:v>0.21681415929203501</c:v>
                </c:pt>
                <c:pt idx="2">
                  <c:v>0.80357142857142905</c:v>
                </c:pt>
                <c:pt idx="3">
                  <c:v>0.26753246753246801</c:v>
                </c:pt>
                <c:pt idx="4">
                  <c:v>0.63320463320463305</c:v>
                </c:pt>
                <c:pt idx="5">
                  <c:v>0.28886659979939799</c:v>
                </c:pt>
                <c:pt idx="6">
                  <c:v>0.31029986962190398</c:v>
                </c:pt>
                <c:pt idx="7">
                  <c:v>0.38331160365058697</c:v>
                </c:pt>
                <c:pt idx="8">
                  <c:v>0.43006993006993</c:v>
                </c:pt>
                <c:pt idx="9">
                  <c:v>0.72580645161290303</c:v>
                </c:pt>
                <c:pt idx="10">
                  <c:v>1.6557971014492801</c:v>
                </c:pt>
                <c:pt idx="11">
                  <c:v>1.1394422310757</c:v>
                </c:pt>
                <c:pt idx="12">
                  <c:v>0.89230769230769202</c:v>
                </c:pt>
                <c:pt idx="13">
                  <c:v>0.55129789864029699</c:v>
                </c:pt>
                <c:pt idx="14">
                  <c:v>0.230250481695568</c:v>
                </c:pt>
                <c:pt idx="15">
                  <c:v>0.116368286445013</c:v>
                </c:pt>
                <c:pt idx="16">
                  <c:v>0.26206896551724101</c:v>
                </c:pt>
                <c:pt idx="17">
                  <c:v>0.23467600700525401</c:v>
                </c:pt>
                <c:pt idx="18">
                  <c:v>1.0815450643776801</c:v>
                </c:pt>
                <c:pt idx="19">
                  <c:v>0</c:v>
                </c:pt>
                <c:pt idx="20">
                  <c:v>0.83423913043478304</c:v>
                </c:pt>
                <c:pt idx="21">
                  <c:v>0.21052631578947401</c:v>
                </c:pt>
                <c:pt idx="22">
                  <c:v>0</c:v>
                </c:pt>
                <c:pt idx="23">
                  <c:v>0.18145161290322601</c:v>
                </c:pt>
                <c:pt idx="24">
                  <c:v>5.5555555555555601E-2</c:v>
                </c:pt>
                <c:pt idx="25">
                  <c:v>3.2786885245901599E-2</c:v>
                </c:pt>
                <c:pt idx="26">
                  <c:v>2.2556390977443601E-2</c:v>
                </c:pt>
                <c:pt idx="27">
                  <c:v>3.5087719298245598E-2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B25-8FC5-C1E4D11AC2F0}"/>
            </c:ext>
          </c:extLst>
        </c:ser>
        <c:ser>
          <c:idx val="1"/>
          <c:order val="1"/>
          <c:tx>
            <c:strRef>
              <c:f>publi!$I$44</c:f>
              <c:strCache>
                <c:ptCount val="1"/>
                <c:pt idx="0">
                  <c:v>Ratio Sacha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publi!$I$45:$I$72</c:f>
              <c:numCache>
                <c:formatCode>0.000</c:formatCode>
                <c:ptCount val="28"/>
                <c:pt idx="0">
                  <c:v>0.38700276846859999</c:v>
                </c:pt>
                <c:pt idx="1">
                  <c:v>0.30894874022588997</c:v>
                </c:pt>
                <c:pt idx="2">
                  <c:v>3.2335610589239998</c:v>
                </c:pt>
                <c:pt idx="3">
                  <c:v>1.1972042513863199</c:v>
                </c:pt>
                <c:pt idx="4">
                  <c:v>2.2003021628498698</c:v>
                </c:pt>
                <c:pt idx="5">
                  <c:v>1.0445018108962001</c:v>
                </c:pt>
                <c:pt idx="6">
                  <c:v>0.89586776859504103</c:v>
                </c:pt>
                <c:pt idx="7">
                  <c:v>0.82127599310784405</c:v>
                </c:pt>
                <c:pt idx="8">
                  <c:v>1.23249859169355</c:v>
                </c:pt>
                <c:pt idx="9">
                  <c:v>1.6407030919102099</c:v>
                </c:pt>
                <c:pt idx="10">
                  <c:v>6.3214733645785204</c:v>
                </c:pt>
                <c:pt idx="11">
                  <c:v>3.2625713509105698</c:v>
                </c:pt>
                <c:pt idx="12">
                  <c:v>1.6673857619140999</c:v>
                </c:pt>
                <c:pt idx="13">
                  <c:v>2.0313641492474499</c:v>
                </c:pt>
                <c:pt idx="14">
                  <c:v>0.45537610119719901</c:v>
                </c:pt>
                <c:pt idx="15">
                  <c:v>0.25341932343635898</c:v>
                </c:pt>
                <c:pt idx="16">
                  <c:v>0.85170114870574998</c:v>
                </c:pt>
                <c:pt idx="17">
                  <c:v>0.64948558278056101</c:v>
                </c:pt>
                <c:pt idx="18">
                  <c:v>2.1617460500518999</c:v>
                </c:pt>
                <c:pt idx="19">
                  <c:v>2.49509391645641E-2</c:v>
                </c:pt>
                <c:pt idx="20">
                  <c:v>1.7938996451192699</c:v>
                </c:pt>
                <c:pt idx="21">
                  <c:v>0.29058295964125602</c:v>
                </c:pt>
                <c:pt idx="22">
                  <c:v>5.5813953488372103E-3</c:v>
                </c:pt>
                <c:pt idx="23">
                  <c:v>0.21059998727492499</c:v>
                </c:pt>
                <c:pt idx="24">
                  <c:v>5.9708295350957202E-2</c:v>
                </c:pt>
                <c:pt idx="25">
                  <c:v>2.03656560981254E-2</c:v>
                </c:pt>
                <c:pt idx="26">
                  <c:v>1.8467069782644199E-2</c:v>
                </c:pt>
                <c:pt idx="27">
                  <c:v>3.3982578787992102E-2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25-8FC5-C1E4D11AC2F0}"/>
            </c:ext>
          </c:extLst>
        </c:ser>
        <c:ser>
          <c:idx val="2"/>
          <c:order val="2"/>
          <c:tx>
            <c:strRef>
              <c:f>publi!$J$44</c:f>
              <c:strCache>
                <c:ptCount val="1"/>
                <c:pt idx="0">
                  <c:v>Ratio  PICCO</c:v>
                </c:pt>
              </c:strCache>
            </c:strRef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publi!$J$45:$J$72</c:f>
              <c:numCache>
                <c:formatCode>0.000</c:formatCode>
                <c:ptCount val="28"/>
                <c:pt idx="0">
                  <c:v>0.15</c:v>
                </c:pt>
                <c:pt idx="1">
                  <c:v>0.17</c:v>
                </c:pt>
                <c:pt idx="2">
                  <c:v>0.43</c:v>
                </c:pt>
                <c:pt idx="3">
                  <c:v>0.21</c:v>
                </c:pt>
                <c:pt idx="4">
                  <c:v>0.31</c:v>
                </c:pt>
                <c:pt idx="5">
                  <c:v>0.21</c:v>
                </c:pt>
                <c:pt idx="6">
                  <c:v>0.24</c:v>
                </c:pt>
                <c:pt idx="7">
                  <c:v>0.22</c:v>
                </c:pt>
                <c:pt idx="8">
                  <c:v>0.22</c:v>
                </c:pt>
                <c:pt idx="9">
                  <c:v>0.34</c:v>
                </c:pt>
                <c:pt idx="10">
                  <c:v>0.48</c:v>
                </c:pt>
                <c:pt idx="11">
                  <c:v>0.43</c:v>
                </c:pt>
                <c:pt idx="12">
                  <c:v>0.32</c:v>
                </c:pt>
                <c:pt idx="13">
                  <c:v>0.33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0.21</c:v>
                </c:pt>
                <c:pt idx="17">
                  <c:v>0.2</c:v>
                </c:pt>
                <c:pt idx="18">
                  <c:v>0.34</c:v>
                </c:pt>
                <c:pt idx="19">
                  <c:v>0.14000000000000001</c:v>
                </c:pt>
                <c:pt idx="20">
                  <c:v>0.32</c:v>
                </c:pt>
                <c:pt idx="21">
                  <c:v>0.15</c:v>
                </c:pt>
                <c:pt idx="22">
                  <c:v>0.09</c:v>
                </c:pt>
                <c:pt idx="23">
                  <c:v>0.15</c:v>
                </c:pt>
                <c:pt idx="24">
                  <c:v>0.1</c:v>
                </c:pt>
                <c:pt idx="25">
                  <c:v>0.09</c:v>
                </c:pt>
                <c:pt idx="26">
                  <c:v>0.11</c:v>
                </c:pt>
                <c:pt idx="2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25-8FC5-C1E4D11A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2355613"/>
        <c:axId val="72684697"/>
      </c:lineChart>
      <c:catAx>
        <c:axId val="723556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684697"/>
        <c:crosses val="autoZero"/>
        <c:auto val="1"/>
        <c:lblAlgn val="ctr"/>
        <c:lblOffset val="100"/>
        <c:noMultiLvlLbl val="1"/>
      </c:catAx>
      <c:valAx>
        <c:axId val="72684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35561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 manuel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xVal>
          <c:yVal>
            <c:numRef>
              <c:f>(publi!$V$2:$V$17,publi!$V$20:$V$32)</c:f>
              <c:numCache>
                <c:formatCode>0.00</c:formatCode>
                <c:ptCount val="29"/>
                <c:pt idx="0">
                  <c:v>0.10752688172043011</c:v>
                </c:pt>
                <c:pt idx="1">
                  <c:v>0.2168141592920354</c:v>
                </c:pt>
                <c:pt idx="2">
                  <c:v>0.8035714285714286</c:v>
                </c:pt>
                <c:pt idx="3">
                  <c:v>0.26753246753246751</c:v>
                </c:pt>
                <c:pt idx="4">
                  <c:v>0.66463414634146345</c:v>
                </c:pt>
                <c:pt idx="5">
                  <c:v>0.63320463320463316</c:v>
                </c:pt>
                <c:pt idx="6">
                  <c:v>0.28886659979939822</c:v>
                </c:pt>
                <c:pt idx="7">
                  <c:v>0.31029986962190353</c:v>
                </c:pt>
                <c:pt idx="8">
                  <c:v>0.3833116036505867</c:v>
                </c:pt>
                <c:pt idx="9">
                  <c:v>0.43006993006993005</c:v>
                </c:pt>
                <c:pt idx="10">
                  <c:v>0.72580645161290325</c:v>
                </c:pt>
                <c:pt idx="11">
                  <c:v>1.6557971014492754</c:v>
                </c:pt>
                <c:pt idx="12">
                  <c:v>1.1394422310756973</c:v>
                </c:pt>
                <c:pt idx="13">
                  <c:v>0.89230769230769236</c:v>
                </c:pt>
                <c:pt idx="14">
                  <c:v>0.55129789864029666</c:v>
                </c:pt>
                <c:pt idx="15">
                  <c:v>0.23025048169556839</c:v>
                </c:pt>
                <c:pt idx="16">
                  <c:v>0.11636828644501279</c:v>
                </c:pt>
                <c:pt idx="17">
                  <c:v>0.2620689655172414</c:v>
                </c:pt>
                <c:pt idx="18">
                  <c:v>0.23467600700525393</c:v>
                </c:pt>
                <c:pt idx="19">
                  <c:v>1.0815450643776825</c:v>
                </c:pt>
                <c:pt idx="20">
                  <c:v>0</c:v>
                </c:pt>
                <c:pt idx="21">
                  <c:v>0.83423913043478259</c:v>
                </c:pt>
                <c:pt idx="22">
                  <c:v>0.21052631578947367</c:v>
                </c:pt>
                <c:pt idx="23">
                  <c:v>0</c:v>
                </c:pt>
                <c:pt idx="24">
                  <c:v>0.18145161290322581</c:v>
                </c:pt>
                <c:pt idx="25">
                  <c:v>5.5555555555555552E-2</c:v>
                </c:pt>
                <c:pt idx="26">
                  <c:v>3.2786885245901641E-2</c:v>
                </c:pt>
                <c:pt idx="27">
                  <c:v>2.2556390977443608E-2</c:v>
                </c:pt>
                <c:pt idx="28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C-4954-B000-D85318AFFA34}"/>
            </c:ext>
          </c:extLst>
        </c:ser>
        <c:ser>
          <c:idx val="1"/>
          <c:order val="1"/>
          <c:tx>
            <c:v>Ratio Sacha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xVal>
          <c:yVal>
            <c:numRef>
              <c:f>(publi!$W$2:$W$17,publi!$W$20:$W$32)</c:f>
              <c:numCache>
                <c:formatCode>0.00</c:formatCode>
                <c:ptCount val="29"/>
                <c:pt idx="0">
                  <c:v>0.38700276846859971</c:v>
                </c:pt>
                <c:pt idx="1">
                  <c:v>0.30894874022589053</c:v>
                </c:pt>
                <c:pt idx="2">
                  <c:v>3.2335610589239967</c:v>
                </c:pt>
                <c:pt idx="3">
                  <c:v>1.1972042513863217</c:v>
                </c:pt>
                <c:pt idx="4">
                  <c:v>0.87818270380374619</c:v>
                </c:pt>
                <c:pt idx="5">
                  <c:v>2.2003021628498729</c:v>
                </c:pt>
                <c:pt idx="6">
                  <c:v>1.044501810896201</c:v>
                </c:pt>
                <c:pt idx="7">
                  <c:v>0.89586776859504136</c:v>
                </c:pt>
                <c:pt idx="8">
                  <c:v>0.82127599310784338</c:v>
                </c:pt>
                <c:pt idx="9">
                  <c:v>1.2324985916935525</c:v>
                </c:pt>
                <c:pt idx="10">
                  <c:v>1.6407030919102075</c:v>
                </c:pt>
                <c:pt idx="11">
                  <c:v>6.3214733645785204</c:v>
                </c:pt>
                <c:pt idx="12">
                  <c:v>3.2625713509105734</c:v>
                </c:pt>
                <c:pt idx="13">
                  <c:v>1.6673857619141008</c:v>
                </c:pt>
                <c:pt idx="14">
                  <c:v>2.0313641492474517</c:v>
                </c:pt>
                <c:pt idx="15">
                  <c:v>0.45537610119719901</c:v>
                </c:pt>
                <c:pt idx="16">
                  <c:v>0.2534193234363592</c:v>
                </c:pt>
                <c:pt idx="17">
                  <c:v>0.85170114870574976</c:v>
                </c:pt>
                <c:pt idx="18">
                  <c:v>0.64948558278056046</c:v>
                </c:pt>
                <c:pt idx="19">
                  <c:v>2.1617460500518972</c:v>
                </c:pt>
                <c:pt idx="20">
                  <c:v>2.4950939164564059E-2</c:v>
                </c:pt>
                <c:pt idx="21">
                  <c:v>1.7938996451192668</c:v>
                </c:pt>
                <c:pt idx="22">
                  <c:v>0.29058295964125558</c:v>
                </c:pt>
                <c:pt idx="23">
                  <c:v>5.5813953488372094E-3</c:v>
                </c:pt>
                <c:pt idx="24">
                  <c:v>0.21059998727492524</c:v>
                </c:pt>
                <c:pt idx="25">
                  <c:v>5.9708295350957154E-2</c:v>
                </c:pt>
                <c:pt idx="26">
                  <c:v>2.0365656098125434E-2</c:v>
                </c:pt>
                <c:pt idx="27">
                  <c:v>1.8467069782644223E-2</c:v>
                </c:pt>
                <c:pt idx="28">
                  <c:v>3.3982578787992074E-2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C-4954-B000-D85318AFFA34}"/>
            </c:ext>
          </c:extLst>
        </c:ser>
        <c:ser>
          <c:idx val="2"/>
          <c:order val="2"/>
          <c:tx>
            <c:v>Ratio PICCO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xVal>
          <c:yVal>
            <c:numRef>
              <c:f>(publi!$AD$2:$AD$17,publi!$AD$20:$AD$32)</c:f>
              <c:numCache>
                <c:formatCode>General</c:formatCode>
                <c:ptCount val="29"/>
                <c:pt idx="0">
                  <c:v>0.17760236803157375</c:v>
                </c:pt>
                <c:pt idx="1">
                  <c:v>0.18797385620915033</c:v>
                </c:pt>
                <c:pt idx="2">
                  <c:v>0.58943045498757163</c:v>
                </c:pt>
                <c:pt idx="3">
                  <c:v>0.27906641694280365</c:v>
                </c:pt>
                <c:pt idx="4">
                  <c:v>0.28946856141716953</c:v>
                </c:pt>
                <c:pt idx="5">
                  <c:v>0.44745612086203068</c:v>
                </c:pt>
                <c:pt idx="6">
                  <c:v>0.24410605517735579</c:v>
                </c:pt>
                <c:pt idx="7">
                  <c:v>0.28329858698170024</c:v>
                </c:pt>
                <c:pt idx="8">
                  <c:v>0.26885503958516599</c:v>
                </c:pt>
                <c:pt idx="9">
                  <c:v>0.26521709022920853</c:v>
                </c:pt>
                <c:pt idx="10">
                  <c:v>0.38958858102434929</c:v>
                </c:pt>
                <c:pt idx="11">
                  <c:v>0.67074391988555082</c:v>
                </c:pt>
                <c:pt idx="12">
                  <c:v>0.52422735346358795</c:v>
                </c:pt>
                <c:pt idx="13">
                  <c:v>0.39475194751947518</c:v>
                </c:pt>
                <c:pt idx="14">
                  <c:v>0.26885503958516599</c:v>
                </c:pt>
                <c:pt idx="15">
                  <c:v>0.19319361536465093</c:v>
                </c:pt>
                <c:pt idx="16">
                  <c:v>0.15621861999713096</c:v>
                </c:pt>
                <c:pt idx="17">
                  <c:v>0.25594175024041765</c:v>
                </c:pt>
                <c:pt idx="18">
                  <c:v>0.24114412972371077</c:v>
                </c:pt>
                <c:pt idx="19">
                  <c:v>0.55394957983193283</c:v>
                </c:pt>
                <c:pt idx="20">
                  <c:v>0.14517506404782238</c:v>
                </c:pt>
                <c:pt idx="21">
                  <c:v>0.4664452588181402</c:v>
                </c:pt>
                <c:pt idx="22">
                  <c:v>0.17098445595854922</c:v>
                </c:pt>
                <c:pt idx="23">
                  <c:v>9.4017094017094016E-2</c:v>
                </c:pt>
                <c:pt idx="24">
                  <c:v>0.16898568259729785</c:v>
                </c:pt>
                <c:pt idx="25">
                  <c:v>0.10648148148148148</c:v>
                </c:pt>
                <c:pt idx="26">
                  <c:v>9.1445427728613568E-2</c:v>
                </c:pt>
                <c:pt idx="27">
                  <c:v>0.11351351351351352</c:v>
                </c:pt>
                <c:pt idx="28">
                  <c:v>7.3673469387755097E-2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C-4954-B000-D85318AF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06480"/>
        <c:axId val="537408120"/>
      </c:scatterChart>
      <c:valAx>
        <c:axId val="5374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08120"/>
        <c:crosses val="autoZero"/>
        <c:crossBetween val="midCat"/>
      </c:valAx>
      <c:valAx>
        <c:axId val="5374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52800</xdr:colOff>
      <xdr:row>51</xdr:row>
      <xdr:rowOff>32400</xdr:rowOff>
    </xdr:from>
    <xdr:to>
      <xdr:col>54</xdr:col>
      <xdr:colOff>1215924</xdr:colOff>
      <xdr:row>118</xdr:row>
      <xdr:rowOff>68040</xdr:rowOff>
    </xdr:to>
    <xdr:graphicFrame macro="">
      <xdr:nvGraphicFramePr>
        <xdr:cNvPr id="2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64</xdr:col>
      <xdr:colOff>392040</xdr:colOff>
      <xdr:row>67</xdr:row>
      <xdr:rowOff>159000</xdr:rowOff>
    </xdr:from>
    <xdr:to>
      <xdr:col>78</xdr:col>
      <xdr:colOff>527969</xdr:colOff>
      <xdr:row>100</xdr:row>
      <xdr:rowOff>2340</xdr:rowOff>
    </xdr:to>
    <xdr:graphicFrame macro="">
      <xdr:nvGraphicFramePr>
        <xdr:cNvPr id="3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208080</xdr:colOff>
      <xdr:row>95</xdr:row>
      <xdr:rowOff>0</xdr:rowOff>
    </xdr:from>
    <xdr:to>
      <xdr:col>19</xdr:col>
      <xdr:colOff>329040</xdr:colOff>
      <xdr:row>133</xdr:row>
      <xdr:rowOff>141840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645193</xdr:colOff>
      <xdr:row>33</xdr:row>
      <xdr:rowOff>92704</xdr:rowOff>
    </xdr:from>
    <xdr:to>
      <xdr:col>21</xdr:col>
      <xdr:colOff>798199</xdr:colOff>
      <xdr:row>47</xdr:row>
      <xdr:rowOff>168904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abSelected="1" zoomScale="85" zoomScaleNormal="85" workbookViewId="0">
      <pane xSplit="1" ySplit="1" topLeftCell="AT2" activePane="bottomRight" state="frozen"/>
      <selection pane="topRight" activeCell="AJ1" sqref="AJ1"/>
      <selection pane="bottomLeft" activeCell="A5" sqref="A5"/>
      <selection pane="bottomRight" activeCell="BE21" sqref="BE21"/>
    </sheetView>
  </sheetViews>
  <sheetFormatPr baseColWidth="10" defaultColWidth="9.140625" defaultRowHeight="15" x14ac:dyDescent="0.25"/>
  <cols>
    <col min="1" max="1" width="21.28515625"/>
    <col min="2" max="3" width="10.5703125"/>
    <col min="4" max="4" width="11.140625" style="1"/>
    <col min="5" max="6" width="10.5703125"/>
    <col min="7" max="7" width="11.7109375"/>
    <col min="8" max="8" width="12.5703125" style="2"/>
    <col min="9" max="9" width="12.7109375" style="3"/>
    <col min="10" max="10" width="12.28515625" style="3"/>
    <col min="11" max="11" width="11.5703125" style="3"/>
    <col min="12" max="12" width="10.5703125" style="3"/>
    <col min="13" max="13" width="12.7109375" style="3"/>
    <col min="14" max="14" width="10.5703125"/>
    <col min="15" max="20" width="11.140625" style="3"/>
    <col min="21" max="21" width="10.5703125"/>
    <col min="22" max="22" width="14.28515625" style="2"/>
    <col min="23" max="23" width="12.140625" style="2"/>
    <col min="24" max="24" width="12.140625" style="3"/>
    <col min="25" max="27" width="11.140625" style="3"/>
    <col min="28" max="28" width="20.140625" style="3"/>
    <col min="29" max="29" width="23.28515625" style="3"/>
    <col min="30" max="33" width="11.140625" style="3"/>
    <col min="34" max="34" width="26.42578125"/>
    <col min="35" max="35" width="21.140625"/>
    <col min="36" max="39" width="10.5703125"/>
    <col min="40" max="40" width="27.85546875"/>
    <col min="41" max="42" width="13.85546875"/>
    <col min="43" max="43" width="24.5703125"/>
    <col min="44" max="44" width="22.42578125"/>
    <col min="45" max="45" width="27.85546875"/>
    <col min="46" max="46" width="10.5703125"/>
    <col min="47" max="47" width="9.140625" style="1"/>
    <col min="48" max="48" width="22.140625" style="1" bestFit="1" customWidth="1"/>
    <col min="49" max="49" width="21.85546875" style="1" bestFit="1" customWidth="1"/>
    <col min="50" max="50" width="27.7109375" style="1" bestFit="1" customWidth="1"/>
    <col min="51" max="51" width="10.5703125"/>
    <col min="52" max="53" width="9.140625" style="1"/>
    <col min="54" max="54" width="22.140625" style="1" bestFit="1" customWidth="1"/>
    <col min="55" max="55" width="21.85546875" bestFit="1" customWidth="1"/>
    <col min="56" max="56" width="27.7109375" bestFit="1" customWidth="1"/>
    <col min="57" max="57" width="10.5703125"/>
    <col min="58" max="58" width="40.5703125" bestFit="1" customWidth="1"/>
    <col min="59" max="59" width="10.5703125"/>
    <col min="60" max="60" width="9.140625" style="1"/>
    <col min="61" max="61" width="10.5703125"/>
    <col min="62" max="62" width="20.5703125" bestFit="1" customWidth="1"/>
    <col min="63" max="63" width="27" bestFit="1" customWidth="1"/>
    <col min="64" max="1021" width="10.5703125"/>
  </cols>
  <sheetData>
    <row r="1" spans="1:63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5</v>
      </c>
      <c r="H1" s="4" t="s">
        <v>6</v>
      </c>
      <c r="I1" s="5" t="s">
        <v>7</v>
      </c>
      <c r="J1" s="5"/>
      <c r="K1" s="6" t="s">
        <v>8</v>
      </c>
      <c r="L1" s="6" t="s">
        <v>4</v>
      </c>
      <c r="M1" s="6" t="s">
        <v>7</v>
      </c>
      <c r="N1" s="7"/>
      <c r="O1" s="8" t="s">
        <v>9</v>
      </c>
      <c r="P1" s="9" t="s">
        <v>10</v>
      </c>
      <c r="Q1" s="9" t="s">
        <v>11</v>
      </c>
      <c r="R1" s="10" t="s">
        <v>12</v>
      </c>
      <c r="S1" s="11" t="s">
        <v>13</v>
      </c>
      <c r="T1" s="11" t="s">
        <v>14</v>
      </c>
      <c r="U1" s="12"/>
      <c r="V1" s="13" t="s">
        <v>15</v>
      </c>
      <c r="W1" s="14" t="s">
        <v>16</v>
      </c>
      <c r="X1" s="15" t="s">
        <v>17</v>
      </c>
      <c r="Y1" s="16" t="s">
        <v>18</v>
      </c>
      <c r="Z1" s="16" t="s">
        <v>19</v>
      </c>
      <c r="AA1" s="17"/>
      <c r="AB1" s="17" t="s">
        <v>20</v>
      </c>
      <c r="AC1" s="17" t="s">
        <v>21</v>
      </c>
      <c r="AD1" s="17" t="s">
        <v>22</v>
      </c>
      <c r="AE1" s="17" t="s">
        <v>23</v>
      </c>
      <c r="AF1" s="17"/>
      <c r="AG1" s="17"/>
      <c r="AH1" s="18" t="s">
        <v>24</v>
      </c>
      <c r="AI1" s="19" t="s">
        <v>25</v>
      </c>
      <c r="AJ1" s="16" t="s">
        <v>19</v>
      </c>
    </row>
    <row r="2" spans="1:63" x14ac:dyDescent="0.25">
      <c r="A2" s="3" t="s">
        <v>26</v>
      </c>
      <c r="B2" s="3">
        <v>10</v>
      </c>
      <c r="C2" s="3">
        <v>10</v>
      </c>
      <c r="D2" s="21">
        <f t="shared" ref="D2:D32" si="0">AVERAGE(B2:C2)</f>
        <v>10</v>
      </c>
      <c r="E2" s="5">
        <v>2656</v>
      </c>
      <c r="F2" s="3">
        <v>98</v>
      </c>
      <c r="G2" s="3">
        <v>88</v>
      </c>
      <c r="H2" s="21">
        <f t="shared" ref="H2:H32" si="1">AVERAGE(F2:G2)</f>
        <v>93</v>
      </c>
      <c r="I2" s="5">
        <v>6863</v>
      </c>
      <c r="J2" s="5"/>
      <c r="K2" s="6">
        <v>1024000</v>
      </c>
      <c r="L2" s="6">
        <v>13017</v>
      </c>
      <c r="M2" s="6">
        <v>102180</v>
      </c>
      <c r="N2" s="7"/>
      <c r="O2" s="8">
        <f t="shared" ref="O2:O32" si="2">B2/F2</f>
        <v>0.10204081632653061</v>
      </c>
      <c r="P2" s="9">
        <f>ABS(O2-X2)</f>
        <v>2.5352019844931517E-2</v>
      </c>
      <c r="Q2" s="9">
        <f t="shared" ref="Q2:Q32" si="3">ABS(O2-W2)</f>
        <v>0.2849619521420691</v>
      </c>
      <c r="R2" s="10">
        <f t="shared" ref="R2:R32" si="4">C2/G2</f>
        <v>0.11363636363636363</v>
      </c>
      <c r="S2" s="11">
        <f t="shared" ref="S2:S17" si="5">ABS(R2-X2)</f>
        <v>1.3756472535098499E-2</v>
      </c>
      <c r="T2" s="11">
        <f t="shared" ref="T2:T32" si="6">ABS(R2-W2)</f>
        <v>0.27336640483223607</v>
      </c>
      <c r="U2" s="12"/>
      <c r="V2" s="65">
        <f t="shared" ref="V2:V32" si="7">D2/H2</f>
        <v>0.10752688172043011</v>
      </c>
      <c r="W2" s="64">
        <f t="shared" ref="W2:W32" si="8">E2/I2</f>
        <v>0.38700276846859971</v>
      </c>
      <c r="X2" s="15">
        <f t="shared" ref="X2:X17" si="9">L2/M2</f>
        <v>0.12739283617146213</v>
      </c>
      <c r="Y2" s="22">
        <f t="shared" ref="Y2:Y17" si="10">ABS(V2-X2)</f>
        <v>1.9865954451032022E-2</v>
      </c>
      <c r="Z2" s="22">
        <f t="shared" ref="Z2:Z32" si="11">ABS(V2-W2)</f>
        <v>0.27947588674816959</v>
      </c>
      <c r="AA2" s="17"/>
      <c r="AB2" s="17">
        <f>219+333+133+35</f>
        <v>720</v>
      </c>
      <c r="AC2" s="17">
        <f>668+2480+678+228</f>
        <v>4054</v>
      </c>
      <c r="AD2" s="17">
        <f t="shared" ref="AD2:AD32" si="12">AB2/AC2</f>
        <v>0.17760236803157375</v>
      </c>
      <c r="AE2" s="17">
        <f t="shared" ref="AE2:AE32" si="13">ABS(V2-AD2)</f>
        <v>7.0075486311143645E-2</v>
      </c>
      <c r="AF2" s="17"/>
      <c r="AG2" s="17"/>
      <c r="AH2" s="23">
        <v>0.15</v>
      </c>
      <c r="AI2">
        <f t="shared" ref="AI2:AI32" si="14">ABS(V2-AH2)</f>
        <v>4.2473118279569885E-2</v>
      </c>
      <c r="AJ2" s="22">
        <f t="shared" ref="AJ2:AJ32" si="15">ABS(Z2-AG2)</f>
        <v>0.27947588674816959</v>
      </c>
      <c r="AN2" t="s">
        <v>100</v>
      </c>
    </row>
    <row r="3" spans="1:63" x14ac:dyDescent="0.25">
      <c r="A3" s="3" t="s">
        <v>27</v>
      </c>
      <c r="B3" s="3">
        <v>25</v>
      </c>
      <c r="C3" s="3">
        <v>24</v>
      </c>
      <c r="D3" s="21">
        <f t="shared" si="0"/>
        <v>24.5</v>
      </c>
      <c r="E3" s="5">
        <v>1778</v>
      </c>
      <c r="F3" s="3">
        <v>112</v>
      </c>
      <c r="G3" s="3">
        <v>114</v>
      </c>
      <c r="H3" s="21">
        <f t="shared" si="1"/>
        <v>113</v>
      </c>
      <c r="I3" s="5">
        <v>5755</v>
      </c>
      <c r="J3" s="5"/>
      <c r="K3" s="6">
        <v>1024000</v>
      </c>
      <c r="L3" s="6">
        <v>12364</v>
      </c>
      <c r="M3" s="6">
        <v>50328</v>
      </c>
      <c r="N3" s="7"/>
      <c r="O3" s="8">
        <f t="shared" si="2"/>
        <v>0.22321428571428573</v>
      </c>
      <c r="P3" s="9">
        <f>ABS(O3-X3)</f>
        <v>2.2454129482026464E-2</v>
      </c>
      <c r="Q3" s="9">
        <f t="shared" si="3"/>
        <v>8.5734454511604802E-2</v>
      </c>
      <c r="R3" s="10">
        <f t="shared" si="4"/>
        <v>0.21052631578947367</v>
      </c>
      <c r="S3" s="11">
        <f t="shared" si="5"/>
        <v>3.5142099406838517E-2</v>
      </c>
      <c r="T3" s="11">
        <f t="shared" si="6"/>
        <v>9.8422424436416855E-2</v>
      </c>
      <c r="U3" s="12"/>
      <c r="V3" s="65">
        <f t="shared" si="7"/>
        <v>0.2168141592920354</v>
      </c>
      <c r="W3" s="64">
        <f t="shared" si="8"/>
        <v>0.30894874022589053</v>
      </c>
      <c r="X3" s="15">
        <f t="shared" si="9"/>
        <v>0.24566841519631219</v>
      </c>
      <c r="Y3" s="22">
        <f t="shared" si="10"/>
        <v>2.8854255904276788E-2</v>
      </c>
      <c r="Z3" s="22">
        <f t="shared" si="11"/>
        <v>9.2134580933855126E-2</v>
      </c>
      <c r="AA3" s="17"/>
      <c r="AB3" s="17">
        <f>250+82+354+33</f>
        <v>719</v>
      </c>
      <c r="AC3" s="17">
        <f>289+1613+686+1237</f>
        <v>3825</v>
      </c>
      <c r="AD3" s="17">
        <f t="shared" si="12"/>
        <v>0.18797385620915033</v>
      </c>
      <c r="AE3" s="17">
        <f t="shared" si="13"/>
        <v>2.8840303082885071E-2</v>
      </c>
      <c r="AF3" s="17"/>
      <c r="AG3" s="17"/>
      <c r="AH3" s="23">
        <v>0.17</v>
      </c>
      <c r="AI3">
        <f t="shared" si="14"/>
        <v>4.681415929203539E-2</v>
      </c>
      <c r="AJ3" s="22">
        <f t="shared" si="15"/>
        <v>9.2134580933855126E-2</v>
      </c>
      <c r="BF3" t="s">
        <v>101</v>
      </c>
    </row>
    <row r="4" spans="1:63" x14ac:dyDescent="0.25">
      <c r="A4" s="3" t="s">
        <v>28</v>
      </c>
      <c r="B4" s="3">
        <v>161</v>
      </c>
      <c r="C4" s="3">
        <v>154</v>
      </c>
      <c r="D4" s="21">
        <f t="shared" si="0"/>
        <v>157.5</v>
      </c>
      <c r="E4" s="5">
        <v>30292</v>
      </c>
      <c r="F4" s="3">
        <v>209</v>
      </c>
      <c r="G4" s="3">
        <v>183</v>
      </c>
      <c r="H4" s="21">
        <f t="shared" si="1"/>
        <v>196</v>
      </c>
      <c r="I4" s="5">
        <v>9368</v>
      </c>
      <c r="J4" s="5"/>
      <c r="K4" s="6">
        <v>1024000</v>
      </c>
      <c r="L4" s="6">
        <v>9542</v>
      </c>
      <c r="M4" s="6">
        <v>149497</v>
      </c>
      <c r="N4" s="7"/>
      <c r="O4" s="8">
        <f t="shared" si="2"/>
        <v>0.77033492822966509</v>
      </c>
      <c r="P4" s="9">
        <f>ABS(O4-X4)</f>
        <v>0.70650756045639873</v>
      </c>
      <c r="Q4" s="9">
        <f t="shared" si="3"/>
        <v>2.4632261306943315</v>
      </c>
      <c r="R4" s="10">
        <f t="shared" si="4"/>
        <v>0.84153005464480879</v>
      </c>
      <c r="S4" s="11">
        <f t="shared" si="5"/>
        <v>0.77770268687154243</v>
      </c>
      <c r="T4" s="11">
        <f t="shared" si="6"/>
        <v>2.3920310042791879</v>
      </c>
      <c r="U4" s="12"/>
      <c r="V4" s="65">
        <f t="shared" si="7"/>
        <v>0.8035714285714286</v>
      </c>
      <c r="W4" s="64">
        <f t="shared" si="8"/>
        <v>3.2335610589239967</v>
      </c>
      <c r="X4" s="15">
        <f t="shared" si="9"/>
        <v>6.382736777326635E-2</v>
      </c>
      <c r="Y4" s="22">
        <f t="shared" si="10"/>
        <v>0.73974406079816224</v>
      </c>
      <c r="Z4" s="22">
        <f t="shared" si="11"/>
        <v>2.4299896303525683</v>
      </c>
      <c r="AA4" s="17"/>
      <c r="AB4" s="17">
        <v>5454</v>
      </c>
      <c r="AC4" s="17">
        <v>9253</v>
      </c>
      <c r="AD4" s="17">
        <f t="shared" si="12"/>
        <v>0.58943045498757163</v>
      </c>
      <c r="AE4" s="17">
        <f t="shared" si="13"/>
        <v>0.21414097358385698</v>
      </c>
      <c r="AF4" s="17"/>
      <c r="AG4" s="17"/>
      <c r="AH4" s="23">
        <v>0.43</v>
      </c>
      <c r="AI4">
        <f t="shared" si="14"/>
        <v>0.37357142857142861</v>
      </c>
      <c r="AJ4" s="22">
        <f t="shared" si="15"/>
        <v>2.4299896303525683</v>
      </c>
    </row>
    <row r="5" spans="1:63" x14ac:dyDescent="0.25">
      <c r="A5" s="3" t="s">
        <v>29</v>
      </c>
      <c r="B5" s="3">
        <v>50</v>
      </c>
      <c r="C5" s="3">
        <v>53</v>
      </c>
      <c r="D5" s="21">
        <f t="shared" si="0"/>
        <v>51.5</v>
      </c>
      <c r="E5" s="5">
        <v>10363</v>
      </c>
      <c r="F5" s="3">
        <v>201</v>
      </c>
      <c r="G5" s="3">
        <v>184</v>
      </c>
      <c r="H5" s="21">
        <f t="shared" si="1"/>
        <v>192.5</v>
      </c>
      <c r="I5" s="5">
        <v>8656</v>
      </c>
      <c r="J5" s="5"/>
      <c r="K5" s="6">
        <v>1024000</v>
      </c>
      <c r="L5" s="6">
        <v>14244</v>
      </c>
      <c r="M5" s="6">
        <v>51559</v>
      </c>
      <c r="N5" s="7"/>
      <c r="O5" s="8">
        <f t="shared" si="2"/>
        <v>0.24875621890547264</v>
      </c>
      <c r="P5" s="9">
        <f>ABS(O5-X5)</f>
        <v>2.7509806424731581E-2</v>
      </c>
      <c r="Q5" s="9">
        <f t="shared" si="3"/>
        <v>0.94844803248084908</v>
      </c>
      <c r="R5" s="10">
        <f t="shared" si="4"/>
        <v>0.28804347826086957</v>
      </c>
      <c r="S5" s="11">
        <f t="shared" si="5"/>
        <v>1.1777452930665344E-2</v>
      </c>
      <c r="T5" s="11">
        <f t="shared" si="6"/>
        <v>0.90916077312545207</v>
      </c>
      <c r="U5" s="12"/>
      <c r="V5" s="65">
        <f t="shared" si="7"/>
        <v>0.26753246753246751</v>
      </c>
      <c r="W5" s="64">
        <f t="shared" si="8"/>
        <v>1.1972042513863217</v>
      </c>
      <c r="X5" s="15">
        <f t="shared" si="9"/>
        <v>0.27626602533020422</v>
      </c>
      <c r="Y5" s="22">
        <f t="shared" si="10"/>
        <v>8.7335577977367129E-3</v>
      </c>
      <c r="Z5" s="22">
        <f t="shared" si="11"/>
        <v>0.92967178385385418</v>
      </c>
      <c r="AA5" s="17"/>
      <c r="AB5" s="17">
        <v>1937</v>
      </c>
      <c r="AC5" s="17">
        <v>6941</v>
      </c>
      <c r="AD5" s="17">
        <f t="shared" si="12"/>
        <v>0.27906641694280365</v>
      </c>
      <c r="AE5" s="17">
        <f t="shared" si="13"/>
        <v>1.1533949410336142E-2</v>
      </c>
      <c r="AF5" s="17"/>
      <c r="AG5" s="17"/>
      <c r="AH5" s="23">
        <v>0.21</v>
      </c>
      <c r="AI5">
        <f t="shared" si="14"/>
        <v>5.7532467532467518E-2</v>
      </c>
      <c r="AJ5" s="22">
        <f t="shared" si="15"/>
        <v>0.92967178385385418</v>
      </c>
      <c r="AN5" s="25" t="s">
        <v>19</v>
      </c>
      <c r="AO5" s="25" t="s">
        <v>30</v>
      </c>
      <c r="AP5" s="26"/>
      <c r="AQ5" s="27" t="s">
        <v>31</v>
      </c>
      <c r="AR5" s="27" t="s">
        <v>32</v>
      </c>
      <c r="AS5" s="27" t="s">
        <v>33</v>
      </c>
      <c r="AV5" s="39" t="s">
        <v>31</v>
      </c>
      <c r="AW5" s="39" t="s">
        <v>32</v>
      </c>
      <c r="AX5" s="39" t="s">
        <v>33</v>
      </c>
      <c r="BB5" s="39" t="s">
        <v>31</v>
      </c>
      <c r="BC5" s="39" t="s">
        <v>32</v>
      </c>
      <c r="BD5" s="39" t="s">
        <v>33</v>
      </c>
      <c r="BF5" t="s">
        <v>62</v>
      </c>
      <c r="BG5" t="s">
        <v>63</v>
      </c>
      <c r="BJ5" s="39" t="s">
        <v>32</v>
      </c>
      <c r="BK5" s="39" t="s">
        <v>33</v>
      </c>
    </row>
    <row r="6" spans="1:63" x14ac:dyDescent="0.25">
      <c r="A6" s="28" t="s">
        <v>34</v>
      </c>
      <c r="B6" s="3">
        <v>116</v>
      </c>
      <c r="C6" s="3">
        <v>102</v>
      </c>
      <c r="D6" s="21">
        <f t="shared" si="0"/>
        <v>109</v>
      </c>
      <c r="E6" s="5">
        <v>19832</v>
      </c>
      <c r="F6" s="3">
        <v>35</v>
      </c>
      <c r="G6" s="3">
        <v>293</v>
      </c>
      <c r="H6" s="21">
        <f t="shared" si="1"/>
        <v>164</v>
      </c>
      <c r="I6" s="5">
        <v>22583</v>
      </c>
      <c r="J6" s="5"/>
      <c r="K6" s="6">
        <v>1024000</v>
      </c>
      <c r="L6" s="6">
        <v>13741</v>
      </c>
      <c r="M6" s="6">
        <v>33881</v>
      </c>
      <c r="N6" s="7"/>
      <c r="O6" s="8">
        <f t="shared" si="2"/>
        <v>3.3142857142857145</v>
      </c>
      <c r="P6" s="9">
        <f>ABS(O6-X6)</f>
        <v>2.9087191725661667</v>
      </c>
      <c r="Q6" s="9">
        <f t="shared" si="3"/>
        <v>2.4361030104819683</v>
      </c>
      <c r="R6" s="10">
        <f t="shared" si="4"/>
        <v>0.34812286689419797</v>
      </c>
      <c r="S6" s="11">
        <f t="shared" si="5"/>
        <v>5.7443674825349844E-2</v>
      </c>
      <c r="T6" s="11">
        <f t="shared" si="6"/>
        <v>0.53005983690954817</v>
      </c>
      <c r="U6" s="12"/>
      <c r="V6" s="65">
        <f t="shared" si="7"/>
        <v>0.66463414634146345</v>
      </c>
      <c r="W6" s="64">
        <f t="shared" si="8"/>
        <v>0.87818270380374619</v>
      </c>
      <c r="X6" s="15">
        <f t="shared" si="9"/>
        <v>0.40556654171954781</v>
      </c>
      <c r="Y6" s="29">
        <f t="shared" si="10"/>
        <v>0.25906760462191564</v>
      </c>
      <c r="Z6" s="29">
        <f t="shared" si="11"/>
        <v>0.21354855746228274</v>
      </c>
      <c r="AA6" s="30"/>
      <c r="AB6" s="30">
        <v>2974</v>
      </c>
      <c r="AC6" s="30">
        <v>10274</v>
      </c>
      <c r="AD6" s="17">
        <f t="shared" si="12"/>
        <v>0.28946856141716953</v>
      </c>
      <c r="AE6" s="17">
        <f t="shared" si="13"/>
        <v>0.37516558492429392</v>
      </c>
      <c r="AF6" s="30"/>
      <c r="AG6" s="30"/>
      <c r="AH6" s="23">
        <v>0.22</v>
      </c>
      <c r="AI6">
        <f t="shared" si="14"/>
        <v>0.44463414634146348</v>
      </c>
      <c r="AJ6" s="29">
        <f t="shared" si="15"/>
        <v>0.21354855746228274</v>
      </c>
      <c r="AN6" s="25">
        <v>0.27947588674816998</v>
      </c>
      <c r="AO6" s="25">
        <v>4.2473118279569899E-2</v>
      </c>
      <c r="AP6" s="26"/>
      <c r="AQ6" s="27" t="s">
        <v>26</v>
      </c>
      <c r="AR6" s="31">
        <v>1</v>
      </c>
      <c r="AS6" s="25">
        <f>(AO6/AN6)</f>
        <v>0.1519741784300753</v>
      </c>
      <c r="AV6" s="39" t="s">
        <v>26</v>
      </c>
      <c r="AW6" s="31">
        <v>1</v>
      </c>
      <c r="AX6" s="25">
        <v>0.1519741784300753</v>
      </c>
      <c r="BB6" s="39" t="s">
        <v>52</v>
      </c>
      <c r="BC6" s="34">
        <v>0.17822099403260069</v>
      </c>
      <c r="BD6" s="31">
        <v>1</v>
      </c>
      <c r="BF6" s="3" t="s">
        <v>26</v>
      </c>
      <c r="BG6" s="29">
        <v>0.27947588674816959</v>
      </c>
      <c r="BH6" s="30">
        <v>7.0075486311143645E-2</v>
      </c>
      <c r="BJ6">
        <v>1</v>
      </c>
      <c r="BK6">
        <f>(BH6/BG6)</f>
        <v>0.25073893539261699</v>
      </c>
    </row>
    <row r="7" spans="1:63" x14ac:dyDescent="0.25">
      <c r="A7" s="3" t="s">
        <v>35</v>
      </c>
      <c r="B7" s="3">
        <v>166</v>
      </c>
      <c r="C7" s="3">
        <v>162</v>
      </c>
      <c r="D7" s="21">
        <f t="shared" si="0"/>
        <v>164</v>
      </c>
      <c r="E7" s="5">
        <v>27671</v>
      </c>
      <c r="F7" s="3">
        <v>278</v>
      </c>
      <c r="G7" s="3">
        <v>240</v>
      </c>
      <c r="H7" s="21">
        <f t="shared" si="1"/>
        <v>259</v>
      </c>
      <c r="I7" s="5">
        <v>12576</v>
      </c>
      <c r="J7" s="5"/>
      <c r="K7" s="6">
        <v>1024000</v>
      </c>
      <c r="L7" s="6">
        <v>8900</v>
      </c>
      <c r="M7" s="6">
        <v>17201</v>
      </c>
      <c r="N7" s="7"/>
      <c r="O7" s="8">
        <f t="shared" si="2"/>
        <v>0.59712230215827333</v>
      </c>
      <c r="P7" s="9">
        <f>ABS(O7-AH7)</f>
        <v>0.28712230215827333</v>
      </c>
      <c r="Q7" s="9">
        <f t="shared" si="3"/>
        <v>1.6031798606915997</v>
      </c>
      <c r="R7" s="10">
        <f t="shared" si="4"/>
        <v>0.67500000000000004</v>
      </c>
      <c r="S7" s="11">
        <f t="shared" si="5"/>
        <v>0.15758822161502239</v>
      </c>
      <c r="T7" s="11">
        <f t="shared" si="6"/>
        <v>1.5253021628498729</v>
      </c>
      <c r="U7" s="12"/>
      <c r="V7" s="65">
        <f t="shared" si="7"/>
        <v>0.63320463320463316</v>
      </c>
      <c r="W7" s="64">
        <f t="shared" si="8"/>
        <v>2.2003021628498729</v>
      </c>
      <c r="X7" s="15">
        <f t="shared" si="9"/>
        <v>0.51741177838497765</v>
      </c>
      <c r="Y7" s="22">
        <f t="shared" si="10"/>
        <v>0.11579285481965551</v>
      </c>
      <c r="Z7" s="22">
        <f t="shared" si="11"/>
        <v>1.5670975296452396</v>
      </c>
      <c r="AA7" s="17"/>
      <c r="AB7" s="17">
        <f>1895+88+1633+412</f>
        <v>4028</v>
      </c>
      <c r="AC7" s="17">
        <f>3911+719+3215+1157</f>
        <v>9002</v>
      </c>
      <c r="AD7" s="17">
        <f t="shared" si="12"/>
        <v>0.44745612086203068</v>
      </c>
      <c r="AE7" s="17">
        <f t="shared" si="13"/>
        <v>0.18574851234260248</v>
      </c>
      <c r="AF7" s="17"/>
      <c r="AG7" s="17"/>
      <c r="AH7" s="23">
        <v>0.31</v>
      </c>
      <c r="AI7">
        <f t="shared" si="14"/>
        <v>0.32320463320463316</v>
      </c>
      <c r="AJ7" s="22">
        <f t="shared" si="15"/>
        <v>1.5670975296452396</v>
      </c>
      <c r="AN7" s="25">
        <v>9.2134580933855098E-2</v>
      </c>
      <c r="AO7" s="25">
        <v>4.6814159292035397E-2</v>
      </c>
      <c r="AP7" s="26"/>
      <c r="AQ7" s="27" t="s">
        <v>27</v>
      </c>
      <c r="AR7" s="31">
        <v>1</v>
      </c>
      <c r="AS7" s="25">
        <f t="shared" ref="AS6:AS24" si="16">(AO7/AN7)</f>
        <v>0.50810628124139445</v>
      </c>
      <c r="AV7" s="39" t="s">
        <v>27</v>
      </c>
      <c r="AW7" s="31">
        <v>1</v>
      </c>
      <c r="AX7" s="25">
        <v>0.50810628124139445</v>
      </c>
      <c r="BB7" s="39" t="s">
        <v>55</v>
      </c>
      <c r="BC7" s="25">
        <v>6.2015503875969005E-2</v>
      </c>
      <c r="BD7" s="31">
        <v>1</v>
      </c>
      <c r="BF7" s="3" t="s">
        <v>27</v>
      </c>
      <c r="BG7" s="29">
        <v>9.2134580933855126E-2</v>
      </c>
      <c r="BH7" s="30">
        <v>2.8840303082885071E-2</v>
      </c>
      <c r="BJ7">
        <v>1</v>
      </c>
      <c r="BK7" s="1">
        <f t="shared" ref="BK7:BK9" si="17">(BH7/BG7)</f>
        <v>0.31302365290606771</v>
      </c>
    </row>
    <row r="8" spans="1:63" x14ac:dyDescent="0.25">
      <c r="A8" s="3" t="s">
        <v>36</v>
      </c>
      <c r="B8" s="3">
        <v>151</v>
      </c>
      <c r="C8" s="3">
        <v>137</v>
      </c>
      <c r="D8" s="21">
        <f t="shared" si="0"/>
        <v>144</v>
      </c>
      <c r="E8" s="5">
        <v>27109</v>
      </c>
      <c r="F8" s="3">
        <v>512</v>
      </c>
      <c r="G8" s="3">
        <v>485</v>
      </c>
      <c r="H8" s="21">
        <f t="shared" si="1"/>
        <v>498.5</v>
      </c>
      <c r="I8" s="5">
        <v>25954</v>
      </c>
      <c r="J8" s="5"/>
      <c r="K8" s="6">
        <v>1024000</v>
      </c>
      <c r="L8" s="6">
        <v>12061</v>
      </c>
      <c r="M8" s="6">
        <v>25556</v>
      </c>
      <c r="N8" s="7"/>
      <c r="O8" s="8">
        <f t="shared" si="2"/>
        <v>0.294921875</v>
      </c>
      <c r="P8" s="9">
        <f t="shared" ref="P8:P17" si="18">ABS(O8-X8)</f>
        <v>0.17702209119189233</v>
      </c>
      <c r="Q8" s="9">
        <f t="shared" si="3"/>
        <v>0.74957993589620098</v>
      </c>
      <c r="R8" s="10">
        <f t="shared" si="4"/>
        <v>0.28247422680412371</v>
      </c>
      <c r="S8" s="11">
        <f t="shared" si="5"/>
        <v>0.18946973938776862</v>
      </c>
      <c r="T8" s="11">
        <f t="shared" si="6"/>
        <v>0.76202758409207727</v>
      </c>
      <c r="U8" s="12"/>
      <c r="V8" s="65">
        <f t="shared" si="7"/>
        <v>0.28886659979939822</v>
      </c>
      <c r="W8" s="64">
        <f t="shared" si="8"/>
        <v>1.044501810896201</v>
      </c>
      <c r="X8" s="15">
        <f t="shared" si="9"/>
        <v>0.47194396619189233</v>
      </c>
      <c r="Y8" s="22">
        <f t="shared" si="10"/>
        <v>0.18307736639249411</v>
      </c>
      <c r="Z8" s="22">
        <f t="shared" si="11"/>
        <v>0.75563521109680276</v>
      </c>
      <c r="AA8" s="17"/>
      <c r="AB8" s="17">
        <f>3611+2368+363+471</f>
        <v>6813</v>
      </c>
      <c r="AC8" s="17">
        <f>12457+10360+2502+2591</f>
        <v>27910</v>
      </c>
      <c r="AD8" s="17">
        <f t="shared" si="12"/>
        <v>0.24410605517735579</v>
      </c>
      <c r="AE8" s="17">
        <f t="shared" si="13"/>
        <v>4.4760544622042431E-2</v>
      </c>
      <c r="AF8" s="17"/>
      <c r="AG8" s="17"/>
      <c r="AH8" s="23">
        <v>0.21</v>
      </c>
      <c r="AI8">
        <f t="shared" si="14"/>
        <v>7.8866599799398224E-2</v>
      </c>
      <c r="AJ8" s="22">
        <f t="shared" si="15"/>
        <v>0.75563521109680276</v>
      </c>
      <c r="AN8" s="25">
        <v>2.4299896303525701</v>
      </c>
      <c r="AO8" s="25">
        <v>0.373571428571429</v>
      </c>
      <c r="AP8" s="26"/>
      <c r="AQ8" s="27" t="s">
        <v>28</v>
      </c>
      <c r="AR8" s="31">
        <v>1</v>
      </c>
      <c r="AS8" s="25">
        <f t="shared" si="16"/>
        <v>0.15373375421245195</v>
      </c>
      <c r="AV8" s="39" t="s">
        <v>28</v>
      </c>
      <c r="AW8" s="31">
        <v>1</v>
      </c>
      <c r="AX8" s="25">
        <v>0.15373375421245195</v>
      </c>
      <c r="BB8" s="39" t="s">
        <v>40</v>
      </c>
      <c r="BC8" s="31">
        <v>1</v>
      </c>
      <c r="BD8" s="25">
        <v>0.42169403036339898</v>
      </c>
      <c r="BF8" s="3" t="s">
        <v>28</v>
      </c>
      <c r="BG8" s="29">
        <v>2.4299896303525683</v>
      </c>
      <c r="BH8" s="30">
        <v>0.21414097358385698</v>
      </c>
      <c r="BJ8">
        <v>1</v>
      </c>
      <c r="BK8" s="1">
        <f t="shared" si="17"/>
        <v>8.8124233498390339E-2</v>
      </c>
    </row>
    <row r="9" spans="1:63" x14ac:dyDescent="0.25">
      <c r="A9" s="3" t="s">
        <v>37</v>
      </c>
      <c r="B9" s="3">
        <v>109</v>
      </c>
      <c r="C9" s="3">
        <v>129</v>
      </c>
      <c r="D9" s="21">
        <f t="shared" si="0"/>
        <v>119</v>
      </c>
      <c r="E9" s="5">
        <v>24932</v>
      </c>
      <c r="F9" s="3">
        <v>384</v>
      </c>
      <c r="G9" s="3">
        <v>383</v>
      </c>
      <c r="H9" s="21">
        <f t="shared" si="1"/>
        <v>383.5</v>
      </c>
      <c r="I9" s="5">
        <v>27830</v>
      </c>
      <c r="J9" s="5"/>
      <c r="K9" s="6">
        <v>1024000</v>
      </c>
      <c r="L9" s="6">
        <v>10493</v>
      </c>
      <c r="M9" s="6">
        <v>22129</v>
      </c>
      <c r="N9" s="7"/>
      <c r="O9" s="8">
        <f t="shared" si="2"/>
        <v>0.28385416666666669</v>
      </c>
      <c r="P9" s="9">
        <f t="shared" si="18"/>
        <v>0.190319993937066</v>
      </c>
      <c r="Q9" s="9">
        <f t="shared" si="3"/>
        <v>0.61201360192837462</v>
      </c>
      <c r="R9" s="10">
        <f t="shared" si="4"/>
        <v>0.33681462140992169</v>
      </c>
      <c r="S9" s="11">
        <f t="shared" si="5"/>
        <v>0.137359539193811</v>
      </c>
      <c r="T9" s="11">
        <f t="shared" si="6"/>
        <v>0.55905314718511967</v>
      </c>
      <c r="U9" s="12"/>
      <c r="V9" s="65">
        <f t="shared" si="7"/>
        <v>0.31029986962190353</v>
      </c>
      <c r="W9" s="64">
        <f t="shared" si="8"/>
        <v>0.89586776859504136</v>
      </c>
      <c r="X9" s="15">
        <f t="shared" si="9"/>
        <v>0.47417416060373269</v>
      </c>
      <c r="Y9" s="22">
        <f t="shared" si="10"/>
        <v>0.16387429098182915</v>
      </c>
      <c r="Z9" s="22">
        <f t="shared" si="11"/>
        <v>0.58556789897313788</v>
      </c>
      <c r="AA9" s="17"/>
      <c r="AB9" s="17">
        <f>1198+1552+1355+2010</f>
        <v>6115</v>
      </c>
      <c r="AC9" s="17">
        <f>4865+5399+4813+6508</f>
        <v>21585</v>
      </c>
      <c r="AD9" s="17">
        <f t="shared" si="12"/>
        <v>0.28329858698170024</v>
      </c>
      <c r="AE9" s="17">
        <f t="shared" si="13"/>
        <v>2.7001282640203295E-2</v>
      </c>
      <c r="AF9" s="17"/>
      <c r="AG9" s="17"/>
      <c r="AH9" s="23">
        <v>0.24</v>
      </c>
      <c r="AI9">
        <f t="shared" si="14"/>
        <v>7.0299869621903543E-2</v>
      </c>
      <c r="AJ9" s="22">
        <f t="shared" si="15"/>
        <v>0.58556789897313788</v>
      </c>
      <c r="AN9" s="25">
        <v>0.92967178385385396</v>
      </c>
      <c r="AO9" s="25">
        <v>5.7532467532467498E-2</v>
      </c>
      <c r="AP9" s="26"/>
      <c r="AQ9" s="27" t="s">
        <v>29</v>
      </c>
      <c r="AR9" s="31">
        <v>1</v>
      </c>
      <c r="AS9" s="25">
        <f t="shared" si="16"/>
        <v>6.1884708702218398E-2</v>
      </c>
      <c r="AV9" s="39" t="s">
        <v>29</v>
      </c>
      <c r="AW9" s="31">
        <v>1</v>
      </c>
      <c r="AX9" s="25">
        <v>6.1884708702218398E-2</v>
      </c>
      <c r="BB9" s="39" t="s">
        <v>57</v>
      </c>
      <c r="BC9" s="25">
        <v>9.3436645396535886E-2</v>
      </c>
      <c r="BD9" s="31">
        <v>1</v>
      </c>
      <c r="BF9" s="3" t="s">
        <v>29</v>
      </c>
      <c r="BG9" s="29">
        <v>0.92967178385385418</v>
      </c>
      <c r="BH9" s="30">
        <v>1.1533949410336142E-2</v>
      </c>
      <c r="BJ9">
        <v>1</v>
      </c>
      <c r="BK9" s="1">
        <f t="shared" si="17"/>
        <v>1.2406474640462248E-2</v>
      </c>
    </row>
    <row r="10" spans="1:63" x14ac:dyDescent="0.25">
      <c r="A10" s="3" t="s">
        <v>38</v>
      </c>
      <c r="B10" s="3">
        <v>135</v>
      </c>
      <c r="C10" s="3">
        <v>159</v>
      </c>
      <c r="D10" s="21">
        <f t="shared" si="0"/>
        <v>147</v>
      </c>
      <c r="E10" s="5">
        <v>34795</v>
      </c>
      <c r="F10" s="3">
        <v>361</v>
      </c>
      <c r="G10" s="3">
        <v>406</v>
      </c>
      <c r="H10" s="21">
        <f t="shared" si="1"/>
        <v>383.5</v>
      </c>
      <c r="I10" s="5">
        <v>42367</v>
      </c>
      <c r="J10" s="5"/>
      <c r="K10" s="6">
        <v>1024000</v>
      </c>
      <c r="L10" s="6">
        <v>14057</v>
      </c>
      <c r="M10" s="6">
        <v>30196</v>
      </c>
      <c r="N10" s="7"/>
      <c r="O10" s="8">
        <f t="shared" si="2"/>
        <v>0.37396121883656508</v>
      </c>
      <c r="P10" s="9">
        <f t="shared" si="18"/>
        <v>9.1564016293915806E-2</v>
      </c>
      <c r="Q10" s="9">
        <f t="shared" si="3"/>
        <v>0.4473147742712783</v>
      </c>
      <c r="R10" s="10">
        <f t="shared" si="4"/>
        <v>0.39162561576354682</v>
      </c>
      <c r="S10" s="11">
        <f t="shared" si="5"/>
        <v>7.3899619366934066E-2</v>
      </c>
      <c r="T10" s="11">
        <f t="shared" si="6"/>
        <v>0.42965037734429656</v>
      </c>
      <c r="U10" s="12"/>
      <c r="V10" s="65">
        <f t="shared" si="7"/>
        <v>0.3833116036505867</v>
      </c>
      <c r="W10" s="64">
        <f t="shared" si="8"/>
        <v>0.82127599310784338</v>
      </c>
      <c r="X10" s="15">
        <f t="shared" si="9"/>
        <v>0.46552523513048089</v>
      </c>
      <c r="Y10" s="22">
        <f t="shared" si="10"/>
        <v>8.2213631479894189E-2</v>
      </c>
      <c r="Z10" s="22">
        <f t="shared" si="11"/>
        <v>0.43796438945725669</v>
      </c>
      <c r="AA10" s="17"/>
      <c r="AB10" s="17">
        <f>1103+1021+1480+2203</f>
        <v>5807</v>
      </c>
      <c r="AC10" s="17">
        <f>2577+4460+6627+7935</f>
        <v>21599</v>
      </c>
      <c r="AD10" s="17">
        <f t="shared" si="12"/>
        <v>0.26885503958516599</v>
      </c>
      <c r="AE10" s="17">
        <f t="shared" si="13"/>
        <v>0.11445656406542071</v>
      </c>
      <c r="AF10" s="17"/>
      <c r="AG10" s="17"/>
      <c r="AH10" s="23">
        <v>0.22</v>
      </c>
      <c r="AI10">
        <f t="shared" si="14"/>
        <v>0.1633116036505867</v>
      </c>
      <c r="AJ10" s="22">
        <f t="shared" si="15"/>
        <v>0.43796438945725669</v>
      </c>
      <c r="AN10" s="25">
        <v>1.5670975296452401</v>
      </c>
      <c r="AO10" s="25">
        <v>0.323204633204633</v>
      </c>
      <c r="AP10" s="26"/>
      <c r="AQ10" s="27" t="s">
        <v>35</v>
      </c>
      <c r="AR10" s="31">
        <v>1</v>
      </c>
      <c r="AS10" s="25">
        <f t="shared" si="16"/>
        <v>0.20624410867254711</v>
      </c>
      <c r="AV10" s="39" t="s">
        <v>35</v>
      </c>
      <c r="AW10" s="31">
        <v>1</v>
      </c>
      <c r="AX10" s="25">
        <v>0.20624410867254711</v>
      </c>
      <c r="BB10" s="39" t="s">
        <v>58</v>
      </c>
      <c r="BC10" s="25">
        <v>0.21710457822760679</v>
      </c>
      <c r="BD10" s="31">
        <v>1</v>
      </c>
      <c r="BF10" s="28" t="s">
        <v>34</v>
      </c>
      <c r="BG10" s="29">
        <v>0.21354855746228274</v>
      </c>
      <c r="BH10" s="30">
        <v>0.37516558492429392</v>
      </c>
      <c r="BJ10">
        <f>(BG10/BH10)</f>
        <v>0.56921147899367031</v>
      </c>
      <c r="BK10">
        <v>1</v>
      </c>
    </row>
    <row r="11" spans="1:63" x14ac:dyDescent="0.25">
      <c r="A11" s="3" t="s">
        <v>39</v>
      </c>
      <c r="B11" s="3">
        <v>132</v>
      </c>
      <c r="C11" s="3">
        <v>114</v>
      </c>
      <c r="D11" s="21">
        <f t="shared" si="0"/>
        <v>123</v>
      </c>
      <c r="E11" s="5">
        <v>24067</v>
      </c>
      <c r="F11" s="3">
        <v>303</v>
      </c>
      <c r="G11" s="3">
        <v>269</v>
      </c>
      <c r="H11" s="21">
        <f t="shared" si="1"/>
        <v>286</v>
      </c>
      <c r="I11" s="5">
        <v>19527</v>
      </c>
      <c r="J11" s="5"/>
      <c r="K11" s="6">
        <v>1024000</v>
      </c>
      <c r="L11" s="6">
        <v>13729</v>
      </c>
      <c r="M11" s="6">
        <v>30575</v>
      </c>
      <c r="N11" s="7"/>
      <c r="O11" s="8">
        <f t="shared" si="2"/>
        <v>0.43564356435643564</v>
      </c>
      <c r="P11" s="9">
        <f t="shared" si="18"/>
        <v>1.3383418472673103E-2</v>
      </c>
      <c r="Q11" s="9">
        <f t="shared" si="3"/>
        <v>0.79685502733711688</v>
      </c>
      <c r="R11" s="10">
        <f t="shared" si="4"/>
        <v>0.42379182156133827</v>
      </c>
      <c r="S11" s="11">
        <f t="shared" si="5"/>
        <v>2.5235161267770478E-2</v>
      </c>
      <c r="T11" s="11">
        <f t="shared" si="6"/>
        <v>0.80870677013221415</v>
      </c>
      <c r="U11" s="12"/>
      <c r="V11" s="65">
        <f t="shared" si="7"/>
        <v>0.43006993006993005</v>
      </c>
      <c r="W11" s="64">
        <f t="shared" si="8"/>
        <v>1.2324985916935525</v>
      </c>
      <c r="X11" s="15">
        <f t="shared" si="9"/>
        <v>0.44902698282910875</v>
      </c>
      <c r="Y11" s="22">
        <f t="shared" si="10"/>
        <v>1.8957052759178694E-2</v>
      </c>
      <c r="Z11" s="22">
        <f t="shared" si="11"/>
        <v>0.80242866162362247</v>
      </c>
      <c r="AA11" s="17"/>
      <c r="AB11" s="17">
        <f>144+973+479+2234</f>
        <v>3830</v>
      </c>
      <c r="AC11" s="17">
        <f>728+2731+2416+8566</f>
        <v>14441</v>
      </c>
      <c r="AD11" s="17">
        <f t="shared" si="12"/>
        <v>0.26521709022920853</v>
      </c>
      <c r="AE11" s="17">
        <f t="shared" si="13"/>
        <v>0.16485283984072152</v>
      </c>
      <c r="AF11" s="17"/>
      <c r="AG11" s="17"/>
      <c r="AH11" s="23">
        <v>0.22</v>
      </c>
      <c r="AI11">
        <f t="shared" si="14"/>
        <v>0.21006993006993005</v>
      </c>
      <c r="AJ11" s="22">
        <f t="shared" si="15"/>
        <v>0.80242866162362247</v>
      </c>
      <c r="AN11" s="25">
        <v>0.75563521109680298</v>
      </c>
      <c r="AO11" s="25">
        <v>7.8866599799398196E-2</v>
      </c>
      <c r="AP11" s="26"/>
      <c r="AQ11" s="27" t="s">
        <v>36</v>
      </c>
      <c r="AR11" s="31">
        <v>1</v>
      </c>
      <c r="AS11" s="25">
        <f t="shared" si="16"/>
        <v>0.10437126094868381</v>
      </c>
      <c r="AV11" s="39" t="s">
        <v>36</v>
      </c>
      <c r="AW11" s="31">
        <v>1</v>
      </c>
      <c r="AX11" s="25">
        <v>0.10437126094868381</v>
      </c>
      <c r="BB11" s="39" t="s">
        <v>43</v>
      </c>
      <c r="BC11" s="31">
        <v>1</v>
      </c>
      <c r="BD11" s="25">
        <v>0.73838715704898639</v>
      </c>
      <c r="BF11" s="3" t="s">
        <v>35</v>
      </c>
      <c r="BG11" s="29">
        <v>1.5670975296452396</v>
      </c>
      <c r="BH11" s="30">
        <v>0.18574851234260248</v>
      </c>
      <c r="BJ11">
        <v>1</v>
      </c>
      <c r="BK11">
        <f>(BH11/BG11)</f>
        <v>0.1185302821482032</v>
      </c>
    </row>
    <row r="12" spans="1:63" x14ac:dyDescent="0.25">
      <c r="A12" s="3" t="s">
        <v>40</v>
      </c>
      <c r="B12" s="3">
        <v>110</v>
      </c>
      <c r="C12" s="3">
        <v>115</v>
      </c>
      <c r="D12" s="21">
        <f t="shared" si="0"/>
        <v>112.5</v>
      </c>
      <c r="E12" s="5">
        <v>38737</v>
      </c>
      <c r="F12" s="3">
        <v>165</v>
      </c>
      <c r="G12" s="3">
        <v>145</v>
      </c>
      <c r="H12" s="21">
        <f t="shared" si="1"/>
        <v>155</v>
      </c>
      <c r="I12" s="5">
        <v>23610</v>
      </c>
      <c r="J12" s="5"/>
      <c r="K12" s="6">
        <v>1024000</v>
      </c>
      <c r="L12" s="6">
        <v>30714</v>
      </c>
      <c r="M12" s="6">
        <v>88092</v>
      </c>
      <c r="N12" s="7"/>
      <c r="O12" s="8">
        <f t="shared" si="2"/>
        <v>0.66666666666666663</v>
      </c>
      <c r="P12" s="9">
        <f t="shared" si="18"/>
        <v>0.31800844571584247</v>
      </c>
      <c r="Q12" s="9">
        <f t="shared" si="3"/>
        <v>0.97403642524354084</v>
      </c>
      <c r="R12" s="10">
        <f t="shared" si="4"/>
        <v>0.7931034482758621</v>
      </c>
      <c r="S12" s="11">
        <f t="shared" si="5"/>
        <v>0.44444522732503794</v>
      </c>
      <c r="T12" s="11">
        <f t="shared" si="6"/>
        <v>0.84759964363434537</v>
      </c>
      <c r="U12" s="12"/>
      <c r="V12" s="65">
        <f t="shared" si="7"/>
        <v>0.72580645161290325</v>
      </c>
      <c r="W12" s="64">
        <f t="shared" si="8"/>
        <v>1.6407030919102075</v>
      </c>
      <c r="X12" s="15">
        <f t="shared" si="9"/>
        <v>0.34865822095082416</v>
      </c>
      <c r="Y12" s="22">
        <f t="shared" si="10"/>
        <v>0.37714823066207909</v>
      </c>
      <c r="Z12" s="22">
        <f t="shared" si="11"/>
        <v>0.91489664029730422</v>
      </c>
      <c r="AA12" s="17"/>
      <c r="AB12" s="17">
        <f>344+393+1347+2556</f>
        <v>4640</v>
      </c>
      <c r="AC12" s="17">
        <f>1423+1375+2776+6336</f>
        <v>11910</v>
      </c>
      <c r="AD12" s="17">
        <f t="shared" si="12"/>
        <v>0.38958858102434929</v>
      </c>
      <c r="AE12" s="17">
        <f t="shared" si="13"/>
        <v>0.33621787058855396</v>
      </c>
      <c r="AF12" s="17"/>
      <c r="AG12" s="17"/>
      <c r="AH12" s="23">
        <v>0.34</v>
      </c>
      <c r="AI12">
        <f t="shared" si="14"/>
        <v>0.38580645161290322</v>
      </c>
      <c r="AJ12" s="22">
        <f t="shared" si="15"/>
        <v>0.91489664029730422</v>
      </c>
      <c r="AN12" s="25">
        <v>0.58556789897313799</v>
      </c>
      <c r="AO12" s="25">
        <v>7.0299869621903502E-2</v>
      </c>
      <c r="AP12" s="26"/>
      <c r="AQ12" s="27" t="s">
        <v>37</v>
      </c>
      <c r="AR12" s="31">
        <v>1</v>
      </c>
      <c r="AS12" s="25">
        <f t="shared" si="16"/>
        <v>0.12005417261633121</v>
      </c>
      <c r="AV12" s="39" t="s">
        <v>37</v>
      </c>
      <c r="AW12" s="31">
        <v>1</v>
      </c>
      <c r="AX12" s="25">
        <v>0.12005417261633121</v>
      </c>
      <c r="BB12" s="39" t="s">
        <v>51</v>
      </c>
      <c r="BC12" s="31">
        <v>1</v>
      </c>
      <c r="BD12" s="25">
        <v>0.68648804640262828</v>
      </c>
      <c r="BF12" s="3" t="s">
        <v>36</v>
      </c>
      <c r="BG12" s="29">
        <v>0.75563521109680276</v>
      </c>
      <c r="BH12" s="30">
        <v>4.4760544622042431E-2</v>
      </c>
      <c r="BJ12">
        <v>1</v>
      </c>
      <c r="BK12" s="1">
        <f t="shared" ref="BK12:BK25" si="19">(BH12/BG12)</f>
        <v>5.9235652289247619E-2</v>
      </c>
    </row>
    <row r="13" spans="1:63" x14ac:dyDescent="0.25">
      <c r="A13" s="3" t="s">
        <v>41</v>
      </c>
      <c r="B13" s="3">
        <v>241</v>
      </c>
      <c r="C13" s="3">
        <v>216</v>
      </c>
      <c r="D13" s="21">
        <f t="shared" si="0"/>
        <v>228.5</v>
      </c>
      <c r="E13" s="5">
        <v>95764</v>
      </c>
      <c r="F13" s="3">
        <v>150</v>
      </c>
      <c r="G13" s="3">
        <v>126</v>
      </c>
      <c r="H13" s="21">
        <f t="shared" si="1"/>
        <v>138</v>
      </c>
      <c r="I13" s="5">
        <v>15149</v>
      </c>
      <c r="J13" s="5"/>
      <c r="K13" s="6">
        <v>1024000</v>
      </c>
      <c r="L13" s="6">
        <v>16265</v>
      </c>
      <c r="M13" s="6">
        <v>75603</v>
      </c>
      <c r="N13" s="7"/>
      <c r="O13" s="8">
        <f t="shared" si="2"/>
        <v>1.6066666666666667</v>
      </c>
      <c r="P13" s="9">
        <f t="shared" si="18"/>
        <v>1.3915297012023333</v>
      </c>
      <c r="Q13" s="9">
        <f t="shared" si="3"/>
        <v>4.7148066979118539</v>
      </c>
      <c r="R13" s="10">
        <f t="shared" si="4"/>
        <v>1.7142857142857142</v>
      </c>
      <c r="S13" s="11">
        <f t="shared" si="5"/>
        <v>1.4991487488213808</v>
      </c>
      <c r="T13" s="11">
        <f t="shared" si="6"/>
        <v>4.607187650292806</v>
      </c>
      <c r="U13" s="12"/>
      <c r="V13" s="65">
        <f t="shared" si="7"/>
        <v>1.6557971014492754</v>
      </c>
      <c r="W13" s="64">
        <f t="shared" si="8"/>
        <v>6.3214733645785204</v>
      </c>
      <c r="X13" s="15">
        <f t="shared" si="9"/>
        <v>0.21513696546433342</v>
      </c>
      <c r="Y13" s="22">
        <f t="shared" si="10"/>
        <v>1.440660135984942</v>
      </c>
      <c r="Z13" s="22">
        <f t="shared" si="11"/>
        <v>4.665676263129245</v>
      </c>
      <c r="AA13" s="17"/>
      <c r="AB13" s="17">
        <f>453+2557+525+5842</f>
        <v>9377</v>
      </c>
      <c r="AC13" s="17">
        <f>1400+4586+2020+5974</f>
        <v>13980</v>
      </c>
      <c r="AD13" s="17">
        <f t="shared" si="12"/>
        <v>0.67074391988555082</v>
      </c>
      <c r="AE13" s="17">
        <f t="shared" si="13"/>
        <v>0.98505318156372457</v>
      </c>
      <c r="AF13" s="17"/>
      <c r="AG13" s="17"/>
      <c r="AH13" s="23">
        <v>0.48</v>
      </c>
      <c r="AI13">
        <f t="shared" si="14"/>
        <v>1.1757971014492754</v>
      </c>
      <c r="AJ13" s="22">
        <f t="shared" si="15"/>
        <v>4.665676263129245</v>
      </c>
      <c r="AN13" s="25">
        <v>0.43796438945725702</v>
      </c>
      <c r="AO13" s="25">
        <v>0.163311603650587</v>
      </c>
      <c r="AP13" s="26"/>
      <c r="AQ13" s="27" t="s">
        <v>38</v>
      </c>
      <c r="AR13" s="31">
        <v>1</v>
      </c>
      <c r="AS13" s="25">
        <f t="shared" si="16"/>
        <v>0.37288785933707824</v>
      </c>
      <c r="AV13" s="39" t="s">
        <v>38</v>
      </c>
      <c r="AW13" s="31">
        <v>1</v>
      </c>
      <c r="AX13" s="25">
        <v>0.37288785933707824</v>
      </c>
      <c r="BB13" s="39" t="s">
        <v>54</v>
      </c>
      <c r="BC13" s="31">
        <v>1</v>
      </c>
      <c r="BD13" s="25">
        <v>0.75604363207547198</v>
      </c>
      <c r="BF13" s="3" t="s">
        <v>37</v>
      </c>
      <c r="BG13" s="29">
        <v>0.58556789897313788</v>
      </c>
      <c r="BH13" s="30">
        <v>2.7001282640203295E-2</v>
      </c>
      <c r="BJ13">
        <v>1</v>
      </c>
      <c r="BK13" s="1">
        <f t="shared" si="19"/>
        <v>4.6111275374816851E-2</v>
      </c>
    </row>
    <row r="14" spans="1:63" x14ac:dyDescent="0.25">
      <c r="A14" s="3" t="s">
        <v>42</v>
      </c>
      <c r="B14" s="3">
        <v>288</v>
      </c>
      <c r="C14" s="3">
        <v>284</v>
      </c>
      <c r="D14" s="21">
        <f t="shared" si="0"/>
        <v>286</v>
      </c>
      <c r="E14" s="5">
        <v>108027</v>
      </c>
      <c r="F14" s="3">
        <v>260</v>
      </c>
      <c r="G14" s="3">
        <v>242</v>
      </c>
      <c r="H14" s="21">
        <f t="shared" si="1"/>
        <v>251</v>
      </c>
      <c r="I14" s="5">
        <v>33111</v>
      </c>
      <c r="J14" s="5"/>
      <c r="K14" s="6">
        <v>1024000</v>
      </c>
      <c r="L14" s="6">
        <v>20391</v>
      </c>
      <c r="M14" s="6">
        <v>48514</v>
      </c>
      <c r="N14" s="7"/>
      <c r="O14" s="8">
        <f t="shared" si="2"/>
        <v>1.1076923076923078</v>
      </c>
      <c r="P14" s="9">
        <f t="shared" si="18"/>
        <v>0.68738064507945373</v>
      </c>
      <c r="Q14" s="9">
        <f t="shared" si="3"/>
        <v>2.1548790432182656</v>
      </c>
      <c r="R14" s="10">
        <f t="shared" si="4"/>
        <v>1.1735537190082646</v>
      </c>
      <c r="S14" s="11">
        <f t="shared" si="5"/>
        <v>0.75324205639541053</v>
      </c>
      <c r="T14" s="11">
        <f t="shared" si="6"/>
        <v>2.0890176319023088</v>
      </c>
      <c r="U14" s="12"/>
      <c r="V14" s="65">
        <f t="shared" si="7"/>
        <v>1.1394422310756973</v>
      </c>
      <c r="W14" s="64">
        <f t="shared" si="8"/>
        <v>3.2625713509105734</v>
      </c>
      <c r="X14" s="15">
        <f t="shared" si="9"/>
        <v>0.42031166261285402</v>
      </c>
      <c r="Y14" s="22">
        <f t="shared" si="10"/>
        <v>0.71913056846284329</v>
      </c>
      <c r="Z14" s="22">
        <f t="shared" si="11"/>
        <v>2.1231291198348758</v>
      </c>
      <c r="AA14" s="17"/>
      <c r="AB14" s="17">
        <f>1533+3475+4616+5133</f>
        <v>14757</v>
      </c>
      <c r="AC14" s="17">
        <f>4498+6987+7159+9506</f>
        <v>28150</v>
      </c>
      <c r="AD14" s="17">
        <f t="shared" si="12"/>
        <v>0.52422735346358795</v>
      </c>
      <c r="AE14" s="17">
        <f t="shared" si="13"/>
        <v>0.61521487761210936</v>
      </c>
      <c r="AF14" s="17"/>
      <c r="AG14" s="17"/>
      <c r="AH14" s="23">
        <v>0.43</v>
      </c>
      <c r="AI14">
        <f t="shared" si="14"/>
        <v>0.70944223107569737</v>
      </c>
      <c r="AJ14" s="22">
        <f t="shared" si="15"/>
        <v>2.1231291198348758</v>
      </c>
      <c r="AN14" s="25">
        <v>0.80242866162362303</v>
      </c>
      <c r="AO14" s="25">
        <v>0.21006993006992999</v>
      </c>
      <c r="AP14" s="26"/>
      <c r="AQ14" s="27" t="s">
        <v>39</v>
      </c>
      <c r="AR14" s="31">
        <v>1</v>
      </c>
      <c r="AS14" s="25">
        <f t="shared" si="16"/>
        <v>0.26179265536811386</v>
      </c>
      <c r="AV14" s="39" t="s">
        <v>39</v>
      </c>
      <c r="AW14" s="31">
        <v>1</v>
      </c>
      <c r="AX14" s="25">
        <v>0.26179265536811386</v>
      </c>
      <c r="BC14" s="1"/>
      <c r="BD14" s="1"/>
      <c r="BE14" s="1"/>
      <c r="BF14" s="3" t="s">
        <v>38</v>
      </c>
      <c r="BG14" s="29">
        <v>0.43796438945725669</v>
      </c>
      <c r="BH14" s="30">
        <v>0.11445656406542071</v>
      </c>
      <c r="BJ14">
        <v>1</v>
      </c>
      <c r="BK14" s="1">
        <f t="shared" si="19"/>
        <v>0.26133760374276077</v>
      </c>
    </row>
    <row r="15" spans="1:63" x14ac:dyDescent="0.25">
      <c r="A15" s="3" t="s">
        <v>43</v>
      </c>
      <c r="B15" s="3">
        <v>181</v>
      </c>
      <c r="C15" s="3">
        <v>167</v>
      </c>
      <c r="D15" s="21">
        <f t="shared" si="0"/>
        <v>174</v>
      </c>
      <c r="E15" s="5">
        <v>51012</v>
      </c>
      <c r="F15" s="3">
        <v>211</v>
      </c>
      <c r="G15" s="3">
        <v>179</v>
      </c>
      <c r="H15" s="21">
        <f t="shared" si="1"/>
        <v>195</v>
      </c>
      <c r="I15" s="5">
        <v>30594</v>
      </c>
      <c r="J15" s="5"/>
      <c r="K15" s="6">
        <v>1024000</v>
      </c>
      <c r="L15" s="6">
        <v>23054</v>
      </c>
      <c r="M15" s="6">
        <v>75251</v>
      </c>
      <c r="N15" s="7"/>
      <c r="O15" s="8">
        <f t="shared" si="2"/>
        <v>0.85781990521327012</v>
      </c>
      <c r="P15" s="9">
        <f t="shared" si="18"/>
        <v>0.55145852795582506</v>
      </c>
      <c r="Q15" s="9">
        <f t="shared" si="3"/>
        <v>0.8095658567008307</v>
      </c>
      <c r="R15" s="10">
        <f t="shared" si="4"/>
        <v>0.93296089385474856</v>
      </c>
      <c r="S15" s="11">
        <f t="shared" si="5"/>
        <v>0.62659951659730351</v>
      </c>
      <c r="T15" s="11">
        <f t="shared" si="6"/>
        <v>0.73442486805935225</v>
      </c>
      <c r="U15" s="12"/>
      <c r="V15" s="65">
        <f t="shared" si="7"/>
        <v>0.89230769230769236</v>
      </c>
      <c r="W15" s="64">
        <f t="shared" si="8"/>
        <v>1.6673857619141008</v>
      </c>
      <c r="X15" s="15">
        <f t="shared" si="9"/>
        <v>0.30636137725744511</v>
      </c>
      <c r="Y15" s="22">
        <f t="shared" si="10"/>
        <v>0.5859463150502473</v>
      </c>
      <c r="Z15" s="22">
        <f t="shared" si="11"/>
        <v>0.77507806960640846</v>
      </c>
      <c r="AA15" s="17"/>
      <c r="AB15" s="17">
        <f>109+100+2224+2381</f>
        <v>4814</v>
      </c>
      <c r="AC15" s="17">
        <f>802+784+4734+5875</f>
        <v>12195</v>
      </c>
      <c r="AD15" s="17">
        <f t="shared" si="12"/>
        <v>0.39475194751947518</v>
      </c>
      <c r="AE15" s="17">
        <f t="shared" si="13"/>
        <v>0.49755574478821718</v>
      </c>
      <c r="AF15" s="17"/>
      <c r="AG15" s="17"/>
      <c r="AH15" s="23">
        <v>0.32</v>
      </c>
      <c r="AI15">
        <f t="shared" si="14"/>
        <v>0.57230769230769241</v>
      </c>
      <c r="AJ15" s="22">
        <f t="shared" si="15"/>
        <v>0.77507806960640846</v>
      </c>
      <c r="AN15" s="25">
        <v>0.914896640297304</v>
      </c>
      <c r="AO15" s="25">
        <v>0.385806451612903</v>
      </c>
      <c r="AP15" s="26"/>
      <c r="AQ15" s="27" t="s">
        <v>40</v>
      </c>
      <c r="AR15" s="31">
        <v>1</v>
      </c>
      <c r="AS15" s="25">
        <f t="shared" si="16"/>
        <v>0.42169403036339898</v>
      </c>
      <c r="AV15" s="39" t="s">
        <v>41</v>
      </c>
      <c r="AW15" s="31">
        <v>1</v>
      </c>
      <c r="AX15" s="25">
        <v>0.25201000565364506</v>
      </c>
      <c r="BC15" s="55">
        <f>AVERAGE(BC6:BC13)</f>
        <v>0.5688472151915891</v>
      </c>
      <c r="BD15" s="55">
        <f>AVERAGE(BD6:BD13)</f>
        <v>0.82532660823631077</v>
      </c>
      <c r="BE15" s="1"/>
      <c r="BF15" s="3" t="s">
        <v>39</v>
      </c>
      <c r="BG15" s="29">
        <v>0.80242866162362247</v>
      </c>
      <c r="BH15" s="30">
        <v>0.16485283984072152</v>
      </c>
      <c r="BJ15">
        <v>1</v>
      </c>
      <c r="BK15" s="1">
        <f t="shared" si="19"/>
        <v>0.20544236232434754</v>
      </c>
    </row>
    <row r="16" spans="1:63" x14ac:dyDescent="0.25">
      <c r="A16" s="3" t="s">
        <v>44</v>
      </c>
      <c r="B16" s="3">
        <v>235</v>
      </c>
      <c r="C16" s="3">
        <v>211</v>
      </c>
      <c r="D16" s="21">
        <f t="shared" si="0"/>
        <v>223</v>
      </c>
      <c r="E16" s="5">
        <v>106218</v>
      </c>
      <c r="F16" s="3">
        <v>401</v>
      </c>
      <c r="G16" s="3">
        <v>408</v>
      </c>
      <c r="H16" s="21">
        <f t="shared" si="1"/>
        <v>404.5</v>
      </c>
      <c r="I16" s="5">
        <v>52289</v>
      </c>
      <c r="J16" s="5"/>
      <c r="K16" s="6">
        <v>1024000</v>
      </c>
      <c r="L16" s="6">
        <v>19794</v>
      </c>
      <c r="M16" s="6">
        <v>137209</v>
      </c>
      <c r="N16" s="7"/>
      <c r="O16" s="8">
        <f t="shared" si="2"/>
        <v>0.58603491271820451</v>
      </c>
      <c r="P16" s="9">
        <f t="shared" si="18"/>
        <v>0.44177323892129616</v>
      </c>
      <c r="Q16" s="9">
        <f t="shared" si="3"/>
        <v>1.4453292365292472</v>
      </c>
      <c r="R16" s="10">
        <f t="shared" si="4"/>
        <v>0.51715686274509809</v>
      </c>
      <c r="S16" s="11">
        <f t="shared" si="5"/>
        <v>0.37289518894818974</v>
      </c>
      <c r="T16" s="11">
        <f t="shared" si="6"/>
        <v>1.5142072865023537</v>
      </c>
      <c r="U16" s="12"/>
      <c r="V16" s="65">
        <f t="shared" si="7"/>
        <v>0.55129789864029666</v>
      </c>
      <c r="W16" s="64">
        <f t="shared" si="8"/>
        <v>2.0313641492474517</v>
      </c>
      <c r="X16" s="15">
        <f t="shared" si="9"/>
        <v>0.14426167379690838</v>
      </c>
      <c r="Y16" s="22">
        <f t="shared" si="10"/>
        <v>0.40703622484338831</v>
      </c>
      <c r="Z16" s="22">
        <f t="shared" si="11"/>
        <v>1.4800662506071549</v>
      </c>
      <c r="AA16" s="17"/>
      <c r="AB16" s="17">
        <f>1021+1480+1103+2203</f>
        <v>5807</v>
      </c>
      <c r="AC16" s="17">
        <f>4460+6627+2577+7935</f>
        <v>21599</v>
      </c>
      <c r="AD16" s="17">
        <f t="shared" si="12"/>
        <v>0.26885503958516599</v>
      </c>
      <c r="AE16" s="17">
        <f t="shared" si="13"/>
        <v>0.28244285905513067</v>
      </c>
      <c r="AF16" s="17"/>
      <c r="AG16" s="17"/>
      <c r="AH16" s="23">
        <v>0.33</v>
      </c>
      <c r="AI16">
        <f t="shared" si="14"/>
        <v>0.22129789864029664</v>
      </c>
      <c r="AJ16" s="22">
        <f t="shared" si="15"/>
        <v>1.4800662506071549</v>
      </c>
      <c r="AN16" s="25">
        <v>4.6656762631292503</v>
      </c>
      <c r="AO16" s="25">
        <v>1.1757971014492801</v>
      </c>
      <c r="AP16" s="26"/>
      <c r="AQ16" s="27" t="s">
        <v>41</v>
      </c>
      <c r="AR16" s="31">
        <v>1</v>
      </c>
      <c r="AS16" s="25">
        <f t="shared" si="16"/>
        <v>0.25201000565364506</v>
      </c>
      <c r="AV16" s="39" t="s">
        <v>42</v>
      </c>
      <c r="AW16" s="31">
        <v>1</v>
      </c>
      <c r="AX16" s="25">
        <v>0.3341493574026585</v>
      </c>
      <c r="BC16" s="1"/>
      <c r="BD16" s="1"/>
      <c r="BE16" s="1"/>
      <c r="BF16" s="3" t="s">
        <v>40</v>
      </c>
      <c r="BG16" s="29">
        <v>0.91489664029730422</v>
      </c>
      <c r="BH16" s="30">
        <v>0.33621787058855396</v>
      </c>
      <c r="BJ16">
        <v>1</v>
      </c>
      <c r="BK16" s="1">
        <f t="shared" si="19"/>
        <v>0.36749273718974068</v>
      </c>
    </row>
    <row r="17" spans="1:63" x14ac:dyDescent="0.25">
      <c r="A17" s="3" t="s">
        <v>45</v>
      </c>
      <c r="B17" s="3">
        <v>121</v>
      </c>
      <c r="C17" s="3">
        <v>118</v>
      </c>
      <c r="D17" s="21">
        <f t="shared" si="0"/>
        <v>119.5</v>
      </c>
      <c r="E17" s="5">
        <v>40319</v>
      </c>
      <c r="F17" s="3">
        <v>522</v>
      </c>
      <c r="G17" s="3">
        <v>516</v>
      </c>
      <c r="H17" s="21">
        <f t="shared" si="1"/>
        <v>519</v>
      </c>
      <c r="I17" s="5">
        <v>88540</v>
      </c>
      <c r="J17" s="5"/>
      <c r="K17" s="6">
        <v>1024000</v>
      </c>
      <c r="L17" s="6">
        <v>15121</v>
      </c>
      <c r="M17" s="6">
        <v>149586</v>
      </c>
      <c r="N17" s="7"/>
      <c r="O17" s="8">
        <f t="shared" si="2"/>
        <v>0.23180076628352492</v>
      </c>
      <c r="P17" s="9">
        <f t="shared" si="18"/>
        <v>0.13071510318671103</v>
      </c>
      <c r="Q17" s="9">
        <f t="shared" si="3"/>
        <v>0.2235753349136741</v>
      </c>
      <c r="R17" s="10">
        <f t="shared" si="4"/>
        <v>0.22868217054263565</v>
      </c>
      <c r="S17" s="11">
        <f t="shared" si="5"/>
        <v>0.12759650744582179</v>
      </c>
      <c r="T17" s="11">
        <f t="shared" si="6"/>
        <v>0.22669393065456336</v>
      </c>
      <c r="U17" s="12"/>
      <c r="V17" s="65">
        <f t="shared" si="7"/>
        <v>0.23025048169556839</v>
      </c>
      <c r="W17" s="64">
        <f t="shared" si="8"/>
        <v>0.45537610119719901</v>
      </c>
      <c r="X17" s="15">
        <f t="shared" si="9"/>
        <v>0.10108566309681387</v>
      </c>
      <c r="Y17" s="22">
        <f t="shared" si="10"/>
        <v>0.1291648185987545</v>
      </c>
      <c r="Z17" s="22">
        <f t="shared" si="11"/>
        <v>0.22512561950163062</v>
      </c>
      <c r="AA17" s="17"/>
      <c r="AB17" s="17">
        <f>544+1624+2157+1630</f>
        <v>5955</v>
      </c>
      <c r="AC17" s="17">
        <f>3845+10267+9343+7369</f>
        <v>30824</v>
      </c>
      <c r="AD17" s="17">
        <f t="shared" si="12"/>
        <v>0.19319361536465093</v>
      </c>
      <c r="AE17" s="17">
        <f t="shared" si="13"/>
        <v>3.7056866330917454E-2</v>
      </c>
      <c r="AF17" s="17"/>
      <c r="AG17" s="17"/>
      <c r="AH17" s="23">
        <v>0.17</v>
      </c>
      <c r="AI17">
        <f t="shared" si="14"/>
        <v>6.0250481695568375E-2</v>
      </c>
      <c r="AJ17" s="22">
        <f t="shared" si="15"/>
        <v>0.22512561950163062</v>
      </c>
      <c r="AN17" s="25">
        <v>2.1231291198348798</v>
      </c>
      <c r="AO17" s="25">
        <v>0.70944223107569704</v>
      </c>
      <c r="AP17" s="26"/>
      <c r="AQ17" s="27" t="s">
        <v>42</v>
      </c>
      <c r="AR17" s="31">
        <v>1</v>
      </c>
      <c r="AS17" s="25">
        <f t="shared" si="16"/>
        <v>0.3341493574026585</v>
      </c>
      <c r="AV17" s="39" t="s">
        <v>44</v>
      </c>
      <c r="AW17" s="31">
        <v>1</v>
      </c>
      <c r="AX17" s="25">
        <v>0.14951891413611829</v>
      </c>
      <c r="BC17" s="1"/>
      <c r="BD17" s="1"/>
      <c r="BE17" s="1"/>
      <c r="BF17" s="3" t="s">
        <v>41</v>
      </c>
      <c r="BG17" s="29">
        <v>4.665676263129245</v>
      </c>
      <c r="BH17" s="30">
        <v>0.98505318156372457</v>
      </c>
      <c r="BJ17">
        <v>1</v>
      </c>
      <c r="BK17" s="1">
        <f t="shared" si="19"/>
        <v>0.21112763209658583</v>
      </c>
    </row>
    <row r="18" spans="1:63" x14ac:dyDescent="0.25">
      <c r="A18" s="3" t="s">
        <v>46</v>
      </c>
      <c r="B18" s="3">
        <v>469</v>
      </c>
      <c r="C18" s="3">
        <v>448</v>
      </c>
      <c r="D18" s="21">
        <f t="shared" si="0"/>
        <v>458.5</v>
      </c>
      <c r="E18" s="5">
        <v>171921</v>
      </c>
      <c r="F18" s="3">
        <v>860</v>
      </c>
      <c r="G18" s="3">
        <v>841</v>
      </c>
      <c r="H18" s="21">
        <f t="shared" si="1"/>
        <v>850.5</v>
      </c>
      <c r="I18" s="5">
        <v>81997</v>
      </c>
      <c r="J18" s="5"/>
      <c r="K18" s="6">
        <v>1024000</v>
      </c>
      <c r="L18" s="6"/>
      <c r="M18" s="6"/>
      <c r="N18" s="7"/>
      <c r="O18" s="8">
        <f t="shared" si="2"/>
        <v>0.54534883720930227</v>
      </c>
      <c r="P18" s="9"/>
      <c r="Q18" s="9">
        <f t="shared" si="3"/>
        <v>1.551325431361499</v>
      </c>
      <c r="R18" s="10">
        <f t="shared" si="4"/>
        <v>0.53269916765755054</v>
      </c>
      <c r="S18" s="11"/>
      <c r="T18" s="11">
        <f t="shared" si="6"/>
        <v>1.5639751009132508</v>
      </c>
      <c r="U18" s="12"/>
      <c r="V18" s="65">
        <f t="shared" si="7"/>
        <v>0.53909465020576131</v>
      </c>
      <c r="W18" s="64">
        <f t="shared" si="8"/>
        <v>2.0966742685708013</v>
      </c>
      <c r="X18" s="15"/>
      <c r="Y18" s="22"/>
      <c r="Z18" s="22">
        <f t="shared" si="11"/>
        <v>1.5575796183650401</v>
      </c>
      <c r="AA18" s="17"/>
      <c r="AB18" s="17"/>
      <c r="AC18" s="17"/>
      <c r="AD18" s="17" t="e">
        <f t="shared" si="12"/>
        <v>#DIV/0!</v>
      </c>
      <c r="AE18" s="17" t="e">
        <f t="shared" si="13"/>
        <v>#DIV/0!</v>
      </c>
      <c r="AF18" s="17"/>
      <c r="AG18" s="17"/>
      <c r="AH18" s="23"/>
      <c r="AI18">
        <f t="shared" si="14"/>
        <v>0.53909465020576131</v>
      </c>
      <c r="AJ18" s="22">
        <f t="shared" si="15"/>
        <v>1.5575796183650401</v>
      </c>
      <c r="AN18" s="25">
        <v>0.77507806960640802</v>
      </c>
      <c r="AO18" s="25">
        <v>0.57230769230769196</v>
      </c>
      <c r="AP18" s="26"/>
      <c r="AQ18" s="27" t="s">
        <v>43</v>
      </c>
      <c r="AR18" s="31">
        <v>1</v>
      </c>
      <c r="AS18" s="25">
        <f t="shared" si="16"/>
        <v>0.73838715704898639</v>
      </c>
      <c r="AV18" s="39" t="s">
        <v>45</v>
      </c>
      <c r="AW18" s="31">
        <v>1</v>
      </c>
      <c r="AX18" s="25">
        <v>0.26763049815897072</v>
      </c>
      <c r="BC18" s="1"/>
      <c r="BD18" s="1"/>
      <c r="BE18" s="1"/>
      <c r="BF18" s="3" t="s">
        <v>42</v>
      </c>
      <c r="BG18" s="29">
        <v>2.1231291198348758</v>
      </c>
      <c r="BH18" s="30">
        <v>0.61521487761210936</v>
      </c>
      <c r="BJ18">
        <v>1</v>
      </c>
      <c r="BK18" s="1">
        <f t="shared" si="19"/>
        <v>0.28976799944223697</v>
      </c>
    </row>
    <row r="19" spans="1:63" x14ac:dyDescent="0.25">
      <c r="A19" s="3" t="s">
        <v>47</v>
      </c>
      <c r="B19" s="3">
        <v>689</v>
      </c>
      <c r="C19" s="3">
        <v>751</v>
      </c>
      <c r="D19" s="21">
        <f t="shared" si="0"/>
        <v>720</v>
      </c>
      <c r="E19" s="5">
        <v>153788</v>
      </c>
      <c r="F19" s="3">
        <v>1067</v>
      </c>
      <c r="G19" s="3">
        <v>1089</v>
      </c>
      <c r="H19" s="21">
        <f t="shared" si="1"/>
        <v>1078</v>
      </c>
      <c r="I19" s="5">
        <v>101444</v>
      </c>
      <c r="J19" s="5"/>
      <c r="K19" s="6">
        <v>1024000</v>
      </c>
      <c r="L19" s="6"/>
      <c r="M19" s="6"/>
      <c r="N19" s="7"/>
      <c r="O19" s="8">
        <f t="shared" si="2"/>
        <v>0.64573570759137766</v>
      </c>
      <c r="P19" s="9"/>
      <c r="Q19" s="9">
        <f t="shared" si="3"/>
        <v>0.87025340955699981</v>
      </c>
      <c r="R19" s="10">
        <f t="shared" si="4"/>
        <v>0.689623507805326</v>
      </c>
      <c r="S19" s="11"/>
      <c r="T19" s="11">
        <f t="shared" si="6"/>
        <v>0.82636560934305148</v>
      </c>
      <c r="U19" s="12"/>
      <c r="V19" s="65">
        <f t="shared" si="7"/>
        <v>0.66790352504638217</v>
      </c>
      <c r="W19" s="64">
        <f t="shared" si="8"/>
        <v>1.5159891171483775</v>
      </c>
      <c r="X19" s="15"/>
      <c r="Y19" s="22"/>
      <c r="Z19" s="22">
        <f t="shared" si="11"/>
        <v>0.8480855921019953</v>
      </c>
      <c r="AA19" s="58"/>
      <c r="AB19" s="58"/>
      <c r="AC19" s="58"/>
      <c r="AD19" s="17" t="e">
        <f t="shared" si="12"/>
        <v>#DIV/0!</v>
      </c>
      <c r="AE19" s="17" t="e">
        <f t="shared" si="13"/>
        <v>#DIV/0!</v>
      </c>
      <c r="AF19" s="58"/>
      <c r="AG19" s="58"/>
      <c r="AH19" s="23"/>
      <c r="AI19">
        <f t="shared" si="14"/>
        <v>0.66790352504638217</v>
      </c>
      <c r="AJ19" s="22">
        <f t="shared" si="15"/>
        <v>0.8480855921019953</v>
      </c>
      <c r="AN19" s="25">
        <v>1.48006625060715</v>
      </c>
      <c r="AO19" s="25">
        <v>0.221297898640297</v>
      </c>
      <c r="AP19" s="26"/>
      <c r="AQ19" s="27" t="s">
        <v>44</v>
      </c>
      <c r="AR19" s="31">
        <v>1</v>
      </c>
      <c r="AS19" s="25">
        <f t="shared" si="16"/>
        <v>0.14951891413611829</v>
      </c>
      <c r="AV19" s="39" t="s">
        <v>48</v>
      </c>
      <c r="AW19" s="31">
        <v>1</v>
      </c>
      <c r="AX19" s="25">
        <v>0.17243002368876209</v>
      </c>
      <c r="BC19" s="1"/>
      <c r="BD19" s="1"/>
      <c r="BE19" s="1"/>
      <c r="BF19" s="3" t="s">
        <v>43</v>
      </c>
      <c r="BG19" s="29">
        <v>0.77507806960640846</v>
      </c>
      <c r="BH19" s="30">
        <v>0.49755574478821718</v>
      </c>
      <c r="BJ19">
        <v>1</v>
      </c>
      <c r="BK19" s="1">
        <f t="shared" si="19"/>
        <v>0.64194274654278427</v>
      </c>
    </row>
    <row r="20" spans="1:63" x14ac:dyDescent="0.25">
      <c r="A20" s="3" t="s">
        <v>48</v>
      </c>
      <c r="B20" s="3">
        <v>41</v>
      </c>
      <c r="C20" s="3">
        <v>50</v>
      </c>
      <c r="D20" s="21">
        <f t="shared" si="0"/>
        <v>45.5</v>
      </c>
      <c r="E20" s="5">
        <v>10413</v>
      </c>
      <c r="F20" s="3">
        <v>356</v>
      </c>
      <c r="G20" s="3">
        <v>426</v>
      </c>
      <c r="H20" s="21">
        <f t="shared" si="1"/>
        <v>391</v>
      </c>
      <c r="I20" s="5">
        <v>41090</v>
      </c>
      <c r="J20" s="5"/>
      <c r="K20" s="6">
        <v>1024000</v>
      </c>
      <c r="L20" s="6">
        <v>7588</v>
      </c>
      <c r="M20" s="6">
        <v>15563</v>
      </c>
      <c r="N20" s="7"/>
      <c r="O20" s="8">
        <f t="shared" si="2"/>
        <v>0.1151685393258427</v>
      </c>
      <c r="P20" s="9">
        <f t="shared" ref="P20:P32" si="20">ABS(O20-X20)</f>
        <v>0.37239812519899185</v>
      </c>
      <c r="Q20" s="9">
        <f t="shared" si="3"/>
        <v>0.1382507841105165</v>
      </c>
      <c r="R20" s="10">
        <f t="shared" si="4"/>
        <v>0.11737089201877934</v>
      </c>
      <c r="S20" s="11">
        <f t="shared" ref="S20:S32" si="21">ABS(R20-X20)</f>
        <v>0.37019577250605518</v>
      </c>
      <c r="T20" s="11">
        <f t="shared" si="6"/>
        <v>0.13604843141757986</v>
      </c>
      <c r="U20" s="12"/>
      <c r="V20" s="65">
        <f t="shared" si="7"/>
        <v>0.11636828644501279</v>
      </c>
      <c r="W20" s="64">
        <f t="shared" si="8"/>
        <v>0.2534193234363592</v>
      </c>
      <c r="X20" s="15">
        <f t="shared" ref="X20:X32" si="22">L20/M20</f>
        <v>0.48756666452483455</v>
      </c>
      <c r="Y20" s="32">
        <f t="shared" ref="Y20:Y32" si="23">ABS(V20-X20)</f>
        <v>0.37119837807982176</v>
      </c>
      <c r="Z20" s="32">
        <f t="shared" si="11"/>
        <v>0.13705103699134641</v>
      </c>
      <c r="AA20" s="58"/>
      <c r="AB20" s="58">
        <f>909+426+543+300</f>
        <v>2178</v>
      </c>
      <c r="AC20" s="58">
        <f>3905+3486+3954+2597</f>
        <v>13942</v>
      </c>
      <c r="AD20" s="17">
        <f t="shared" si="12"/>
        <v>0.15621861999713096</v>
      </c>
      <c r="AE20" s="17">
        <f t="shared" si="13"/>
        <v>3.9850333552118172E-2</v>
      </c>
      <c r="AF20" s="58"/>
      <c r="AG20" s="58"/>
      <c r="AH20" s="23">
        <v>0.14000000000000001</v>
      </c>
      <c r="AI20">
        <f t="shared" si="14"/>
        <v>2.3631713554987221E-2</v>
      </c>
      <c r="AJ20" s="32">
        <f t="shared" si="15"/>
        <v>0.13705103699134641</v>
      </c>
      <c r="AN20" s="25">
        <v>0.22512561950163101</v>
      </c>
      <c r="AO20" s="25">
        <v>6.0250481695568403E-2</v>
      </c>
      <c r="AP20" s="26"/>
      <c r="AQ20" s="27" t="s">
        <v>45</v>
      </c>
      <c r="AR20" s="31">
        <v>1</v>
      </c>
      <c r="AS20" s="25">
        <f t="shared" si="16"/>
        <v>0.26763049815897072</v>
      </c>
      <c r="AV20" s="39" t="s">
        <v>49</v>
      </c>
      <c r="AW20" s="31">
        <v>1</v>
      </c>
      <c r="AX20" s="25">
        <v>8.8307536463956421E-2</v>
      </c>
      <c r="BC20" s="1"/>
      <c r="BD20" s="1"/>
      <c r="BE20" s="1"/>
      <c r="BF20" s="3" t="s">
        <v>44</v>
      </c>
      <c r="BG20" s="29">
        <v>1.4800662506071549</v>
      </c>
      <c r="BH20" s="30">
        <v>0.28244285905513067</v>
      </c>
      <c r="BJ20">
        <v>1</v>
      </c>
      <c r="BK20" s="1">
        <f t="shared" si="19"/>
        <v>0.19083122727733745</v>
      </c>
    </row>
    <row r="21" spans="1:63" x14ac:dyDescent="0.25">
      <c r="A21" s="3" t="s">
        <v>49</v>
      </c>
      <c r="B21" s="3">
        <v>157</v>
      </c>
      <c r="C21" s="3">
        <v>147</v>
      </c>
      <c r="D21" s="21">
        <f t="shared" si="0"/>
        <v>152</v>
      </c>
      <c r="E21" s="5">
        <v>54422</v>
      </c>
      <c r="F21" s="3">
        <v>613</v>
      </c>
      <c r="G21" s="3">
        <v>547</v>
      </c>
      <c r="H21" s="21">
        <f t="shared" si="1"/>
        <v>580</v>
      </c>
      <c r="I21" s="5">
        <v>63898</v>
      </c>
      <c r="J21" s="5"/>
      <c r="K21" s="6">
        <v>1024000</v>
      </c>
      <c r="L21" s="6">
        <v>1163</v>
      </c>
      <c r="M21" s="6">
        <v>24573</v>
      </c>
      <c r="N21" s="7"/>
      <c r="O21" s="8">
        <f t="shared" si="2"/>
        <v>0.2561174551386623</v>
      </c>
      <c r="P21" s="9">
        <f t="shared" si="20"/>
        <v>0.20878908660409184</v>
      </c>
      <c r="Q21" s="9">
        <f t="shared" si="3"/>
        <v>0.59558369356708751</v>
      </c>
      <c r="R21" s="10">
        <f t="shared" si="4"/>
        <v>0.26873857404021939</v>
      </c>
      <c r="S21" s="11">
        <f t="shared" si="21"/>
        <v>0.22141020550564894</v>
      </c>
      <c r="T21" s="11">
        <f t="shared" si="6"/>
        <v>0.58296257466553036</v>
      </c>
      <c r="U21" s="12"/>
      <c r="V21" s="65">
        <f t="shared" si="7"/>
        <v>0.2620689655172414</v>
      </c>
      <c r="W21" s="64">
        <f t="shared" si="8"/>
        <v>0.85170114870574976</v>
      </c>
      <c r="X21" s="15">
        <f t="shared" si="22"/>
        <v>4.7328368534570467E-2</v>
      </c>
      <c r="Y21" s="22">
        <f t="shared" si="23"/>
        <v>0.21474059698267095</v>
      </c>
      <c r="Z21" s="22">
        <f t="shared" si="11"/>
        <v>0.5896321831885083</v>
      </c>
      <c r="AA21" s="58"/>
      <c r="AB21" s="58">
        <f>1307+2551+1113+2481</f>
        <v>7452</v>
      </c>
      <c r="AC21" s="58">
        <f>5996+8355+4277+10488</f>
        <v>29116</v>
      </c>
      <c r="AD21" s="17">
        <f t="shared" si="12"/>
        <v>0.25594175024041765</v>
      </c>
      <c r="AE21" s="17">
        <f t="shared" si="13"/>
        <v>6.1272152768237498E-3</v>
      </c>
      <c r="AF21" s="58"/>
      <c r="AG21" s="58"/>
      <c r="AH21" s="23">
        <v>0.21</v>
      </c>
      <c r="AI21">
        <f t="shared" si="14"/>
        <v>5.2068965517241411E-2</v>
      </c>
      <c r="AJ21" s="22">
        <f t="shared" si="15"/>
        <v>0.5896321831885083</v>
      </c>
      <c r="AN21" s="25">
        <v>0.13705103699134599</v>
      </c>
      <c r="AO21" s="25">
        <v>2.3631713554987201E-2</v>
      </c>
      <c r="AP21" s="26"/>
      <c r="AQ21" s="27" t="s">
        <v>48</v>
      </c>
      <c r="AR21" s="31">
        <v>1</v>
      </c>
      <c r="AS21" s="25">
        <f t="shared" si="16"/>
        <v>0.17243002368876209</v>
      </c>
      <c r="AV21" s="39" t="s">
        <v>50</v>
      </c>
      <c r="AW21" s="31">
        <v>1</v>
      </c>
      <c r="AX21" s="25">
        <v>8.3595001249530246E-2</v>
      </c>
      <c r="BC21" s="1"/>
      <c r="BD21" s="1"/>
      <c r="BE21" s="1"/>
      <c r="BF21" s="3" t="s">
        <v>45</v>
      </c>
      <c r="BG21" s="29">
        <v>0.22512561950163062</v>
      </c>
      <c r="BH21" s="30">
        <v>3.7056866330917454E-2</v>
      </c>
      <c r="BJ21">
        <v>1</v>
      </c>
      <c r="BK21" s="1">
        <f t="shared" si="19"/>
        <v>0.16460528309906125</v>
      </c>
    </row>
    <row r="22" spans="1:63" x14ac:dyDescent="0.25">
      <c r="A22" s="3" t="s">
        <v>50</v>
      </c>
      <c r="B22" s="3">
        <v>57</v>
      </c>
      <c r="C22" s="3">
        <v>77</v>
      </c>
      <c r="D22" s="21">
        <f t="shared" si="0"/>
        <v>67</v>
      </c>
      <c r="E22" s="5">
        <v>19191</v>
      </c>
      <c r="F22" s="3">
        <v>274</v>
      </c>
      <c r="G22" s="3">
        <v>297</v>
      </c>
      <c r="H22" s="21">
        <f t="shared" si="1"/>
        <v>285.5</v>
      </c>
      <c r="I22" s="5">
        <v>29548</v>
      </c>
      <c r="J22" s="5"/>
      <c r="K22" s="6">
        <v>1024000</v>
      </c>
      <c r="L22" s="6">
        <v>10852</v>
      </c>
      <c r="M22" s="6">
        <v>20387</v>
      </c>
      <c r="N22" s="7"/>
      <c r="O22" s="8">
        <f t="shared" si="2"/>
        <v>0.20802919708029197</v>
      </c>
      <c r="P22" s="9">
        <f t="shared" si="20"/>
        <v>0.32427079801462144</v>
      </c>
      <c r="Q22" s="9">
        <f t="shared" si="3"/>
        <v>0.44145638570026846</v>
      </c>
      <c r="R22" s="10">
        <f t="shared" si="4"/>
        <v>0.25925925925925924</v>
      </c>
      <c r="S22" s="11">
        <f t="shared" si="21"/>
        <v>0.27304073583565419</v>
      </c>
      <c r="T22" s="11">
        <f t="shared" si="6"/>
        <v>0.39022632352130121</v>
      </c>
      <c r="U22" s="12"/>
      <c r="V22" s="65">
        <f t="shared" si="7"/>
        <v>0.23467600700525393</v>
      </c>
      <c r="W22" s="64">
        <f t="shared" si="8"/>
        <v>0.64948558278056046</v>
      </c>
      <c r="X22" s="15">
        <f t="shared" si="22"/>
        <v>0.53229999509491344</v>
      </c>
      <c r="Y22" s="22">
        <f t="shared" si="23"/>
        <v>0.29762398808965951</v>
      </c>
      <c r="Z22" s="22">
        <f t="shared" si="11"/>
        <v>0.41480957577530653</v>
      </c>
      <c r="AA22" s="58"/>
      <c r="AB22" s="58">
        <f>503+1111+1470+381</f>
        <v>3465</v>
      </c>
      <c r="AC22" s="58">
        <f>2322+5534+4897+1616</f>
        <v>14369</v>
      </c>
      <c r="AD22" s="17">
        <f t="shared" si="12"/>
        <v>0.24114412972371077</v>
      </c>
      <c r="AE22" s="17">
        <f t="shared" si="13"/>
        <v>6.4681227184568424E-3</v>
      </c>
      <c r="AF22" s="58"/>
      <c r="AG22" s="58"/>
      <c r="AH22" s="23">
        <v>0.2</v>
      </c>
      <c r="AI22">
        <f t="shared" si="14"/>
        <v>3.4676007005253917E-2</v>
      </c>
      <c r="AJ22" s="22">
        <f t="shared" si="15"/>
        <v>0.41480957577530653</v>
      </c>
      <c r="AN22" s="25">
        <v>0.58963218318850796</v>
      </c>
      <c r="AO22" s="25">
        <v>5.2068965517241397E-2</v>
      </c>
      <c r="AP22" s="26"/>
      <c r="AQ22" s="27" t="s">
        <v>49</v>
      </c>
      <c r="AR22" s="31">
        <v>1</v>
      </c>
      <c r="AS22" s="25">
        <f t="shared" si="16"/>
        <v>8.8307536463956421E-2</v>
      </c>
      <c r="AV22" s="39" t="s">
        <v>53</v>
      </c>
      <c r="AW22" s="31">
        <v>1</v>
      </c>
      <c r="AX22" s="25">
        <v>0.5358552556513736</v>
      </c>
      <c r="BC22" s="1"/>
      <c r="BD22" s="1"/>
      <c r="BE22" s="1"/>
      <c r="BF22" s="3" t="s">
        <v>48</v>
      </c>
      <c r="BG22" s="32">
        <v>0.13705103699134641</v>
      </c>
      <c r="BH22" s="33">
        <v>3.9850333552118172E-2</v>
      </c>
      <c r="BJ22">
        <v>1</v>
      </c>
      <c r="BK22" s="1">
        <f t="shared" si="19"/>
        <v>0.29077002572869537</v>
      </c>
    </row>
    <row r="23" spans="1:63" x14ac:dyDescent="0.25">
      <c r="A23" s="3" t="s">
        <v>51</v>
      </c>
      <c r="B23" s="3">
        <v>117</v>
      </c>
      <c r="C23" s="3">
        <v>135</v>
      </c>
      <c r="D23" s="21">
        <f t="shared" si="0"/>
        <v>126</v>
      </c>
      <c r="E23" s="5">
        <v>37489</v>
      </c>
      <c r="F23" s="3">
        <v>130</v>
      </c>
      <c r="G23" s="3">
        <v>103</v>
      </c>
      <c r="H23" s="21">
        <f t="shared" si="1"/>
        <v>116.5</v>
      </c>
      <c r="I23" s="5">
        <v>17342</v>
      </c>
      <c r="J23" s="5"/>
      <c r="K23" s="6">
        <v>1024000</v>
      </c>
      <c r="L23" s="6">
        <v>11116</v>
      </c>
      <c r="M23" s="6">
        <v>63162</v>
      </c>
      <c r="N23" s="7"/>
      <c r="O23" s="8">
        <f t="shared" si="2"/>
        <v>0.9</v>
      </c>
      <c r="P23" s="9">
        <f t="shared" si="20"/>
        <v>0.72400810613976763</v>
      </c>
      <c r="Q23" s="9">
        <f t="shared" si="3"/>
        <v>1.2617460500518973</v>
      </c>
      <c r="R23" s="10">
        <f t="shared" si="4"/>
        <v>1.3106796116504855</v>
      </c>
      <c r="S23" s="11">
        <f t="shared" si="21"/>
        <v>1.134687717790253</v>
      </c>
      <c r="T23" s="11">
        <f t="shared" si="6"/>
        <v>0.85106643840141172</v>
      </c>
      <c r="U23" s="12"/>
      <c r="V23" s="65">
        <f t="shared" si="7"/>
        <v>1.0815450643776825</v>
      </c>
      <c r="W23" s="64">
        <f t="shared" si="8"/>
        <v>2.1617460500518972</v>
      </c>
      <c r="X23" s="15">
        <f t="shared" si="22"/>
        <v>0.17599189386023242</v>
      </c>
      <c r="Y23" s="22">
        <f t="shared" si="23"/>
        <v>0.9055531705174501</v>
      </c>
      <c r="Z23" s="22">
        <f t="shared" si="11"/>
        <v>1.0802009856742147</v>
      </c>
      <c r="AA23" s="58"/>
      <c r="AB23" s="58">
        <f>1568+1428+43+257</f>
        <v>3296</v>
      </c>
      <c r="AC23" s="58">
        <f>1544+2527+389+1490</f>
        <v>5950</v>
      </c>
      <c r="AD23" s="17">
        <f t="shared" si="12"/>
        <v>0.55394957983193283</v>
      </c>
      <c r="AE23" s="17">
        <f t="shared" si="13"/>
        <v>0.52759548454574967</v>
      </c>
      <c r="AF23" s="58"/>
      <c r="AG23" s="58"/>
      <c r="AH23" s="23">
        <v>0.34</v>
      </c>
      <c r="AI23">
        <f t="shared" si="14"/>
        <v>0.74154506437768242</v>
      </c>
      <c r="AJ23" s="22">
        <f t="shared" si="15"/>
        <v>1.0802009856742147</v>
      </c>
      <c r="AN23" s="25">
        <v>0.41480957577530703</v>
      </c>
      <c r="AO23" s="25">
        <v>3.4676007005253903E-2</v>
      </c>
      <c r="AP23" s="26"/>
      <c r="AQ23" s="27" t="s">
        <v>50</v>
      </c>
      <c r="AR23" s="31">
        <v>1</v>
      </c>
      <c r="AS23" s="25">
        <f t="shared" si="16"/>
        <v>8.3595001249530246E-2</v>
      </c>
      <c r="AV23" s="39" t="s">
        <v>56</v>
      </c>
      <c r="AW23" s="25">
        <v>0.92676882617710943</v>
      </c>
      <c r="AX23" s="31">
        <v>1</v>
      </c>
      <c r="BC23" s="1"/>
      <c r="BD23" s="1"/>
      <c r="BE23" s="1"/>
      <c r="BF23" s="3" t="s">
        <v>49</v>
      </c>
      <c r="BG23" s="29">
        <v>0.5896321831885083</v>
      </c>
      <c r="BH23" s="30">
        <v>6.1272152768237498E-3</v>
      </c>
      <c r="BJ23">
        <v>1</v>
      </c>
      <c r="BK23" s="1">
        <f t="shared" si="19"/>
        <v>1.0391588945654361E-2</v>
      </c>
    </row>
    <row r="24" spans="1:63" x14ac:dyDescent="0.25">
      <c r="A24" s="3" t="s">
        <v>52</v>
      </c>
      <c r="B24" s="3">
        <v>0</v>
      </c>
      <c r="C24" s="3">
        <v>0</v>
      </c>
      <c r="D24" s="21">
        <f t="shared" si="0"/>
        <v>0</v>
      </c>
      <c r="E24" s="5">
        <v>89</v>
      </c>
      <c r="F24" s="3">
        <v>29</v>
      </c>
      <c r="G24" s="3">
        <v>29</v>
      </c>
      <c r="H24" s="21">
        <f t="shared" si="1"/>
        <v>29</v>
      </c>
      <c r="I24" s="5">
        <v>3567</v>
      </c>
      <c r="J24" s="5"/>
      <c r="K24" s="6">
        <v>1024000</v>
      </c>
      <c r="L24" s="6">
        <v>7317</v>
      </c>
      <c r="M24" s="6">
        <v>18518</v>
      </c>
      <c r="N24" s="7"/>
      <c r="O24" s="8">
        <f t="shared" si="2"/>
        <v>0</v>
      </c>
      <c r="P24" s="9">
        <f t="shared" si="20"/>
        <v>0.3951290636137812</v>
      </c>
      <c r="Q24" s="9">
        <f t="shared" si="3"/>
        <v>2.4950939164564059E-2</v>
      </c>
      <c r="R24" s="10">
        <f t="shared" si="4"/>
        <v>0</v>
      </c>
      <c r="S24" s="11">
        <f t="shared" si="21"/>
        <v>0.3951290636137812</v>
      </c>
      <c r="T24" s="11">
        <f t="shared" si="6"/>
        <v>2.4950939164564059E-2</v>
      </c>
      <c r="U24" s="12"/>
      <c r="V24" s="65">
        <f t="shared" si="7"/>
        <v>0</v>
      </c>
      <c r="W24" s="64">
        <f t="shared" si="8"/>
        <v>2.4950939164564059E-2</v>
      </c>
      <c r="X24" s="15">
        <f t="shared" si="22"/>
        <v>0.3951290636137812</v>
      </c>
      <c r="Y24" s="32">
        <f t="shared" si="23"/>
        <v>0.3951290636137812</v>
      </c>
      <c r="Z24" s="32">
        <f t="shared" si="11"/>
        <v>2.4950939164564059E-2</v>
      </c>
      <c r="AA24" s="58"/>
      <c r="AB24" s="58">
        <f>105+0+64+1</f>
        <v>170</v>
      </c>
      <c r="AC24" s="58">
        <f>749+0+417+5</f>
        <v>1171</v>
      </c>
      <c r="AD24" s="17">
        <f t="shared" si="12"/>
        <v>0.14517506404782238</v>
      </c>
      <c r="AE24" s="17">
        <f t="shared" si="13"/>
        <v>0.14517506404782238</v>
      </c>
      <c r="AF24" s="58"/>
      <c r="AG24" s="58"/>
      <c r="AH24" s="23">
        <v>0.14000000000000001</v>
      </c>
      <c r="AI24">
        <f t="shared" si="14"/>
        <v>0.14000000000000001</v>
      </c>
      <c r="AJ24" s="32">
        <f t="shared" si="15"/>
        <v>2.4950939164564059E-2</v>
      </c>
      <c r="AN24" s="25">
        <v>1.0802009856742101</v>
      </c>
      <c r="AO24" s="25">
        <v>0.74154506437768197</v>
      </c>
      <c r="AP24" s="26"/>
      <c r="AQ24" s="27" t="s">
        <v>51</v>
      </c>
      <c r="AR24" s="31">
        <v>1</v>
      </c>
      <c r="AS24" s="25">
        <f t="shared" si="16"/>
        <v>0.68648804640262828</v>
      </c>
      <c r="AV24" s="39" t="s">
        <v>59</v>
      </c>
      <c r="AW24" s="25">
        <v>4.6765238083260309E-2</v>
      </c>
      <c r="AX24" s="31">
        <v>1</v>
      </c>
      <c r="BC24" s="1"/>
      <c r="BD24" s="1"/>
      <c r="BE24" s="1"/>
      <c r="BF24" s="3" t="s">
        <v>50</v>
      </c>
      <c r="BG24" s="29">
        <v>0.41480957577530653</v>
      </c>
      <c r="BH24" s="30">
        <v>6.4681227184568424E-3</v>
      </c>
      <c r="BJ24">
        <v>1</v>
      </c>
      <c r="BK24" s="1">
        <f t="shared" si="19"/>
        <v>1.5592992775944222E-2</v>
      </c>
    </row>
    <row r="25" spans="1:63" x14ac:dyDescent="0.25">
      <c r="A25" s="3" t="s">
        <v>53</v>
      </c>
      <c r="B25" s="3">
        <v>153</v>
      </c>
      <c r="C25" s="3">
        <v>154</v>
      </c>
      <c r="D25" s="21">
        <f t="shared" si="0"/>
        <v>153.5</v>
      </c>
      <c r="E25" s="5">
        <v>39934</v>
      </c>
      <c r="F25" s="3">
        <v>198</v>
      </c>
      <c r="G25" s="3">
        <v>170</v>
      </c>
      <c r="H25" s="21">
        <f t="shared" si="1"/>
        <v>184</v>
      </c>
      <c r="I25" s="5">
        <v>22261</v>
      </c>
      <c r="J25" s="5"/>
      <c r="K25" s="6">
        <v>1024000</v>
      </c>
      <c r="L25" s="6">
        <v>10396</v>
      </c>
      <c r="M25" s="6">
        <v>75557</v>
      </c>
      <c r="N25" s="7"/>
      <c r="O25" s="8">
        <f t="shared" si="2"/>
        <v>0.77272727272727271</v>
      </c>
      <c r="P25" s="9">
        <f t="shared" si="20"/>
        <v>0.63513578550570493</v>
      </c>
      <c r="Q25" s="9">
        <f t="shared" si="3"/>
        <v>1.0211723723919941</v>
      </c>
      <c r="R25" s="10">
        <f t="shared" si="4"/>
        <v>0.90588235294117647</v>
      </c>
      <c r="S25" s="11">
        <f t="shared" si="21"/>
        <v>0.76829086571960858</v>
      </c>
      <c r="T25" s="11">
        <f t="shared" si="6"/>
        <v>0.88801729217809033</v>
      </c>
      <c r="U25" s="12"/>
      <c r="V25" s="65">
        <f t="shared" si="7"/>
        <v>0.83423913043478259</v>
      </c>
      <c r="W25" s="64">
        <f t="shared" si="8"/>
        <v>1.7938996451192668</v>
      </c>
      <c r="X25" s="15">
        <f t="shared" si="22"/>
        <v>0.13759148722156783</v>
      </c>
      <c r="Y25" s="22">
        <f t="shared" si="23"/>
        <v>0.69664764321321471</v>
      </c>
      <c r="Z25" s="22">
        <f t="shared" si="11"/>
        <v>0.95966051468448421</v>
      </c>
      <c r="AA25" s="58"/>
      <c r="AB25" s="58">
        <f>0+735+1278+2060</f>
        <v>4073</v>
      </c>
      <c r="AC25" s="58">
        <f>11+3367+1257+4097</f>
        <v>8732</v>
      </c>
      <c r="AD25" s="17">
        <f t="shared" si="12"/>
        <v>0.4664452588181402</v>
      </c>
      <c r="AE25" s="17">
        <f t="shared" si="13"/>
        <v>0.3677938716166424</v>
      </c>
      <c r="AF25" s="58"/>
      <c r="AG25" s="58"/>
      <c r="AH25" s="23">
        <v>0.32</v>
      </c>
      <c r="AI25">
        <f t="shared" si="14"/>
        <v>0.51423913043478264</v>
      </c>
      <c r="AJ25" s="22">
        <f t="shared" si="15"/>
        <v>0.95966051468448421</v>
      </c>
      <c r="AN25" s="25">
        <v>2.49509391645641E-2</v>
      </c>
      <c r="AO25" s="25">
        <v>0.14000000000000001</v>
      </c>
      <c r="AP25" s="26"/>
      <c r="AQ25" s="27" t="s">
        <v>52</v>
      </c>
      <c r="AR25" s="34">
        <f>AN25/AO25</f>
        <v>0.17822099403260069</v>
      </c>
      <c r="AS25" s="31">
        <v>1</v>
      </c>
      <c r="AV25" s="39" t="s">
        <v>60</v>
      </c>
      <c r="AW25" s="25">
        <v>3.1654778434397866E-2</v>
      </c>
      <c r="AX25" s="31">
        <v>1</v>
      </c>
      <c r="BC25" s="1"/>
      <c r="BD25" s="1"/>
      <c r="BE25" s="1"/>
      <c r="BF25" s="3" t="s">
        <v>51</v>
      </c>
      <c r="BG25" s="29">
        <v>1.0802009856742147</v>
      </c>
      <c r="BH25" s="30">
        <v>0.52759548454574967</v>
      </c>
      <c r="BJ25">
        <v>1</v>
      </c>
      <c r="BK25" s="1">
        <f t="shared" si="19"/>
        <v>0.48842344299144236</v>
      </c>
    </row>
    <row r="26" spans="1:63" x14ac:dyDescent="0.25">
      <c r="A26" s="3" t="s">
        <v>54</v>
      </c>
      <c r="B26" s="3">
        <v>2</v>
      </c>
      <c r="C26" s="3">
        <v>2</v>
      </c>
      <c r="D26" s="21">
        <f t="shared" si="0"/>
        <v>2</v>
      </c>
      <c r="E26" s="5">
        <v>324</v>
      </c>
      <c r="F26" s="3">
        <v>10</v>
      </c>
      <c r="G26" s="3">
        <v>9</v>
      </c>
      <c r="H26" s="21">
        <f t="shared" si="1"/>
        <v>9.5</v>
      </c>
      <c r="I26" s="5">
        <v>1115</v>
      </c>
      <c r="J26" s="5"/>
      <c r="K26" s="6">
        <v>1024000</v>
      </c>
      <c r="L26" s="6">
        <v>3619</v>
      </c>
      <c r="M26" s="6">
        <v>47867</v>
      </c>
      <c r="N26" s="7"/>
      <c r="O26" s="8">
        <f t="shared" si="2"/>
        <v>0.2</v>
      </c>
      <c r="P26" s="9">
        <f t="shared" si="20"/>
        <v>0.12439467691729167</v>
      </c>
      <c r="Q26" s="9">
        <f t="shared" si="3"/>
        <v>9.0582959641255567E-2</v>
      </c>
      <c r="R26" s="10">
        <f t="shared" si="4"/>
        <v>0.22222222222222221</v>
      </c>
      <c r="S26" s="11">
        <f t="shared" si="21"/>
        <v>0.14661689913951387</v>
      </c>
      <c r="T26" s="11">
        <f t="shared" si="6"/>
        <v>6.8360737419033368E-2</v>
      </c>
      <c r="U26" s="12"/>
      <c r="V26" s="65">
        <f t="shared" si="7"/>
        <v>0.21052631578947367</v>
      </c>
      <c r="W26" s="64">
        <f t="shared" si="8"/>
        <v>0.29058295964125558</v>
      </c>
      <c r="X26" s="15">
        <f t="shared" si="22"/>
        <v>7.5605323082708342E-2</v>
      </c>
      <c r="Y26" s="32">
        <f t="shared" si="23"/>
        <v>0.13492099270676533</v>
      </c>
      <c r="Z26" s="32">
        <f t="shared" si="11"/>
        <v>8.0056643851781906E-2</v>
      </c>
      <c r="AA26" s="58"/>
      <c r="AB26" s="58">
        <f>0+2+3+61</f>
        <v>66</v>
      </c>
      <c r="AC26" s="58">
        <f>0+33+6+347</f>
        <v>386</v>
      </c>
      <c r="AD26" s="17">
        <f t="shared" si="12"/>
        <v>0.17098445595854922</v>
      </c>
      <c r="AE26" s="17">
        <f t="shared" si="13"/>
        <v>3.9541859830924453E-2</v>
      </c>
      <c r="AF26" s="58"/>
      <c r="AG26" s="58"/>
      <c r="AH26" s="23">
        <v>0.15</v>
      </c>
      <c r="AI26">
        <f t="shared" si="14"/>
        <v>6.0526315789473678E-2</v>
      </c>
      <c r="AJ26" s="32">
        <f t="shared" si="15"/>
        <v>8.0056643851781906E-2</v>
      </c>
      <c r="AN26" s="25">
        <v>0.95966051468448399</v>
      </c>
      <c r="AO26" s="25">
        <v>0.51423913043478298</v>
      </c>
      <c r="AP26" s="26"/>
      <c r="AQ26" s="27" t="s">
        <v>53</v>
      </c>
      <c r="AR26" s="31">
        <v>1</v>
      </c>
      <c r="AS26" s="25">
        <f>AO26/AN26</f>
        <v>0.5358552556513736</v>
      </c>
      <c r="BC26" s="1"/>
      <c r="BD26" s="1"/>
      <c r="BE26" s="1"/>
      <c r="BF26" s="3" t="s">
        <v>52</v>
      </c>
      <c r="BG26" s="32">
        <v>2.4950939164564059E-2</v>
      </c>
      <c r="BH26" s="33">
        <v>0.14517506404782238</v>
      </c>
      <c r="BJ26">
        <f>BG26/BH26</f>
        <v>0.17186793977473241</v>
      </c>
      <c r="BK26">
        <v>1</v>
      </c>
    </row>
    <row r="27" spans="1:63" x14ac:dyDescent="0.25">
      <c r="A27" s="3" t="s">
        <v>55</v>
      </c>
      <c r="B27" s="3">
        <v>0</v>
      </c>
      <c r="C27" s="3">
        <v>0</v>
      </c>
      <c r="D27" s="21">
        <f t="shared" si="0"/>
        <v>0</v>
      </c>
      <c r="E27" s="5">
        <v>6</v>
      </c>
      <c r="F27" s="3">
        <v>12</v>
      </c>
      <c r="G27" s="3">
        <v>15</v>
      </c>
      <c r="H27" s="21">
        <f t="shared" si="1"/>
        <v>13.5</v>
      </c>
      <c r="I27" s="5">
        <v>1075</v>
      </c>
      <c r="J27" s="5"/>
      <c r="K27" s="6">
        <v>1024000</v>
      </c>
      <c r="L27" s="6">
        <v>2850</v>
      </c>
      <c r="M27" s="6">
        <v>14674</v>
      </c>
      <c r="N27" s="7"/>
      <c r="O27" s="8">
        <f t="shared" si="2"/>
        <v>0</v>
      </c>
      <c r="P27" s="9">
        <f t="shared" si="20"/>
        <v>0.19422107128254054</v>
      </c>
      <c r="Q27" s="9">
        <f t="shared" si="3"/>
        <v>5.5813953488372094E-3</v>
      </c>
      <c r="R27" s="10">
        <f t="shared" si="4"/>
        <v>0</v>
      </c>
      <c r="S27" s="11">
        <f t="shared" si="21"/>
        <v>0.19422107128254054</v>
      </c>
      <c r="T27" s="11">
        <f t="shared" si="6"/>
        <v>5.5813953488372094E-3</v>
      </c>
      <c r="U27" s="12"/>
      <c r="V27" s="65">
        <f t="shared" si="7"/>
        <v>0</v>
      </c>
      <c r="W27" s="64">
        <f t="shared" si="8"/>
        <v>5.5813953488372094E-3</v>
      </c>
      <c r="X27" s="15">
        <f t="shared" si="22"/>
        <v>0.19422107128254054</v>
      </c>
      <c r="Y27" s="32">
        <f t="shared" si="23"/>
        <v>0.19422107128254054</v>
      </c>
      <c r="Z27" s="32">
        <f t="shared" si="11"/>
        <v>5.5813953488372094E-3</v>
      </c>
      <c r="AA27" s="58"/>
      <c r="AB27" s="58">
        <f>0+0+41+3</f>
        <v>44</v>
      </c>
      <c r="AC27" s="58">
        <f>0+0+446+22</f>
        <v>468</v>
      </c>
      <c r="AD27" s="17">
        <f t="shared" si="12"/>
        <v>9.4017094017094016E-2</v>
      </c>
      <c r="AE27" s="17">
        <f t="shared" si="13"/>
        <v>9.4017094017094016E-2</v>
      </c>
      <c r="AF27" s="58"/>
      <c r="AG27" s="58"/>
      <c r="AH27" s="23">
        <v>0.09</v>
      </c>
      <c r="AI27">
        <f t="shared" si="14"/>
        <v>0.09</v>
      </c>
      <c r="AJ27" s="32">
        <f t="shared" si="15"/>
        <v>5.5813953488372094E-3</v>
      </c>
      <c r="AN27" s="25">
        <v>8.0056643851781906E-2</v>
      </c>
      <c r="AO27" s="25">
        <v>6.0526315789473699E-2</v>
      </c>
      <c r="AP27" s="26"/>
      <c r="AQ27" s="27" t="s">
        <v>54</v>
      </c>
      <c r="AR27" s="31">
        <v>1</v>
      </c>
      <c r="AS27" s="25">
        <f>AO27/AN27</f>
        <v>0.75604363207547198</v>
      </c>
      <c r="BC27" s="1"/>
      <c r="BD27" s="1"/>
      <c r="BE27" s="1"/>
      <c r="BF27" s="3" t="s">
        <v>53</v>
      </c>
      <c r="BG27" s="29">
        <v>0.95966051468448421</v>
      </c>
      <c r="BH27" s="30">
        <v>0.3677938716166424</v>
      </c>
      <c r="BJ27">
        <v>1</v>
      </c>
      <c r="BK27">
        <f>BH27/BG27</f>
        <v>0.3832541466370169</v>
      </c>
    </row>
    <row r="28" spans="1:63" x14ac:dyDescent="0.25">
      <c r="A28" s="3" t="s">
        <v>56</v>
      </c>
      <c r="B28" s="3">
        <v>24</v>
      </c>
      <c r="C28" s="3">
        <v>21</v>
      </c>
      <c r="D28" s="21">
        <f t="shared" si="0"/>
        <v>22.5</v>
      </c>
      <c r="E28" s="5">
        <v>3310</v>
      </c>
      <c r="F28" s="3">
        <v>135</v>
      </c>
      <c r="G28" s="3">
        <v>113</v>
      </c>
      <c r="H28" s="21">
        <f t="shared" si="1"/>
        <v>124</v>
      </c>
      <c r="I28" s="5">
        <v>15717</v>
      </c>
      <c r="J28" s="5"/>
      <c r="K28" s="6">
        <v>1024000</v>
      </c>
      <c r="L28" s="6">
        <v>8517</v>
      </c>
      <c r="M28" s="6">
        <v>53437</v>
      </c>
      <c r="N28" s="7"/>
      <c r="O28" s="8">
        <f t="shared" si="2"/>
        <v>0.17777777777777778</v>
      </c>
      <c r="P28" s="9">
        <f t="shared" si="20"/>
        <v>1.8393830325637878E-2</v>
      </c>
      <c r="Q28" s="9">
        <f t="shared" si="3"/>
        <v>3.2822209497147453E-2</v>
      </c>
      <c r="R28" s="10">
        <f t="shared" si="4"/>
        <v>0.18584070796460178</v>
      </c>
      <c r="S28" s="11">
        <f t="shared" si="21"/>
        <v>2.6456760512461874E-2</v>
      </c>
      <c r="T28" s="11">
        <f t="shared" si="6"/>
        <v>2.4759279310323457E-2</v>
      </c>
      <c r="U28" s="12"/>
      <c r="V28" s="65">
        <f t="shared" si="7"/>
        <v>0.18145161290322581</v>
      </c>
      <c r="W28" s="64">
        <f t="shared" si="8"/>
        <v>0.21059998727492524</v>
      </c>
      <c r="X28" s="15">
        <f t="shared" si="22"/>
        <v>0.15938394745213991</v>
      </c>
      <c r="Y28" s="22">
        <f t="shared" si="23"/>
        <v>2.2067665451085905E-2</v>
      </c>
      <c r="Z28" s="22">
        <f t="shared" si="11"/>
        <v>2.9148374371699426E-2</v>
      </c>
      <c r="AA28" s="58"/>
      <c r="AB28" s="58">
        <f>608+11+214+5</f>
        <v>838</v>
      </c>
      <c r="AC28" s="58">
        <f>3150+69+1705+35</f>
        <v>4959</v>
      </c>
      <c r="AD28" s="17">
        <f t="shared" si="12"/>
        <v>0.16898568259729785</v>
      </c>
      <c r="AE28" s="17">
        <f t="shared" si="13"/>
        <v>1.2465930305927964E-2</v>
      </c>
      <c r="AF28" s="58"/>
      <c r="AG28" s="58"/>
      <c r="AH28" s="23">
        <v>0.15</v>
      </c>
      <c r="AI28">
        <f t="shared" si="14"/>
        <v>3.1451612903225817E-2</v>
      </c>
      <c r="AJ28" s="22">
        <f t="shared" si="15"/>
        <v>2.9148374371699426E-2</v>
      </c>
      <c r="AN28" s="25">
        <v>5.5813953488372103E-3</v>
      </c>
      <c r="AO28" s="25">
        <v>0.09</v>
      </c>
      <c r="AP28" s="26"/>
      <c r="AQ28" s="27" t="s">
        <v>55</v>
      </c>
      <c r="AR28" s="25">
        <f t="shared" ref="AR28:AR33" si="24">AN28/AO28</f>
        <v>6.2015503875969005E-2</v>
      </c>
      <c r="AS28" s="31">
        <v>1</v>
      </c>
      <c r="BF28" s="3" t="s">
        <v>54</v>
      </c>
      <c r="BG28" s="32">
        <v>8.0056643851781906E-2</v>
      </c>
      <c r="BH28" s="33">
        <v>3.9541859830924453E-2</v>
      </c>
      <c r="BJ28">
        <v>1</v>
      </c>
      <c r="BK28" s="1">
        <f>BH28/BG28</f>
        <v>0.49392352624890018</v>
      </c>
    </row>
    <row r="29" spans="1:63" x14ac:dyDescent="0.25">
      <c r="A29" s="3" t="s">
        <v>57</v>
      </c>
      <c r="B29" s="3">
        <v>1</v>
      </c>
      <c r="C29" s="3">
        <v>1</v>
      </c>
      <c r="D29" s="21">
        <f t="shared" si="0"/>
        <v>1</v>
      </c>
      <c r="E29" s="5">
        <v>131</v>
      </c>
      <c r="F29" s="3">
        <v>19</v>
      </c>
      <c r="G29" s="3">
        <v>17</v>
      </c>
      <c r="H29" s="21">
        <f t="shared" si="1"/>
        <v>18</v>
      </c>
      <c r="I29" s="5">
        <v>2194</v>
      </c>
      <c r="J29" s="5"/>
      <c r="K29" s="6">
        <v>1024000</v>
      </c>
      <c r="L29" s="6">
        <v>3426</v>
      </c>
      <c r="M29" s="6">
        <v>80028</v>
      </c>
      <c r="N29" s="7"/>
      <c r="O29" s="8">
        <f t="shared" si="2"/>
        <v>5.2631578947368418E-2</v>
      </c>
      <c r="P29" s="9">
        <f t="shared" si="20"/>
        <v>9.8215624531413984E-3</v>
      </c>
      <c r="Q29" s="9">
        <f t="shared" si="3"/>
        <v>7.0767164035887356E-3</v>
      </c>
      <c r="R29" s="10">
        <f t="shared" si="4"/>
        <v>5.8823529411764705E-2</v>
      </c>
      <c r="S29" s="11">
        <f t="shared" si="21"/>
        <v>1.6013512917537685E-2</v>
      </c>
      <c r="T29" s="11">
        <f t="shared" si="6"/>
        <v>8.8476593919244867E-4</v>
      </c>
      <c r="U29" s="12"/>
      <c r="V29" s="65">
        <f t="shared" si="7"/>
        <v>5.5555555555555552E-2</v>
      </c>
      <c r="W29" s="64">
        <f t="shared" si="8"/>
        <v>5.9708295350957154E-2</v>
      </c>
      <c r="X29" s="15">
        <f t="shared" si="22"/>
        <v>4.281001649422702E-2</v>
      </c>
      <c r="Y29" s="32">
        <f t="shared" si="23"/>
        <v>1.2745539061328533E-2</v>
      </c>
      <c r="Z29" s="32">
        <f t="shared" si="11"/>
        <v>4.1527397954016013E-3</v>
      </c>
      <c r="AA29" s="58"/>
      <c r="AB29" s="58">
        <f>63+0+6+0</f>
        <v>69</v>
      </c>
      <c r="AC29" s="58">
        <f>584+18+46+0</f>
        <v>648</v>
      </c>
      <c r="AD29" s="17">
        <f t="shared" si="12"/>
        <v>0.10648148148148148</v>
      </c>
      <c r="AE29" s="17">
        <f t="shared" si="13"/>
        <v>5.092592592592593E-2</v>
      </c>
      <c r="AF29" s="58"/>
      <c r="AG29" s="58"/>
      <c r="AH29" s="23">
        <v>0.1</v>
      </c>
      <c r="AI29">
        <f t="shared" si="14"/>
        <v>4.4444444444444453E-2</v>
      </c>
      <c r="AJ29" s="32">
        <f t="shared" si="15"/>
        <v>4.1527397954016013E-3</v>
      </c>
      <c r="AN29" s="25">
        <v>2.9148374371699402E-2</v>
      </c>
      <c r="AO29" s="25">
        <v>3.1451612903225797E-2</v>
      </c>
      <c r="AP29" s="26"/>
      <c r="AQ29" s="27" t="s">
        <v>56</v>
      </c>
      <c r="AR29" s="25">
        <f t="shared" si="24"/>
        <v>0.92676882617710943</v>
      </c>
      <c r="AS29" s="31">
        <v>1</v>
      </c>
      <c r="BF29" s="3" t="s">
        <v>55</v>
      </c>
      <c r="BG29" s="32">
        <v>5.5813953488372094E-3</v>
      </c>
      <c r="BH29" s="33">
        <v>9.4017094017094016E-2</v>
      </c>
      <c r="BJ29">
        <f>BG29/BH29</f>
        <v>5.9365750528541227E-2</v>
      </c>
      <c r="BK29">
        <v>1</v>
      </c>
    </row>
    <row r="30" spans="1:63" x14ac:dyDescent="0.25">
      <c r="A30" s="3" t="s">
        <v>58</v>
      </c>
      <c r="B30" s="3">
        <v>1</v>
      </c>
      <c r="C30" s="3">
        <v>1</v>
      </c>
      <c r="D30" s="21">
        <f t="shared" si="0"/>
        <v>1</v>
      </c>
      <c r="E30" s="5">
        <v>88</v>
      </c>
      <c r="F30" s="3">
        <v>30</v>
      </c>
      <c r="G30" s="3">
        <v>31</v>
      </c>
      <c r="H30" s="21">
        <f t="shared" si="1"/>
        <v>30.5</v>
      </c>
      <c r="I30" s="5">
        <v>4321</v>
      </c>
      <c r="J30" s="5"/>
      <c r="K30" s="6">
        <v>1024000</v>
      </c>
      <c r="L30" s="6">
        <v>15339</v>
      </c>
      <c r="M30" s="6">
        <v>98165</v>
      </c>
      <c r="N30" s="7"/>
      <c r="O30" s="8">
        <f t="shared" si="2"/>
        <v>3.3333333333333333E-2</v>
      </c>
      <c r="P30" s="9">
        <f t="shared" si="20"/>
        <v>0.12292398852272535</v>
      </c>
      <c r="Q30" s="9">
        <f t="shared" si="3"/>
        <v>1.2967677235207899E-2</v>
      </c>
      <c r="R30" s="10">
        <f t="shared" si="4"/>
        <v>3.2258064516129031E-2</v>
      </c>
      <c r="S30" s="11">
        <f t="shared" si="21"/>
        <v>0.12399925733992964</v>
      </c>
      <c r="T30" s="11">
        <f t="shared" si="6"/>
        <v>1.1892408418003597E-2</v>
      </c>
      <c r="U30" s="12"/>
      <c r="V30" s="65">
        <f t="shared" si="7"/>
        <v>3.2786885245901641E-2</v>
      </c>
      <c r="W30" s="64">
        <f t="shared" si="8"/>
        <v>2.0365656098125434E-2</v>
      </c>
      <c r="X30" s="15">
        <f t="shared" si="22"/>
        <v>0.15625732185605867</v>
      </c>
      <c r="Y30" s="32">
        <f t="shared" si="23"/>
        <v>0.12347043661015702</v>
      </c>
      <c r="Z30" s="32">
        <f t="shared" si="11"/>
        <v>1.2421229147776207E-2</v>
      </c>
      <c r="AA30" s="58"/>
      <c r="AB30" s="58">
        <f>51+25+10+7</f>
        <v>93</v>
      </c>
      <c r="AC30" s="58">
        <f>372+454+82+109</f>
        <v>1017</v>
      </c>
      <c r="AD30" s="17">
        <f t="shared" si="12"/>
        <v>9.1445427728613568E-2</v>
      </c>
      <c r="AE30" s="17">
        <f t="shared" si="13"/>
        <v>5.8658542482711927E-2</v>
      </c>
      <c r="AF30" s="58"/>
      <c r="AG30" s="58"/>
      <c r="AH30" s="23">
        <v>0.09</v>
      </c>
      <c r="AI30">
        <f t="shared" si="14"/>
        <v>5.7213114754098356E-2</v>
      </c>
      <c r="AJ30" s="32">
        <f t="shared" si="15"/>
        <v>1.2421229147776207E-2</v>
      </c>
      <c r="AN30" s="25">
        <v>4.1527397954016004E-3</v>
      </c>
      <c r="AO30" s="25">
        <v>4.4444444444444502E-2</v>
      </c>
      <c r="AP30" s="26"/>
      <c r="AQ30" s="27" t="s">
        <v>57</v>
      </c>
      <c r="AR30" s="25">
        <f t="shared" si="24"/>
        <v>9.3436645396535886E-2</v>
      </c>
      <c r="AS30" s="31">
        <v>1</v>
      </c>
      <c r="BF30" s="3" t="s">
        <v>56</v>
      </c>
      <c r="BG30" s="29">
        <v>2.9148374371699426E-2</v>
      </c>
      <c r="BH30" s="30">
        <f t="shared" ref="BH30:BH34" si="25">ABS(AR30-BG30)</f>
        <v>6.428827102483646E-2</v>
      </c>
      <c r="BJ30" s="1">
        <f t="shared" ref="BJ30:BJ33" si="26">BG30/BH30</f>
        <v>0.45340112445143449</v>
      </c>
      <c r="BK30">
        <v>1</v>
      </c>
    </row>
    <row r="31" spans="1:63" x14ac:dyDescent="0.25">
      <c r="A31" s="3" t="s">
        <v>59</v>
      </c>
      <c r="B31" s="3">
        <v>1</v>
      </c>
      <c r="C31" s="3">
        <v>2</v>
      </c>
      <c r="D31" s="21">
        <f t="shared" si="0"/>
        <v>1.5</v>
      </c>
      <c r="E31" s="5">
        <v>113</v>
      </c>
      <c r="F31" s="3">
        <v>64</v>
      </c>
      <c r="G31" s="3">
        <v>69</v>
      </c>
      <c r="H31" s="21">
        <f t="shared" si="1"/>
        <v>66.5</v>
      </c>
      <c r="I31" s="5">
        <v>6119</v>
      </c>
      <c r="J31" s="5"/>
      <c r="K31" s="6">
        <v>1024000</v>
      </c>
      <c r="L31" s="6">
        <v>15343</v>
      </c>
      <c r="M31" s="6">
        <v>45347</v>
      </c>
      <c r="N31" s="7"/>
      <c r="O31" s="8">
        <f t="shared" si="2"/>
        <v>1.5625E-2</v>
      </c>
      <c r="P31" s="9">
        <f t="shared" si="20"/>
        <v>0.32272152788497588</v>
      </c>
      <c r="Q31" s="9">
        <f t="shared" si="3"/>
        <v>2.8420697826442229E-3</v>
      </c>
      <c r="R31" s="10">
        <f t="shared" si="4"/>
        <v>2.8985507246376812E-2</v>
      </c>
      <c r="S31" s="11">
        <f t="shared" si="21"/>
        <v>0.30936102063859905</v>
      </c>
      <c r="T31" s="11">
        <f t="shared" si="6"/>
        <v>1.0518437463732589E-2</v>
      </c>
      <c r="U31" s="12"/>
      <c r="V31" s="65">
        <f t="shared" si="7"/>
        <v>2.2556390977443608E-2</v>
      </c>
      <c r="W31" s="64">
        <f t="shared" si="8"/>
        <v>1.8467069782644223E-2</v>
      </c>
      <c r="X31" s="15">
        <f t="shared" si="22"/>
        <v>0.33834652788497588</v>
      </c>
      <c r="Y31" s="32">
        <f t="shared" si="23"/>
        <v>0.31579013690753227</v>
      </c>
      <c r="Z31" s="32">
        <f t="shared" si="11"/>
        <v>4.0893211947993849E-3</v>
      </c>
      <c r="AA31" s="58"/>
      <c r="AB31" s="58">
        <f>27+111+102+54</f>
        <v>294</v>
      </c>
      <c r="AC31" s="58">
        <f>227+648+1291+424</f>
        <v>2590</v>
      </c>
      <c r="AD31" s="17">
        <f t="shared" si="12"/>
        <v>0.11351351351351352</v>
      </c>
      <c r="AE31" s="17">
        <f t="shared" si="13"/>
        <v>9.0957122536069912E-2</v>
      </c>
      <c r="AF31" s="58"/>
      <c r="AG31" s="58"/>
      <c r="AH31" s="23">
        <v>0.11</v>
      </c>
      <c r="AI31">
        <f t="shared" si="14"/>
        <v>8.7443609022556393E-2</v>
      </c>
      <c r="AJ31" s="32">
        <f t="shared" si="15"/>
        <v>4.0893211947993849E-3</v>
      </c>
      <c r="AN31" s="25">
        <v>1.24212291477762E-2</v>
      </c>
      <c r="AO31" s="25">
        <v>5.7213114754098397E-2</v>
      </c>
      <c r="AP31" s="26"/>
      <c r="AQ31" s="27" t="s">
        <v>58</v>
      </c>
      <c r="AR31" s="25">
        <f t="shared" si="24"/>
        <v>0.21710457822760679</v>
      </c>
      <c r="AS31" s="31">
        <v>1</v>
      </c>
      <c r="AW31" s="63">
        <f>AVERAGE(AW6:AW25)</f>
        <v>0.90025944213473841</v>
      </c>
      <c r="AX31" s="38">
        <f>AVERAGE(AX6:AX25)</f>
        <v>0.34122727859669544</v>
      </c>
      <c r="BF31" s="3" t="s">
        <v>57</v>
      </c>
      <c r="BG31" s="32">
        <v>4.1527397954016013E-3</v>
      </c>
      <c r="BH31" s="30">
        <f t="shared" si="25"/>
        <v>0.21295183843220519</v>
      </c>
      <c r="BJ31" s="1">
        <f t="shared" si="26"/>
        <v>1.9500840311945263E-2</v>
      </c>
      <c r="BK31">
        <v>1</v>
      </c>
    </row>
    <row r="32" spans="1:63" x14ac:dyDescent="0.25">
      <c r="A32" s="3" t="s">
        <v>60</v>
      </c>
      <c r="B32" s="3">
        <v>11</v>
      </c>
      <c r="C32" s="3">
        <v>9</v>
      </c>
      <c r="D32" s="35">
        <f t="shared" si="0"/>
        <v>10</v>
      </c>
      <c r="E32" s="5">
        <v>909</v>
      </c>
      <c r="F32" s="3">
        <v>273</v>
      </c>
      <c r="G32" s="3">
        <v>297</v>
      </c>
      <c r="H32" s="35">
        <f t="shared" si="1"/>
        <v>285</v>
      </c>
      <c r="I32" s="5">
        <v>26749</v>
      </c>
      <c r="J32" s="5"/>
      <c r="K32" s="6">
        <v>1024000</v>
      </c>
      <c r="L32" s="6">
        <v>10892</v>
      </c>
      <c r="M32" s="6">
        <v>26870</v>
      </c>
      <c r="N32" s="7"/>
      <c r="O32" s="8">
        <f t="shared" si="2"/>
        <v>4.0293040293040296E-2</v>
      </c>
      <c r="P32" s="9">
        <f t="shared" si="20"/>
        <v>0.36506609629051012</v>
      </c>
      <c r="Q32" s="9">
        <f t="shared" si="3"/>
        <v>6.3104615050482218E-3</v>
      </c>
      <c r="R32" s="10">
        <f t="shared" si="4"/>
        <v>3.0303030303030304E-2</v>
      </c>
      <c r="S32" s="11">
        <f t="shared" si="21"/>
        <v>0.37505610628052011</v>
      </c>
      <c r="T32" s="11">
        <f t="shared" si="6"/>
        <v>3.6795484849617699E-3</v>
      </c>
      <c r="U32" s="12"/>
      <c r="V32" s="65">
        <f t="shared" si="7"/>
        <v>3.5087719298245612E-2</v>
      </c>
      <c r="W32" s="64">
        <f t="shared" si="8"/>
        <v>3.3982578787992074E-2</v>
      </c>
      <c r="X32" s="15">
        <f t="shared" si="22"/>
        <v>0.40535913658355044</v>
      </c>
      <c r="Y32" s="32">
        <f t="shared" si="23"/>
        <v>0.37027141728530483</v>
      </c>
      <c r="Z32" s="32">
        <f t="shared" si="11"/>
        <v>1.1051405102535383E-3</v>
      </c>
      <c r="AA32" s="58"/>
      <c r="AB32" s="58">
        <f>197+214+173+138</f>
        <v>722</v>
      </c>
      <c r="AC32" s="58">
        <f>3015+1677+3390+1718</f>
        <v>9800</v>
      </c>
      <c r="AD32" s="17">
        <f t="shared" si="12"/>
        <v>7.3673469387755097E-2</v>
      </c>
      <c r="AE32" s="17">
        <f t="shared" si="13"/>
        <v>3.8585750089509485E-2</v>
      </c>
      <c r="AF32" s="58"/>
      <c r="AG32" s="58"/>
      <c r="AH32" s="23">
        <v>7.0000000000000007E-2</v>
      </c>
      <c r="AI32">
        <f t="shared" si="14"/>
        <v>3.4912280701754395E-2</v>
      </c>
      <c r="AJ32" s="32">
        <f t="shared" si="15"/>
        <v>1.1051405102535383E-3</v>
      </c>
      <c r="AN32" s="25">
        <v>4.0893211947993797E-3</v>
      </c>
      <c r="AO32" s="25">
        <v>8.7443609022556407E-2</v>
      </c>
      <c r="AP32" s="26"/>
      <c r="AQ32" s="27" t="s">
        <v>59</v>
      </c>
      <c r="AR32" s="25">
        <f t="shared" si="24"/>
        <v>4.6765238083260309E-2</v>
      </c>
      <c r="AS32" s="31">
        <v>1</v>
      </c>
      <c r="AW32" s="61"/>
      <c r="BF32" s="3" t="s">
        <v>58</v>
      </c>
      <c r="BG32" s="32">
        <v>1.2421229147776207E-2</v>
      </c>
      <c r="BH32" s="30">
        <f t="shared" si="25"/>
        <v>3.4344008935484102E-2</v>
      </c>
      <c r="BJ32" s="1">
        <f t="shared" si="26"/>
        <v>0.36167091532935863</v>
      </c>
      <c r="BK32">
        <v>1</v>
      </c>
    </row>
    <row r="33" spans="2:63" x14ac:dyDescent="0.25">
      <c r="H33"/>
      <c r="I33"/>
      <c r="J33"/>
      <c r="K33"/>
      <c r="L33"/>
      <c r="V33"/>
      <c r="W33"/>
      <c r="X33"/>
      <c r="Y33"/>
      <c r="Z33"/>
      <c r="AA33"/>
      <c r="AB33"/>
      <c r="AC33"/>
      <c r="AD33"/>
      <c r="AE33"/>
      <c r="AF33"/>
      <c r="AG33"/>
      <c r="AN33" s="25">
        <v>1.1051405102535401E-3</v>
      </c>
      <c r="AO33" s="25">
        <v>3.4912280701754402E-2</v>
      </c>
      <c r="AP33" s="26"/>
      <c r="AQ33" s="27" t="s">
        <v>60</v>
      </c>
      <c r="AR33" s="25">
        <f t="shared" si="24"/>
        <v>3.1654778434397866E-2</v>
      </c>
      <c r="AS33" s="31">
        <v>1</v>
      </c>
      <c r="BF33" s="3" t="s">
        <v>59</v>
      </c>
      <c r="BG33" s="32">
        <v>4.0893211947993849E-3</v>
      </c>
      <c r="BH33" s="30">
        <f t="shared" si="25"/>
        <v>2.7565457239598481E-2</v>
      </c>
      <c r="BJ33" s="1">
        <f t="shared" si="26"/>
        <v>0.14834947808973656</v>
      </c>
      <c r="BK33">
        <v>1</v>
      </c>
    </row>
    <row r="34" spans="2:63" x14ac:dyDescent="0.25">
      <c r="B34">
        <f>AVERAGE(B2:B32)</f>
        <v>127.54838709677419</v>
      </c>
      <c r="C34">
        <f>AVERAGE(C2:C32)</f>
        <v>127.51612903225806</v>
      </c>
      <c r="E34">
        <f>AVERAGE(E2:E32)</f>
        <v>36635.483870967742</v>
      </c>
      <c r="F34">
        <f>AVERAGE(F2:F32)</f>
        <v>266.83870967741933</v>
      </c>
      <c r="G34">
        <f>AVERAGE(G2:G32)</f>
        <v>268.19354838709677</v>
      </c>
      <c r="H34"/>
      <c r="I34" s="3">
        <f>AVERAGE(I2:I32)</f>
        <v>27200.290322580644</v>
      </c>
      <c r="J34"/>
      <c r="K34"/>
      <c r="L34" s="3">
        <f>AVERAGE(L20:L32,L2:L17)</f>
        <v>12272.586206896553</v>
      </c>
      <c r="V34" s="2">
        <f>AVERAGE(V2:V32)</f>
        <v>0.43789011888347329</v>
      </c>
      <c r="W34" s="2">
        <f>AVERAGE(W2:W32)</f>
        <v>1.2117862479668202</v>
      </c>
      <c r="X34"/>
      <c r="Y34"/>
      <c r="Z34"/>
      <c r="AA34"/>
      <c r="AB34"/>
      <c r="AC34"/>
      <c r="AD34"/>
      <c r="AE34"/>
      <c r="AF34"/>
      <c r="AG34"/>
      <c r="AR34" s="36"/>
      <c r="AS34" s="36"/>
      <c r="BF34" s="3" t="s">
        <v>60</v>
      </c>
      <c r="BG34" s="32">
        <v>1.1051405102535383E-3</v>
      </c>
      <c r="BH34" s="30">
        <f t="shared" si="25"/>
        <v>1.1051405102535383E-3</v>
      </c>
      <c r="BJ34" s="1"/>
    </row>
    <row r="35" spans="2:63" x14ac:dyDescent="0.25">
      <c r="H35"/>
      <c r="I35"/>
      <c r="J35"/>
      <c r="K35"/>
      <c r="L35"/>
      <c r="V35" s="37">
        <f>AVERAGE(V20:V32,V2:V17)</f>
        <v>0.42646881069432863</v>
      </c>
      <c r="W35" s="37">
        <f>AVERAGE(W20:W32,W2:W17)</f>
        <v>1.1707831138362843</v>
      </c>
      <c r="X35" s="37">
        <f>AVERAGE(X2:X32)</f>
        <v>0.28208654103435393</v>
      </c>
      <c r="Y35" s="28">
        <f>ABS(V35-X35)</f>
        <v>0.14438226965997469</v>
      </c>
      <c r="Z35" s="28">
        <f>ABS(V35-W35)</f>
        <v>0.74431430314195568</v>
      </c>
      <c r="AA35" s="28"/>
      <c r="AB35" s="28"/>
      <c r="AC35" s="28"/>
      <c r="AD35" s="28"/>
      <c r="AE35" s="28"/>
      <c r="AF35" s="28"/>
      <c r="AG35" s="28"/>
      <c r="AR35" s="36"/>
      <c r="AS35" s="36"/>
    </row>
    <row r="36" spans="2:63" x14ac:dyDescent="0.25">
      <c r="H36"/>
      <c r="I36"/>
      <c r="J36"/>
      <c r="K36"/>
      <c r="L36"/>
      <c r="AN36" s="38">
        <f>AVERAGE(AN6:AN33)</f>
        <v>0.76452848626286107</v>
      </c>
      <c r="AO36" t="e">
        <f>moyenne</f>
        <v>#NAME?</v>
      </c>
      <c r="AQ36" s="39" t="s">
        <v>61</v>
      </c>
      <c r="AR36" s="40">
        <f>AVERAGE(AR6:AR33)</f>
        <v>0.80557023443669562</v>
      </c>
      <c r="AS36" s="40">
        <f>AVERAGE(AS6:AS33)</f>
        <v>0.4795413727794427</v>
      </c>
      <c r="BH36" s="1" t="s">
        <v>61</v>
      </c>
      <c r="BJ36">
        <f>AVERAGE(BJ6:BJ34)</f>
        <v>0.81369169740997938</v>
      </c>
      <c r="BK36">
        <f>AVERAGE(BK6:BK34)</f>
        <v>0.42510977933186833</v>
      </c>
    </row>
    <row r="37" spans="2:63" x14ac:dyDescent="0.25">
      <c r="F37" s="41"/>
      <c r="G37" s="41"/>
      <c r="H37" s="19"/>
      <c r="I37" s="17"/>
      <c r="J37" s="17"/>
      <c r="K37" s="17"/>
      <c r="L37" s="17"/>
      <c r="AN37" s="38"/>
      <c r="AO37" s="38"/>
      <c r="AP37" s="38"/>
      <c r="AQ37" s="59" t="s">
        <v>102</v>
      </c>
      <c r="AR37">
        <f>(AR36/AS36)</f>
        <v>1.6798763989175229</v>
      </c>
    </row>
    <row r="38" spans="2:63" x14ac:dyDescent="0.25">
      <c r="F38" s="42"/>
      <c r="G38" s="42"/>
      <c r="H38" s="42"/>
      <c r="I38" s="42"/>
      <c r="J38" s="42"/>
      <c r="K38" s="42"/>
      <c r="L38" s="42"/>
      <c r="BH38" s="1" t="s">
        <v>102</v>
      </c>
      <c r="BJ38">
        <f>(BJ36/BK36)</f>
        <v>1.9140742861498812</v>
      </c>
    </row>
    <row r="39" spans="2:63" x14ac:dyDescent="0.25">
      <c r="F39" s="42"/>
      <c r="G39" s="42"/>
      <c r="H39" s="42"/>
      <c r="I39" s="42"/>
      <c r="J39" s="42"/>
      <c r="K39" s="42"/>
      <c r="L39" s="42"/>
      <c r="AR39" s="62"/>
    </row>
    <row r="40" spans="2:63" x14ac:dyDescent="0.25">
      <c r="F40" s="42"/>
      <c r="G40" s="42"/>
      <c r="H40" s="42"/>
      <c r="I40" s="42"/>
      <c r="J40" s="42"/>
      <c r="K40" s="42"/>
      <c r="L40" s="42"/>
    </row>
    <row r="41" spans="2:63" x14ac:dyDescent="0.25">
      <c r="F41" s="42"/>
      <c r="G41" s="42"/>
      <c r="H41" s="42"/>
      <c r="I41" s="42"/>
      <c r="J41" s="42"/>
      <c r="K41" s="42"/>
      <c r="L41" s="42"/>
    </row>
    <row r="42" spans="2:63" x14ac:dyDescent="0.25">
      <c r="F42" s="42"/>
      <c r="G42" s="42"/>
      <c r="H42" s="42"/>
      <c r="I42" s="42"/>
      <c r="J42" s="42"/>
      <c r="K42" s="42"/>
      <c r="L42" s="42"/>
      <c r="AQ42" s="57"/>
      <c r="AR42" s="57"/>
    </row>
    <row r="43" spans="2:63" x14ac:dyDescent="0.25">
      <c r="F43" s="43"/>
      <c r="G43" s="42"/>
      <c r="H43" s="42"/>
      <c r="I43" s="42"/>
      <c r="J43" s="42"/>
      <c r="K43" s="42"/>
      <c r="L43" s="42"/>
      <c r="AQ43" s="57"/>
      <c r="AR43" s="57"/>
    </row>
    <row r="44" spans="2:63" x14ac:dyDescent="0.25">
      <c r="F44" s="42"/>
      <c r="G44" s="44" t="s">
        <v>64</v>
      </c>
      <c r="H44" s="45" t="s">
        <v>15</v>
      </c>
      <c r="I44" s="46" t="s">
        <v>16</v>
      </c>
      <c r="J44" s="46" t="s">
        <v>65</v>
      </c>
      <c r="K44" s="42"/>
      <c r="L44" s="42"/>
      <c r="AQ44" s="57"/>
      <c r="AR44" s="57"/>
    </row>
    <row r="45" spans="2:63" x14ac:dyDescent="0.25">
      <c r="F45" s="42"/>
      <c r="G45" s="46" t="s">
        <v>26</v>
      </c>
      <c r="H45" s="47">
        <v>0.10752688172043</v>
      </c>
      <c r="I45" s="48">
        <v>0.38700276846859999</v>
      </c>
      <c r="J45" s="49">
        <v>0.15</v>
      </c>
      <c r="K45" s="42"/>
      <c r="L45" s="42"/>
      <c r="AQ45" s="57"/>
      <c r="AR45" s="57"/>
    </row>
    <row r="46" spans="2:63" x14ac:dyDescent="0.25">
      <c r="F46" s="42"/>
      <c r="G46" s="46" t="s">
        <v>27</v>
      </c>
      <c r="H46" s="47">
        <v>0.21681415929203501</v>
      </c>
      <c r="I46" s="48">
        <v>0.30894874022588997</v>
      </c>
      <c r="J46" s="49">
        <v>0.17</v>
      </c>
      <c r="K46" s="42"/>
      <c r="L46" s="42"/>
      <c r="AQ46" s="57"/>
      <c r="AR46" s="57"/>
    </row>
    <row r="47" spans="2:63" x14ac:dyDescent="0.25">
      <c r="F47" s="42"/>
      <c r="G47" s="46" t="s">
        <v>28</v>
      </c>
      <c r="H47" s="47">
        <v>0.80357142857142905</v>
      </c>
      <c r="I47" s="48">
        <v>3.2335610589239998</v>
      </c>
      <c r="J47" s="49">
        <v>0.43</v>
      </c>
      <c r="K47" s="42"/>
      <c r="L47" s="42"/>
      <c r="AQ47" s="57"/>
      <c r="AR47" s="57"/>
    </row>
    <row r="48" spans="2:63" x14ac:dyDescent="0.25">
      <c r="F48" s="42"/>
      <c r="G48" s="46" t="s">
        <v>29</v>
      </c>
      <c r="H48" s="47">
        <v>0.26753246753246801</v>
      </c>
      <c r="I48" s="48">
        <v>1.1972042513863199</v>
      </c>
      <c r="J48" s="49">
        <v>0.21</v>
      </c>
      <c r="K48" s="42"/>
      <c r="L48" s="42"/>
      <c r="AQ48" s="57"/>
      <c r="AR48" s="57"/>
    </row>
    <row r="49" spans="6:44" x14ac:dyDescent="0.25">
      <c r="F49" s="42"/>
      <c r="G49" s="46" t="s">
        <v>35</v>
      </c>
      <c r="H49" s="47">
        <v>0.63320463320463305</v>
      </c>
      <c r="I49" s="48">
        <v>2.2003021628498698</v>
      </c>
      <c r="J49" s="49">
        <v>0.31</v>
      </c>
      <c r="K49" s="42"/>
      <c r="L49" s="42"/>
      <c r="AQ49" s="57"/>
      <c r="AR49" s="57"/>
    </row>
    <row r="50" spans="6:44" x14ac:dyDescent="0.25">
      <c r="F50" s="42"/>
      <c r="G50" s="46" t="s">
        <v>36</v>
      </c>
      <c r="H50" s="47">
        <v>0.28886659979939799</v>
      </c>
      <c r="I50" s="48">
        <v>1.0445018108962001</v>
      </c>
      <c r="J50" s="49">
        <v>0.21</v>
      </c>
      <c r="K50" s="42"/>
      <c r="L50" s="42"/>
    </row>
    <row r="51" spans="6:44" x14ac:dyDescent="0.25">
      <c r="F51" s="42"/>
      <c r="G51" s="46" t="s">
        <v>37</v>
      </c>
      <c r="H51" s="47">
        <v>0.31029986962190398</v>
      </c>
      <c r="I51" s="48">
        <v>0.89586776859504103</v>
      </c>
      <c r="J51" s="49">
        <v>0.24</v>
      </c>
      <c r="K51" s="42"/>
      <c r="L51" s="42"/>
    </row>
    <row r="52" spans="6:44" x14ac:dyDescent="0.25">
      <c r="F52" s="42"/>
      <c r="G52" s="46" t="s">
        <v>38</v>
      </c>
      <c r="H52" s="47">
        <v>0.38331160365058697</v>
      </c>
      <c r="I52" s="48">
        <v>0.82127599310784405</v>
      </c>
      <c r="J52" s="49">
        <v>0.22</v>
      </c>
      <c r="K52" s="42"/>
      <c r="L52" s="42"/>
    </row>
    <row r="53" spans="6:44" x14ac:dyDescent="0.25">
      <c r="F53" s="42"/>
      <c r="G53" s="46" t="s">
        <v>39</v>
      </c>
      <c r="H53" s="47">
        <v>0.43006993006993</v>
      </c>
      <c r="I53" s="48">
        <v>1.23249859169355</v>
      </c>
      <c r="J53" s="49">
        <v>0.22</v>
      </c>
      <c r="K53" s="42"/>
      <c r="L53" s="42"/>
    </row>
    <row r="54" spans="6:44" x14ac:dyDescent="0.25">
      <c r="F54" s="42"/>
      <c r="G54" s="46" t="s">
        <v>40</v>
      </c>
      <c r="H54" s="47">
        <v>0.72580645161290303</v>
      </c>
      <c r="I54" s="48">
        <v>1.6407030919102099</v>
      </c>
      <c r="J54" s="49">
        <v>0.34</v>
      </c>
      <c r="K54" s="42"/>
      <c r="L54" s="42"/>
    </row>
    <row r="55" spans="6:44" x14ac:dyDescent="0.25">
      <c r="F55" s="42"/>
      <c r="G55" s="46" t="s">
        <v>41</v>
      </c>
      <c r="H55" s="47">
        <v>1.6557971014492801</v>
      </c>
      <c r="I55" s="48">
        <v>6.3214733645785204</v>
      </c>
      <c r="J55" s="49">
        <v>0.48</v>
      </c>
      <c r="K55" s="42"/>
      <c r="L55" s="42"/>
    </row>
    <row r="56" spans="6:44" x14ac:dyDescent="0.25">
      <c r="F56" s="42"/>
      <c r="G56" s="46" t="s">
        <v>42</v>
      </c>
      <c r="H56" s="47">
        <v>1.1394422310757</v>
      </c>
      <c r="I56" s="48">
        <v>3.2625713509105698</v>
      </c>
      <c r="J56" s="49">
        <v>0.43</v>
      </c>
      <c r="K56" s="42"/>
      <c r="L56" s="42"/>
    </row>
    <row r="57" spans="6:44" x14ac:dyDescent="0.25">
      <c r="F57" s="42"/>
      <c r="G57" s="46" t="s">
        <v>43</v>
      </c>
      <c r="H57" s="47">
        <v>0.89230769230769202</v>
      </c>
      <c r="I57" s="48">
        <v>1.6673857619140999</v>
      </c>
      <c r="J57" s="49">
        <v>0.32</v>
      </c>
      <c r="K57" s="42"/>
      <c r="L57" s="42"/>
    </row>
    <row r="58" spans="6:44" x14ac:dyDescent="0.25">
      <c r="F58" s="42"/>
      <c r="G58" s="46" t="s">
        <v>44</v>
      </c>
      <c r="H58" s="47">
        <v>0.55129789864029699</v>
      </c>
      <c r="I58" s="48">
        <v>2.0313641492474499</v>
      </c>
      <c r="J58" s="49">
        <v>0.33</v>
      </c>
      <c r="K58" s="42"/>
      <c r="L58" s="42"/>
    </row>
    <row r="59" spans="6:44" x14ac:dyDescent="0.25">
      <c r="F59" s="42"/>
      <c r="G59" s="46" t="s">
        <v>45</v>
      </c>
      <c r="H59" s="47">
        <v>0.230250481695568</v>
      </c>
      <c r="I59" s="48">
        <v>0.45537610119719901</v>
      </c>
      <c r="J59" s="49">
        <v>0.17</v>
      </c>
      <c r="K59" s="42"/>
      <c r="L59" s="42"/>
    </row>
    <row r="60" spans="6:44" x14ac:dyDescent="0.25">
      <c r="F60" s="42"/>
      <c r="G60" s="46" t="s">
        <v>48</v>
      </c>
      <c r="H60" s="47">
        <v>0.116368286445013</v>
      </c>
      <c r="I60" s="48">
        <v>0.25341932343635898</v>
      </c>
      <c r="J60" s="49">
        <v>0.14000000000000001</v>
      </c>
      <c r="K60" s="42"/>
      <c r="L60" s="42"/>
    </row>
    <row r="61" spans="6:44" x14ac:dyDescent="0.25">
      <c r="F61" s="42"/>
      <c r="G61" s="46" t="s">
        <v>49</v>
      </c>
      <c r="H61" s="47">
        <v>0.26206896551724101</v>
      </c>
      <c r="I61" s="48">
        <v>0.85170114870574998</v>
      </c>
      <c r="J61" s="49">
        <v>0.21</v>
      </c>
      <c r="K61" s="42"/>
      <c r="L61" s="42"/>
    </row>
    <row r="62" spans="6:44" x14ac:dyDescent="0.25">
      <c r="F62" s="42"/>
      <c r="G62" s="46" t="s">
        <v>50</v>
      </c>
      <c r="H62" s="47">
        <v>0.23467600700525401</v>
      </c>
      <c r="I62" s="48">
        <v>0.64948558278056101</v>
      </c>
      <c r="J62" s="49">
        <v>0.2</v>
      </c>
      <c r="K62" s="42"/>
      <c r="L62" s="42"/>
    </row>
    <row r="63" spans="6:44" x14ac:dyDescent="0.25">
      <c r="F63" s="42"/>
      <c r="G63" s="46" t="s">
        <v>51</v>
      </c>
      <c r="H63" s="47">
        <v>1.0815450643776801</v>
      </c>
      <c r="I63" s="48">
        <v>2.1617460500518999</v>
      </c>
      <c r="J63" s="49">
        <v>0.34</v>
      </c>
      <c r="K63" s="42"/>
      <c r="L63" s="42"/>
    </row>
    <row r="64" spans="6:44" x14ac:dyDescent="0.25">
      <c r="F64" s="42"/>
      <c r="G64" s="46" t="s">
        <v>52</v>
      </c>
      <c r="H64" s="47">
        <v>0</v>
      </c>
      <c r="I64" s="48">
        <v>2.49509391645641E-2</v>
      </c>
      <c r="J64" s="49">
        <v>0.14000000000000001</v>
      </c>
      <c r="K64" s="42"/>
      <c r="L64" s="42"/>
    </row>
    <row r="65" spans="6:40" x14ac:dyDescent="0.25">
      <c r="F65" s="42"/>
      <c r="G65" s="46" t="s">
        <v>53</v>
      </c>
      <c r="H65" s="47">
        <v>0.83423913043478304</v>
      </c>
      <c r="I65" s="48">
        <v>1.7938996451192699</v>
      </c>
      <c r="J65" s="49">
        <v>0.32</v>
      </c>
      <c r="K65" s="42"/>
      <c r="L65" s="42"/>
    </row>
    <row r="66" spans="6:40" x14ac:dyDescent="0.25">
      <c r="F66" s="42"/>
      <c r="G66" s="46" t="s">
        <v>54</v>
      </c>
      <c r="H66" s="47">
        <v>0.21052631578947401</v>
      </c>
      <c r="I66" s="48">
        <v>0.29058295964125602</v>
      </c>
      <c r="J66" s="49">
        <v>0.15</v>
      </c>
      <c r="K66" s="42"/>
      <c r="L66" s="42"/>
    </row>
    <row r="67" spans="6:40" x14ac:dyDescent="0.25">
      <c r="F67" s="42"/>
      <c r="G67" s="46" t="s">
        <v>55</v>
      </c>
      <c r="H67" s="47">
        <v>0</v>
      </c>
      <c r="I67" s="48">
        <v>5.5813953488372103E-3</v>
      </c>
      <c r="J67" s="49">
        <v>0.09</v>
      </c>
      <c r="K67" s="42"/>
      <c r="L67" s="42"/>
    </row>
    <row r="68" spans="6:40" x14ac:dyDescent="0.25">
      <c r="F68" s="42"/>
      <c r="G68" s="46" t="s">
        <v>56</v>
      </c>
      <c r="H68" s="47">
        <v>0.18145161290322601</v>
      </c>
      <c r="I68" s="48">
        <v>0.21059998727492499</v>
      </c>
      <c r="J68" s="49">
        <v>0.15</v>
      </c>
      <c r="K68" s="42"/>
      <c r="L68" s="42"/>
    </row>
    <row r="69" spans="6:40" x14ac:dyDescent="0.25">
      <c r="F69" s="42"/>
      <c r="G69" s="46" t="s">
        <v>57</v>
      </c>
      <c r="H69" s="47">
        <v>5.5555555555555601E-2</v>
      </c>
      <c r="I69" s="48">
        <v>5.9708295350957202E-2</v>
      </c>
      <c r="J69" s="49">
        <v>0.1</v>
      </c>
      <c r="K69" s="42"/>
      <c r="L69" s="42"/>
    </row>
    <row r="70" spans="6:40" x14ac:dyDescent="0.25">
      <c r="G70" s="46" t="s">
        <v>58</v>
      </c>
      <c r="H70" s="47">
        <v>3.2786885245901599E-2</v>
      </c>
      <c r="I70" s="48">
        <v>2.03656560981254E-2</v>
      </c>
      <c r="J70" s="49">
        <v>0.09</v>
      </c>
    </row>
    <row r="71" spans="6:40" x14ac:dyDescent="0.25">
      <c r="G71" s="46" t="s">
        <v>59</v>
      </c>
      <c r="H71" s="47">
        <v>2.2556390977443601E-2</v>
      </c>
      <c r="I71" s="48">
        <v>1.8467069782644199E-2</v>
      </c>
      <c r="J71" s="49">
        <v>0.11</v>
      </c>
      <c r="AN71" s="3"/>
    </row>
    <row r="72" spans="6:40" x14ac:dyDescent="0.25">
      <c r="G72" s="46" t="s">
        <v>60</v>
      </c>
      <c r="H72" s="47">
        <v>3.5087719298245598E-2</v>
      </c>
      <c r="I72" s="48">
        <v>3.3982578787992102E-2</v>
      </c>
      <c r="J72" s="49">
        <v>7.0000000000000007E-2</v>
      </c>
      <c r="AN72" s="3"/>
    </row>
    <row r="73" spans="6:40" x14ac:dyDescent="0.25">
      <c r="G73" s="46"/>
      <c r="H73" s="47"/>
      <c r="I73" s="48"/>
      <c r="J73" s="49"/>
    </row>
    <row r="74" spans="6:40" x14ac:dyDescent="0.25">
      <c r="G74" s="46"/>
      <c r="H74" s="45"/>
      <c r="I74" s="46"/>
      <c r="J74" s="50"/>
    </row>
    <row r="75" spans="6:40" x14ac:dyDescent="0.25">
      <c r="G75" s="46"/>
      <c r="H75" s="45"/>
      <c r="I75" s="46"/>
      <c r="J75" s="50"/>
    </row>
    <row r="76" spans="6:40" x14ac:dyDescent="0.25">
      <c r="H76"/>
      <c r="I76"/>
      <c r="J76"/>
    </row>
    <row r="77" spans="6:40" x14ac:dyDescent="0.25">
      <c r="H77"/>
      <c r="I77"/>
      <c r="J77"/>
    </row>
    <row r="78" spans="6:40" x14ac:dyDescent="0.25">
      <c r="H78" s="51">
        <f>AVERAGE(H45:H72)</f>
        <v>0.41796290584978818</v>
      </c>
      <c r="I78" s="52">
        <f>AVERAGE(I45:I72)</f>
        <v>1.1812331284803039</v>
      </c>
      <c r="J78" s="52">
        <f>AVERAGE(J45:J72)</f>
        <v>0.22642857142857142</v>
      </c>
    </row>
  </sheetData>
  <conditionalFormatting sqref="P2:Q32">
    <cfRule type="cellIs" dxfId="4" priority="7" operator="greaterThan">
      <formula>0.8</formula>
    </cfRule>
  </conditionalFormatting>
  <conditionalFormatting sqref="S2:U32">
    <cfRule type="cellIs" dxfId="3" priority="8" operator="greaterThan">
      <formula>0.8</formula>
    </cfRule>
  </conditionalFormatting>
  <conditionalFormatting sqref="Y2:Y32">
    <cfRule type="cellIs" dxfId="2" priority="9" operator="greaterThan">
      <formula>0.8</formula>
    </cfRule>
  </conditionalFormatting>
  <conditionalFormatting sqref="AJ20:AJ26">
    <cfRule type="cellIs" dxfId="1" priority="12" operator="greaterThan">
      <formula>0.8</formula>
    </cfRule>
  </conditionalFormatting>
  <conditionalFormatting sqref="BG22:BH28">
    <cfRule type="cellIs" dxfId="0" priority="1" operator="greaterThan">
      <formula>0.8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L15" sqref="L15"/>
    </sheetView>
  </sheetViews>
  <sheetFormatPr baseColWidth="10" defaultColWidth="9.140625" defaultRowHeight="15" x14ac:dyDescent="0.25"/>
  <cols>
    <col min="1" max="1025" width="10.5703125"/>
  </cols>
  <sheetData>
    <row r="1" spans="1:15" x14ac:dyDescent="0.25">
      <c r="B1" s="20" t="s">
        <v>66</v>
      </c>
      <c r="C1" s="20" t="s">
        <v>67</v>
      </c>
      <c r="D1" s="20" t="s">
        <v>68</v>
      </c>
      <c r="E1" s="20" t="s">
        <v>69</v>
      </c>
      <c r="F1" s="20" t="s">
        <v>66</v>
      </c>
      <c r="G1" s="20" t="s">
        <v>67</v>
      </c>
      <c r="H1" s="20" t="s">
        <v>68</v>
      </c>
      <c r="I1" s="20" t="s">
        <v>69</v>
      </c>
      <c r="K1" t="s">
        <v>70</v>
      </c>
      <c r="L1" t="s">
        <v>71</v>
      </c>
      <c r="N1" t="s">
        <v>72</v>
      </c>
      <c r="O1" t="s">
        <v>73</v>
      </c>
    </row>
    <row r="2" spans="1:15" x14ac:dyDescent="0.25">
      <c r="B2" s="60" t="s">
        <v>74</v>
      </c>
      <c r="C2" s="60"/>
      <c r="D2" s="60"/>
      <c r="E2" s="60"/>
      <c r="F2" s="60" t="s">
        <v>75</v>
      </c>
      <c r="G2" s="60"/>
      <c r="H2" s="60"/>
      <c r="I2" s="60"/>
    </row>
    <row r="3" spans="1:15" x14ac:dyDescent="0.25">
      <c r="A3" s="20" t="s">
        <v>76</v>
      </c>
      <c r="B3" s="20">
        <v>8904616</v>
      </c>
      <c r="C3" s="20">
        <v>20696</v>
      </c>
      <c r="D3" s="20">
        <v>21813</v>
      </c>
      <c r="E3" s="20">
        <v>0.95</v>
      </c>
      <c r="F3" s="20">
        <v>20665553328</v>
      </c>
      <c r="G3" s="20">
        <v>145117</v>
      </c>
      <c r="H3" s="20">
        <v>211560</v>
      </c>
      <c r="I3" s="53">
        <v>0.68</v>
      </c>
      <c r="K3" s="54">
        <v>1.86</v>
      </c>
      <c r="L3" s="54">
        <v>2</v>
      </c>
      <c r="M3" s="54"/>
      <c r="N3" s="54">
        <f t="shared" ref="N3:N26" si="0">ABS(K3-I3)</f>
        <v>1.1800000000000002</v>
      </c>
      <c r="O3">
        <f t="shared" ref="O3:O26" si="1">ABS(L3-I3)</f>
        <v>1.3199999999999998</v>
      </c>
    </row>
    <row r="4" spans="1:15" x14ac:dyDescent="0.25">
      <c r="A4" s="20" t="s">
        <v>77</v>
      </c>
      <c r="B4" s="20">
        <v>21290366</v>
      </c>
      <c r="C4" s="20">
        <v>45883</v>
      </c>
      <c r="D4" s="20">
        <v>114586</v>
      </c>
      <c r="E4" s="20">
        <v>0.4</v>
      </c>
      <c r="F4" s="20">
        <v>20665553328</v>
      </c>
      <c r="G4" s="20">
        <v>144992</v>
      </c>
      <c r="H4" s="20">
        <v>312177</v>
      </c>
      <c r="I4" s="20">
        <v>0.46</v>
      </c>
      <c r="K4" s="55">
        <v>1.8571428571428601</v>
      </c>
      <c r="L4" s="55">
        <v>3</v>
      </c>
      <c r="M4" s="55"/>
      <c r="N4" s="54">
        <f t="shared" si="0"/>
        <v>1.3971428571428601</v>
      </c>
      <c r="O4">
        <f t="shared" si="1"/>
        <v>2.54</v>
      </c>
    </row>
    <row r="5" spans="1:15" x14ac:dyDescent="0.25">
      <c r="A5" s="20" t="s">
        <v>78</v>
      </c>
      <c r="B5" s="20">
        <v>4481124</v>
      </c>
      <c r="C5" s="20">
        <v>10847</v>
      </c>
      <c r="D5" s="20">
        <v>57910</v>
      </c>
      <c r="E5" s="20">
        <v>0.18</v>
      </c>
      <c r="F5" s="20">
        <v>20665553328</v>
      </c>
      <c r="G5" s="20">
        <v>65271</v>
      </c>
      <c r="H5" s="20">
        <v>346154</v>
      </c>
      <c r="I5" s="20">
        <v>0.18</v>
      </c>
      <c r="K5" s="55">
        <v>0.17647058823529399</v>
      </c>
      <c r="L5" s="55">
        <v>0.01</v>
      </c>
      <c r="M5" s="55"/>
      <c r="N5" s="54">
        <f t="shared" si="0"/>
        <v>3.529411764706003E-3</v>
      </c>
      <c r="O5">
        <f t="shared" si="1"/>
        <v>0.16999999999999998</v>
      </c>
    </row>
    <row r="6" spans="1:15" x14ac:dyDescent="0.25">
      <c r="A6" s="20" t="s">
        <v>79</v>
      </c>
      <c r="B6" s="20">
        <v>22598879</v>
      </c>
      <c r="C6" s="20">
        <v>228433</v>
      </c>
      <c r="D6" s="20">
        <v>177462</v>
      </c>
      <c r="E6" s="20">
        <v>1.28</v>
      </c>
      <c r="F6" s="20">
        <v>20665553328</v>
      </c>
      <c r="G6" s="20">
        <v>305555</v>
      </c>
      <c r="H6" s="20">
        <v>192363</v>
      </c>
      <c r="I6" s="20">
        <v>1.6</v>
      </c>
      <c r="K6" s="55">
        <v>1</v>
      </c>
      <c r="L6" s="55">
        <v>3</v>
      </c>
      <c r="M6" s="55"/>
      <c r="N6" s="54">
        <f t="shared" si="0"/>
        <v>0.60000000000000009</v>
      </c>
      <c r="O6">
        <f t="shared" si="1"/>
        <v>1.4</v>
      </c>
    </row>
    <row r="7" spans="1:15" x14ac:dyDescent="0.25">
      <c r="A7" s="20" t="s">
        <v>80</v>
      </c>
      <c r="B7" s="20">
        <v>2466083</v>
      </c>
      <c r="C7" s="20">
        <v>10423</v>
      </c>
      <c r="D7" s="20">
        <v>83292</v>
      </c>
      <c r="E7" s="20">
        <v>0.13</v>
      </c>
      <c r="F7" s="20">
        <v>20665553328</v>
      </c>
      <c r="G7" s="20">
        <v>75731</v>
      </c>
      <c r="H7" s="20">
        <v>424263</v>
      </c>
      <c r="I7" s="20">
        <v>0.18</v>
      </c>
      <c r="K7" s="55">
        <v>9</v>
      </c>
      <c r="L7" s="55">
        <v>1</v>
      </c>
      <c r="M7" s="55"/>
      <c r="N7" s="56">
        <f t="shared" si="0"/>
        <v>8.82</v>
      </c>
      <c r="O7" s="24">
        <f t="shared" si="1"/>
        <v>0.82000000000000006</v>
      </c>
    </row>
    <row r="8" spans="1:15" x14ac:dyDescent="0.25">
      <c r="A8" s="20" t="s">
        <v>81</v>
      </c>
      <c r="B8" s="20">
        <v>27864015</v>
      </c>
      <c r="C8" s="20">
        <v>274637</v>
      </c>
      <c r="D8" s="20">
        <v>169854</v>
      </c>
      <c r="E8" s="20">
        <v>1.6</v>
      </c>
      <c r="F8" s="20">
        <v>20665553328</v>
      </c>
      <c r="G8" s="20">
        <v>478693</v>
      </c>
      <c r="H8" s="20">
        <v>261967</v>
      </c>
      <c r="I8" s="20">
        <v>1.8</v>
      </c>
      <c r="K8" s="55">
        <v>5.2631578947368397E-2</v>
      </c>
      <c r="L8" s="55">
        <v>1</v>
      </c>
      <c r="M8" s="55"/>
      <c r="N8" s="56">
        <f t="shared" si="0"/>
        <v>1.7473684210526317</v>
      </c>
      <c r="O8" s="24">
        <f t="shared" si="1"/>
        <v>0.8</v>
      </c>
    </row>
    <row r="9" spans="1:15" x14ac:dyDescent="0.25">
      <c r="A9" s="20" t="s">
        <v>82</v>
      </c>
      <c r="B9" s="20">
        <v>3816636</v>
      </c>
      <c r="C9" s="20">
        <v>18</v>
      </c>
      <c r="D9" s="20">
        <v>18062</v>
      </c>
      <c r="E9" s="20">
        <v>0</v>
      </c>
      <c r="F9" s="20">
        <v>20665553328</v>
      </c>
      <c r="G9" s="20">
        <v>322841</v>
      </c>
      <c r="H9" s="20">
        <v>654657</v>
      </c>
      <c r="I9" s="20">
        <v>0.5</v>
      </c>
      <c r="K9" s="55">
        <v>0.66666666666666696</v>
      </c>
      <c r="L9" s="55">
        <v>1</v>
      </c>
      <c r="M9" s="55"/>
      <c r="N9" s="54">
        <f t="shared" si="0"/>
        <v>0.16666666666666696</v>
      </c>
      <c r="O9">
        <f t="shared" si="1"/>
        <v>0.5</v>
      </c>
    </row>
    <row r="10" spans="1:15" x14ac:dyDescent="0.25">
      <c r="A10" s="20" t="s">
        <v>83</v>
      </c>
      <c r="B10" s="20">
        <v>10523024</v>
      </c>
      <c r="C10" s="20">
        <v>318</v>
      </c>
      <c r="D10" s="20">
        <v>60928</v>
      </c>
      <c r="E10" s="20">
        <v>5.0000000000000001E-3</v>
      </c>
      <c r="F10" s="20">
        <v>20665553328</v>
      </c>
      <c r="G10" s="20">
        <v>45001</v>
      </c>
      <c r="H10" s="20">
        <v>244736</v>
      </c>
      <c r="I10" s="20">
        <v>0.18</v>
      </c>
      <c r="K10" s="55">
        <v>0.11111111111111099</v>
      </c>
      <c r="L10" s="55">
        <v>0.01</v>
      </c>
      <c r="M10" s="55"/>
      <c r="N10" s="54">
        <f t="shared" si="0"/>
        <v>6.8888888888888999E-2</v>
      </c>
      <c r="O10">
        <f t="shared" si="1"/>
        <v>0.16999999999999998</v>
      </c>
    </row>
    <row r="11" spans="1:15" x14ac:dyDescent="0.25">
      <c r="A11" s="20" t="s">
        <v>84</v>
      </c>
      <c r="B11" s="20">
        <v>21244210</v>
      </c>
      <c r="C11" s="20">
        <v>71783</v>
      </c>
      <c r="D11" s="20">
        <v>208921</v>
      </c>
      <c r="E11" s="20">
        <v>0.34</v>
      </c>
      <c r="F11" s="20">
        <v>20665553328</v>
      </c>
      <c r="G11" s="20">
        <v>236804</v>
      </c>
      <c r="H11" s="20">
        <v>512943</v>
      </c>
      <c r="I11" s="53">
        <v>0.46</v>
      </c>
      <c r="K11" s="54">
        <v>5.2631578947368397E-2</v>
      </c>
      <c r="L11" s="54">
        <v>0.1</v>
      </c>
      <c r="M11" s="54"/>
      <c r="N11" s="56">
        <f t="shared" si="0"/>
        <v>0.4073684210526316</v>
      </c>
      <c r="O11" s="24">
        <f t="shared" si="1"/>
        <v>0.36</v>
      </c>
    </row>
    <row r="12" spans="1:15" x14ac:dyDescent="0.25">
      <c r="A12" s="20" t="s">
        <v>85</v>
      </c>
      <c r="B12" s="20">
        <v>18103837</v>
      </c>
      <c r="C12" s="20">
        <v>89</v>
      </c>
      <c r="D12" s="20">
        <v>16907</v>
      </c>
      <c r="E12" s="20">
        <v>5.0000000000000001E-3</v>
      </c>
      <c r="F12" s="20">
        <v>20665553328</v>
      </c>
      <c r="G12" s="20">
        <v>31506</v>
      </c>
      <c r="H12" s="20">
        <v>149393</v>
      </c>
      <c r="I12" s="53">
        <v>0.2</v>
      </c>
      <c r="K12" s="54">
        <v>3</v>
      </c>
      <c r="L12" s="54">
        <v>2.5</v>
      </c>
      <c r="M12" s="54"/>
      <c r="N12" s="56">
        <f t="shared" si="0"/>
        <v>2.8</v>
      </c>
      <c r="O12" s="24">
        <f t="shared" si="1"/>
        <v>2.2999999999999998</v>
      </c>
    </row>
    <row r="13" spans="1:15" x14ac:dyDescent="0.25">
      <c r="A13" s="20" t="s">
        <v>86</v>
      </c>
      <c r="B13" s="20">
        <v>11026222</v>
      </c>
      <c r="C13" s="20">
        <v>91582</v>
      </c>
      <c r="D13" s="20">
        <v>70038</v>
      </c>
      <c r="E13" s="20">
        <v>1.3</v>
      </c>
      <c r="F13" s="20">
        <v>20665553328</v>
      </c>
      <c r="G13" s="20">
        <v>2316932</v>
      </c>
      <c r="H13" s="20">
        <v>13823755</v>
      </c>
      <c r="I13" s="53">
        <v>0.17</v>
      </c>
      <c r="K13" s="54">
        <v>5.2631578947368397E-2</v>
      </c>
      <c r="L13" s="54">
        <v>0.01</v>
      </c>
      <c r="M13" s="54"/>
      <c r="N13" s="54">
        <f t="shared" si="0"/>
        <v>0.11736842105263162</v>
      </c>
      <c r="O13">
        <f t="shared" si="1"/>
        <v>0.16</v>
      </c>
    </row>
    <row r="14" spans="1:15" x14ac:dyDescent="0.25">
      <c r="A14" s="20" t="s">
        <v>87</v>
      </c>
      <c r="B14" s="20">
        <v>6014721</v>
      </c>
      <c r="C14" s="20">
        <v>201</v>
      </c>
      <c r="D14" s="20">
        <v>20319</v>
      </c>
      <c r="E14" s="20">
        <v>0.01</v>
      </c>
      <c r="F14" s="20">
        <v>20665553328</v>
      </c>
      <c r="G14" s="20">
        <v>52092</v>
      </c>
      <c r="H14" s="20">
        <v>13443121</v>
      </c>
      <c r="I14" s="53">
        <v>4.0000000000000001E-3</v>
      </c>
      <c r="K14" s="54">
        <v>0.11111111111111099</v>
      </c>
      <c r="L14" s="54">
        <v>0.1</v>
      </c>
      <c r="M14" s="54"/>
      <c r="N14" s="56">
        <f t="shared" si="0"/>
        <v>0.10711111111111099</v>
      </c>
      <c r="O14" s="24">
        <f t="shared" si="1"/>
        <v>9.6000000000000002E-2</v>
      </c>
    </row>
    <row r="15" spans="1:15" x14ac:dyDescent="0.25">
      <c r="A15" s="20" t="s">
        <v>88</v>
      </c>
      <c r="B15" s="20">
        <v>712525</v>
      </c>
      <c r="C15" s="20">
        <v>99</v>
      </c>
      <c r="D15" s="20">
        <v>46258</v>
      </c>
      <c r="E15" s="20">
        <v>2E-3</v>
      </c>
      <c r="F15" s="20">
        <v>20665553328</v>
      </c>
      <c r="G15" s="20">
        <v>35085</v>
      </c>
      <c r="H15" s="20">
        <v>153991</v>
      </c>
      <c r="I15" s="53">
        <v>0.23</v>
      </c>
      <c r="K15" s="54">
        <v>4</v>
      </c>
      <c r="L15" s="54">
        <v>5</v>
      </c>
      <c r="M15" s="54"/>
      <c r="N15" s="54">
        <f t="shared" si="0"/>
        <v>3.77</v>
      </c>
      <c r="O15">
        <f t="shared" si="1"/>
        <v>4.7699999999999996</v>
      </c>
    </row>
    <row r="16" spans="1:15" x14ac:dyDescent="0.25">
      <c r="A16" s="20" t="s">
        <v>89</v>
      </c>
      <c r="B16" s="20">
        <v>6691052</v>
      </c>
      <c r="C16" s="20">
        <v>350</v>
      </c>
      <c r="D16" s="20">
        <v>23976</v>
      </c>
      <c r="E16" s="20">
        <v>1.4999999999999999E-2</v>
      </c>
      <c r="F16" s="20">
        <v>20665553328</v>
      </c>
      <c r="G16" s="20">
        <v>23785</v>
      </c>
      <c r="H16" s="20">
        <v>7813838</v>
      </c>
      <c r="I16" s="20">
        <v>3.0000000000000001E-3</v>
      </c>
      <c r="K16" s="55">
        <v>0.25</v>
      </c>
      <c r="L16" s="55">
        <v>0.01</v>
      </c>
      <c r="M16" s="55"/>
      <c r="N16" s="56">
        <f t="shared" si="0"/>
        <v>0.247</v>
      </c>
      <c r="O16" s="24">
        <f t="shared" si="1"/>
        <v>7.0000000000000001E-3</v>
      </c>
    </row>
    <row r="17" spans="1:15" x14ac:dyDescent="0.25">
      <c r="A17" s="20" t="s">
        <v>90</v>
      </c>
      <c r="B17" s="20">
        <v>5680853</v>
      </c>
      <c r="C17" s="20">
        <v>52630</v>
      </c>
      <c r="D17" s="20">
        <v>251341</v>
      </c>
      <c r="E17" s="20">
        <v>0.20899999999999999</v>
      </c>
      <c r="F17" s="20">
        <v>20665553328</v>
      </c>
      <c r="G17" s="20">
        <v>502487</v>
      </c>
      <c r="H17" s="20">
        <v>192545</v>
      </c>
      <c r="I17" s="20">
        <v>2.6</v>
      </c>
      <c r="K17" s="55">
        <v>4</v>
      </c>
      <c r="L17" s="55">
        <v>5</v>
      </c>
      <c r="M17" s="55"/>
      <c r="N17" s="54">
        <f t="shared" si="0"/>
        <v>1.4</v>
      </c>
      <c r="O17">
        <f t="shared" si="1"/>
        <v>2.4</v>
      </c>
    </row>
    <row r="18" spans="1:15" x14ac:dyDescent="0.25">
      <c r="A18" s="20" t="s">
        <v>91</v>
      </c>
      <c r="B18" s="20">
        <v>20897210</v>
      </c>
      <c r="C18" s="20">
        <v>203</v>
      </c>
      <c r="D18" s="20">
        <v>10998</v>
      </c>
      <c r="E18" s="20">
        <v>1.7999999999999999E-2</v>
      </c>
      <c r="F18" s="20">
        <v>20665553328</v>
      </c>
      <c r="G18" s="20">
        <v>32697</v>
      </c>
      <c r="H18" s="20">
        <v>10439926</v>
      </c>
      <c r="I18" s="53">
        <v>3.0000000000000001E-3</v>
      </c>
      <c r="K18" s="54">
        <v>5.2631578947368397E-2</v>
      </c>
      <c r="L18" s="54">
        <v>0.01</v>
      </c>
      <c r="M18" s="54"/>
      <c r="N18" s="56">
        <f t="shared" si="0"/>
        <v>4.9631578947368395E-2</v>
      </c>
      <c r="O18" s="24">
        <f t="shared" si="1"/>
        <v>7.0000000000000001E-3</v>
      </c>
    </row>
    <row r="19" spans="1:15" x14ac:dyDescent="0.25">
      <c r="A19" s="20" t="s">
        <v>92</v>
      </c>
      <c r="B19" s="20">
        <v>16697062</v>
      </c>
      <c r="C19" s="20">
        <v>490644</v>
      </c>
      <c r="D19" s="20">
        <v>250873</v>
      </c>
      <c r="E19" s="20">
        <v>1.96</v>
      </c>
      <c r="F19" s="20">
        <v>20665553328</v>
      </c>
      <c r="G19" s="20">
        <v>509804</v>
      </c>
      <c r="H19" s="20">
        <v>296873</v>
      </c>
      <c r="I19" s="53">
        <v>1.7</v>
      </c>
      <c r="K19" s="54">
        <v>0.11111111111111099</v>
      </c>
      <c r="L19" s="54">
        <v>0.1</v>
      </c>
      <c r="M19" s="54"/>
      <c r="N19" s="56">
        <f t="shared" si="0"/>
        <v>1.588888888888889</v>
      </c>
      <c r="O19">
        <f t="shared" si="1"/>
        <v>1.5999999999999999</v>
      </c>
    </row>
    <row r="20" spans="1:15" x14ac:dyDescent="0.25">
      <c r="A20" s="20" t="s">
        <v>93</v>
      </c>
      <c r="B20" s="20">
        <v>5553919</v>
      </c>
      <c r="C20" s="20">
        <v>10385</v>
      </c>
      <c r="D20" s="20">
        <v>50691</v>
      </c>
      <c r="E20" s="20">
        <v>2.04</v>
      </c>
      <c r="F20" s="20">
        <v>20665553328</v>
      </c>
      <c r="G20" s="20">
        <v>253330</v>
      </c>
      <c r="H20" s="20">
        <v>10868481</v>
      </c>
      <c r="I20" s="20">
        <v>0.02</v>
      </c>
      <c r="K20" s="55">
        <v>3</v>
      </c>
      <c r="L20" s="55">
        <v>10</v>
      </c>
      <c r="M20" s="55"/>
      <c r="N20" s="54">
        <f t="shared" si="0"/>
        <v>2.98</v>
      </c>
      <c r="O20">
        <f t="shared" si="1"/>
        <v>9.98</v>
      </c>
    </row>
    <row r="21" spans="1:15" x14ac:dyDescent="0.25">
      <c r="A21" s="20" t="s">
        <v>94</v>
      </c>
      <c r="B21" s="20">
        <v>21358080</v>
      </c>
      <c r="C21" s="20">
        <v>20133</v>
      </c>
      <c r="D21" s="20">
        <v>49141</v>
      </c>
      <c r="E21" s="20">
        <v>0.41</v>
      </c>
      <c r="F21" s="20">
        <v>20665553328</v>
      </c>
      <c r="G21" s="20">
        <v>129578</v>
      </c>
      <c r="H21" s="20">
        <v>423207</v>
      </c>
      <c r="I21" s="53">
        <v>0.3</v>
      </c>
      <c r="K21" s="54">
        <v>0.33333333333333298</v>
      </c>
      <c r="L21" s="54">
        <v>0.5</v>
      </c>
      <c r="M21" s="54"/>
      <c r="N21" s="54">
        <f t="shared" si="0"/>
        <v>3.3333333333332993E-2</v>
      </c>
      <c r="O21">
        <f t="shared" si="1"/>
        <v>0.2</v>
      </c>
    </row>
    <row r="22" spans="1:15" x14ac:dyDescent="0.25">
      <c r="A22" s="20" t="s">
        <v>95</v>
      </c>
      <c r="B22" s="20">
        <v>22219940</v>
      </c>
      <c r="C22" s="20">
        <v>621702</v>
      </c>
      <c r="D22" s="20">
        <v>217218</v>
      </c>
      <c r="E22" s="20">
        <v>2.87</v>
      </c>
      <c r="F22" s="20">
        <v>20665553328</v>
      </c>
      <c r="G22" s="20">
        <v>759342</v>
      </c>
      <c r="H22" s="20">
        <v>337308</v>
      </c>
      <c r="I22" s="20">
        <v>2.25</v>
      </c>
      <c r="K22" s="55">
        <v>4</v>
      </c>
      <c r="L22" s="55">
        <v>5</v>
      </c>
      <c r="M22" s="55"/>
      <c r="N22" s="54">
        <f t="shared" si="0"/>
        <v>1.75</v>
      </c>
      <c r="O22">
        <f t="shared" si="1"/>
        <v>2.75</v>
      </c>
    </row>
    <row r="23" spans="1:15" x14ac:dyDescent="0.25">
      <c r="A23" s="20" t="s">
        <v>96</v>
      </c>
      <c r="B23" s="20">
        <v>21493130</v>
      </c>
      <c r="C23" s="20">
        <v>558989</v>
      </c>
      <c r="D23" s="20">
        <v>517839</v>
      </c>
      <c r="E23" s="20">
        <v>1.08</v>
      </c>
      <c r="F23" s="20">
        <v>20665553328</v>
      </c>
      <c r="G23" s="20">
        <v>774191</v>
      </c>
      <c r="H23" s="20">
        <v>14521941</v>
      </c>
      <c r="I23" s="53">
        <v>0.05</v>
      </c>
      <c r="K23" s="54">
        <v>3</v>
      </c>
      <c r="L23" s="54">
        <v>3</v>
      </c>
      <c r="M23" s="54"/>
      <c r="N23" s="56">
        <f t="shared" si="0"/>
        <v>2.95</v>
      </c>
      <c r="O23">
        <f t="shared" si="1"/>
        <v>2.95</v>
      </c>
    </row>
    <row r="24" spans="1:15" x14ac:dyDescent="0.25">
      <c r="A24" s="20" t="s">
        <v>97</v>
      </c>
      <c r="B24" s="20">
        <v>26743242</v>
      </c>
      <c r="C24" s="20">
        <v>113950</v>
      </c>
      <c r="D24" s="20">
        <v>202171</v>
      </c>
      <c r="E24" s="20">
        <v>0.56000000000000005</v>
      </c>
      <c r="F24" s="20">
        <v>20665553328</v>
      </c>
      <c r="G24" s="20">
        <v>382961</v>
      </c>
      <c r="H24" s="20">
        <v>393550</v>
      </c>
      <c r="I24" s="53">
        <v>0.97</v>
      </c>
      <c r="K24" s="54">
        <v>1</v>
      </c>
      <c r="L24" s="54">
        <v>1</v>
      </c>
      <c r="M24" s="54"/>
      <c r="N24" s="56">
        <f t="shared" si="0"/>
        <v>3.0000000000000027E-2</v>
      </c>
      <c r="O24">
        <f t="shared" si="1"/>
        <v>3.0000000000000027E-2</v>
      </c>
    </row>
    <row r="25" spans="1:15" x14ac:dyDescent="0.25">
      <c r="A25" s="20" t="s">
        <v>98</v>
      </c>
      <c r="B25" s="20">
        <v>19340929</v>
      </c>
      <c r="C25" s="20">
        <v>442864</v>
      </c>
      <c r="D25" s="20">
        <v>410385</v>
      </c>
      <c r="E25" s="20">
        <v>1.08</v>
      </c>
      <c r="F25" s="20">
        <v>20665553328</v>
      </c>
      <c r="G25" s="20">
        <v>783931</v>
      </c>
      <c r="H25" s="20">
        <v>567616</v>
      </c>
      <c r="I25" s="53">
        <v>1.4</v>
      </c>
      <c r="K25" s="54">
        <v>1</v>
      </c>
      <c r="L25" s="54">
        <v>1</v>
      </c>
      <c r="M25" s="54"/>
      <c r="N25" s="56">
        <f t="shared" si="0"/>
        <v>0.39999999999999991</v>
      </c>
      <c r="O25">
        <f t="shared" si="1"/>
        <v>0.39999999999999991</v>
      </c>
    </row>
    <row r="26" spans="1:15" x14ac:dyDescent="0.25">
      <c r="A26" s="20" t="s">
        <v>99</v>
      </c>
      <c r="B26" s="20">
        <v>2035708</v>
      </c>
      <c r="C26" s="20">
        <v>1</v>
      </c>
      <c r="D26" s="20">
        <v>5065</v>
      </c>
      <c r="E26" s="20">
        <v>0</v>
      </c>
      <c r="F26" s="20">
        <v>20665553328</v>
      </c>
      <c r="G26" s="20">
        <v>27885</v>
      </c>
      <c r="H26" s="20">
        <v>152517</v>
      </c>
      <c r="I26" s="53">
        <v>0.18</v>
      </c>
      <c r="K26" s="54">
        <v>0</v>
      </c>
      <c r="L26" s="54">
        <v>0.01</v>
      </c>
      <c r="M26" s="54"/>
      <c r="N26" s="56">
        <f t="shared" si="0"/>
        <v>0.18</v>
      </c>
      <c r="O26">
        <f t="shared" si="1"/>
        <v>0.16999999999999998</v>
      </c>
    </row>
  </sheetData>
  <mergeCells count="2">
    <mergeCell ref="B2:E2"/>
    <mergeCell ref="F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5A5034A3-93E4-4FDE-A873-A920BB6E6FF3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publi</vt:lpstr>
      <vt:lpstr>sacha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Immuno5</dc:creator>
  <dc:description/>
  <cp:lastModifiedBy>Immuno5</cp:lastModifiedBy>
  <cp:revision>2</cp:revision>
  <dcterms:created xsi:type="dcterms:W3CDTF">2018-09-10T08:33:42Z</dcterms:created>
  <dcterms:modified xsi:type="dcterms:W3CDTF">2019-01-23T13:31:48Z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