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-15" yWindow="-15" windowWidth="12600" windowHeight="12555"/>
  </bookViews>
  <sheets>
    <sheet name="Input" sheetId="7" r:id="rId1"/>
    <sheet name="Walls (SI)" sheetId="4" r:id="rId2"/>
    <sheet name="Walls (IP)" sheetId="5" r:id="rId3"/>
    <sheet name="Materials" sheetId="6" r:id="rId4"/>
  </sheets>
  <calcPr calcId="145621"/>
</workbook>
</file>

<file path=xl/calcChain.xml><?xml version="1.0" encoding="utf-8"?>
<calcChain xmlns="http://schemas.openxmlformats.org/spreadsheetml/2006/main">
  <c r="N37" i="4" l="1"/>
  <c r="M37" i="4"/>
  <c r="N24" i="4"/>
  <c r="M24" i="4"/>
  <c r="M22" i="4"/>
  <c r="N22" i="4"/>
  <c r="M23" i="4"/>
  <c r="N23" i="4"/>
  <c r="N12" i="4"/>
  <c r="M12" i="4"/>
  <c r="D37" i="5"/>
  <c r="D36" i="5"/>
  <c r="D35" i="5"/>
  <c r="D34" i="5"/>
  <c r="D25" i="5"/>
  <c r="D24" i="5"/>
  <c r="D23" i="5"/>
  <c r="D22" i="5"/>
  <c r="D25" i="4"/>
  <c r="D24" i="4"/>
  <c r="D24" i="7"/>
  <c r="C28" i="7"/>
  <c r="B28" i="7"/>
  <c r="C27" i="7"/>
  <c r="B27" i="7"/>
  <c r="C26" i="7"/>
  <c r="B26" i="7"/>
  <c r="C25" i="7"/>
  <c r="B25" i="7"/>
  <c r="C24" i="7"/>
  <c r="B24" i="7"/>
  <c r="E13" i="7" l="1"/>
  <c r="B33" i="4"/>
  <c r="B21" i="4"/>
  <c r="B33" i="5"/>
  <c r="B21" i="5"/>
  <c r="N36" i="4" l="1"/>
  <c r="N35" i="4"/>
  <c r="N34" i="4"/>
  <c r="N25" i="4"/>
  <c r="M36" i="4"/>
  <c r="M35" i="4"/>
  <c r="M34" i="4"/>
  <c r="M25" i="4"/>
  <c r="N13" i="4"/>
  <c r="N11" i="4"/>
  <c r="N10" i="4"/>
  <c r="M13" i="4"/>
  <c r="M11" i="4"/>
  <c r="M10" i="4"/>
  <c r="L33" i="4"/>
  <c r="L21" i="4"/>
  <c r="L9" i="4"/>
  <c r="D49" i="5" l="1"/>
  <c r="D49" i="4"/>
  <c r="D37" i="4" l="1"/>
  <c r="D36" i="4"/>
  <c r="D34" i="4"/>
  <c r="D35" i="4"/>
  <c r="D13" i="4"/>
  <c r="D12" i="4"/>
  <c r="D10" i="4"/>
  <c r="C33" i="4"/>
  <c r="C21" i="4"/>
  <c r="C9" i="4"/>
  <c r="B9" i="4"/>
  <c r="C21" i="5"/>
  <c r="C9" i="5"/>
  <c r="B9" i="5"/>
  <c r="D13" i="5"/>
  <c r="D12" i="5"/>
  <c r="D10" i="5"/>
  <c r="D23" i="4"/>
  <c r="D22" i="4"/>
  <c r="D11" i="5"/>
  <c r="D11" i="4" l="1"/>
  <c r="K10" i="4"/>
  <c r="N36" i="5"/>
  <c r="M36" i="5"/>
  <c r="N37" i="5"/>
  <c r="M37" i="5"/>
  <c r="N35" i="5"/>
  <c r="M35" i="5"/>
  <c r="N34" i="5"/>
  <c r="M34" i="5"/>
  <c r="L33" i="5"/>
  <c r="E33" i="4"/>
  <c r="N25" i="5"/>
  <c r="M25" i="5"/>
  <c r="N24" i="5"/>
  <c r="M24" i="5"/>
  <c r="N23" i="5"/>
  <c r="M23" i="5"/>
  <c r="N22" i="5"/>
  <c r="M22" i="5"/>
  <c r="L21" i="5"/>
  <c r="N13" i="5"/>
  <c r="M13" i="5"/>
  <c r="N12" i="5"/>
  <c r="M12" i="5"/>
  <c r="N11" i="5"/>
  <c r="M11" i="5"/>
  <c r="N10" i="5"/>
  <c r="M10" i="5"/>
  <c r="L9" i="5"/>
  <c r="K35" i="4" l="1"/>
  <c r="G9" i="4"/>
  <c r="F24" i="4"/>
  <c r="K24" i="4"/>
  <c r="F22" i="4"/>
  <c r="H33" i="4"/>
  <c r="F35" i="4"/>
  <c r="K11" i="4"/>
  <c r="G33" i="4"/>
  <c r="E9" i="4"/>
  <c r="K34" i="4"/>
  <c r="G33" i="5"/>
  <c r="F10" i="4"/>
  <c r="E21" i="4"/>
  <c r="F23" i="4"/>
  <c r="J9" i="4"/>
  <c r="F25" i="4"/>
  <c r="I33" i="4"/>
  <c r="K37" i="4"/>
  <c r="F35" i="5"/>
  <c r="F13" i="4"/>
  <c r="I9" i="4"/>
  <c r="G21" i="4"/>
  <c r="J33" i="4"/>
  <c r="K36" i="4"/>
  <c r="K12" i="4"/>
  <c r="H9" i="4"/>
  <c r="K22" i="5"/>
  <c r="H21" i="4"/>
  <c r="F34" i="4"/>
  <c r="K22" i="4"/>
  <c r="K13" i="4"/>
  <c r="F12" i="4"/>
  <c r="I21" i="4"/>
  <c r="K23" i="4"/>
  <c r="C33" i="5"/>
  <c r="K24" i="5"/>
  <c r="J21" i="4"/>
  <c r="F37" i="4"/>
  <c r="F11" i="4"/>
  <c r="F36" i="4"/>
  <c r="K25" i="4"/>
  <c r="F34" i="5"/>
  <c r="E21" i="5"/>
  <c r="K11" i="5" l="1"/>
  <c r="F21" i="4"/>
  <c r="F33" i="4"/>
  <c r="F9" i="4"/>
  <c r="K35" i="5"/>
  <c r="K34" i="5"/>
  <c r="F10" i="5"/>
  <c r="K10" i="5"/>
  <c r="I33" i="5"/>
  <c r="G9" i="5"/>
  <c r="F25" i="5"/>
  <c r="K37" i="5"/>
  <c r="F11" i="5"/>
  <c r="E33" i="5"/>
  <c r="H33" i="5"/>
  <c r="F37" i="5"/>
  <c r="F36" i="5"/>
  <c r="F22" i="5"/>
  <c r="J33" i="5"/>
  <c r="O33" i="4"/>
  <c r="C47" i="4" s="1"/>
  <c r="K33" i="4"/>
  <c r="O21" i="4"/>
  <c r="C46" i="4" s="1"/>
  <c r="O9" i="4"/>
  <c r="C45" i="4" s="1"/>
  <c r="K9" i="4"/>
  <c r="H21" i="5"/>
  <c r="F23" i="5"/>
  <c r="H9" i="5"/>
  <c r="I21" i="5"/>
  <c r="F24" i="5"/>
  <c r="G21" i="5"/>
  <c r="J21" i="5"/>
  <c r="K25" i="5"/>
  <c r="K23" i="5"/>
  <c r="K12" i="5"/>
  <c r="E9" i="5"/>
  <c r="K36" i="5"/>
  <c r="K21" i="4"/>
  <c r="K13" i="5"/>
  <c r="J9" i="5"/>
  <c r="I9" i="5"/>
  <c r="F12" i="5"/>
  <c r="F13" i="5"/>
  <c r="B51" i="4" l="1"/>
  <c r="C53" i="4" s="1"/>
  <c r="F9" i="5"/>
  <c r="K9" i="5"/>
  <c r="F33" i="5"/>
  <c r="K21" i="5"/>
  <c r="O9" i="5"/>
  <c r="C45" i="5" s="1"/>
  <c r="O21" i="5"/>
  <c r="C46" i="5" s="1"/>
  <c r="F21" i="5"/>
  <c r="O33" i="5"/>
  <c r="C47" i="5" s="1"/>
  <c r="K33" i="5"/>
  <c r="B51" i="5" l="1"/>
  <c r="C53" i="5" s="1"/>
  <c r="F51" i="5"/>
</calcChain>
</file>

<file path=xl/sharedStrings.xml><?xml version="1.0" encoding="utf-8"?>
<sst xmlns="http://schemas.openxmlformats.org/spreadsheetml/2006/main" count="275" uniqueCount="68">
  <si>
    <t>m</t>
  </si>
  <si>
    <t>[mm]</t>
  </si>
  <si>
    <r>
      <t>b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</si>
  <si>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</si>
  <si>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charset val="204"/>
      </rPr>
      <t>K</t>
    </r>
  </si>
  <si>
    <r>
      <t>U</t>
    </r>
    <r>
      <rPr>
        <vertAlign val="subscript"/>
        <sz val="10"/>
        <rFont val="Arial"/>
        <family val="2"/>
      </rPr>
      <t>eog</t>
    </r>
  </si>
  <si>
    <t>H</t>
  </si>
  <si>
    <t>W</t>
  </si>
  <si>
    <t>Head</t>
  </si>
  <si>
    <t>Sill</t>
  </si>
  <si>
    <r>
      <t>A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</si>
  <si>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f</t>
    </r>
  </si>
  <si>
    <r>
      <t>m</t>
    </r>
    <r>
      <rPr>
        <vertAlign val="superscript"/>
        <sz val="10"/>
        <rFont val="Arial"/>
        <family val="2"/>
      </rPr>
      <t>2</t>
    </r>
  </si>
  <si>
    <t>Overall</t>
  </si>
  <si>
    <t>Jamb-R</t>
  </si>
  <si>
    <t>Jamb-L</t>
  </si>
  <si>
    <r>
      <t>U</t>
    </r>
    <r>
      <rPr>
        <b/>
        <vertAlign val="subscript"/>
        <sz val="10"/>
        <rFont val="Arial"/>
        <family val="2"/>
      </rPr>
      <t>t</t>
    </r>
  </si>
  <si>
    <r>
      <t>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K</t>
    </r>
  </si>
  <si>
    <r>
      <t>W</t>
    </r>
    <r>
      <rPr>
        <vertAlign val="subscript"/>
        <sz val="10"/>
        <rFont val="Arial"/>
        <family val="2"/>
      </rPr>
      <t>i</t>
    </r>
  </si>
  <si>
    <r>
      <t>H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</si>
  <si>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</si>
  <si>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eow</t>
    </r>
  </si>
  <si>
    <r>
      <t>A</t>
    </r>
    <r>
      <rPr>
        <vertAlign val="subscript"/>
        <sz val="10"/>
        <rFont val="Arial"/>
        <family val="2"/>
      </rPr>
      <t>cow</t>
    </r>
  </si>
  <si>
    <r>
      <t>U</t>
    </r>
    <r>
      <rPr>
        <vertAlign val="subscript"/>
        <sz val="10"/>
        <rFont val="Arial"/>
        <family val="2"/>
      </rPr>
      <t>cow</t>
    </r>
  </si>
  <si>
    <t>Intermediate Section</t>
  </si>
  <si>
    <t>in.</t>
  </si>
  <si>
    <r>
      <t>in.</t>
    </r>
    <r>
      <rPr>
        <vertAlign val="superscript"/>
        <sz val="10"/>
        <rFont val="Arial"/>
        <family val="2"/>
        <charset val="238"/>
      </rPr>
      <t>2</t>
    </r>
  </si>
  <si>
    <r>
      <t>Btu/hr</t>
    </r>
    <r>
      <rPr>
        <sz val="10"/>
        <rFont val="Arial"/>
        <family val="2"/>
        <charset val="238"/>
      </rPr>
      <t>·ft</t>
    </r>
    <r>
      <rPr>
        <vertAlign val="superscript"/>
        <sz val="10"/>
        <rFont val="Arial"/>
        <family val="2"/>
      </rPr>
      <t>2·</t>
    </r>
    <r>
      <rPr>
        <vertAlign val="superscript"/>
        <sz val="10"/>
        <rFont val="Arial"/>
        <family val="2"/>
        <charset val="238"/>
      </rPr>
      <t>º</t>
    </r>
    <r>
      <rPr>
        <sz val="10"/>
        <rFont val="Arial"/>
        <charset val="204"/>
      </rPr>
      <t>F</t>
    </r>
  </si>
  <si>
    <t>End Section 1:</t>
  </si>
  <si>
    <t>End Section 2:</t>
  </si>
  <si>
    <r>
      <t>DIFF</t>
    </r>
    <r>
      <rPr>
        <vertAlign val="subscript"/>
        <sz val="10"/>
        <rFont val="Arial"/>
        <family val="2"/>
        <charset val="238"/>
      </rPr>
      <t>INT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</si>
  <si>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END1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</si>
  <si>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END2</t>
    </r>
    <r>
      <rPr>
        <sz val="10"/>
        <rFont val="Arial"/>
        <family val="2"/>
        <charset val="238"/>
      </rPr>
      <t xml:space="preserve"> =</t>
    </r>
  </si>
  <si>
    <t>Number of Intermediate sections:</t>
  </si>
  <si>
    <t>U =</t>
  </si>
  <si>
    <r>
      <t>DIFF</t>
    </r>
    <r>
      <rPr>
        <vertAlign val="subscript"/>
        <sz val="10"/>
        <rFont val="Arial"/>
        <family val="2"/>
        <charset val="238"/>
      </rPr>
      <t>WALL</t>
    </r>
    <r>
      <rPr>
        <sz val="10"/>
        <rFont val="Arial"/>
        <family val="2"/>
        <charset val="238"/>
      </rPr>
      <t xml:space="preserve"> =</t>
    </r>
  </si>
  <si>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</si>
  <si>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</si>
  <si>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</si>
  <si>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</si>
  <si>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</si>
  <si>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</si>
  <si>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</si>
  <si>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</si>
  <si>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mm</t>
  </si>
  <si>
    <t>Check:</t>
  </si>
  <si>
    <t>Overall U-factors for Walls</t>
  </si>
  <si>
    <t>SI</t>
  </si>
  <si>
    <t>IP</t>
  </si>
  <si>
    <t>O.C.</t>
  </si>
  <si>
    <t>Center</t>
  </si>
  <si>
    <t>Inch</t>
  </si>
  <si>
    <t>Wall Height</t>
  </si>
  <si>
    <t>End1</t>
  </si>
  <si>
    <t>End2</t>
  </si>
  <si>
    <t>O.C left over</t>
  </si>
  <si>
    <t>Number of Intermediate sections</t>
  </si>
  <si>
    <t>IP  [Btu/hr-ft2-F]</t>
  </si>
  <si>
    <t>Frame</t>
  </si>
  <si>
    <t>Edge</t>
  </si>
  <si>
    <t>Hor-Intermediate</t>
  </si>
  <si>
    <t>Hor-End1</t>
  </si>
  <si>
    <t>Hor-End2</t>
  </si>
  <si>
    <t>Ver-Head</t>
  </si>
  <si>
    <t>Ver-Sill</t>
  </si>
  <si>
    <t>SI  [W/m2-k]</t>
  </si>
  <si>
    <t>Steel Stud Width</t>
  </si>
  <si>
    <t>NorthWALL &lt;23&gt; -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</si>
</sst>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charset val="204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4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3">
    <xf numFmtId="0" fontId="0" fillId="0" borderId="0" xfId="0"/>
    <xf numFmtId="0" fontId="4" fillId="0" borderId="1" xfId="1" applyBorder="1"/>
    <xf numFmtId="0" fontId="4" fillId="0" borderId="0" xfId="1" applyAlignment="1">
      <alignment horizontal="center"/>
    </xf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1" xfId="1" applyFont="1" applyBorder="1"/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/>
    <xf numFmtId="0" fontId="4" fillId="0" borderId="3" xfId="1" applyFont="1" applyBorder="1" applyAlignment="1">
      <alignment horizontal="center"/>
    </xf>
    <xf numFmtId="0" fontId="4" fillId="0" borderId="2" xfId="1" applyFont="1" applyBorder="1"/>
    <xf numFmtId="165" fontId="0" fillId="0" borderId="0" xfId="0" applyNumberFormat="1"/>
    <xf numFmtId="164" fontId="4" fillId="2" borderId="0" xfId="1" applyNumberFormat="1" applyFill="1"/>
    <xf numFmtId="164" fontId="4" fillId="2" borderId="0" xfId="1" applyNumberFormat="1" applyFill="1" applyBorder="1"/>
    <xf numFmtId="164" fontId="4" fillId="2" borderId="3" xfId="1" applyNumberFormat="1" applyFill="1" applyBorder="1"/>
    <xf numFmtId="165" fontId="4" fillId="0" borderId="0" xfId="1" applyNumberFormat="1" applyAlignment="1">
      <alignment horizontal="center"/>
    </xf>
    <xf numFmtId="165" fontId="4" fillId="0" borderId="4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3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1" xfId="1" applyFont="1" applyBorder="1"/>
    <xf numFmtId="165" fontId="4" fillId="2" borderId="0" xfId="1" applyNumberFormat="1" applyFill="1" applyAlignment="1" applyProtection="1">
      <alignment horizontal="center"/>
      <protection locked="0"/>
    </xf>
    <xf numFmtId="0" fontId="4" fillId="0" borderId="0" xfId="1" applyBorder="1" applyAlignment="1">
      <alignment horizontal="center"/>
    </xf>
    <xf numFmtId="164" fontId="4" fillId="2" borderId="0" xfId="1" applyNumberFormat="1" applyFill="1" applyAlignment="1">
      <alignment horizontal="center"/>
    </xf>
    <xf numFmtId="164" fontId="4" fillId="2" borderId="0" xfId="1" applyNumberFormat="1" applyFill="1" applyBorder="1" applyAlignment="1">
      <alignment horizontal="center"/>
    </xf>
    <xf numFmtId="164" fontId="4" fillId="2" borderId="3" xfId="1" applyNumberFormat="1" applyFill="1" applyBorder="1" applyAlignment="1">
      <alignment horizontal="center"/>
    </xf>
    <xf numFmtId="165" fontId="4" fillId="0" borderId="0" xfId="1" applyNumberFormat="1" applyFill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165" fontId="0" fillId="0" borderId="0" xfId="0" applyNumberFormat="1" applyFill="1"/>
    <xf numFmtId="164" fontId="4" fillId="0" borderId="0" xfId="1" applyNumberFormat="1" applyFill="1" applyAlignment="1">
      <alignment horizontal="center"/>
    </xf>
    <xf numFmtId="165" fontId="4" fillId="0" borderId="0" xfId="1" applyNumberFormat="1" applyFill="1" applyBorder="1"/>
    <xf numFmtId="165" fontId="4" fillId="0" borderId="3" xfId="1" applyNumberFormat="1" applyFill="1" applyBorder="1"/>
    <xf numFmtId="165" fontId="4" fillId="0" borderId="3" xfId="1" applyNumberFormat="1" applyFill="1" applyBorder="1" applyAlignment="1">
      <alignment horizontal="center"/>
    </xf>
    <xf numFmtId="164" fontId="4" fillId="0" borderId="3" xfId="1" applyNumberForma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3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0" xfId="0" applyFont="1"/>
    <xf numFmtId="10" fontId="0" fillId="0" borderId="0" xfId="0" applyNumberForma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6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1" applyFill="1" applyBorder="1" applyAlignment="1">
      <alignment horizontal="center"/>
    </xf>
    <xf numFmtId="164" fontId="4" fillId="0" borderId="0" xfId="1" applyNumberFormat="1" applyFill="1" applyBorder="1"/>
    <xf numFmtId="165" fontId="4" fillId="0" borderId="4" xfId="1" applyNumberFormat="1" applyFill="1" applyBorder="1" applyAlignment="1">
      <alignment horizontal="center"/>
    </xf>
    <xf numFmtId="164" fontId="4" fillId="0" borderId="3" xfId="1" applyNumberFormat="1" applyFill="1" applyBorder="1"/>
    <xf numFmtId="0" fontId="0" fillId="0" borderId="0" xfId="0" applyFill="1"/>
    <xf numFmtId="0" fontId="1" fillId="0" borderId="0" xfId="1" applyFont="1" applyFill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1" applyFont="1" applyFill="1" applyBorder="1" applyAlignment="1">
      <alignment horizontal="center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4" fillId="0" borderId="4" xfId="1" applyNumberFormat="1" applyFill="1" applyBorder="1" applyAlignment="1">
      <alignment horizontal="center"/>
    </xf>
    <xf numFmtId="164" fontId="0" fillId="0" borderId="0" xfId="0" applyNumberFormat="1" applyFill="1"/>
    <xf numFmtId="164" fontId="5" fillId="0" borderId="7" xfId="1" applyNumberFormat="1" applyFont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4" fillId="6" borderId="0" xfId="1" applyNumberFormat="1" applyFill="1" applyAlignment="1" applyProtection="1">
      <alignment horizontal="center"/>
      <protection locked="0"/>
    </xf>
    <xf numFmtId="165" fontId="4" fillId="6" borderId="0" xfId="1" applyNumberFormat="1" applyFill="1" applyAlignment="1" applyProtection="1">
      <alignment horizontal="center"/>
      <protection locked="0"/>
    </xf>
    <xf numFmtId="164" fontId="4" fillId="6" borderId="0" xfId="1" applyNumberFormat="1" applyFill="1" applyBorder="1"/>
    <xf numFmtId="164" fontId="4" fillId="6" borderId="0" xfId="1" applyNumberFormat="1" applyFill="1"/>
    <xf numFmtId="164" fontId="4" fillId="6" borderId="3" xfId="1" applyNumberForma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13" fillId="0" borderId="11" xfId="0" applyFont="1" applyBorder="1" applyAlignment="1">
      <alignment horizontal="center"/>
    </xf>
  </cellXfs>
  <cellStyles count="2">
    <cellStyle name="Normal" xfId="0" builtinId="0"/>
    <cellStyle name="Normal_10077_validation_Umass_rev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57150</xdr:rowOff>
    </xdr:from>
    <xdr:to>
      <xdr:col>22</xdr:col>
      <xdr:colOff>422275</xdr:colOff>
      <xdr:row>8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381000"/>
          <a:ext cx="5946775" cy="99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9</xdr:row>
      <xdr:rowOff>76200</xdr:rowOff>
    </xdr:from>
    <xdr:to>
      <xdr:col>20</xdr:col>
      <xdr:colOff>113785</xdr:colOff>
      <xdr:row>21</xdr:row>
      <xdr:rowOff>104529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1533525"/>
          <a:ext cx="4123810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24</xdr:row>
      <xdr:rowOff>114300</xdr:rowOff>
    </xdr:from>
    <xdr:to>
      <xdr:col>16</xdr:col>
      <xdr:colOff>171450</xdr:colOff>
      <xdr:row>52</xdr:row>
      <xdr:rowOff>104775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20075" y="3838575"/>
          <a:ext cx="1419225" cy="456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542925</xdr:colOff>
      <xdr:row>25</xdr:row>
      <xdr:rowOff>9525</xdr:rowOff>
    </xdr:from>
    <xdr:to>
      <xdr:col>20</xdr:col>
      <xdr:colOff>161290</xdr:colOff>
      <xdr:row>53</xdr:row>
      <xdr:rowOff>21590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20375" y="3895725"/>
          <a:ext cx="1447165" cy="4584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0" workbookViewId="0">
      <selection activeCell="G44" sqref="G44"/>
    </sheetView>
  </sheetViews>
  <sheetFormatPr defaultRowHeight="12.75" x14ac:dyDescent="0.2"/>
  <cols>
    <col min="1" max="1" width="32.42578125" customWidth="1"/>
    <col min="2" max="2" width="9.140625" style="69"/>
    <col min="3" max="3" width="10" customWidth="1"/>
    <col min="6" max="6" width="3.42578125" customWidth="1"/>
    <col min="9" max="9" width="3.42578125" customWidth="1"/>
  </cols>
  <sheetData>
    <row r="1" spans="1:14" x14ac:dyDescent="0.2">
      <c r="B1" s="71" t="s">
        <v>51</v>
      </c>
    </row>
    <row r="2" spans="1:14" x14ac:dyDescent="0.2">
      <c r="A2" t="s">
        <v>49</v>
      </c>
      <c r="B2" s="76">
        <v>16</v>
      </c>
      <c r="N2" s="72" t="s">
        <v>50</v>
      </c>
    </row>
    <row r="3" spans="1:14" x14ac:dyDescent="0.2">
      <c r="A3" s="72" t="s">
        <v>55</v>
      </c>
      <c r="B3" s="76">
        <v>2.42</v>
      </c>
    </row>
    <row r="4" spans="1:14" x14ac:dyDescent="0.2">
      <c r="A4" s="72" t="s">
        <v>66</v>
      </c>
      <c r="B4" s="76">
        <v>1.62</v>
      </c>
    </row>
    <row r="5" spans="1:14" x14ac:dyDescent="0.2">
      <c r="A5" s="72" t="s">
        <v>52</v>
      </c>
      <c r="B5" s="76">
        <v>196</v>
      </c>
    </row>
    <row r="6" spans="1:14" x14ac:dyDescent="0.2">
      <c r="A6" s="41" t="s">
        <v>56</v>
      </c>
      <c r="B6" s="76">
        <v>4</v>
      </c>
    </row>
    <row r="7" spans="1:14" x14ac:dyDescent="0.2">
      <c r="A7" s="73"/>
      <c r="B7" s="74"/>
      <c r="C7" s="73"/>
      <c r="D7" s="73"/>
      <c r="E7" s="73"/>
      <c r="F7" s="73"/>
      <c r="G7" s="73"/>
      <c r="H7" s="73"/>
      <c r="I7" s="73"/>
      <c r="J7" s="73"/>
    </row>
    <row r="8" spans="1:14" x14ac:dyDescent="0.2">
      <c r="B8"/>
      <c r="C8" s="75"/>
      <c r="F8" s="75"/>
      <c r="I8" s="75"/>
    </row>
    <row r="9" spans="1:14" x14ac:dyDescent="0.2">
      <c r="A9" s="70" t="s">
        <v>50</v>
      </c>
      <c r="B9" s="71" t="s">
        <v>51</v>
      </c>
      <c r="C9" s="75"/>
      <c r="D9" s="70" t="s">
        <v>53</v>
      </c>
      <c r="E9" s="71" t="s">
        <v>51</v>
      </c>
      <c r="F9" s="75"/>
      <c r="G9" s="70" t="s">
        <v>54</v>
      </c>
      <c r="H9" s="71" t="s">
        <v>51</v>
      </c>
      <c r="I9" s="75"/>
    </row>
    <row r="10" spans="1:14" x14ac:dyDescent="0.2">
      <c r="A10" s="72" t="s">
        <v>9</v>
      </c>
      <c r="B10" s="69">
        <v>4.2999999999999997E-2</v>
      </c>
      <c r="C10" s="75"/>
      <c r="D10" s="72" t="s">
        <v>9</v>
      </c>
      <c r="E10" s="69">
        <v>4.2999999999999997E-2</v>
      </c>
      <c r="F10" s="75"/>
      <c r="G10" s="72" t="s">
        <v>9</v>
      </c>
      <c r="H10" s="69">
        <v>4.2999999999999997E-2</v>
      </c>
      <c r="I10" s="75"/>
    </row>
    <row r="11" spans="1:14" x14ac:dyDescent="0.2">
      <c r="A11" s="72" t="s">
        <v>8</v>
      </c>
      <c r="B11" s="69">
        <v>4.2999999999999997E-2</v>
      </c>
      <c r="C11" s="75"/>
      <c r="D11" s="72" t="s">
        <v>8</v>
      </c>
      <c r="E11" s="69">
        <v>4.2999999999999997E-2</v>
      </c>
      <c r="F11" s="75"/>
      <c r="G11" s="72" t="s">
        <v>8</v>
      </c>
      <c r="H11" s="69">
        <v>4.2999999999999997E-2</v>
      </c>
      <c r="I11" s="75"/>
    </row>
    <row r="12" spans="1:14" x14ac:dyDescent="0.2">
      <c r="A12" s="72" t="s">
        <v>15</v>
      </c>
      <c r="B12" s="69">
        <v>0.81</v>
      </c>
      <c r="C12" s="75"/>
      <c r="D12" s="72" t="s">
        <v>15</v>
      </c>
      <c r="E12" s="69">
        <v>3.24</v>
      </c>
      <c r="F12" s="75"/>
      <c r="G12" s="72" t="s">
        <v>15</v>
      </c>
      <c r="H12" s="69">
        <v>1.62</v>
      </c>
      <c r="I12" s="75"/>
    </row>
    <row r="13" spans="1:14" x14ac:dyDescent="0.2">
      <c r="A13" s="72" t="s">
        <v>14</v>
      </c>
      <c r="B13" s="69">
        <v>0.81</v>
      </c>
      <c r="C13" s="75"/>
      <c r="D13" s="72" t="s">
        <v>14</v>
      </c>
      <c r="E13" s="69">
        <f>B4</f>
        <v>1.62</v>
      </c>
      <c r="F13" s="75"/>
      <c r="G13" s="72" t="s">
        <v>14</v>
      </c>
      <c r="H13" s="69">
        <v>3.24</v>
      </c>
      <c r="I13" s="75"/>
    </row>
    <row r="15" spans="1:14" x14ac:dyDescent="0.2">
      <c r="A15" s="73"/>
      <c r="B15" s="74"/>
      <c r="C15" s="73"/>
      <c r="D15" s="73"/>
      <c r="E15" s="73"/>
      <c r="F15" s="73"/>
      <c r="G15" s="73"/>
      <c r="H15" s="73"/>
      <c r="I15" s="73"/>
      <c r="J15" s="73"/>
      <c r="N15" s="72"/>
    </row>
    <row r="17" spans="1:4" x14ac:dyDescent="0.2">
      <c r="A17" s="83" t="s">
        <v>67</v>
      </c>
      <c r="C17" s="69"/>
      <c r="D17" s="69"/>
    </row>
    <row r="18" spans="1:4" x14ac:dyDescent="0.2">
      <c r="A18" s="84"/>
      <c r="C18" s="69"/>
      <c r="D18" s="69"/>
    </row>
    <row r="19" spans="1:4" x14ac:dyDescent="0.2">
      <c r="A19" s="85"/>
      <c r="B19" s="86"/>
      <c r="C19" s="86"/>
      <c r="D19" s="86"/>
    </row>
    <row r="20" spans="1:4" x14ac:dyDescent="0.2">
      <c r="A20" s="85"/>
      <c r="B20" s="86"/>
      <c r="C20" s="87" t="s">
        <v>57</v>
      </c>
      <c r="D20" s="86"/>
    </row>
    <row r="21" spans="1:4" x14ac:dyDescent="0.2">
      <c r="A21" s="85"/>
      <c r="B21" s="86"/>
      <c r="C21" s="86"/>
      <c r="D21" s="86"/>
    </row>
    <row r="22" spans="1:4" x14ac:dyDescent="0.2">
      <c r="A22" s="85"/>
      <c r="B22" s="86"/>
      <c r="C22" s="86"/>
      <c r="D22" s="86"/>
    </row>
    <row r="23" spans="1:4" x14ac:dyDescent="0.2">
      <c r="A23" s="88"/>
      <c r="B23" s="87" t="s">
        <v>58</v>
      </c>
      <c r="C23" s="87" t="s">
        <v>59</v>
      </c>
      <c r="D23" s="87" t="s">
        <v>50</v>
      </c>
    </row>
    <row r="24" spans="1:4" x14ac:dyDescent="0.2">
      <c r="A24" s="88" t="s">
        <v>60</v>
      </c>
      <c r="B24" s="89">
        <f>B34/5.678</f>
        <v>0.14802747446283904</v>
      </c>
      <c r="C24" s="89">
        <f t="shared" ref="C24:D28" si="0">C34/5.678</f>
        <v>6.9566748855230717E-2</v>
      </c>
      <c r="D24" s="89">
        <f t="shared" si="0"/>
        <v>3.4395914054244456E-2</v>
      </c>
    </row>
    <row r="25" spans="1:4" x14ac:dyDescent="0.2">
      <c r="A25" s="88" t="s">
        <v>61</v>
      </c>
      <c r="B25" s="89">
        <f t="shared" ref="B25" si="1">B35/5.678</f>
        <v>0.17706939063050373</v>
      </c>
      <c r="C25" s="89">
        <f t="shared" si="0"/>
        <v>7.8214159915463197E-2</v>
      </c>
      <c r="D25" s="89"/>
    </row>
    <row r="26" spans="1:4" x14ac:dyDescent="0.2">
      <c r="A26" s="88" t="s">
        <v>62</v>
      </c>
      <c r="B26" s="89">
        <f t="shared" ref="B26" si="2">B36/5.678</f>
        <v>0.16530468474815077</v>
      </c>
      <c r="C26" s="89">
        <f t="shared" si="0"/>
        <v>6.9918985558295177E-2</v>
      </c>
      <c r="D26" s="89"/>
    </row>
    <row r="27" spans="1:4" x14ac:dyDescent="0.2">
      <c r="A27" s="88" t="s">
        <v>63</v>
      </c>
      <c r="B27" s="89">
        <f t="shared" ref="B27" si="3">B37/5.678</f>
        <v>0.17566044381824586</v>
      </c>
      <c r="C27" s="89">
        <f t="shared" si="0"/>
        <v>7.647058823529411E-2</v>
      </c>
      <c r="D27" s="89"/>
    </row>
    <row r="28" spans="1:4" x14ac:dyDescent="0.2">
      <c r="A28" s="88" t="s">
        <v>64</v>
      </c>
      <c r="B28" s="89">
        <f t="shared" ref="B28" si="4">B38/5.678</f>
        <v>0.17641775272983445</v>
      </c>
      <c r="C28" s="89">
        <f t="shared" si="0"/>
        <v>7.7069390630503692E-2</v>
      </c>
      <c r="D28" s="89"/>
    </row>
    <row r="29" spans="1:4" x14ac:dyDescent="0.2">
      <c r="A29" s="90"/>
      <c r="B29" s="91"/>
      <c r="C29" s="91"/>
      <c r="D29" s="91"/>
    </row>
    <row r="30" spans="1:4" x14ac:dyDescent="0.2">
      <c r="A30" s="90"/>
      <c r="B30" s="91"/>
      <c r="C30" s="91"/>
      <c r="D30" s="91"/>
    </row>
    <row r="31" spans="1:4" ht="15.75" x14ac:dyDescent="0.25">
      <c r="A31" s="85"/>
      <c r="B31" s="92" t="s">
        <v>65</v>
      </c>
      <c r="C31" s="86"/>
      <c r="D31" s="86"/>
    </row>
    <row r="32" spans="1:4" x14ac:dyDescent="0.2">
      <c r="A32" s="85"/>
      <c r="B32" s="86"/>
      <c r="C32" s="86"/>
      <c r="D32" s="86"/>
    </row>
    <row r="33" spans="1:4" x14ac:dyDescent="0.2">
      <c r="A33" s="88"/>
      <c r="B33" s="87" t="s">
        <v>58</v>
      </c>
      <c r="C33" s="87" t="s">
        <v>59</v>
      </c>
      <c r="D33" s="87" t="s">
        <v>50</v>
      </c>
    </row>
    <row r="34" spans="1:4" x14ac:dyDescent="0.2">
      <c r="A34" s="88" t="s">
        <v>60</v>
      </c>
      <c r="B34" s="86">
        <v>0.84050000000000002</v>
      </c>
      <c r="C34" s="86">
        <v>0.39500000000000002</v>
      </c>
      <c r="D34" s="86">
        <v>0.1953</v>
      </c>
    </row>
    <row r="35" spans="1:4" x14ac:dyDescent="0.2">
      <c r="A35" s="88" t="s">
        <v>61</v>
      </c>
      <c r="B35" s="86">
        <v>1.0054000000000001</v>
      </c>
      <c r="C35" s="86">
        <v>0.44409999999999999</v>
      </c>
      <c r="D35" s="86"/>
    </row>
    <row r="36" spans="1:4" x14ac:dyDescent="0.2">
      <c r="A36" s="88" t="s">
        <v>62</v>
      </c>
      <c r="B36" s="69">
        <v>0.93859999999999999</v>
      </c>
      <c r="C36" s="69">
        <v>0.39700000000000002</v>
      </c>
      <c r="D36" s="86"/>
    </row>
    <row r="37" spans="1:4" x14ac:dyDescent="0.2">
      <c r="A37" s="88" t="s">
        <v>63</v>
      </c>
      <c r="B37" s="86">
        <v>0.99739999999999995</v>
      </c>
      <c r="C37" s="86">
        <v>0.43419999999999997</v>
      </c>
      <c r="D37" s="86"/>
    </row>
    <row r="38" spans="1:4" x14ac:dyDescent="0.2">
      <c r="A38" s="88" t="s">
        <v>64</v>
      </c>
      <c r="B38" s="86">
        <v>1.0017</v>
      </c>
      <c r="C38" s="86">
        <v>0.43759999999999999</v>
      </c>
      <c r="D38" s="8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5" workbookViewId="0">
      <selection activeCell="O15" sqref="O15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61" t="s">
        <v>46</v>
      </c>
      <c r="F2" s="62" t="s">
        <v>47</v>
      </c>
    </row>
    <row r="3" spans="1:15" ht="13.5" thickTop="1" x14ac:dyDescent="0.2">
      <c r="K3" s="11"/>
      <c r="L3" s="11"/>
      <c r="M3" s="11"/>
      <c r="N3" s="11"/>
      <c r="O3" s="11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5" thickBot="1" x14ac:dyDescent="0.25">
      <c r="A8" s="3"/>
      <c r="B8" s="9" t="s">
        <v>0</v>
      </c>
      <c r="C8" s="9" t="s">
        <v>0</v>
      </c>
      <c r="D8" s="39" t="s">
        <v>44</v>
      </c>
      <c r="E8" s="9" t="s">
        <v>12</v>
      </c>
      <c r="F8" s="9" t="s">
        <v>12</v>
      </c>
      <c r="G8" s="9" t="s">
        <v>0</v>
      </c>
      <c r="H8" s="9" t="s">
        <v>0</v>
      </c>
      <c r="I8" s="9" t="s">
        <v>12</v>
      </c>
      <c r="J8" s="9" t="s">
        <v>12</v>
      </c>
      <c r="K8" s="9" t="s">
        <v>12</v>
      </c>
      <c r="L8" s="4" t="s">
        <v>4</v>
      </c>
      <c r="M8" s="4" t="s">
        <v>4</v>
      </c>
      <c r="N8" s="4" t="s">
        <v>4</v>
      </c>
      <c r="O8" s="36" t="s">
        <v>17</v>
      </c>
    </row>
    <row r="9" spans="1:15" ht="13.5" thickBot="1" x14ac:dyDescent="0.25">
      <c r="A9" s="20" t="s">
        <v>13</v>
      </c>
      <c r="B9" s="21">
        <f>Input!B2*25.4/1000</f>
        <v>0.40639999999999998</v>
      </c>
      <c r="C9" s="21">
        <f>Input!B5*25.4/1000</f>
        <v>4.9783999999999997</v>
      </c>
      <c r="D9" s="22"/>
      <c r="E9" s="15">
        <f>C9*B9</f>
        <v>2.0232217599999998</v>
      </c>
      <c r="F9" s="15">
        <f>IF(SUM(F10:F13)=0,"",SUM(F10:F13))</f>
        <v>0.20564905966879998</v>
      </c>
      <c r="G9" s="15">
        <f>$B$9-(D$12+D$13)/1000</f>
        <v>0.36525199999999997</v>
      </c>
      <c r="H9" s="15">
        <f>$C$9-(D$10+D$11)/1000</f>
        <v>4.9762155999999997</v>
      </c>
      <c r="I9" s="15">
        <f>(B$9-(D$12+D$13)/1000)*(C$9-(D$11+D$10)/1000)</f>
        <v>1.8175727003311997</v>
      </c>
      <c r="J9" s="26">
        <f>(C$9-(D$11+D$10)/1000-2*0.0635)*(B$9-(D$12+D$13)/1000-2*0.0635)</f>
        <v>1.1553353151311998</v>
      </c>
      <c r="K9" s="27">
        <f>SUM(K10:K13)</f>
        <v>0.66223738519999986</v>
      </c>
      <c r="L9" s="24">
        <f>Input!D34</f>
        <v>0.1953</v>
      </c>
      <c r="M9" s="22"/>
      <c r="N9" s="22"/>
      <c r="O9" s="19">
        <f>($J$9*$L$9+$F$11*$M$11+$F$10*$M$10+$F$12*$M$12+$F$13*$M$13+$K$11*$N$11+$K$10*$N$10+$K$12*$N$12+$K$13*$N$13)/$E$9</f>
        <v>0.32708734129878836</v>
      </c>
    </row>
    <row r="10" spans="1:15" x14ac:dyDescent="0.2">
      <c r="A10" s="5" t="s">
        <v>9</v>
      </c>
      <c r="B10" s="15"/>
      <c r="C10" s="15"/>
      <c r="D10" s="13">
        <f>Input!B10*25.4</f>
        <v>1.0921999999999998</v>
      </c>
      <c r="E10" s="15"/>
      <c r="F10" s="17">
        <f>IF(D10="","",D10*(B$9-(D$12+D$13)/2/1000)/1000)</f>
        <v>4.2139915719999991E-4</v>
      </c>
      <c r="G10" s="17"/>
      <c r="H10" s="17"/>
      <c r="I10" s="15"/>
      <c r="J10" s="31"/>
      <c r="K10" s="26">
        <f>(B$9-(D$12+D$13)/1000-0.0635)*0.0635</f>
        <v>1.9161251999999997E-2</v>
      </c>
      <c r="L10" s="28"/>
      <c r="M10" s="24">
        <f>Input!B38</f>
        <v>1.0017</v>
      </c>
      <c r="N10" s="24">
        <f>Input!C38</f>
        <v>0.43759999999999999</v>
      </c>
      <c r="O10" s="35"/>
    </row>
    <row r="11" spans="1:15" x14ac:dyDescent="0.2">
      <c r="A11" s="5" t="s">
        <v>8</v>
      </c>
      <c r="B11" s="16"/>
      <c r="C11" s="17"/>
      <c r="D11" s="12">
        <f>Input!B11*25.4</f>
        <v>1.0921999999999998</v>
      </c>
      <c r="E11" s="17"/>
      <c r="F11" s="17">
        <f>IF(D11="","",D11*(B$9-(D$12+D$13)/2/1000)/1000)</f>
        <v>4.2139915719999991E-4</v>
      </c>
      <c r="G11" s="17"/>
      <c r="H11" s="17"/>
      <c r="I11" s="17"/>
      <c r="J11" s="29"/>
      <c r="K11" s="26">
        <f>(B$9-(D$12+D$13)/1000-0.0635)*0.0635</f>
        <v>1.9161251999999997E-2</v>
      </c>
      <c r="L11" s="30"/>
      <c r="M11" s="23">
        <f>Input!B37</f>
        <v>0.99739999999999995</v>
      </c>
      <c r="N11" s="23">
        <f>Input!C37</f>
        <v>0.43419999999999997</v>
      </c>
      <c r="O11" s="35"/>
    </row>
    <row r="12" spans="1:15" x14ac:dyDescent="0.2">
      <c r="A12" s="5" t="s">
        <v>15</v>
      </c>
      <c r="B12" s="15"/>
      <c r="C12" s="15"/>
      <c r="D12" s="13">
        <f>Input!B12*25.4</f>
        <v>20.574000000000002</v>
      </c>
      <c r="E12" s="15"/>
      <c r="F12" s="17">
        <f>IF(D12="","",D12*(C$9-(D$11+D$10)/2/1000)/1000)</f>
        <v>0.1024031306772</v>
      </c>
      <c r="G12" s="17"/>
      <c r="H12" s="17"/>
      <c r="I12" s="15"/>
      <c r="J12" s="31"/>
      <c r="K12" s="26">
        <f>(C$9-(D$11+D$10)/1000-0.0635)*0.0635</f>
        <v>0.31195744059999997</v>
      </c>
      <c r="L12" s="28"/>
      <c r="M12" s="23">
        <f>Input!B34</f>
        <v>0.84050000000000002</v>
      </c>
      <c r="N12" s="23">
        <f>Input!C34</f>
        <v>0.39500000000000002</v>
      </c>
      <c r="O12" s="35"/>
    </row>
    <row r="13" spans="1:15" ht="13.5" thickBot="1" x14ac:dyDescent="0.25">
      <c r="A13" s="10" t="s">
        <v>14</v>
      </c>
      <c r="B13" s="18"/>
      <c r="C13" s="18"/>
      <c r="D13" s="14">
        <f>Input!B13*25.4</f>
        <v>20.574000000000002</v>
      </c>
      <c r="E13" s="18"/>
      <c r="F13" s="18">
        <f>IF(D13="","",D13*(C$9-(D$11+D$10)/2/1000)/1000)</f>
        <v>0.1024031306772</v>
      </c>
      <c r="G13" s="18"/>
      <c r="H13" s="18"/>
      <c r="I13" s="18"/>
      <c r="J13" s="32"/>
      <c r="K13" s="33">
        <f>(C$9-(D$11+D$10)/1000-0.0635)*0.0635</f>
        <v>0.31195744059999997</v>
      </c>
      <c r="L13" s="34"/>
      <c r="M13" s="25">
        <f>Input!B34</f>
        <v>0.84050000000000002</v>
      </c>
      <c r="N13" s="25">
        <f>Input!C34</f>
        <v>0.39500000000000002</v>
      </c>
      <c r="O13" s="36"/>
    </row>
    <row r="14" spans="1:15" x14ac:dyDescent="0.2">
      <c r="I14" s="11"/>
      <c r="K14" s="11"/>
      <c r="L14" s="11"/>
      <c r="M14" s="11"/>
      <c r="N14" s="11"/>
      <c r="O14" s="11"/>
    </row>
    <row r="16" spans="1:15" x14ac:dyDescent="0.2">
      <c r="J16" s="11"/>
    </row>
    <row r="17" spans="1:15" x14ac:dyDescent="0.2">
      <c r="A17" s="38" t="s">
        <v>28</v>
      </c>
    </row>
    <row r="19" spans="1:15" ht="15.75" x14ac:dyDescent="0.3">
      <c r="A19" s="1"/>
      <c r="B19" s="7" t="s">
        <v>7</v>
      </c>
      <c r="C19" s="7" t="s">
        <v>6</v>
      </c>
      <c r="D19" s="2" t="s">
        <v>2</v>
      </c>
      <c r="E19" s="7" t="s">
        <v>10</v>
      </c>
      <c r="F19" s="7" t="s">
        <v>11</v>
      </c>
      <c r="G19" s="7" t="s">
        <v>18</v>
      </c>
      <c r="H19" s="7" t="s">
        <v>19</v>
      </c>
      <c r="I19" s="7" t="s">
        <v>20</v>
      </c>
      <c r="J19" s="6" t="s">
        <v>22</v>
      </c>
      <c r="K19" s="6" t="s">
        <v>21</v>
      </c>
      <c r="L19" s="6" t="s">
        <v>23</v>
      </c>
      <c r="M19" s="6" t="s">
        <v>3</v>
      </c>
      <c r="N19" s="6" t="s">
        <v>5</v>
      </c>
      <c r="O19" s="35" t="s">
        <v>16</v>
      </c>
    </row>
    <row r="20" spans="1:15" ht="15" thickBot="1" x14ac:dyDescent="0.25">
      <c r="A20" s="3"/>
      <c r="B20" s="9" t="s">
        <v>0</v>
      </c>
      <c r="C20" s="9" t="s">
        <v>0</v>
      </c>
      <c r="D20" s="4" t="s">
        <v>1</v>
      </c>
      <c r="E20" s="9" t="s">
        <v>12</v>
      </c>
      <c r="F20" s="9" t="s">
        <v>12</v>
      </c>
      <c r="G20" s="9" t="s">
        <v>0</v>
      </c>
      <c r="H20" s="9" t="s">
        <v>0</v>
      </c>
      <c r="I20" s="9" t="s">
        <v>12</v>
      </c>
      <c r="J20" s="9" t="s">
        <v>12</v>
      </c>
      <c r="K20" s="9" t="s">
        <v>12</v>
      </c>
      <c r="L20" s="4" t="s">
        <v>4</v>
      </c>
      <c r="M20" s="4" t="s">
        <v>4</v>
      </c>
      <c r="N20" s="4" t="s">
        <v>4</v>
      </c>
      <c r="O20" s="36" t="s">
        <v>17</v>
      </c>
    </row>
    <row r="21" spans="1:15" ht="13.5" thickBot="1" x14ac:dyDescent="0.25">
      <c r="A21" s="20" t="s">
        <v>13</v>
      </c>
      <c r="B21" s="21">
        <f>(Input!B2*25.4/1000)</f>
        <v>0.40639999999999998</v>
      </c>
      <c r="C21" s="21">
        <f>Input!B5*25.4/1000</f>
        <v>4.9783999999999997</v>
      </c>
      <c r="D21" s="22"/>
      <c r="E21" s="15">
        <f>C21*B21</f>
        <v>2.0232217599999998</v>
      </c>
      <c r="F21" s="15">
        <f>IF(SUM(F22:F25)=0,"",SUM(F22:F25))</f>
        <v>0.61517169868639998</v>
      </c>
      <c r="G21" s="15">
        <f>$B$21-(D$24+D$25)/1000</f>
        <v>0.28295599999999999</v>
      </c>
      <c r="H21" s="15">
        <f>$C$21-(D$23+D$22)/1000</f>
        <v>4.9762155999999997</v>
      </c>
      <c r="I21" s="15">
        <f>(B$21-(D$24+D$25)/1000)*(C$21-(D$23+D$22)/1000)</f>
        <v>1.4080500613135998</v>
      </c>
      <c r="J21" s="26">
        <f>(C$21-(D$23+D$22)/1000-2*0.0635)*(B$21-(D$24+D$25)/1000-2*0.0635)</f>
        <v>0.75626426811359992</v>
      </c>
      <c r="K21" s="27">
        <f>SUM(K22:K25)</f>
        <v>0.65178579319999996</v>
      </c>
      <c r="L21" s="24">
        <f>Input!D34</f>
        <v>0.1953</v>
      </c>
      <c r="M21" s="22"/>
      <c r="N21" s="22"/>
      <c r="O21" s="19">
        <f>($J$21*$L$21+$F$23*$M$23+$F$22*$M$22+$F$24*$M$24+$F$25*$M$25+$K$23*$N$23+$K$22*$N$22+$K$24*$N$24+$K$25*$N$25)/$E$21</f>
        <v>0.49738862996524241</v>
      </c>
    </row>
    <row r="22" spans="1:15" x14ac:dyDescent="0.2">
      <c r="A22" s="5" t="s">
        <v>9</v>
      </c>
      <c r="B22" s="15"/>
      <c r="C22" s="15"/>
      <c r="D22" s="13">
        <f>Input!E10*25.4</f>
        <v>1.0921999999999998</v>
      </c>
      <c r="E22" s="15"/>
      <c r="F22" s="17">
        <f>IF(D22="","",D22*(B$21-(D$24+D$25)/2/1000)/1000)</f>
        <v>3.7645731159999989E-4</v>
      </c>
      <c r="G22" s="17"/>
      <c r="H22" s="17"/>
      <c r="I22" s="15"/>
      <c r="J22" s="31"/>
      <c r="K22" s="26">
        <f>(B$21-(D$24+D$25)/1000-0.0635)*0.0635</f>
        <v>1.3935455999999999E-2</v>
      </c>
      <c r="L22" s="28"/>
      <c r="M22" s="24">
        <f>Input!B38</f>
        <v>1.0017</v>
      </c>
      <c r="N22" s="24">
        <f>Input!C38</f>
        <v>0.43759999999999999</v>
      </c>
      <c r="O22" s="35"/>
    </row>
    <row r="23" spans="1:15" x14ac:dyDescent="0.2">
      <c r="A23" s="5" t="s">
        <v>8</v>
      </c>
      <c r="B23" s="16"/>
      <c r="C23" s="17"/>
      <c r="D23" s="12">
        <f>Input!E11*25.4</f>
        <v>1.0921999999999998</v>
      </c>
      <c r="E23" s="17"/>
      <c r="F23" s="17">
        <f>IF(D23="","",D23*(B$21-(D$24+D$25)/2/1000)/1000)</f>
        <v>3.7645731159999989E-4</v>
      </c>
      <c r="G23" s="17"/>
      <c r="H23" s="17"/>
      <c r="I23" s="17"/>
      <c r="J23" s="29"/>
      <c r="K23" s="26">
        <f>(B$21-(D$24+D$25)/1000-0.0635)*0.0635</f>
        <v>1.3935455999999999E-2</v>
      </c>
      <c r="L23" s="30"/>
      <c r="M23" s="23">
        <f>Input!B37</f>
        <v>0.99739999999999995</v>
      </c>
      <c r="N23" s="23">
        <f>Input!C37</f>
        <v>0.43419999999999997</v>
      </c>
      <c r="O23" s="35"/>
    </row>
    <row r="24" spans="1:15" x14ac:dyDescent="0.2">
      <c r="A24" s="5" t="s">
        <v>15</v>
      </c>
      <c r="B24" s="15"/>
      <c r="C24" s="15"/>
      <c r="D24" s="13">
        <f>Input!E12*25.4</f>
        <v>82.296000000000006</v>
      </c>
      <c r="E24" s="15"/>
      <c r="F24" s="17">
        <f>IF(D24="","",D24*(C$21-(D$23+D$22)/2/1000)/1000)</f>
        <v>0.4096125227088</v>
      </c>
      <c r="G24" s="17"/>
      <c r="H24" s="17"/>
      <c r="I24" s="15"/>
      <c r="J24" s="31"/>
      <c r="K24" s="26">
        <f>(C$21-(D$23+D$22)/1000-0.0635)*0.0635</f>
        <v>0.31195744059999997</v>
      </c>
      <c r="L24" s="28"/>
      <c r="M24" s="23">
        <f>Input!B35</f>
        <v>1.0054000000000001</v>
      </c>
      <c r="N24" s="23">
        <f>Input!C35</f>
        <v>0.44409999999999999</v>
      </c>
      <c r="O24" s="35"/>
    </row>
    <row r="25" spans="1:15" ht="13.5" thickBot="1" x14ac:dyDescent="0.25">
      <c r="A25" s="10" t="s">
        <v>14</v>
      </c>
      <c r="B25" s="18"/>
      <c r="C25" s="18"/>
      <c r="D25" s="14">
        <f>Input!E13*25.4</f>
        <v>41.148000000000003</v>
      </c>
      <c r="E25" s="18"/>
      <c r="F25" s="18">
        <f>IF(D25="","",D25*(C$21-(D$23+D$22)/2/1000)/1000)</f>
        <v>0.2048062613544</v>
      </c>
      <c r="G25" s="18"/>
      <c r="H25" s="18"/>
      <c r="I25" s="18"/>
      <c r="J25" s="32"/>
      <c r="K25" s="33">
        <f>(C$21-(D$23+D$22)/1000-0.0635)*0.0635</f>
        <v>0.31195744059999997</v>
      </c>
      <c r="L25" s="34"/>
      <c r="M25" s="25">
        <f>Input!B34</f>
        <v>0.84050000000000002</v>
      </c>
      <c r="N25" s="25">
        <f>Input!C34</f>
        <v>0.39500000000000002</v>
      </c>
      <c r="O25" s="36"/>
    </row>
    <row r="28" spans="1:15" x14ac:dyDescent="0.2">
      <c r="F28" s="11"/>
    </row>
    <row r="29" spans="1:15" x14ac:dyDescent="0.2">
      <c r="A29" s="38" t="s">
        <v>29</v>
      </c>
    </row>
    <row r="31" spans="1:15" ht="15.75" x14ac:dyDescent="0.3">
      <c r="A31" s="1"/>
      <c r="B31" s="7" t="s">
        <v>7</v>
      </c>
      <c r="C31" s="7" t="s">
        <v>6</v>
      </c>
      <c r="D31" s="2" t="s">
        <v>2</v>
      </c>
      <c r="E31" s="7" t="s">
        <v>10</v>
      </c>
      <c r="F31" s="7" t="s">
        <v>11</v>
      </c>
      <c r="G31" s="7" t="s">
        <v>18</v>
      </c>
      <c r="H31" s="7" t="s">
        <v>19</v>
      </c>
      <c r="I31" s="7" t="s">
        <v>20</v>
      </c>
      <c r="J31" s="6" t="s">
        <v>22</v>
      </c>
      <c r="K31" s="6" t="s">
        <v>21</v>
      </c>
      <c r="L31" s="6" t="s">
        <v>23</v>
      </c>
      <c r="M31" s="6" t="s">
        <v>3</v>
      </c>
      <c r="N31" s="6" t="s">
        <v>5</v>
      </c>
      <c r="O31" s="35" t="s">
        <v>16</v>
      </c>
    </row>
    <row r="32" spans="1:15" ht="15" thickBot="1" x14ac:dyDescent="0.25">
      <c r="A32" s="3"/>
      <c r="B32" s="9" t="s">
        <v>0</v>
      </c>
      <c r="C32" s="9" t="s">
        <v>0</v>
      </c>
      <c r="D32" s="4" t="s">
        <v>1</v>
      </c>
      <c r="E32" s="9" t="s">
        <v>12</v>
      </c>
      <c r="F32" s="9" t="s">
        <v>12</v>
      </c>
      <c r="G32" s="9" t="s">
        <v>0</v>
      </c>
      <c r="H32" s="9" t="s">
        <v>0</v>
      </c>
      <c r="I32" s="9" t="s">
        <v>12</v>
      </c>
      <c r="J32" s="9" t="s">
        <v>12</v>
      </c>
      <c r="K32" s="9" t="s">
        <v>12</v>
      </c>
      <c r="L32" s="4" t="s">
        <v>4</v>
      </c>
      <c r="M32" s="4" t="s">
        <v>4</v>
      </c>
      <c r="N32" s="4" t="s">
        <v>4</v>
      </c>
      <c r="O32" s="36" t="s">
        <v>17</v>
      </c>
    </row>
    <row r="33" spans="1:15" ht="13.5" thickBot="1" x14ac:dyDescent="0.25">
      <c r="A33" s="20" t="s">
        <v>13</v>
      </c>
      <c r="B33" s="21">
        <f>Input!B2*25.4/1000</f>
        <v>0.40639999999999998</v>
      </c>
      <c r="C33" s="21">
        <f>Input!B5*25.4/1000</f>
        <v>4.9783999999999997</v>
      </c>
      <c r="D33" s="22"/>
      <c r="E33" s="15">
        <f>C33*B33</f>
        <v>2.0232217599999998</v>
      </c>
      <c r="F33" s="15">
        <f>IF(SUM(F34:F37)=0,"",SUM(F34:F37))</f>
        <v>0.61517169868639998</v>
      </c>
      <c r="G33" s="15">
        <f>$B$33-(D$37+D$36)/1000</f>
        <v>0.28295599999999999</v>
      </c>
      <c r="H33" s="15">
        <f>$C$33-(D$35+D$34)/1000</f>
        <v>4.9762155999999997</v>
      </c>
      <c r="I33" s="15">
        <f>(B$33-(D$37+D$36)/1000)*(C$33-(D$35+D$34)/1000)</f>
        <v>1.4080500613135998</v>
      </c>
      <c r="J33" s="26">
        <f>(C$33-(D$35+D$34)/1000-2*0.0635)*(B$33-(D$37+D$36)/1000-2*0.0635)</f>
        <v>0.75626426811359992</v>
      </c>
      <c r="K33" s="27">
        <f>SUM(K34:K37)</f>
        <v>0.65178579319999996</v>
      </c>
      <c r="L33" s="24">
        <f>Input!D34</f>
        <v>0.1953</v>
      </c>
      <c r="M33" s="22"/>
      <c r="N33" s="22"/>
      <c r="O33" s="19">
        <f>($J$33*$L$33+$F$35*$M$35+$F$34*$M$34+$F$37*$M$37+$F$36*$M$36+$K$35*$N$35+$K$34*$N$34+$K$37*$N$37+$K$36*$N$36)/$E$33</f>
        <v>0.47660232131600772</v>
      </c>
    </row>
    <row r="34" spans="1:15" x14ac:dyDescent="0.2">
      <c r="A34" s="5" t="s">
        <v>9</v>
      </c>
      <c r="B34" s="15"/>
      <c r="C34" s="15"/>
      <c r="D34" s="13">
        <f>Input!H10*25.4</f>
        <v>1.0921999999999998</v>
      </c>
      <c r="E34" s="15"/>
      <c r="F34" s="17">
        <f>IF(D34="","",D34*(B$33-(D$37+D$36)/2/1000)/1000)</f>
        <v>3.7645731159999989E-4</v>
      </c>
      <c r="G34" s="17"/>
      <c r="H34" s="17"/>
      <c r="I34" s="15"/>
      <c r="J34" s="31"/>
      <c r="K34" s="26">
        <f>(B$33-(D$37+D$36)/1000-0.0635)*0.0635</f>
        <v>1.3935455999999999E-2</v>
      </c>
      <c r="L34" s="28"/>
      <c r="M34" s="24">
        <f>Input!B38</f>
        <v>1.0017</v>
      </c>
      <c r="N34" s="24">
        <f>Input!C38</f>
        <v>0.43759999999999999</v>
      </c>
      <c r="O34" s="35"/>
    </row>
    <row r="35" spans="1:15" x14ac:dyDescent="0.2">
      <c r="A35" s="5" t="s">
        <v>8</v>
      </c>
      <c r="B35" s="16"/>
      <c r="C35" s="17"/>
      <c r="D35" s="12">
        <f>Input!H11*25.4</f>
        <v>1.0921999999999998</v>
      </c>
      <c r="E35" s="17"/>
      <c r="F35" s="17">
        <f>IF(D35="","",D35*(B$33-(D$37+D$36)/2/1000)/1000)</f>
        <v>3.7645731159999989E-4</v>
      </c>
      <c r="G35" s="17"/>
      <c r="H35" s="17"/>
      <c r="I35" s="17"/>
      <c r="J35" s="29"/>
      <c r="K35" s="26">
        <f>(B$33-(D$37+D$36)/1000-0.0635)*0.0635</f>
        <v>1.3935455999999999E-2</v>
      </c>
      <c r="L35" s="30"/>
      <c r="M35" s="23">
        <f>Input!B37</f>
        <v>0.99739999999999995</v>
      </c>
      <c r="N35" s="23">
        <f>Input!C37</f>
        <v>0.43419999999999997</v>
      </c>
      <c r="O35" s="35"/>
    </row>
    <row r="36" spans="1:15" x14ac:dyDescent="0.2">
      <c r="A36" s="5" t="s">
        <v>15</v>
      </c>
      <c r="B36" s="17"/>
      <c r="C36" s="17"/>
      <c r="D36" s="13">
        <f>Input!H12*25.4</f>
        <v>41.148000000000003</v>
      </c>
      <c r="E36" s="17"/>
      <c r="F36" s="17">
        <f>IF(D36="","",D36*(C$33-(D$35+D$34)/2/1000)/1000)</f>
        <v>0.2048062613544</v>
      </c>
      <c r="G36" s="17"/>
      <c r="H36" s="17"/>
      <c r="I36" s="17"/>
      <c r="J36" s="31"/>
      <c r="K36" s="27">
        <f>(C$33-(D$35+D$34)/1000-0.0635)*0.0635</f>
        <v>0.31195744059999997</v>
      </c>
      <c r="L36" s="28"/>
      <c r="M36" s="24">
        <f>Input!B34</f>
        <v>0.84050000000000002</v>
      </c>
      <c r="N36" s="24">
        <f>Input!C34</f>
        <v>0.39500000000000002</v>
      </c>
      <c r="O36" s="35"/>
    </row>
    <row r="37" spans="1:15" ht="13.5" thickBot="1" x14ac:dyDescent="0.25">
      <c r="A37" s="10" t="s">
        <v>14</v>
      </c>
      <c r="B37" s="18"/>
      <c r="C37" s="18"/>
      <c r="D37" s="14">
        <f>Input!H13*25.4</f>
        <v>82.296000000000006</v>
      </c>
      <c r="E37" s="18"/>
      <c r="F37" s="18">
        <f>IF(D37="","",D37*(C$33-(D$35+D$34)/2/1000)/1000)</f>
        <v>0.4096125227088</v>
      </c>
      <c r="G37" s="18"/>
      <c r="H37" s="18"/>
      <c r="I37" s="18"/>
      <c r="J37" s="32"/>
      <c r="K37" s="33">
        <f>(C$33-(D$35+D$34)/1000-0.0635)*0.0635</f>
        <v>0.31195744059999997</v>
      </c>
      <c r="L37" s="34"/>
      <c r="M37" s="25">
        <f>Input!B36</f>
        <v>0.93859999999999999</v>
      </c>
      <c r="N37" s="25">
        <f>Input!C36</f>
        <v>0.39700000000000002</v>
      </c>
      <c r="O37" s="36"/>
    </row>
    <row r="45" spans="1:15" ht="15.75" x14ac:dyDescent="0.3">
      <c r="B45" s="41" t="s">
        <v>30</v>
      </c>
      <c r="C45" s="42">
        <f>(O9-L9)/L9</f>
        <v>0.67479437428975098</v>
      </c>
    </row>
    <row r="46" spans="1:15" ht="15.75" x14ac:dyDescent="0.3">
      <c r="B46" s="41" t="s">
        <v>31</v>
      </c>
      <c r="C46" s="42">
        <f>(O21-L21)/L21</f>
        <v>1.5467927801599715</v>
      </c>
    </row>
    <row r="47" spans="1:15" ht="15.75" x14ac:dyDescent="0.3">
      <c r="B47" s="41" t="s">
        <v>32</v>
      </c>
      <c r="C47" s="42">
        <f>(O33-L33)/L33</f>
        <v>1.4403600681823232</v>
      </c>
    </row>
    <row r="49" spans="1:4" x14ac:dyDescent="0.2">
      <c r="A49" s="41" t="s">
        <v>33</v>
      </c>
      <c r="D49" s="77">
        <f>Input!B6</f>
        <v>4</v>
      </c>
    </row>
    <row r="51" spans="1:4" ht="14.25" x14ac:dyDescent="0.2">
      <c r="A51" s="41" t="s">
        <v>34</v>
      </c>
      <c r="B51">
        <f>(D49*O9*E9+O21*E21+O33*E33)/(E9*D49+E21+E33)</f>
        <v>0.38039005274606724</v>
      </c>
      <c r="C51" s="22" t="s">
        <v>4</v>
      </c>
    </row>
    <row r="53" spans="1:4" ht="15.75" x14ac:dyDescent="0.3">
      <c r="B53" s="41" t="s">
        <v>35</v>
      </c>
      <c r="C53" s="42">
        <f>(B51-L9)/L9</f>
        <v>0.94772172425021628</v>
      </c>
    </row>
  </sheetData>
  <phoneticPr fontId="0" type="noConversion"/>
  <printOptions gridLines="1"/>
  <pageMargins left="0.75" right="0.75" top="1" bottom="1" header="0.5" footer="0.5"/>
  <pageSetup scale="70" orientation="landscape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4" workbookViewId="0">
      <selection activeCell="M10" sqref="M10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61" t="s">
        <v>46</v>
      </c>
      <c r="F2" s="62" t="s">
        <v>48</v>
      </c>
    </row>
    <row r="3" spans="1:15" ht="13.5" thickTop="1" x14ac:dyDescent="0.2">
      <c r="L3" s="11"/>
      <c r="M3" s="37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5" thickBot="1" x14ac:dyDescent="0.25">
      <c r="A8" s="3"/>
      <c r="B8" s="39" t="s">
        <v>25</v>
      </c>
      <c r="C8" s="39" t="s">
        <v>25</v>
      </c>
      <c r="D8" s="39" t="s">
        <v>25</v>
      </c>
      <c r="E8" s="39" t="s">
        <v>26</v>
      </c>
      <c r="F8" s="39" t="s">
        <v>26</v>
      </c>
      <c r="G8" s="39" t="s">
        <v>25</v>
      </c>
      <c r="H8" s="39" t="s">
        <v>25</v>
      </c>
      <c r="I8" s="39" t="s">
        <v>26</v>
      </c>
      <c r="J8" s="39" t="s">
        <v>26</v>
      </c>
      <c r="K8" s="39" t="s">
        <v>26</v>
      </c>
      <c r="L8" s="39" t="s">
        <v>27</v>
      </c>
      <c r="M8" s="39" t="s">
        <v>27</v>
      </c>
      <c r="N8" s="39" t="s">
        <v>27</v>
      </c>
      <c r="O8" s="40" t="s">
        <v>27</v>
      </c>
    </row>
    <row r="9" spans="1:15" ht="13.5" thickBot="1" x14ac:dyDescent="0.25">
      <c r="A9" s="20" t="s">
        <v>13</v>
      </c>
      <c r="B9" s="78">
        <f>Input!B2</f>
        <v>16</v>
      </c>
      <c r="C9" s="78">
        <f>Input!B5</f>
        <v>196</v>
      </c>
      <c r="D9" s="28"/>
      <c r="E9" s="30">
        <f>C9*B9</f>
        <v>3136</v>
      </c>
      <c r="F9" s="30">
        <f>IF(SUM(F10:F13)=0,"",SUM(F10:F13))</f>
        <v>318.75667999999996</v>
      </c>
      <c r="G9" s="30">
        <f>$B$9-(D$12+D$13)</f>
        <v>14.379999999999999</v>
      </c>
      <c r="H9" s="30">
        <f>$C$9-(D$10+D$11)</f>
        <v>195.91399999999999</v>
      </c>
      <c r="I9" s="30">
        <f>(B$9-(D$12+D$13))*(C$9-(D$11+D$10))</f>
        <v>2817.2433199999996</v>
      </c>
      <c r="J9" s="30">
        <f>(C$9-(D$11+D$10)-2*2.5)*(B$9-(D$12+D$13)-2*2.5)</f>
        <v>1790.7733199999998</v>
      </c>
      <c r="K9" s="28">
        <f>SUM(K10:K13)</f>
        <v>1026.4699999999998</v>
      </c>
      <c r="L9" s="28">
        <f>'Walls (SI)'!L9/5.678</f>
        <v>3.4395914054244456E-2</v>
      </c>
      <c r="M9" s="28"/>
      <c r="N9" s="28"/>
      <c r="O9" s="19">
        <f>($J$9*$L$9+$F$11*$M$11+$F$10*$M$10+$F$12*$M$12+$F$13*$M$13+$K$11*$N$11+$K$10*$N$10+$K$12*$N$12+$K$13*$N$13)/$E$9</f>
        <v>5.7606083356602368E-2</v>
      </c>
    </row>
    <row r="10" spans="1:15" x14ac:dyDescent="0.2">
      <c r="A10" s="5" t="s">
        <v>9</v>
      </c>
      <c r="B10" s="30"/>
      <c r="C10" s="30"/>
      <c r="D10" s="80">
        <f>Input!B10</f>
        <v>4.2999999999999997E-2</v>
      </c>
      <c r="E10" s="30"/>
      <c r="F10" s="28">
        <f>IF(D10="","",D10*(B$9-(D$12+D$13)/2))</f>
        <v>0.65316999999999992</v>
      </c>
      <c r="G10" s="28"/>
      <c r="H10" s="28"/>
      <c r="I10" s="30"/>
      <c r="J10" s="51"/>
      <c r="K10" s="30">
        <f>(B$9-(D$12+D$13)-2.5)*2.5</f>
        <v>29.699999999999996</v>
      </c>
      <c r="L10" s="28"/>
      <c r="M10" s="28">
        <f>'Walls (SI)'!M10/5.678</f>
        <v>0.17641775272983445</v>
      </c>
      <c r="N10" s="28">
        <f>'Walls (SI)'!N10/5.678</f>
        <v>7.7069390630503692E-2</v>
      </c>
      <c r="O10" s="63"/>
    </row>
    <row r="11" spans="1:15" x14ac:dyDescent="0.2">
      <c r="A11" s="5" t="s">
        <v>8</v>
      </c>
      <c r="B11" s="64"/>
      <c r="C11" s="28"/>
      <c r="D11" s="81">
        <f>Input!B11</f>
        <v>4.2999999999999997E-2</v>
      </c>
      <c r="E11" s="28"/>
      <c r="F11" s="28">
        <f>IF(D11="","",D11*(B$9-(D$12+D$13)/2))</f>
        <v>0.65316999999999992</v>
      </c>
      <c r="G11" s="28"/>
      <c r="H11" s="28"/>
      <c r="I11" s="28"/>
      <c r="J11" s="65"/>
      <c r="K11" s="30">
        <f>(B$9-(D$12+D$13)-2.5)*2.5</f>
        <v>29.699999999999996</v>
      </c>
      <c r="L11" s="30"/>
      <c r="M11" s="30">
        <f>'Walls (SI)'!M11/5.678</f>
        <v>0.17566044381824586</v>
      </c>
      <c r="N11" s="30">
        <f>'Walls (SI)'!N11/5.678</f>
        <v>7.647058823529411E-2</v>
      </c>
      <c r="O11" s="63"/>
    </row>
    <row r="12" spans="1:15" x14ac:dyDescent="0.2">
      <c r="A12" s="5" t="s">
        <v>15</v>
      </c>
      <c r="B12" s="30"/>
      <c r="C12" s="30"/>
      <c r="D12" s="80">
        <f>Input!B12</f>
        <v>0.81</v>
      </c>
      <c r="E12" s="30"/>
      <c r="F12" s="28">
        <f>IF(D12="","",D12*(C$9-(D$11+D$10)/2))</f>
        <v>158.72516999999999</v>
      </c>
      <c r="G12" s="28"/>
      <c r="H12" s="28"/>
      <c r="I12" s="30"/>
      <c r="J12" s="51"/>
      <c r="K12" s="30">
        <f>(C$9-(D$11+D$10)-2.5)*2.5</f>
        <v>483.53499999999997</v>
      </c>
      <c r="L12" s="28"/>
      <c r="M12" s="30">
        <f>'Walls (SI)'!M12/5.678</f>
        <v>0.14802747446283904</v>
      </c>
      <c r="N12" s="30">
        <f>'Walls (SI)'!N12/5.678</f>
        <v>6.9566748855230717E-2</v>
      </c>
      <c r="O12" s="63"/>
    </row>
    <row r="13" spans="1:15" ht="13.5" thickBot="1" x14ac:dyDescent="0.25">
      <c r="A13" s="10" t="s">
        <v>14</v>
      </c>
      <c r="B13" s="34"/>
      <c r="C13" s="34"/>
      <c r="D13" s="82">
        <f>Input!B13</f>
        <v>0.81</v>
      </c>
      <c r="E13" s="34"/>
      <c r="F13" s="34">
        <f>IF(D13="","",D13*(C$9-(D$11+D$10)/2))</f>
        <v>158.72516999999999</v>
      </c>
      <c r="G13" s="34"/>
      <c r="H13" s="34"/>
      <c r="I13" s="34"/>
      <c r="J13" s="53"/>
      <c r="K13" s="34">
        <f>(C$9-(D$11+D$10)-2.5)*2.5</f>
        <v>483.53499999999997</v>
      </c>
      <c r="L13" s="34"/>
      <c r="M13" s="34">
        <f>'Walls (SI)'!M13/5.678</f>
        <v>0.14802747446283904</v>
      </c>
      <c r="N13" s="34">
        <f>'Walls (SI)'!N13/5.678</f>
        <v>6.9566748855230717E-2</v>
      </c>
      <c r="O13" s="66"/>
    </row>
    <row r="14" spans="1:15" x14ac:dyDescent="0.2">
      <c r="B14" s="54"/>
      <c r="C14" s="54"/>
      <c r="D14" s="54"/>
      <c r="E14" s="54"/>
      <c r="F14" s="54"/>
      <c r="G14" s="54"/>
      <c r="H14" s="54"/>
      <c r="I14" s="29"/>
      <c r="J14" s="54"/>
      <c r="K14" s="29"/>
      <c r="L14" s="29"/>
      <c r="M14" s="29"/>
      <c r="N14" s="29"/>
      <c r="O14" s="11"/>
    </row>
    <row r="15" spans="1:15" x14ac:dyDescent="0.2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5" x14ac:dyDescent="0.2">
      <c r="B16" s="54"/>
      <c r="C16" s="54"/>
      <c r="D16" s="54"/>
      <c r="E16" s="54"/>
      <c r="F16" s="54"/>
      <c r="G16" s="54"/>
      <c r="H16" s="54"/>
      <c r="I16" s="54"/>
      <c r="J16" s="29"/>
      <c r="K16" s="54"/>
      <c r="L16" s="54"/>
      <c r="M16" s="54"/>
      <c r="N16" s="54"/>
    </row>
    <row r="17" spans="1:15" x14ac:dyDescent="0.2">
      <c r="A17" s="38" t="s">
        <v>28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5" x14ac:dyDescent="0.2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5" ht="15.75" x14ac:dyDescent="0.3">
      <c r="A19" s="1"/>
      <c r="B19" s="55" t="s">
        <v>7</v>
      </c>
      <c r="C19" s="55" t="s">
        <v>6</v>
      </c>
      <c r="D19" s="56" t="s">
        <v>2</v>
      </c>
      <c r="E19" s="55" t="s">
        <v>10</v>
      </c>
      <c r="F19" s="55" t="s">
        <v>11</v>
      </c>
      <c r="G19" s="55" t="s">
        <v>18</v>
      </c>
      <c r="H19" s="55" t="s">
        <v>19</v>
      </c>
      <c r="I19" s="55" t="s">
        <v>20</v>
      </c>
      <c r="J19" s="57" t="s">
        <v>22</v>
      </c>
      <c r="K19" s="57" t="s">
        <v>21</v>
      </c>
      <c r="L19" s="57" t="s">
        <v>23</v>
      </c>
      <c r="M19" s="57" t="s">
        <v>3</v>
      </c>
      <c r="N19" s="57" t="s">
        <v>5</v>
      </c>
      <c r="O19" s="35" t="s">
        <v>16</v>
      </c>
    </row>
    <row r="20" spans="1:15" ht="15" thickBot="1" x14ac:dyDescent="0.25">
      <c r="A20" s="3"/>
      <c r="B20" s="58" t="s">
        <v>25</v>
      </c>
      <c r="C20" s="58" t="s">
        <v>25</v>
      </c>
      <c r="D20" s="58" t="s">
        <v>25</v>
      </c>
      <c r="E20" s="58" t="s">
        <v>26</v>
      </c>
      <c r="F20" s="58" t="s">
        <v>26</v>
      </c>
      <c r="G20" s="58" t="s">
        <v>25</v>
      </c>
      <c r="H20" s="58" t="s">
        <v>25</v>
      </c>
      <c r="I20" s="58" t="s">
        <v>26</v>
      </c>
      <c r="J20" s="58" t="s">
        <v>26</v>
      </c>
      <c r="K20" s="58" t="s">
        <v>26</v>
      </c>
      <c r="L20" s="58" t="s">
        <v>27</v>
      </c>
      <c r="M20" s="58" t="s">
        <v>27</v>
      </c>
      <c r="N20" s="58" t="s">
        <v>27</v>
      </c>
      <c r="O20" s="40" t="s">
        <v>27</v>
      </c>
    </row>
    <row r="21" spans="1:15" ht="13.5" thickBot="1" x14ac:dyDescent="0.25">
      <c r="A21" s="20" t="s">
        <v>13</v>
      </c>
      <c r="B21" s="79">
        <f>Input!B2</f>
        <v>16</v>
      </c>
      <c r="C21" s="79">
        <f>Input!B5</f>
        <v>196</v>
      </c>
      <c r="D21" s="50"/>
      <c r="E21" s="26">
        <f>C21*B21</f>
        <v>3136</v>
      </c>
      <c r="F21" s="26">
        <f>IF(SUM(F22:F25)=0,"",SUM(F22:F25))</f>
        <v>953.51803999999993</v>
      </c>
      <c r="G21" s="26">
        <f>$B$21-(D$24+D$25)</f>
        <v>11.14</v>
      </c>
      <c r="H21" s="26">
        <f>$C$21-(D$23+D$22)</f>
        <v>195.91399999999999</v>
      </c>
      <c r="I21" s="26">
        <f>(B$21-(D$24+D$25))*(C$21-(D$23+D$22))</f>
        <v>2182.4819600000001</v>
      </c>
      <c r="J21" s="26">
        <f>(C$21-(D$23+D$22)-2*2.5)*(B$21-(D$24+D$25)-2*2.5)</f>
        <v>1172.2119600000001</v>
      </c>
      <c r="K21" s="27">
        <f>SUM(K22:K25)</f>
        <v>1010.27</v>
      </c>
      <c r="L21" s="28">
        <f>'Walls (SI)'!L21/5.678</f>
        <v>3.4395914054244456E-2</v>
      </c>
      <c r="M21" s="50"/>
      <c r="N21" s="50"/>
      <c r="O21" s="19">
        <f>($J$21*$L$21+$F$23*$M$23+$F$22*$M$22+$F$24*$M$24+$F$25*$M$25+$K$23*$N$23+$K$22*$N$22+$K$24*$N$24+$K$25*$N$25)/$E$21</f>
        <v>8.759926558035265E-2</v>
      </c>
    </row>
    <row r="22" spans="1:15" x14ac:dyDescent="0.2">
      <c r="A22" s="5" t="s">
        <v>9</v>
      </c>
      <c r="B22" s="26"/>
      <c r="C22" s="26"/>
      <c r="D22" s="80">
        <f>Input!E10</f>
        <v>4.2999999999999997E-2</v>
      </c>
      <c r="E22" s="26"/>
      <c r="F22" s="27">
        <f>IF(D22="","",D22*(B$21-(D$24+D$25)/2))</f>
        <v>0.58350999999999997</v>
      </c>
      <c r="G22" s="27"/>
      <c r="H22" s="27"/>
      <c r="I22" s="26"/>
      <c r="J22" s="31"/>
      <c r="K22" s="26">
        <f>(B$21-(D$24+D$25)-2.5)*2.5</f>
        <v>21.6</v>
      </c>
      <c r="L22" s="28"/>
      <c r="M22" s="28">
        <f>'Walls (SI)'!M22/5.678</f>
        <v>0.17641775272983445</v>
      </c>
      <c r="N22" s="28">
        <f>'Walls (SI)'!N22/5.678</f>
        <v>7.7069390630503692E-2</v>
      </c>
      <c r="O22" s="35"/>
    </row>
    <row r="23" spans="1:15" x14ac:dyDescent="0.2">
      <c r="A23" s="5" t="s">
        <v>8</v>
      </c>
      <c r="B23" s="52"/>
      <c r="C23" s="27"/>
      <c r="D23" s="80">
        <f>Input!E11</f>
        <v>4.2999999999999997E-2</v>
      </c>
      <c r="E23" s="27"/>
      <c r="F23" s="27">
        <f>IF(D23="","",D23*(B$21-(D$24+D$25)/2))</f>
        <v>0.58350999999999997</v>
      </c>
      <c r="G23" s="27"/>
      <c r="H23" s="27"/>
      <c r="I23" s="27"/>
      <c r="J23" s="29"/>
      <c r="K23" s="26">
        <f>(B$21-(D$24+D$25)-2.5)*2.5</f>
        <v>21.6</v>
      </c>
      <c r="L23" s="30"/>
      <c r="M23" s="30">
        <f>'Walls (SI)'!M23/5.678</f>
        <v>0.17566044381824586</v>
      </c>
      <c r="N23" s="30">
        <f>'Walls (SI)'!N23/5.678</f>
        <v>7.647058823529411E-2</v>
      </c>
      <c r="O23" s="35"/>
    </row>
    <row r="24" spans="1:15" x14ac:dyDescent="0.2">
      <c r="A24" s="5" t="s">
        <v>15</v>
      </c>
      <c r="B24" s="26"/>
      <c r="C24" s="26"/>
      <c r="D24" s="80">
        <f>Input!E12</f>
        <v>3.24</v>
      </c>
      <c r="E24" s="26"/>
      <c r="F24" s="27">
        <f>IF(D24="","",D24*(C$21-(D$23+D$22)/2))</f>
        <v>634.90067999999997</v>
      </c>
      <c r="G24" s="27"/>
      <c r="H24" s="27"/>
      <c r="I24" s="26"/>
      <c r="J24" s="31"/>
      <c r="K24" s="26">
        <f>(C$21-(D$23+D$22)-2.5)*2.5</f>
        <v>483.53499999999997</v>
      </c>
      <c r="L24" s="28"/>
      <c r="M24" s="30">
        <f>'Walls (SI)'!M24/5.678</f>
        <v>0.17706939063050373</v>
      </c>
      <c r="N24" s="30">
        <f>'Walls (SI)'!N24/5.678</f>
        <v>7.8214159915463197E-2</v>
      </c>
      <c r="O24" s="35"/>
    </row>
    <row r="25" spans="1:15" ht="13.5" thickBot="1" x14ac:dyDescent="0.25">
      <c r="A25" s="10" t="s">
        <v>14</v>
      </c>
      <c r="B25" s="33"/>
      <c r="C25" s="33"/>
      <c r="D25" s="82">
        <f>Input!E13</f>
        <v>1.62</v>
      </c>
      <c r="E25" s="33"/>
      <c r="F25" s="33">
        <f>IF(D25="","",D25*(C$21-(D$23+D$22)/2))</f>
        <v>317.45033999999998</v>
      </c>
      <c r="G25" s="33"/>
      <c r="H25" s="33"/>
      <c r="I25" s="33"/>
      <c r="J25" s="32"/>
      <c r="K25" s="33">
        <f>(C$21-(D$23+D$22)-2.5)*2.5</f>
        <v>483.53499999999997</v>
      </c>
      <c r="L25" s="34"/>
      <c r="M25" s="34">
        <f>'Walls (SI)'!M25/5.678</f>
        <v>0.14802747446283904</v>
      </c>
      <c r="N25" s="34">
        <f>'Walls (SI)'!N25/5.678</f>
        <v>6.9566748855230717E-2</v>
      </c>
      <c r="O25" s="36"/>
    </row>
    <row r="26" spans="1:15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5" x14ac:dyDescent="0.2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5" x14ac:dyDescent="0.2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5" x14ac:dyDescent="0.2">
      <c r="A29" s="38" t="s">
        <v>29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5" x14ac:dyDescent="0.2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5" ht="15.75" x14ac:dyDescent="0.3">
      <c r="A31" s="1"/>
      <c r="B31" s="55" t="s">
        <v>7</v>
      </c>
      <c r="C31" s="55" t="s">
        <v>6</v>
      </c>
      <c r="D31" s="56" t="s">
        <v>2</v>
      </c>
      <c r="E31" s="55" t="s">
        <v>10</v>
      </c>
      <c r="F31" s="55" t="s">
        <v>11</v>
      </c>
      <c r="G31" s="55" t="s">
        <v>18</v>
      </c>
      <c r="H31" s="55" t="s">
        <v>19</v>
      </c>
      <c r="I31" s="55" t="s">
        <v>20</v>
      </c>
      <c r="J31" s="57" t="s">
        <v>22</v>
      </c>
      <c r="K31" s="57" t="s">
        <v>21</v>
      </c>
      <c r="L31" s="57" t="s">
        <v>23</v>
      </c>
      <c r="M31" s="57" t="s">
        <v>3</v>
      </c>
      <c r="N31" s="57" t="s">
        <v>5</v>
      </c>
      <c r="O31" s="35" t="s">
        <v>16</v>
      </c>
    </row>
    <row r="32" spans="1:15" ht="15" thickBot="1" x14ac:dyDescent="0.25">
      <c r="A32" s="3"/>
      <c r="B32" s="58" t="s">
        <v>25</v>
      </c>
      <c r="C32" s="58" t="s">
        <v>25</v>
      </c>
      <c r="D32" s="58" t="s">
        <v>25</v>
      </c>
      <c r="E32" s="58" t="s">
        <v>26</v>
      </c>
      <c r="F32" s="58" t="s">
        <v>26</v>
      </c>
      <c r="G32" s="58" t="s">
        <v>25</v>
      </c>
      <c r="H32" s="58" t="s">
        <v>25</v>
      </c>
      <c r="I32" s="58" t="s">
        <v>26</v>
      </c>
      <c r="J32" s="58" t="s">
        <v>26</v>
      </c>
      <c r="K32" s="58" t="s">
        <v>26</v>
      </c>
      <c r="L32" s="58" t="s">
        <v>27</v>
      </c>
      <c r="M32" s="58" t="s">
        <v>27</v>
      </c>
      <c r="N32" s="58" t="s">
        <v>27</v>
      </c>
      <c r="O32" s="40" t="s">
        <v>27</v>
      </c>
    </row>
    <row r="33" spans="1:15" ht="13.5" thickBot="1" x14ac:dyDescent="0.25">
      <c r="A33" s="20" t="s">
        <v>13</v>
      </c>
      <c r="B33" s="79">
        <f>Input!B2</f>
        <v>16</v>
      </c>
      <c r="C33" s="79">
        <f>'Walls (SI)'!C33*39.37007874</f>
        <v>195.99999999921596</v>
      </c>
      <c r="D33" s="50"/>
      <c r="E33" s="26">
        <f>C33*B33</f>
        <v>3135.9999999874553</v>
      </c>
      <c r="F33" s="26">
        <f>IF(SUM(F34:F37)=0,"",SUM(F34:F37))</f>
        <v>953.5180399961896</v>
      </c>
      <c r="G33" s="26">
        <f>$B$33-(D$37+D$36)</f>
        <v>11.14</v>
      </c>
      <c r="H33" s="26">
        <f>$C$33-(D$35+D$34)</f>
        <v>195.91399999921595</v>
      </c>
      <c r="I33" s="26">
        <f>(B$33-(D$37+D$36))*(C$33-(D$35+D$34))</f>
        <v>2182.4819599912657</v>
      </c>
      <c r="J33" s="26">
        <f>(C$33-(D$35+D$34)-2*2.5)*(B$33-(D$37+D$36)-2*2.5)</f>
        <v>1172.2119599951859</v>
      </c>
      <c r="K33" s="27">
        <f>SUM(K34:K37)</f>
        <v>1010.2699999960798</v>
      </c>
      <c r="L33" s="28">
        <f>'Walls (SI)'!L33/5.678</f>
        <v>3.4395914054244456E-2</v>
      </c>
      <c r="M33" s="50"/>
      <c r="N33" s="50"/>
      <c r="O33" s="19">
        <f>($J$33*$L$33+$F$35*$M$35+$F$34*$M$34+$F$37*$M$37+$F$36*$M$36+$K$35*$N$35+$K$34*$N$34+$K$37*$N$37+$K$36*$N$36)/$E$33</f>
        <v>8.3938415166611255E-2</v>
      </c>
    </row>
    <row r="34" spans="1:15" x14ac:dyDescent="0.2">
      <c r="A34" s="5" t="s">
        <v>9</v>
      </c>
      <c r="B34" s="26"/>
      <c r="C34" s="26"/>
      <c r="D34" s="80">
        <f>Input!H10</f>
        <v>4.2999999999999997E-2</v>
      </c>
      <c r="E34" s="26"/>
      <c r="F34" s="27">
        <f>IF(D34="","",D34*(B$33-(D$37+D$36)/2))</f>
        <v>0.58350999999999997</v>
      </c>
      <c r="G34" s="27"/>
      <c r="H34" s="27"/>
      <c r="I34" s="26"/>
      <c r="J34" s="31"/>
      <c r="K34" s="26">
        <f>(B$33-(D$37+D$36)-2.5)*2.5</f>
        <v>21.6</v>
      </c>
      <c r="L34" s="28"/>
      <c r="M34" s="28">
        <f>'Walls (SI)'!M34/5.678</f>
        <v>0.17641775272983445</v>
      </c>
      <c r="N34" s="28">
        <f>'Walls (SI)'!N34/5.678</f>
        <v>7.7069390630503692E-2</v>
      </c>
      <c r="O34" s="35"/>
    </row>
    <row r="35" spans="1:15" x14ac:dyDescent="0.2">
      <c r="A35" s="5" t="s">
        <v>8</v>
      </c>
      <c r="B35" s="52"/>
      <c r="C35" s="27"/>
      <c r="D35" s="80">
        <f>Input!H11</f>
        <v>4.2999999999999997E-2</v>
      </c>
      <c r="E35" s="27"/>
      <c r="F35" s="27">
        <f>IF(D35="","",D35*(B$33-(D$37+D$36)/2))</f>
        <v>0.58350999999999997</v>
      </c>
      <c r="G35" s="27"/>
      <c r="H35" s="27"/>
      <c r="I35" s="27"/>
      <c r="J35" s="29"/>
      <c r="K35" s="26">
        <f>(B$33-(D$37+D$36)-2.5)*2.5</f>
        <v>21.6</v>
      </c>
      <c r="L35" s="30"/>
      <c r="M35" s="30">
        <f>'Walls (SI)'!M35/5.678</f>
        <v>0.17566044381824586</v>
      </c>
      <c r="N35" s="30">
        <f>'Walls (SI)'!N35/5.678</f>
        <v>7.647058823529411E-2</v>
      </c>
      <c r="O35" s="35"/>
    </row>
    <row r="36" spans="1:15" x14ac:dyDescent="0.2">
      <c r="A36" s="67" t="s">
        <v>15</v>
      </c>
      <c r="B36" s="27"/>
      <c r="C36" s="27"/>
      <c r="D36" s="80">
        <f>Input!H12</f>
        <v>1.62</v>
      </c>
      <c r="E36" s="27"/>
      <c r="F36" s="27">
        <f>IF(D36="","",D36*(C$33-(D$35+D$34)/2))</f>
        <v>317.45033999872987</v>
      </c>
      <c r="G36" s="27"/>
      <c r="H36" s="27"/>
      <c r="I36" s="27"/>
      <c r="J36" s="31"/>
      <c r="K36" s="27">
        <f>(C$33-(D$35+D$34)-2.5)*2.5</f>
        <v>483.53499999803989</v>
      </c>
      <c r="L36" s="28"/>
      <c r="M36" s="28">
        <f>'Walls (SI)'!M36/5.678</f>
        <v>0.14802747446283904</v>
      </c>
      <c r="N36" s="28">
        <f>'Walls (SI)'!N36/5.678</f>
        <v>6.9566748855230717E-2</v>
      </c>
      <c r="O36" s="35"/>
    </row>
    <row r="37" spans="1:15" ht="13.5" thickBot="1" x14ac:dyDescent="0.25">
      <c r="A37" s="68" t="s">
        <v>14</v>
      </c>
      <c r="B37" s="33"/>
      <c r="C37" s="33"/>
      <c r="D37" s="82">
        <f>Input!H13</f>
        <v>3.24</v>
      </c>
      <c r="E37" s="33"/>
      <c r="F37" s="33">
        <f>IF(D37="","",D37*(C$33-(D$35+D$34)/2))</f>
        <v>634.90067999745975</v>
      </c>
      <c r="G37" s="33"/>
      <c r="H37" s="33"/>
      <c r="I37" s="33"/>
      <c r="J37" s="32"/>
      <c r="K37" s="33">
        <f>(C$33-(D$35+D$34)-2.5)*2.5</f>
        <v>483.53499999803989</v>
      </c>
      <c r="L37" s="34"/>
      <c r="M37" s="34">
        <f>'Walls (SI)'!M37/5.678</f>
        <v>0.16530468474815077</v>
      </c>
      <c r="N37" s="34">
        <f>'Walls (SI)'!N37/5.678</f>
        <v>6.9918985558295177E-2</v>
      </c>
      <c r="O37" s="36"/>
    </row>
    <row r="45" spans="1:15" ht="15.75" x14ac:dyDescent="0.3">
      <c r="B45" s="41" t="s">
        <v>30</v>
      </c>
      <c r="C45" s="42">
        <f>(O9-L9)/L9</f>
        <v>0.6747943742897502</v>
      </c>
    </row>
    <row r="46" spans="1:15" ht="15.75" x14ac:dyDescent="0.3">
      <c r="B46" s="41" t="s">
        <v>31</v>
      </c>
      <c r="C46" s="42">
        <f>(O21-L21)/L21</f>
        <v>1.5467927801599708</v>
      </c>
    </row>
    <row r="47" spans="1:15" ht="15.75" x14ac:dyDescent="0.3">
      <c r="B47" s="41" t="s">
        <v>32</v>
      </c>
      <c r="C47" s="42">
        <f>(O33-L33)/L33</f>
        <v>1.4403600681823792</v>
      </c>
    </row>
    <row r="49" spans="1:6" x14ac:dyDescent="0.2">
      <c r="A49" s="41" t="s">
        <v>33</v>
      </c>
      <c r="D49" s="77">
        <f>Input!B6</f>
        <v>4</v>
      </c>
    </row>
    <row r="51" spans="1:6" ht="14.25" x14ac:dyDescent="0.2">
      <c r="A51" s="41" t="s">
        <v>34</v>
      </c>
      <c r="B51" s="37">
        <f>'Walls (SI)'!B51/5.678</f>
        <v>6.6993669028895253E-2</v>
      </c>
      <c r="C51" s="60" t="s">
        <v>27</v>
      </c>
      <c r="E51" s="59" t="s">
        <v>45</v>
      </c>
      <c r="F51">
        <f>(D49*O9*E9+O21*E21+O33*E33)/(E9*D49+E21+E33)</f>
        <v>6.6993669028884248E-2</v>
      </c>
    </row>
    <row r="53" spans="1:6" ht="15.75" x14ac:dyDescent="0.3">
      <c r="B53" s="41" t="s">
        <v>35</v>
      </c>
      <c r="C53" s="42">
        <f>(B51-L9)/L9</f>
        <v>0.94772172425021617</v>
      </c>
    </row>
  </sheetData>
  <printOptions gridLines="1"/>
  <pageMargins left="0.75" right="0.75" top="1" bottom="1" header="0.5" footer="0.5"/>
  <pageSetup scale="68"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2.75" x14ac:dyDescent="0.2"/>
  <cols>
    <col min="1" max="1" width="26" customWidth="1"/>
  </cols>
  <sheetData>
    <row r="2" spans="1:3" ht="13.5" thickBot="1" x14ac:dyDescent="0.25"/>
    <row r="3" spans="1:3" x14ac:dyDescent="0.2">
      <c r="A3" s="43" t="s">
        <v>42</v>
      </c>
      <c r="B3" s="44" t="s">
        <v>43</v>
      </c>
    </row>
    <row r="4" spans="1:3" ht="13.5" thickBot="1" x14ac:dyDescent="0.25">
      <c r="A4" s="45"/>
      <c r="B4" s="46" t="s">
        <v>41</v>
      </c>
    </row>
    <row r="5" spans="1:3" x14ac:dyDescent="0.2">
      <c r="A5" s="47" t="s">
        <v>36</v>
      </c>
      <c r="B5" s="48">
        <v>0.14000000000000001</v>
      </c>
    </row>
    <row r="6" spans="1:3" x14ac:dyDescent="0.2">
      <c r="A6" s="47" t="s">
        <v>37</v>
      </c>
      <c r="B6" s="48">
        <v>0.04</v>
      </c>
      <c r="C6" s="41"/>
    </row>
    <row r="7" spans="1:3" x14ac:dyDescent="0.2">
      <c r="A7" s="47" t="s">
        <v>38</v>
      </c>
      <c r="B7" s="48">
        <v>0.16009999999999999</v>
      </c>
      <c r="C7" s="41"/>
    </row>
    <row r="8" spans="1:3" x14ac:dyDescent="0.2">
      <c r="A8" s="47" t="s">
        <v>39</v>
      </c>
      <c r="B8" s="48">
        <v>0.1356</v>
      </c>
      <c r="C8" s="41"/>
    </row>
    <row r="9" spans="1:3" ht="13.5" thickBot="1" x14ac:dyDescent="0.25">
      <c r="A9" s="45" t="s">
        <v>40</v>
      </c>
      <c r="B9" s="49">
        <v>0.1082</v>
      </c>
      <c r="C9" s="4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Walls (SI)</vt:lpstr>
      <vt:lpstr>Walls (IP)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Mehry Yazdanian</cp:lastModifiedBy>
  <cp:lastPrinted>2015-01-07T23:02:48Z</cp:lastPrinted>
  <dcterms:created xsi:type="dcterms:W3CDTF">1997-12-05T05:53:35Z</dcterms:created>
  <dcterms:modified xsi:type="dcterms:W3CDTF">2015-02-04T17:05:32Z</dcterms:modified>
</cp:coreProperties>
</file>