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14385" yWindow="-15" windowWidth="14430" windowHeight="14805"/>
  </bookViews>
  <sheets>
    <sheet name="Input" sheetId="7" r:id="rId1"/>
    <sheet name="Walls (SI)" sheetId="4" r:id="rId2"/>
    <sheet name="Walls (IP)" sheetId="5" r:id="rId3"/>
    <sheet name="Materials" sheetId="6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C28" i="7" l="1"/>
  <c r="B28" i="7"/>
  <c r="C27" i="7"/>
  <c r="B27" i="7"/>
  <c r="C26" i="7"/>
  <c r="B26" i="7"/>
  <c r="C25" i="7"/>
  <c r="B25" i="7"/>
  <c r="D24" i="7"/>
  <c r="C24" i="7"/>
  <c r="B24" i="7"/>
  <c r="E13" i="7"/>
  <c r="B13" i="7"/>
  <c r="H12" i="7"/>
  <c r="B12" i="7"/>
  <c r="H10" i="7"/>
  <c r="E10" i="7"/>
  <c r="B33" i="5" l="1"/>
  <c r="B21" i="5"/>
  <c r="C33" i="4"/>
  <c r="C21" i="4"/>
  <c r="C9" i="4"/>
  <c r="D49" i="4" l="1"/>
  <c r="C33" i="5" l="1"/>
  <c r="C21" i="5"/>
  <c r="D37" i="5" l="1"/>
  <c r="D36" i="5"/>
  <c r="D25" i="5"/>
  <c r="D24" i="5"/>
  <c r="D35" i="5"/>
  <c r="K37" i="5" s="1"/>
  <c r="D34" i="5"/>
  <c r="D23" i="5"/>
  <c r="K25" i="5" s="1"/>
  <c r="D22" i="5"/>
  <c r="J21" i="5" s="1"/>
  <c r="D11" i="5"/>
  <c r="D10" i="5"/>
  <c r="K34" i="5" l="1"/>
  <c r="K35" i="5"/>
  <c r="J33" i="5"/>
  <c r="K24" i="5"/>
  <c r="K23" i="5"/>
  <c r="K22" i="5"/>
  <c r="K36" i="5"/>
  <c r="B21" i="4" l="1"/>
  <c r="N37" i="4"/>
  <c r="N36" i="4"/>
  <c r="N35" i="4"/>
  <c r="N34" i="4"/>
  <c r="N25" i="4"/>
  <c r="N24" i="4"/>
  <c r="N23" i="4"/>
  <c r="N22" i="4"/>
  <c r="M37" i="4"/>
  <c r="M36" i="4"/>
  <c r="M35" i="4"/>
  <c r="M34" i="4"/>
  <c r="M25" i="4"/>
  <c r="M24" i="4"/>
  <c r="M23" i="4"/>
  <c r="M22" i="4"/>
  <c r="N13" i="4"/>
  <c r="N12" i="4"/>
  <c r="N11" i="4"/>
  <c r="N10" i="4"/>
  <c r="M13" i="4"/>
  <c r="M12" i="4"/>
  <c r="M11" i="4"/>
  <c r="M10" i="4"/>
  <c r="L33" i="4"/>
  <c r="L21" i="4"/>
  <c r="L9" i="4"/>
  <c r="D49" i="5" l="1"/>
  <c r="D37" i="4" l="1"/>
  <c r="D36" i="4"/>
  <c r="D35" i="4"/>
  <c r="D25" i="4"/>
  <c r="D24" i="4"/>
  <c r="D11" i="4"/>
  <c r="D10" i="4"/>
  <c r="B33" i="4"/>
  <c r="B9" i="4"/>
  <c r="C9" i="5"/>
  <c r="B9" i="5"/>
  <c r="D13" i="5"/>
  <c r="D12" i="5"/>
  <c r="D34" i="4"/>
  <c r="D23" i="4"/>
  <c r="D22" i="4"/>
  <c r="D13" i="4"/>
  <c r="D12" i="4"/>
  <c r="J9" i="4" l="1"/>
  <c r="K12" i="4"/>
  <c r="K13" i="4"/>
  <c r="K24" i="4"/>
  <c r="K25" i="4"/>
  <c r="J21" i="4"/>
  <c r="K11" i="5"/>
  <c r="K10" i="5"/>
  <c r="K23" i="4"/>
  <c r="K22" i="4"/>
  <c r="K36" i="4"/>
  <c r="K37" i="4"/>
  <c r="K10" i="4"/>
  <c r="K11" i="4"/>
  <c r="K13" i="5"/>
  <c r="K12" i="5"/>
  <c r="J9" i="5"/>
  <c r="K35" i="4"/>
  <c r="K34" i="4"/>
  <c r="J33" i="4"/>
  <c r="N36" i="5"/>
  <c r="M36" i="5"/>
  <c r="N37" i="5"/>
  <c r="M37" i="5"/>
  <c r="N35" i="5"/>
  <c r="M35" i="5"/>
  <c r="N34" i="5"/>
  <c r="M34" i="5"/>
  <c r="L33" i="5"/>
  <c r="E33" i="4"/>
  <c r="N25" i="5"/>
  <c r="M25" i="5"/>
  <c r="N24" i="5"/>
  <c r="M24" i="5"/>
  <c r="N23" i="5"/>
  <c r="M23" i="5"/>
  <c r="N22" i="5"/>
  <c r="M22" i="5"/>
  <c r="L21" i="5"/>
  <c r="N13" i="5"/>
  <c r="M13" i="5"/>
  <c r="N12" i="5"/>
  <c r="M12" i="5"/>
  <c r="N11" i="5"/>
  <c r="M11" i="5"/>
  <c r="N10" i="5"/>
  <c r="M10" i="5"/>
  <c r="L9" i="5"/>
  <c r="G9" i="4" l="1"/>
  <c r="F24" i="4"/>
  <c r="F22" i="4"/>
  <c r="H33" i="4"/>
  <c r="F35" i="4"/>
  <c r="G33" i="4"/>
  <c r="E9" i="4"/>
  <c r="G33" i="5"/>
  <c r="F10" i="4"/>
  <c r="E21" i="4"/>
  <c r="F23" i="4"/>
  <c r="F25" i="4"/>
  <c r="I33" i="4"/>
  <c r="F35" i="5"/>
  <c r="F13" i="4"/>
  <c r="I9" i="4"/>
  <c r="G21" i="4"/>
  <c r="H9" i="4"/>
  <c r="H21" i="4"/>
  <c r="F34" i="4"/>
  <c r="F12" i="4"/>
  <c r="I21" i="4"/>
  <c r="F37" i="4"/>
  <c r="F11" i="4"/>
  <c r="F36" i="4"/>
  <c r="F34" i="5"/>
  <c r="E21" i="5"/>
  <c r="F21" i="4" l="1"/>
  <c r="F33" i="4"/>
  <c r="F9" i="4"/>
  <c r="F10" i="5"/>
  <c r="I33" i="5"/>
  <c r="G9" i="5"/>
  <c r="F25" i="5"/>
  <c r="F11" i="5"/>
  <c r="E33" i="5"/>
  <c r="H33" i="5"/>
  <c r="F37" i="5"/>
  <c r="F36" i="5"/>
  <c r="F22" i="5"/>
  <c r="O33" i="4"/>
  <c r="C47" i="4" s="1"/>
  <c r="K33" i="4"/>
  <c r="O21" i="4"/>
  <c r="C46" i="4" s="1"/>
  <c r="O9" i="4"/>
  <c r="K9" i="4"/>
  <c r="H21" i="5"/>
  <c r="F23" i="5"/>
  <c r="H9" i="5"/>
  <c r="I21" i="5"/>
  <c r="F24" i="5"/>
  <c r="G21" i="5"/>
  <c r="E9" i="5"/>
  <c r="K21" i="4"/>
  <c r="I9" i="5"/>
  <c r="F12" i="5"/>
  <c r="F13" i="5"/>
  <c r="E41" i="5" l="1"/>
  <c r="E42" i="5" s="1"/>
  <c r="E39" i="5"/>
  <c r="C45" i="4"/>
  <c r="B51" i="4"/>
  <c r="C53" i="4" s="1"/>
  <c r="F9" i="5"/>
  <c r="K9" i="5"/>
  <c r="F33" i="5"/>
  <c r="K21" i="5"/>
  <c r="O9" i="5"/>
  <c r="C45" i="5" s="1"/>
  <c r="O21" i="5"/>
  <c r="C46" i="5" s="1"/>
  <c r="F21" i="5"/>
  <c r="O33" i="5"/>
  <c r="C47" i="5" s="1"/>
  <c r="K33" i="5"/>
  <c r="B51" i="5" l="1"/>
  <c r="C53" i="5" s="1"/>
  <c r="F51" i="5"/>
</calcChain>
</file>

<file path=xl/sharedStrings.xml><?xml version="1.0" encoding="utf-8"?>
<sst xmlns="http://schemas.openxmlformats.org/spreadsheetml/2006/main" count="275" uniqueCount="70">
  <si>
    <t>m</t>
  </si>
  <si>
    <t>[mm]</t>
  </si>
  <si>
    <r>
      <t>b</t>
    </r>
    <r>
      <rPr>
        <vertAlign val="subscript"/>
        <sz val="10"/>
        <rFont val="Arial"/>
        <family val="2"/>
      </rPr>
      <t>f</t>
    </r>
  </si>
  <si>
    <r>
      <t>U</t>
    </r>
    <r>
      <rPr>
        <vertAlign val="subscript"/>
        <sz val="10"/>
        <rFont val="Arial"/>
        <family val="2"/>
      </rPr>
      <t>f</t>
    </r>
  </si>
  <si>
    <r>
      <t>W/m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K</t>
    </r>
  </si>
  <si>
    <r>
      <t>U</t>
    </r>
    <r>
      <rPr>
        <vertAlign val="subscript"/>
        <sz val="10"/>
        <rFont val="Arial"/>
        <family val="2"/>
      </rPr>
      <t>eog</t>
    </r>
  </si>
  <si>
    <t>H</t>
  </si>
  <si>
    <t>W</t>
  </si>
  <si>
    <t>Head</t>
  </si>
  <si>
    <t>Sill</t>
  </si>
  <si>
    <r>
      <t>A</t>
    </r>
    <r>
      <rPr>
        <vertAlign val="subscript"/>
        <sz val="10"/>
        <rFont val="Arial"/>
        <family val="2"/>
      </rPr>
      <t>t</t>
    </r>
  </si>
  <si>
    <r>
      <t>A</t>
    </r>
    <r>
      <rPr>
        <vertAlign val="subscript"/>
        <sz val="10"/>
        <rFont val="Arial"/>
        <family val="2"/>
      </rPr>
      <t>f</t>
    </r>
  </si>
  <si>
    <r>
      <t>m</t>
    </r>
    <r>
      <rPr>
        <vertAlign val="superscript"/>
        <sz val="10"/>
        <rFont val="Arial"/>
        <family val="2"/>
      </rPr>
      <t>2</t>
    </r>
  </si>
  <si>
    <t>Overall</t>
  </si>
  <si>
    <t>Jamb-R</t>
  </si>
  <si>
    <t>Jamb-L</t>
  </si>
  <si>
    <r>
      <t>U</t>
    </r>
    <r>
      <rPr>
        <b/>
        <vertAlign val="subscript"/>
        <sz val="10"/>
        <rFont val="Arial"/>
        <family val="2"/>
      </rPr>
      <t>t</t>
    </r>
  </si>
  <si>
    <r>
      <t>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K</t>
    </r>
  </si>
  <si>
    <r>
      <t>W</t>
    </r>
    <r>
      <rPr>
        <vertAlign val="subscript"/>
        <sz val="10"/>
        <rFont val="Arial"/>
        <family val="2"/>
      </rPr>
      <t>i</t>
    </r>
  </si>
  <si>
    <r>
      <t>H</t>
    </r>
    <r>
      <rPr>
        <vertAlign val="subscript"/>
        <sz val="10"/>
        <rFont val="Arial"/>
        <family val="2"/>
      </rPr>
      <t>i</t>
    </r>
  </si>
  <si>
    <r>
      <t>A</t>
    </r>
    <r>
      <rPr>
        <vertAlign val="subscript"/>
        <sz val="10"/>
        <rFont val="Arial"/>
        <family val="2"/>
      </rPr>
      <t>i</t>
    </r>
  </si>
  <si>
    <r>
      <t>A</t>
    </r>
    <r>
      <rPr>
        <vertAlign val="subscript"/>
        <sz val="10"/>
        <rFont val="Arial"/>
        <family val="2"/>
      </rPr>
      <t>eow</t>
    </r>
  </si>
  <si>
    <r>
      <t>A</t>
    </r>
    <r>
      <rPr>
        <vertAlign val="subscript"/>
        <sz val="10"/>
        <rFont val="Arial"/>
        <family val="2"/>
      </rPr>
      <t>cow</t>
    </r>
  </si>
  <si>
    <r>
      <t>U</t>
    </r>
    <r>
      <rPr>
        <vertAlign val="subscript"/>
        <sz val="10"/>
        <rFont val="Arial"/>
        <family val="2"/>
      </rPr>
      <t>cow</t>
    </r>
  </si>
  <si>
    <t>Intermediate Section</t>
  </si>
  <si>
    <t>in.</t>
  </si>
  <si>
    <r>
      <t>in.</t>
    </r>
    <r>
      <rPr>
        <vertAlign val="superscript"/>
        <sz val="10"/>
        <rFont val="Arial"/>
        <family val="2"/>
        <charset val="238"/>
      </rPr>
      <t>2</t>
    </r>
  </si>
  <si>
    <r>
      <t>Btu/hr</t>
    </r>
    <r>
      <rPr>
        <sz val="10"/>
        <rFont val="Arial"/>
        <family val="2"/>
        <charset val="238"/>
      </rPr>
      <t>·ft</t>
    </r>
    <r>
      <rPr>
        <vertAlign val="superscript"/>
        <sz val="10"/>
        <rFont val="Arial"/>
        <family val="2"/>
      </rPr>
      <t>2·</t>
    </r>
    <r>
      <rPr>
        <vertAlign val="superscript"/>
        <sz val="10"/>
        <rFont val="Arial"/>
        <family val="2"/>
        <charset val="238"/>
      </rPr>
      <t>º</t>
    </r>
    <r>
      <rPr>
        <sz val="10"/>
        <rFont val="Arial"/>
        <family val="2"/>
      </rPr>
      <t>F</t>
    </r>
  </si>
  <si>
    <t>End Section 1:</t>
  </si>
  <si>
    <t>End Section 2:</t>
  </si>
  <si>
    <r>
      <t>DIFF</t>
    </r>
    <r>
      <rPr>
        <vertAlign val="subscript"/>
        <sz val="10"/>
        <rFont val="Arial"/>
        <family val="2"/>
        <charset val="238"/>
      </rPr>
      <t>INT</t>
    </r>
    <r>
      <rPr>
        <sz val="10"/>
        <rFont val="Arial"/>
        <family val="2"/>
        <charset val="238"/>
      </rPr>
      <t xml:space="preserve"> =</t>
    </r>
  </si>
  <si>
    <r>
      <t>DIFF</t>
    </r>
    <r>
      <rPr>
        <vertAlign val="subscript"/>
        <sz val="10"/>
        <rFont val="Arial"/>
        <family val="2"/>
        <charset val="238"/>
      </rPr>
      <t>END1</t>
    </r>
    <r>
      <rPr>
        <sz val="10"/>
        <rFont val="Arial"/>
        <family val="2"/>
        <charset val="238"/>
      </rPr>
      <t xml:space="preserve"> =</t>
    </r>
  </si>
  <si>
    <r>
      <t>DIFF</t>
    </r>
    <r>
      <rPr>
        <vertAlign val="subscript"/>
        <sz val="10"/>
        <rFont val="Arial"/>
        <family val="2"/>
        <charset val="238"/>
      </rPr>
      <t>END2</t>
    </r>
    <r>
      <rPr>
        <sz val="10"/>
        <rFont val="Arial"/>
        <family val="2"/>
        <charset val="238"/>
      </rPr>
      <t xml:space="preserve"> =</t>
    </r>
  </si>
  <si>
    <t>Number of Intermediate sections:</t>
  </si>
  <si>
    <t>U =</t>
  </si>
  <si>
    <r>
      <t>DIFF</t>
    </r>
    <r>
      <rPr>
        <vertAlign val="subscript"/>
        <sz val="10"/>
        <rFont val="Arial"/>
        <family val="2"/>
        <charset val="238"/>
      </rPr>
      <t>WALL</t>
    </r>
    <r>
      <rPr>
        <sz val="10"/>
        <rFont val="Arial"/>
        <family val="2"/>
        <charset val="238"/>
      </rPr>
      <t xml:space="preserve"> =</t>
    </r>
  </si>
  <si>
    <t>Wood studs</t>
  </si>
  <si>
    <t>Blown-in cellulose insulation:</t>
  </si>
  <si>
    <t>Gypsum board</t>
  </si>
  <si>
    <t>Plywood:</t>
  </si>
  <si>
    <t>Clapboards:</t>
  </si>
  <si>
    <t>W/mK</t>
  </si>
  <si>
    <t>Material</t>
  </si>
  <si>
    <t>k</t>
  </si>
  <si>
    <t>mm</t>
  </si>
  <si>
    <t>Check:</t>
  </si>
  <si>
    <t>Overall U-factors for Walls</t>
  </si>
  <si>
    <t>SI</t>
  </si>
  <si>
    <t>IP</t>
  </si>
  <si>
    <t>O.C.</t>
  </si>
  <si>
    <t>Center</t>
  </si>
  <si>
    <t>Inch</t>
  </si>
  <si>
    <t>Wall Height</t>
  </si>
  <si>
    <t>End1</t>
  </si>
  <si>
    <t>End2</t>
  </si>
  <si>
    <t>O.C left over</t>
  </si>
  <si>
    <t>Number of Intermediate sections</t>
  </si>
  <si>
    <t>IP  [Btu/hr-ft2-F]</t>
  </si>
  <si>
    <t>Frame</t>
  </si>
  <si>
    <t>Edge</t>
  </si>
  <si>
    <t>Hor-Intermediate</t>
  </si>
  <si>
    <t>Hor-End1</t>
  </si>
  <si>
    <t>Hor-End2</t>
  </si>
  <si>
    <t>Ver-Head</t>
  </si>
  <si>
    <t>Ver-Sill</t>
  </si>
  <si>
    <t>SI  [W/m2-k]</t>
  </si>
  <si>
    <t>Steel Stud Width</t>
  </si>
  <si>
    <t>South WALL - Middle</t>
  </si>
  <si>
    <r>
      <t>W/m</t>
    </r>
    <r>
      <rPr>
        <b/>
        <vertAlign val="superscript"/>
        <sz val="14"/>
        <rFont val="Arial"/>
        <family val="2"/>
        <charset val="238"/>
      </rPr>
      <t>2</t>
    </r>
    <r>
      <rPr>
        <b/>
        <sz val="14"/>
        <rFont val="Arial"/>
        <family val="2"/>
        <charset val="238"/>
      </rPr>
      <t>K</t>
    </r>
  </si>
  <si>
    <r>
      <t>Btu/hr·ft</t>
    </r>
    <r>
      <rPr>
        <b/>
        <vertAlign val="superscript"/>
        <sz val="14"/>
        <rFont val="Arial"/>
        <family val="2"/>
        <charset val="238"/>
      </rPr>
      <t>2·º</t>
    </r>
    <r>
      <rPr>
        <b/>
        <sz val="14"/>
        <rFont val="Arial"/>
        <family val="2"/>
        <charset val="238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</si>
</sst>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6" x14ac:knownFonts="1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  <charset val="238"/>
    </font>
    <font>
      <b/>
      <vertAlign val="superscript"/>
      <sz val="14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4" fillId="0" borderId="1" xfId="1" applyBorder="1"/>
    <xf numFmtId="0" fontId="4" fillId="0" borderId="0" xfId="1" applyAlignment="1">
      <alignment horizontal="center"/>
    </xf>
    <xf numFmtId="0" fontId="4" fillId="0" borderId="2" xfId="1" applyBorder="1"/>
    <xf numFmtId="0" fontId="4" fillId="0" borderId="3" xfId="1" applyBorder="1" applyAlignment="1">
      <alignment horizontal="center"/>
    </xf>
    <xf numFmtId="0" fontId="4" fillId="0" borderId="1" xfId="1" applyFont="1" applyBorder="1"/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5" fillId="0" borderId="0" xfId="1" applyFont="1"/>
    <xf numFmtId="0" fontId="4" fillId="0" borderId="3" xfId="1" applyFont="1" applyBorder="1" applyAlignment="1">
      <alignment horizontal="center"/>
    </xf>
    <xf numFmtId="0" fontId="4" fillId="0" borderId="2" xfId="1" applyFont="1" applyBorder="1"/>
    <xf numFmtId="165" fontId="0" fillId="0" borderId="0" xfId="0" applyNumberFormat="1"/>
    <xf numFmtId="165" fontId="4" fillId="0" borderId="0" xfId="1" applyNumberFormat="1" applyAlignment="1">
      <alignment horizontal="center"/>
    </xf>
    <xf numFmtId="165" fontId="4" fillId="0" borderId="4" xfId="1" applyNumberFormat="1" applyBorder="1" applyAlignment="1">
      <alignment horizontal="center"/>
    </xf>
    <xf numFmtId="165" fontId="4" fillId="0" borderId="0" xfId="1" applyNumberFormat="1" applyBorder="1" applyAlignment="1">
      <alignment horizontal="center"/>
    </xf>
    <xf numFmtId="165" fontId="4" fillId="0" borderId="3" xfId="1" applyNumberFormat="1" applyBorder="1" applyAlignment="1">
      <alignment horizontal="center"/>
    </xf>
    <xf numFmtId="164" fontId="5" fillId="0" borderId="5" xfId="1" applyNumberFormat="1" applyFont="1" applyBorder="1" applyAlignment="1">
      <alignment horizontal="center"/>
    </xf>
    <xf numFmtId="0" fontId="5" fillId="0" borderId="1" xfId="1" applyFont="1" applyBorder="1"/>
    <xf numFmtId="0" fontId="4" fillId="0" borderId="0" xfId="1" applyBorder="1" applyAlignment="1">
      <alignment horizontal="center"/>
    </xf>
    <xf numFmtId="165" fontId="4" fillId="0" borderId="0" xfId="1" applyNumberFormat="1" applyFill="1" applyAlignment="1">
      <alignment horizontal="center"/>
    </xf>
    <xf numFmtId="165" fontId="4" fillId="0" borderId="0" xfId="1" applyNumberFormat="1" applyFill="1" applyBorder="1" applyAlignment="1">
      <alignment horizontal="center"/>
    </xf>
    <xf numFmtId="164" fontId="4" fillId="0" borderId="0" xfId="1" applyNumberFormat="1" applyFill="1" applyBorder="1" applyAlignment="1">
      <alignment horizontal="center"/>
    </xf>
    <xf numFmtId="165" fontId="0" fillId="0" borderId="0" xfId="0" applyNumberFormat="1" applyFill="1"/>
    <xf numFmtId="164" fontId="4" fillId="0" borderId="0" xfId="1" applyNumberFormat="1" applyFill="1" applyAlignment="1">
      <alignment horizontal="center"/>
    </xf>
    <xf numFmtId="165" fontId="4" fillId="0" borderId="0" xfId="1" applyNumberFormat="1" applyFill="1" applyBorder="1"/>
    <xf numFmtId="165" fontId="4" fillId="0" borderId="3" xfId="1" applyNumberFormat="1" applyFill="1" applyBorder="1"/>
    <xf numFmtId="165" fontId="4" fillId="0" borderId="3" xfId="1" applyNumberFormat="1" applyFill="1" applyBorder="1" applyAlignment="1">
      <alignment horizontal="center"/>
    </xf>
    <xf numFmtId="164" fontId="4" fillId="0" borderId="3" xfId="1" applyNumberForma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164" fontId="0" fillId="0" borderId="0" xfId="0" applyNumberFormat="1"/>
    <xf numFmtId="0" fontId="8" fillId="0" borderId="0" xfId="0" applyFont="1"/>
    <xf numFmtId="0" fontId="9" fillId="0" borderId="3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0" xfId="0" applyFont="1"/>
    <xf numFmtId="10" fontId="0" fillId="0" borderId="0" xfId="0" applyNumberFormat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7" xfId="0" applyFont="1" applyBorder="1"/>
    <xf numFmtId="0" fontId="9" fillId="0" borderId="2" xfId="0" applyFont="1" applyBorder="1" applyAlignment="1">
      <alignment horizontal="center"/>
    </xf>
    <xf numFmtId="0" fontId="9" fillId="0" borderId="6" xfId="0" applyFont="1" applyBorder="1"/>
    <xf numFmtId="165" fontId="0" fillId="0" borderId="1" xfId="0" applyNumberFormat="1" applyBorder="1"/>
    <xf numFmtId="165" fontId="0" fillId="0" borderId="2" xfId="0" applyNumberFormat="1" applyBorder="1"/>
    <xf numFmtId="0" fontId="4" fillId="0" borderId="0" xfId="1" applyFill="1" applyBorder="1" applyAlignment="1">
      <alignment horizontal="center"/>
    </xf>
    <xf numFmtId="164" fontId="4" fillId="0" borderId="0" xfId="1" applyNumberFormat="1" applyFill="1" applyBorder="1"/>
    <xf numFmtId="165" fontId="4" fillId="0" borderId="4" xfId="1" applyNumberFormat="1" applyFill="1" applyBorder="1" applyAlignment="1">
      <alignment horizontal="center"/>
    </xf>
    <xf numFmtId="164" fontId="4" fillId="0" borderId="3" xfId="1" applyNumberFormat="1" applyFill="1" applyBorder="1"/>
    <xf numFmtId="0" fontId="0" fillId="0" borderId="0" xfId="0" applyFill="1"/>
    <xf numFmtId="0" fontId="1" fillId="0" borderId="0" xfId="1" applyFont="1" applyFill="1" applyAlignment="1">
      <alignment horizontal="center"/>
    </xf>
    <xf numFmtId="0" fontId="4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9" fillId="0" borderId="3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2" fillId="0" borderId="0" xfId="0" applyFont="1"/>
    <xf numFmtId="0" fontId="12" fillId="0" borderId="10" xfId="0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/>
    </xf>
    <xf numFmtId="164" fontId="4" fillId="0" borderId="4" xfId="1" applyNumberFormat="1" applyFill="1" applyBorder="1" applyAlignment="1">
      <alignment horizontal="center"/>
    </xf>
    <xf numFmtId="164" fontId="0" fillId="0" borderId="0" xfId="0" applyNumberFormat="1" applyFill="1"/>
    <xf numFmtId="164" fontId="5" fillId="0" borderId="7" xfId="1" applyNumberFormat="1" applyFont="1" applyBorder="1" applyAlignment="1">
      <alignment horizontal="center"/>
    </xf>
    <xf numFmtId="0" fontId="1" fillId="0" borderId="1" xfId="1" applyFont="1" applyBorder="1"/>
    <xf numFmtId="0" fontId="1" fillId="0" borderId="2" xfId="1" applyFont="1" applyBorder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165" fontId="0" fillId="0" borderId="11" xfId="0" applyNumberFormat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65" fontId="4" fillId="0" borderId="0" xfId="1" applyNumberFormat="1" applyFill="1" applyAlignment="1" applyProtection="1">
      <alignment horizontal="center"/>
      <protection locked="0"/>
    </xf>
    <xf numFmtId="164" fontId="4" fillId="0" borderId="0" xfId="1" applyNumberFormat="1" applyFill="1"/>
    <xf numFmtId="164" fontId="4" fillId="0" borderId="0" xfId="1" applyNumberFormat="1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14" fillId="0" borderId="12" xfId="0" applyFont="1" applyBorder="1"/>
    <xf numFmtId="0" fontId="14" fillId="0" borderId="13" xfId="0" applyFont="1" applyBorder="1"/>
    <xf numFmtId="0" fontId="14" fillId="0" borderId="14" xfId="1" applyFont="1" applyBorder="1" applyAlignment="1">
      <alignment horizontal="center"/>
    </xf>
    <xf numFmtId="164" fontId="14" fillId="0" borderId="13" xfId="0" applyNumberFormat="1" applyFont="1" applyBorder="1"/>
    <xf numFmtId="0" fontId="14" fillId="0" borderId="14" xfId="1" applyFont="1" applyFill="1" applyBorder="1" applyAlignment="1">
      <alignment horizontal="center"/>
    </xf>
  </cellXfs>
  <cellStyles count="2">
    <cellStyle name="Normal" xfId="0" builtinId="0"/>
    <cellStyle name="Normal_10077_validation_Umass_rev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2</xdr:row>
      <xdr:rowOff>57150</xdr:rowOff>
    </xdr:from>
    <xdr:to>
      <xdr:col>22</xdr:col>
      <xdr:colOff>422275</xdr:colOff>
      <xdr:row>8</xdr:row>
      <xdr:rowOff>78740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381000"/>
          <a:ext cx="5946775" cy="993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257175</xdr:colOff>
      <xdr:row>9</xdr:row>
      <xdr:rowOff>76200</xdr:rowOff>
    </xdr:from>
    <xdr:to>
      <xdr:col>20</xdr:col>
      <xdr:colOff>113785</xdr:colOff>
      <xdr:row>21</xdr:row>
      <xdr:rowOff>104529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533525"/>
          <a:ext cx="4123810" cy="19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24</xdr:row>
      <xdr:rowOff>114300</xdr:rowOff>
    </xdr:from>
    <xdr:to>
      <xdr:col>16</xdr:col>
      <xdr:colOff>171450</xdr:colOff>
      <xdr:row>52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20075" y="3838575"/>
          <a:ext cx="1419225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542925</xdr:colOff>
      <xdr:row>25</xdr:row>
      <xdr:rowOff>9525</xdr:rowOff>
    </xdr:from>
    <xdr:to>
      <xdr:col>20</xdr:col>
      <xdr:colOff>161290</xdr:colOff>
      <xdr:row>53</xdr:row>
      <xdr:rowOff>21590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20375" y="3895725"/>
          <a:ext cx="1447165" cy="4584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thWall-N6-N7-%20U-Factors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Walls (SI)"/>
      <sheetName val="Walls (IP)"/>
      <sheetName val="Materials"/>
    </sheetNames>
    <sheetDataSet>
      <sheetData sheetId="0">
        <row r="4">
          <cell r="B4">
            <v>1.5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45" sqref="E45"/>
    </sheetView>
  </sheetViews>
  <sheetFormatPr defaultRowHeight="12.75" x14ac:dyDescent="0.2"/>
  <cols>
    <col min="1" max="1" width="28.28515625" customWidth="1"/>
    <col min="2" max="2" width="9.140625" style="61"/>
    <col min="3" max="3" width="10" customWidth="1"/>
    <col min="6" max="6" width="3.42578125" customWidth="1"/>
    <col min="9" max="9" width="3.42578125" customWidth="1"/>
  </cols>
  <sheetData>
    <row r="1" spans="1:14" x14ac:dyDescent="0.2">
      <c r="B1" s="63" t="s">
        <v>51</v>
      </c>
    </row>
    <row r="2" spans="1:14" x14ac:dyDescent="0.2">
      <c r="A2" t="s">
        <v>49</v>
      </c>
      <c r="B2" s="68">
        <v>16</v>
      </c>
      <c r="N2" s="64" t="s">
        <v>50</v>
      </c>
    </row>
    <row r="3" spans="1:14" x14ac:dyDescent="0.2">
      <c r="A3" s="64" t="s">
        <v>55</v>
      </c>
      <c r="B3" s="68">
        <v>10.6</v>
      </c>
    </row>
    <row r="4" spans="1:14" x14ac:dyDescent="0.2">
      <c r="A4" s="64" t="s">
        <v>66</v>
      </c>
      <c r="B4" s="68">
        <v>1.5</v>
      </c>
    </row>
    <row r="5" spans="1:14" x14ac:dyDescent="0.2">
      <c r="A5" s="64" t="s">
        <v>52</v>
      </c>
      <c r="B5" s="68">
        <v>195.7</v>
      </c>
    </row>
    <row r="6" spans="1:14" x14ac:dyDescent="0.2">
      <c r="A6" s="34" t="s">
        <v>56</v>
      </c>
      <c r="B6" s="68">
        <v>3</v>
      </c>
    </row>
    <row r="7" spans="1:14" x14ac:dyDescent="0.2">
      <c r="A7" s="65"/>
      <c r="B7" s="66"/>
      <c r="C7" s="65"/>
      <c r="D7" s="65"/>
      <c r="E7" s="65"/>
      <c r="F7" s="65"/>
      <c r="G7" s="65"/>
      <c r="H7" s="65"/>
      <c r="I7" s="65"/>
      <c r="J7" s="65"/>
    </row>
    <row r="8" spans="1:14" x14ac:dyDescent="0.2">
      <c r="B8"/>
      <c r="C8" s="67"/>
      <c r="F8" s="67"/>
      <c r="I8" s="67"/>
    </row>
    <row r="9" spans="1:14" x14ac:dyDescent="0.2">
      <c r="A9" s="62" t="s">
        <v>50</v>
      </c>
      <c r="B9" s="63" t="s">
        <v>51</v>
      </c>
      <c r="C9" s="67"/>
      <c r="D9" s="62" t="s">
        <v>53</v>
      </c>
      <c r="E9" s="63" t="s">
        <v>51</v>
      </c>
      <c r="F9" s="67"/>
      <c r="G9" s="62" t="s">
        <v>54</v>
      </c>
      <c r="H9" s="63" t="s">
        <v>51</v>
      </c>
      <c r="I9" s="67"/>
    </row>
    <row r="10" spans="1:14" x14ac:dyDescent="0.2">
      <c r="A10" s="64" t="s">
        <v>9</v>
      </c>
      <c r="B10" s="61">
        <v>1.5</v>
      </c>
      <c r="C10" s="67"/>
      <c r="D10" s="64" t="s">
        <v>9</v>
      </c>
      <c r="E10" s="61">
        <f>[1]Input!B4</f>
        <v>1.5</v>
      </c>
      <c r="F10" s="67"/>
      <c r="G10" s="64" t="s">
        <v>9</v>
      </c>
      <c r="H10" s="61">
        <f>B4</f>
        <v>1.5</v>
      </c>
      <c r="I10" s="67"/>
    </row>
    <row r="11" spans="1:14" x14ac:dyDescent="0.2">
      <c r="A11" s="64" t="s">
        <v>8</v>
      </c>
      <c r="B11" s="61">
        <v>4</v>
      </c>
      <c r="C11" s="67"/>
      <c r="D11" s="64" t="s">
        <v>8</v>
      </c>
      <c r="E11" s="61">
        <v>4</v>
      </c>
      <c r="F11" s="67"/>
      <c r="G11" s="64" t="s">
        <v>8</v>
      </c>
      <c r="H11" s="61">
        <v>4</v>
      </c>
      <c r="I11" s="67"/>
    </row>
    <row r="12" spans="1:14" x14ac:dyDescent="0.2">
      <c r="A12" s="64" t="s">
        <v>15</v>
      </c>
      <c r="B12" s="61">
        <f>B4/2</f>
        <v>0.75</v>
      </c>
      <c r="C12" s="67"/>
      <c r="D12" s="64" t="s">
        <v>15</v>
      </c>
      <c r="E12" s="61">
        <v>3</v>
      </c>
      <c r="F12" s="67"/>
      <c r="G12" s="64" t="s">
        <v>15</v>
      </c>
      <c r="H12" s="61">
        <f>B4/2</f>
        <v>0.75</v>
      </c>
      <c r="I12" s="67"/>
    </row>
    <row r="13" spans="1:14" x14ac:dyDescent="0.2">
      <c r="A13" s="64" t="s">
        <v>14</v>
      </c>
      <c r="B13" s="61">
        <f>B4/2</f>
        <v>0.75</v>
      </c>
      <c r="C13" s="67"/>
      <c r="D13" s="64" t="s">
        <v>14</v>
      </c>
      <c r="E13" s="61">
        <f>B4/2</f>
        <v>0.75</v>
      </c>
      <c r="F13" s="67"/>
      <c r="G13" s="64" t="s">
        <v>14</v>
      </c>
      <c r="H13" s="61">
        <v>3</v>
      </c>
      <c r="I13" s="67"/>
    </row>
    <row r="15" spans="1:14" x14ac:dyDescent="0.2">
      <c r="A15" s="65"/>
      <c r="B15" s="66"/>
      <c r="C15" s="65"/>
      <c r="D15" s="65"/>
      <c r="E15" s="65"/>
      <c r="F15" s="65"/>
      <c r="G15" s="65"/>
      <c r="H15" s="65"/>
      <c r="I15" s="65"/>
      <c r="J15" s="65"/>
      <c r="N15" s="64"/>
    </row>
    <row r="17" spans="1:4" x14ac:dyDescent="0.2">
      <c r="A17" s="69" t="s">
        <v>67</v>
      </c>
      <c r="C17" s="61"/>
      <c r="D17" s="61"/>
    </row>
    <row r="18" spans="1:4" x14ac:dyDescent="0.2">
      <c r="A18" s="70"/>
      <c r="C18" s="61"/>
      <c r="D18" s="61"/>
    </row>
    <row r="19" spans="1:4" x14ac:dyDescent="0.2">
      <c r="A19" s="71"/>
      <c r="B19" s="72"/>
      <c r="C19" s="72"/>
      <c r="D19" s="72"/>
    </row>
    <row r="20" spans="1:4" x14ac:dyDescent="0.2">
      <c r="A20" s="71"/>
      <c r="B20" s="72"/>
      <c r="C20" s="73" t="s">
        <v>57</v>
      </c>
      <c r="D20" s="72"/>
    </row>
    <row r="21" spans="1:4" x14ac:dyDescent="0.2">
      <c r="A21" s="71"/>
      <c r="B21" s="72"/>
      <c r="C21" s="72"/>
      <c r="D21" s="72"/>
    </row>
    <row r="22" spans="1:4" x14ac:dyDescent="0.2">
      <c r="A22" s="71"/>
      <c r="B22" s="72"/>
      <c r="C22" s="72"/>
      <c r="D22" s="72"/>
    </row>
    <row r="23" spans="1:4" x14ac:dyDescent="0.2">
      <c r="A23" s="74"/>
      <c r="B23" s="73" t="s">
        <v>58</v>
      </c>
      <c r="C23" s="73" t="s">
        <v>59</v>
      </c>
      <c r="D23" s="73" t="s">
        <v>50</v>
      </c>
    </row>
    <row r="24" spans="1:4" x14ac:dyDescent="0.2">
      <c r="A24" s="74" t="s">
        <v>60</v>
      </c>
      <c r="B24" s="75">
        <f>B34/5.678</f>
        <v>0.22106375484325469</v>
      </c>
      <c r="C24" s="75">
        <f t="shared" ref="C24:D28" si="0">C34/5.678</f>
        <v>0.25526593871081366</v>
      </c>
      <c r="D24" s="75">
        <f t="shared" si="0"/>
        <v>0.26699542092286016</v>
      </c>
    </row>
    <row r="25" spans="1:4" x14ac:dyDescent="0.2">
      <c r="A25" s="74" t="s">
        <v>61</v>
      </c>
      <c r="B25" s="75">
        <f t="shared" ref="B25:B28" si="1">B35/5.678</f>
        <v>0.1827404015498415</v>
      </c>
      <c r="C25" s="75">
        <f t="shared" si="0"/>
        <v>0.25332863684395912</v>
      </c>
      <c r="D25" s="75"/>
    </row>
    <row r="26" spans="1:4" x14ac:dyDescent="0.2">
      <c r="A26" s="74" t="s">
        <v>62</v>
      </c>
      <c r="B26" s="75">
        <f t="shared" si="1"/>
        <v>0.18189503346248678</v>
      </c>
      <c r="C26" s="75">
        <f t="shared" si="0"/>
        <v>0.25017611835153225</v>
      </c>
      <c r="D26" s="75"/>
    </row>
    <row r="27" spans="1:4" x14ac:dyDescent="0.2">
      <c r="A27" s="74" t="s">
        <v>63</v>
      </c>
      <c r="B27" s="75">
        <f t="shared" si="1"/>
        <v>0.24825642831983091</v>
      </c>
      <c r="C27" s="75">
        <f t="shared" si="0"/>
        <v>0.1769989432898908</v>
      </c>
      <c r="D27" s="75"/>
    </row>
    <row r="28" spans="1:4" x14ac:dyDescent="0.2">
      <c r="A28" s="74" t="s">
        <v>64</v>
      </c>
      <c r="B28" s="75">
        <f t="shared" si="1"/>
        <v>0.20093342726312083</v>
      </c>
      <c r="C28" s="75">
        <f t="shared" si="0"/>
        <v>0.26382529059528004</v>
      </c>
      <c r="D28" s="75"/>
    </row>
    <row r="29" spans="1:4" x14ac:dyDescent="0.2">
      <c r="A29" s="76"/>
      <c r="B29" s="77"/>
      <c r="C29" s="77"/>
      <c r="D29" s="77"/>
    </row>
    <row r="30" spans="1:4" x14ac:dyDescent="0.2">
      <c r="A30" s="76"/>
      <c r="B30" s="77"/>
      <c r="C30" s="77"/>
      <c r="D30" s="77"/>
    </row>
    <row r="31" spans="1:4" ht="15.75" x14ac:dyDescent="0.25">
      <c r="A31" s="71"/>
      <c r="B31" s="78" t="s">
        <v>65</v>
      </c>
      <c r="C31" s="72"/>
      <c r="D31" s="72"/>
    </row>
    <row r="32" spans="1:4" x14ac:dyDescent="0.2">
      <c r="A32" s="71"/>
      <c r="B32" s="72"/>
      <c r="C32" s="72"/>
      <c r="D32" s="72"/>
    </row>
    <row r="33" spans="1:4" x14ac:dyDescent="0.2">
      <c r="A33" s="74"/>
      <c r="B33" s="73" t="s">
        <v>58</v>
      </c>
      <c r="C33" s="73" t="s">
        <v>59</v>
      </c>
      <c r="D33" s="73" t="s">
        <v>50</v>
      </c>
    </row>
    <row r="34" spans="1:4" x14ac:dyDescent="0.2">
      <c r="A34" s="74" t="s">
        <v>60</v>
      </c>
      <c r="B34" s="72">
        <v>1.2552000000000001</v>
      </c>
      <c r="C34" s="72">
        <v>1.4494</v>
      </c>
      <c r="D34" s="72">
        <v>1.516</v>
      </c>
    </row>
    <row r="35" spans="1:4" x14ac:dyDescent="0.2">
      <c r="A35" s="74" t="s">
        <v>61</v>
      </c>
      <c r="B35" s="72">
        <v>1.0376000000000001</v>
      </c>
      <c r="C35" s="72">
        <v>1.4383999999999999</v>
      </c>
      <c r="D35" s="72"/>
    </row>
    <row r="36" spans="1:4" x14ac:dyDescent="0.2">
      <c r="A36" s="74" t="s">
        <v>62</v>
      </c>
      <c r="B36" s="72">
        <v>1.0327999999999999</v>
      </c>
      <c r="C36" s="72">
        <v>1.4205000000000001</v>
      </c>
      <c r="D36" s="72"/>
    </row>
    <row r="37" spans="1:4" x14ac:dyDescent="0.2">
      <c r="A37" s="74" t="s">
        <v>63</v>
      </c>
      <c r="B37" s="72">
        <v>1.4096</v>
      </c>
      <c r="C37" s="72">
        <v>1.0049999999999999</v>
      </c>
      <c r="D37" s="72"/>
    </row>
    <row r="38" spans="1:4" x14ac:dyDescent="0.2">
      <c r="A38" s="74" t="s">
        <v>64</v>
      </c>
      <c r="B38" s="72">
        <v>1.1409</v>
      </c>
      <c r="C38" s="72">
        <v>1.498</v>
      </c>
      <c r="D38" s="7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5" workbookViewId="0">
      <selection activeCell="J51" sqref="J51"/>
    </sheetView>
  </sheetViews>
  <sheetFormatPr defaultRowHeight="12.75" x14ac:dyDescent="0.2"/>
  <cols>
    <col min="1" max="15" width="10.7109375" customWidth="1"/>
  </cols>
  <sheetData>
    <row r="1" spans="1:15" ht="13.5" thickBot="1" x14ac:dyDescent="0.25"/>
    <row r="2" spans="1:15" ht="19.5" thickTop="1" thickBot="1" x14ac:dyDescent="0.3">
      <c r="A2" s="53" t="s">
        <v>46</v>
      </c>
      <c r="F2" s="54" t="s">
        <v>47</v>
      </c>
    </row>
    <row r="3" spans="1:15" ht="13.5" thickTop="1" x14ac:dyDescent="0.2">
      <c r="K3" s="11"/>
      <c r="L3" s="11"/>
      <c r="M3" s="11"/>
      <c r="N3" s="11"/>
      <c r="O3" s="11"/>
    </row>
    <row r="4" spans="1:15" x14ac:dyDescent="0.2">
      <c r="L4" s="11"/>
    </row>
    <row r="5" spans="1:15" x14ac:dyDescent="0.2">
      <c r="A5" s="8" t="s">
        <v>24</v>
      </c>
      <c r="E5" s="11"/>
      <c r="I5" s="11"/>
    </row>
    <row r="7" spans="1:15" ht="15.75" x14ac:dyDescent="0.3">
      <c r="A7" s="1"/>
      <c r="B7" s="7" t="s">
        <v>7</v>
      </c>
      <c r="C7" s="7" t="s">
        <v>6</v>
      </c>
      <c r="D7" s="2" t="s">
        <v>2</v>
      </c>
      <c r="E7" s="7" t="s">
        <v>10</v>
      </c>
      <c r="F7" s="7" t="s">
        <v>11</v>
      </c>
      <c r="G7" s="7" t="s">
        <v>18</v>
      </c>
      <c r="H7" s="7" t="s">
        <v>19</v>
      </c>
      <c r="I7" s="7" t="s">
        <v>20</v>
      </c>
      <c r="J7" s="6" t="s">
        <v>22</v>
      </c>
      <c r="K7" s="6" t="s">
        <v>21</v>
      </c>
      <c r="L7" s="6" t="s">
        <v>23</v>
      </c>
      <c r="M7" s="6" t="s">
        <v>3</v>
      </c>
      <c r="N7" s="6" t="s">
        <v>5</v>
      </c>
      <c r="O7" s="28" t="s">
        <v>16</v>
      </c>
    </row>
    <row r="8" spans="1:15" ht="15" thickBot="1" x14ac:dyDescent="0.25">
      <c r="A8" s="3"/>
      <c r="B8" s="9" t="s">
        <v>0</v>
      </c>
      <c r="C8" s="9" t="s">
        <v>0</v>
      </c>
      <c r="D8" s="32" t="s">
        <v>44</v>
      </c>
      <c r="E8" s="9" t="s">
        <v>12</v>
      </c>
      <c r="F8" s="9" t="s">
        <v>12</v>
      </c>
      <c r="G8" s="9" t="s">
        <v>0</v>
      </c>
      <c r="H8" s="9" t="s">
        <v>0</v>
      </c>
      <c r="I8" s="9" t="s">
        <v>12</v>
      </c>
      <c r="J8" s="9" t="s">
        <v>12</v>
      </c>
      <c r="K8" s="9" t="s">
        <v>12</v>
      </c>
      <c r="L8" s="4" t="s">
        <v>4</v>
      </c>
      <c r="M8" s="4" t="s">
        <v>4</v>
      </c>
      <c r="N8" s="4" t="s">
        <v>4</v>
      </c>
      <c r="O8" s="29" t="s">
        <v>17</v>
      </c>
    </row>
    <row r="9" spans="1:15" ht="13.5" thickBot="1" x14ac:dyDescent="0.25">
      <c r="A9" s="17" t="s">
        <v>13</v>
      </c>
      <c r="B9" s="79">
        <f>Input!B2*25.4/1000</f>
        <v>0.40639999999999998</v>
      </c>
      <c r="C9" s="79">
        <f>Input!B5*25.4/1000</f>
        <v>4.9707799999999995</v>
      </c>
      <c r="D9" s="18"/>
      <c r="E9" s="12">
        <f>C9*B9</f>
        <v>2.0201249919999995</v>
      </c>
      <c r="F9" s="12">
        <f>IF(SUM(F10:F13)=0,"",SUM(F10:F13))</f>
        <v>0.24083822799999993</v>
      </c>
      <c r="G9" s="12">
        <f>$B$9-(D$12+D$13)/1000</f>
        <v>0.36829999999999996</v>
      </c>
      <c r="H9" s="12">
        <f>$C$9-(D$10+D$11)/1000</f>
        <v>4.8310799999999992</v>
      </c>
      <c r="I9" s="12">
        <f>(B$9-(D$12+D$13)/1000)*(C$9-(D$11+D$10)/1000)</f>
        <v>1.7792867639999994</v>
      </c>
      <c r="J9" s="19">
        <f>IF((C$9-(D$11+D$10)/1000-2*0.0635)*(B$9-(D$12+D$13)/1000-2*0.0635)&lt;0,0,(C$9-(D$11+D$10)/1000-2*0.0635)*(B$9-(D$12+D$13)/1000-2*0.0635))</f>
        <v>1.1350945039999996</v>
      </c>
      <c r="K9" s="20">
        <f>SUM(K10:K13)</f>
        <v>0.64419225999999985</v>
      </c>
      <c r="L9" s="21">
        <f>Input!D34</f>
        <v>1.516</v>
      </c>
      <c r="M9" s="18"/>
      <c r="N9" s="18"/>
      <c r="O9" s="16">
        <f>($J$9*$L$9+$F$11*$M$11+$F$10*$M$10+$F$12*$M$12+$F$13*$M$13+$K$11*$N$11+$K$10*$N$10+$K$12*$N$12+$K$13*$N$13)/$E$9</f>
        <v>1.4620504111842108</v>
      </c>
    </row>
    <row r="10" spans="1:15" x14ac:dyDescent="0.2">
      <c r="A10" s="5" t="s">
        <v>9</v>
      </c>
      <c r="B10" s="12"/>
      <c r="C10" s="12"/>
      <c r="D10" s="44">
        <f>Input!B10*25.4</f>
        <v>38.099999999999994</v>
      </c>
      <c r="E10" s="12"/>
      <c r="F10" s="14">
        <f>IF(D10="","",D10*(B$9-(D$12+D$13)/2/1000)/1000)</f>
        <v>1.4758034999999996E-2</v>
      </c>
      <c r="G10" s="14"/>
      <c r="H10" s="14"/>
      <c r="I10" s="12"/>
      <c r="J10" s="24"/>
      <c r="K10" s="19">
        <f>IF((B$9-(D$12+D$13)/1000-0.0635)*0.0635&lt;0,0,(B$9-(D$12+D$13)/1000-0.0635)*0.0635)</f>
        <v>1.9354799999999998E-2</v>
      </c>
      <c r="L10" s="21"/>
      <c r="M10" s="21">
        <f>Input!B38</f>
        <v>1.1409</v>
      </c>
      <c r="N10" s="21">
        <f>Input!C38</f>
        <v>1.498</v>
      </c>
      <c r="O10" s="28"/>
    </row>
    <row r="11" spans="1:15" x14ac:dyDescent="0.2">
      <c r="A11" s="5" t="s">
        <v>8</v>
      </c>
      <c r="B11" s="13"/>
      <c r="C11" s="14"/>
      <c r="D11" s="80">
        <f>Input!B11*25.4</f>
        <v>101.6</v>
      </c>
      <c r="E11" s="14"/>
      <c r="F11" s="14">
        <f>IF(D11="","",D11*(B$9-(D$12+D$13)/2/1000)/1000)</f>
        <v>3.9354759999999989E-2</v>
      </c>
      <c r="G11" s="14"/>
      <c r="H11" s="14"/>
      <c r="I11" s="14"/>
      <c r="J11" s="22"/>
      <c r="K11" s="19">
        <f>IF((B$9-(D$12+D$13)/1000-0.0635)*0.0635&lt;0,0,(B$9-(D$12+D$13)/1000-0.0635)*0.0635)</f>
        <v>1.9354799999999998E-2</v>
      </c>
      <c r="L11" s="23"/>
      <c r="M11" s="23">
        <f>Input!B37</f>
        <v>1.4096</v>
      </c>
      <c r="N11" s="23">
        <f>Input!C37</f>
        <v>1.0049999999999999</v>
      </c>
      <c r="O11" s="28"/>
    </row>
    <row r="12" spans="1:15" x14ac:dyDescent="0.2">
      <c r="A12" s="5" t="s">
        <v>15</v>
      </c>
      <c r="B12" s="12"/>
      <c r="C12" s="12"/>
      <c r="D12" s="44">
        <f>Input!B12*25.4</f>
        <v>19.049999999999997</v>
      </c>
      <c r="E12" s="12"/>
      <c r="F12" s="14">
        <f>IF(D12="","",D12*(C$9-(D$11+D$10)/2/1000)/1000)</f>
        <v>9.336271649999997E-2</v>
      </c>
      <c r="G12" s="14"/>
      <c r="H12" s="14"/>
      <c r="I12" s="12"/>
      <c r="J12" s="24"/>
      <c r="K12" s="19">
        <f>IF((C$9-(D$11+D$10)/1000-0.0635)*0.0635&lt;0,0,(C$9-(D$11+D$10)/1000-0.0635)*0.0635)</f>
        <v>0.30274132999999992</v>
      </c>
      <c r="L12" s="21"/>
      <c r="M12" s="23">
        <f>Input!B34</f>
        <v>1.2552000000000001</v>
      </c>
      <c r="N12" s="23">
        <f>Input!C34</f>
        <v>1.4494</v>
      </c>
      <c r="O12" s="28"/>
    </row>
    <row r="13" spans="1:15" ht="13.5" thickBot="1" x14ac:dyDescent="0.25">
      <c r="A13" s="10" t="s">
        <v>14</v>
      </c>
      <c r="B13" s="15"/>
      <c r="C13" s="15"/>
      <c r="D13" s="46">
        <f>Input!B13*25.4</f>
        <v>19.049999999999997</v>
      </c>
      <c r="E13" s="15"/>
      <c r="F13" s="15">
        <f>IF(D13="","",D13*(C$9-(D$11+D$10)/2/1000)/1000)</f>
        <v>9.336271649999997E-2</v>
      </c>
      <c r="G13" s="15"/>
      <c r="H13" s="15"/>
      <c r="I13" s="15"/>
      <c r="J13" s="25"/>
      <c r="K13" s="26">
        <f>IF((C$9-(D$11+D$10)/1000-0.0635)*0.0635&lt;0,0,(C$9-(D$11+D$10)/1000-0.0635)*0.0635)</f>
        <v>0.30274132999999992</v>
      </c>
      <c r="L13" s="27"/>
      <c r="M13" s="27">
        <f>Input!B34</f>
        <v>1.2552000000000001</v>
      </c>
      <c r="N13" s="27">
        <f>Input!C34</f>
        <v>1.4494</v>
      </c>
      <c r="O13" s="29"/>
    </row>
    <row r="14" spans="1:15" x14ac:dyDescent="0.2">
      <c r="I14" s="11"/>
      <c r="K14" s="11"/>
      <c r="L14" s="11"/>
      <c r="M14" s="11"/>
      <c r="N14" s="11"/>
      <c r="O14" s="11"/>
    </row>
    <row r="16" spans="1:15" x14ac:dyDescent="0.2">
      <c r="J16" s="11"/>
    </row>
    <row r="17" spans="1:15" x14ac:dyDescent="0.2">
      <c r="A17" s="31" t="s">
        <v>28</v>
      </c>
    </row>
    <row r="19" spans="1:15" ht="15.75" x14ac:dyDescent="0.3">
      <c r="A19" s="1"/>
      <c r="B19" s="7" t="s">
        <v>7</v>
      </c>
      <c r="C19" s="7" t="s">
        <v>6</v>
      </c>
      <c r="D19" s="2" t="s">
        <v>2</v>
      </c>
      <c r="E19" s="7" t="s">
        <v>10</v>
      </c>
      <c r="F19" s="7" t="s">
        <v>11</v>
      </c>
      <c r="G19" s="7" t="s">
        <v>18</v>
      </c>
      <c r="H19" s="7" t="s">
        <v>19</v>
      </c>
      <c r="I19" s="7" t="s">
        <v>20</v>
      </c>
      <c r="J19" s="6" t="s">
        <v>22</v>
      </c>
      <c r="K19" s="6" t="s">
        <v>21</v>
      </c>
      <c r="L19" s="6" t="s">
        <v>23</v>
      </c>
      <c r="M19" s="6" t="s">
        <v>3</v>
      </c>
      <c r="N19" s="6" t="s">
        <v>5</v>
      </c>
      <c r="O19" s="28" t="s">
        <v>16</v>
      </c>
    </row>
    <row r="20" spans="1:15" ht="15" thickBot="1" x14ac:dyDescent="0.25">
      <c r="A20" s="3"/>
      <c r="B20" s="9" t="s">
        <v>0</v>
      </c>
      <c r="C20" s="9" t="s">
        <v>0</v>
      </c>
      <c r="D20" s="4" t="s">
        <v>1</v>
      </c>
      <c r="E20" s="9" t="s">
        <v>12</v>
      </c>
      <c r="F20" s="9" t="s">
        <v>12</v>
      </c>
      <c r="G20" s="9" t="s">
        <v>0</v>
      </c>
      <c r="H20" s="9" t="s">
        <v>0</v>
      </c>
      <c r="I20" s="9" t="s">
        <v>12</v>
      </c>
      <c r="J20" s="9" t="s">
        <v>12</v>
      </c>
      <c r="K20" s="9" t="s">
        <v>12</v>
      </c>
      <c r="L20" s="4" t="s">
        <v>4</v>
      </c>
      <c r="M20" s="4" t="s">
        <v>4</v>
      </c>
      <c r="N20" s="4" t="s">
        <v>4</v>
      </c>
      <c r="O20" s="29" t="s">
        <v>17</v>
      </c>
    </row>
    <row r="21" spans="1:15" ht="13.5" thickBot="1" x14ac:dyDescent="0.25">
      <c r="A21" s="17" t="s">
        <v>13</v>
      </c>
      <c r="B21" s="79">
        <f>(Input!B2+(Input!B4/2))*25.4/1000</f>
        <v>0.42544999999999999</v>
      </c>
      <c r="C21" s="79">
        <f>Input!B5*25.4/1000</f>
        <v>4.9707799999999995</v>
      </c>
      <c r="D21" s="18"/>
      <c r="E21" s="12">
        <f>C21*B21</f>
        <v>2.1148183509999998</v>
      </c>
      <c r="F21" s="12">
        <f>IF(SUM(F22:F25)=0,"",SUM(F22:F25))</f>
        <v>0.51959573499999989</v>
      </c>
      <c r="G21" s="12">
        <f>$B$21-(D$24+D$25)/1000</f>
        <v>0.33019999999999999</v>
      </c>
      <c r="H21" s="12">
        <f>$C$21-(D$23+D$22)/1000</f>
        <v>4.8310799999999992</v>
      </c>
      <c r="I21" s="12">
        <f>(B$21-(D$24+D$25)/1000)*(C$21-(D$23+D$22)/1000)</f>
        <v>1.5952226159999996</v>
      </c>
      <c r="J21" s="19">
        <f>IF((C$21-(D$23+D$22)/1000-2*0.0635)*(B$21-(D$24+D$25)/1000-2*0.0635)&lt;0,0,(C$21-(D$23+D$22)/1000-2*0.0635)*(B$21-(D$24+D$25)/1000-2*0.0635))</f>
        <v>0.95586905599999983</v>
      </c>
      <c r="K21" s="20">
        <f>SUM(K22:K25)</f>
        <v>0.63935355999999977</v>
      </c>
      <c r="L21" s="21">
        <f>Input!D34</f>
        <v>1.516</v>
      </c>
      <c r="M21" s="18"/>
      <c r="N21" s="18"/>
      <c r="O21" s="16">
        <f>($J$21*$L$21+$F$23*$M$23+$F$22*$M$22+$F$24*$M$24+$F$25*$M$25+$K$23*$N$23+$K$22*$N$22+$K$24*$N$24+$K$25*$N$25)/$E$21</f>
        <v>1.3906435897924783</v>
      </c>
    </row>
    <row r="22" spans="1:15" x14ac:dyDescent="0.2">
      <c r="A22" s="5" t="s">
        <v>9</v>
      </c>
      <c r="B22" s="12"/>
      <c r="C22" s="12"/>
      <c r="D22" s="44">
        <f>Input!E10*25.4</f>
        <v>38.099999999999994</v>
      </c>
      <c r="E22" s="12"/>
      <c r="F22" s="14">
        <f>IF(D22="","",D22*(B$21-(D$24+D$25)/2/1000)/1000)</f>
        <v>1.4395132499999999E-2</v>
      </c>
      <c r="G22" s="14"/>
      <c r="H22" s="14"/>
      <c r="I22" s="12"/>
      <c r="J22" s="24"/>
      <c r="K22" s="19">
        <f>IF((B$21-(D$24+D$25)/1000-0.0635)*0.0635&lt;0,0,(B$21-(D$24+D$25)/1000-0.0635)*0.0635)</f>
        <v>1.6935450000000001E-2</v>
      </c>
      <c r="L22" s="21"/>
      <c r="M22" s="21">
        <f>Input!B38</f>
        <v>1.1409</v>
      </c>
      <c r="N22" s="21">
        <f>Input!C38</f>
        <v>1.498</v>
      </c>
      <c r="O22" s="28"/>
    </row>
    <row r="23" spans="1:15" x14ac:dyDescent="0.2">
      <c r="A23" s="5" t="s">
        <v>8</v>
      </c>
      <c r="B23" s="13"/>
      <c r="C23" s="14"/>
      <c r="D23" s="80">
        <f>Input!E11*25.4</f>
        <v>101.6</v>
      </c>
      <c r="E23" s="14"/>
      <c r="F23" s="14">
        <f>IF(D23="","",D23*(B$21-(D$24+D$25)/2/1000)/1000)</f>
        <v>3.8387020000000001E-2</v>
      </c>
      <c r="G23" s="14"/>
      <c r="H23" s="14"/>
      <c r="I23" s="14"/>
      <c r="J23" s="22"/>
      <c r="K23" s="19">
        <f>IF((B$21-(D$24+D$25)/1000-0.0635)*0.0635&lt;0,0,(B$21-(D$24+D$25)/1000-0.0635)*0.0635)</f>
        <v>1.6935450000000001E-2</v>
      </c>
      <c r="L23" s="23"/>
      <c r="M23" s="23">
        <f>Input!B37</f>
        <v>1.4096</v>
      </c>
      <c r="N23" s="23">
        <f>Input!C37</f>
        <v>1.0049999999999999</v>
      </c>
      <c r="O23" s="28"/>
    </row>
    <row r="24" spans="1:15" x14ac:dyDescent="0.2">
      <c r="A24" s="5" t="s">
        <v>15</v>
      </c>
      <c r="B24" s="12"/>
      <c r="C24" s="12"/>
      <c r="D24" s="44">
        <f>Input!E12*25.4</f>
        <v>76.199999999999989</v>
      </c>
      <c r="E24" s="12"/>
      <c r="F24" s="14">
        <f>IF(D24="","",D24*(C$21-(D$23+D$22)/2/1000)/1000)</f>
        <v>0.37345086599999988</v>
      </c>
      <c r="G24" s="14"/>
      <c r="H24" s="14"/>
      <c r="I24" s="12"/>
      <c r="J24" s="24"/>
      <c r="K24" s="19">
        <f>IF((C$21-(D$23+D$22)/1000-0.0635)*0.0635&lt;0,0,(C$21-(D$23+D$22)/1000-0.0635)*0.0635)</f>
        <v>0.30274132999999992</v>
      </c>
      <c r="L24" s="21"/>
      <c r="M24" s="23">
        <f>Input!B35</f>
        <v>1.0376000000000001</v>
      </c>
      <c r="N24" s="23">
        <f>Input!C35</f>
        <v>1.4383999999999999</v>
      </c>
      <c r="O24" s="28"/>
    </row>
    <row r="25" spans="1:15" ht="13.5" thickBot="1" x14ac:dyDescent="0.25">
      <c r="A25" s="10" t="s">
        <v>14</v>
      </c>
      <c r="B25" s="15"/>
      <c r="C25" s="15"/>
      <c r="D25" s="46">
        <f>Input!E13*25.4</f>
        <v>19.049999999999997</v>
      </c>
      <c r="E25" s="15"/>
      <c r="F25" s="15">
        <f>IF(D25="","",D25*(C$21-(D$23+D$22)/2/1000)/1000)</f>
        <v>9.336271649999997E-2</v>
      </c>
      <c r="G25" s="15"/>
      <c r="H25" s="15"/>
      <c r="I25" s="15"/>
      <c r="J25" s="25"/>
      <c r="K25" s="26">
        <f>IF((C$21-(D$23+D$22)/1000-0.0635)*0.0635&lt;0,0,(C$21-(D$23+D$22)/1000-0.0635)*0.0635)</f>
        <v>0.30274132999999992</v>
      </c>
      <c r="L25" s="27"/>
      <c r="M25" s="27">
        <f>Input!B34</f>
        <v>1.2552000000000001</v>
      </c>
      <c r="N25" s="27">
        <f>Input!C34</f>
        <v>1.4494</v>
      </c>
      <c r="O25" s="29"/>
    </row>
    <row r="28" spans="1:15" x14ac:dyDescent="0.2">
      <c r="F28" s="11"/>
    </row>
    <row r="29" spans="1:15" x14ac:dyDescent="0.2">
      <c r="A29" s="31" t="s">
        <v>29</v>
      </c>
    </row>
    <row r="31" spans="1:15" ht="15.75" x14ac:dyDescent="0.3">
      <c r="A31" s="1"/>
      <c r="B31" s="7" t="s">
        <v>7</v>
      </c>
      <c r="C31" s="7" t="s">
        <v>6</v>
      </c>
      <c r="D31" s="2" t="s">
        <v>2</v>
      </c>
      <c r="E31" s="7" t="s">
        <v>10</v>
      </c>
      <c r="F31" s="7" t="s">
        <v>11</v>
      </c>
      <c r="G31" s="7" t="s">
        <v>18</v>
      </c>
      <c r="H31" s="7" t="s">
        <v>19</v>
      </c>
      <c r="I31" s="7" t="s">
        <v>20</v>
      </c>
      <c r="J31" s="6" t="s">
        <v>22</v>
      </c>
      <c r="K31" s="6" t="s">
        <v>21</v>
      </c>
      <c r="L31" s="6" t="s">
        <v>23</v>
      </c>
      <c r="M31" s="6" t="s">
        <v>3</v>
      </c>
      <c r="N31" s="6" t="s">
        <v>5</v>
      </c>
      <c r="O31" s="28" t="s">
        <v>16</v>
      </c>
    </row>
    <row r="32" spans="1:15" ht="15" thickBot="1" x14ac:dyDescent="0.25">
      <c r="A32" s="3"/>
      <c r="B32" s="9" t="s">
        <v>0</v>
      </c>
      <c r="C32" s="9" t="s">
        <v>0</v>
      </c>
      <c r="D32" s="4" t="s">
        <v>1</v>
      </c>
      <c r="E32" s="9" t="s">
        <v>12</v>
      </c>
      <c r="F32" s="9" t="s">
        <v>12</v>
      </c>
      <c r="G32" s="9" t="s">
        <v>0</v>
      </c>
      <c r="H32" s="9" t="s">
        <v>0</v>
      </c>
      <c r="I32" s="9" t="s">
        <v>12</v>
      </c>
      <c r="J32" s="9" t="s">
        <v>12</v>
      </c>
      <c r="K32" s="9" t="s">
        <v>12</v>
      </c>
      <c r="L32" s="4" t="s">
        <v>4</v>
      </c>
      <c r="M32" s="4" t="s">
        <v>4</v>
      </c>
      <c r="N32" s="4" t="s">
        <v>4</v>
      </c>
      <c r="O32" s="29" t="s">
        <v>17</v>
      </c>
    </row>
    <row r="33" spans="1:15" ht="13.5" thickBot="1" x14ac:dyDescent="0.25">
      <c r="A33" s="17" t="s">
        <v>13</v>
      </c>
      <c r="B33" s="79">
        <f>Input!B3*25.4/1000</f>
        <v>0.26923999999999998</v>
      </c>
      <c r="C33" s="79">
        <f>Input!B5*25.4/1000</f>
        <v>4.9707799999999995</v>
      </c>
      <c r="D33" s="18"/>
      <c r="E33" s="12">
        <f>C33*B33</f>
        <v>1.3383328071999998</v>
      </c>
      <c r="F33" s="12">
        <f>IF(SUM(F34:F37)=0,"",SUM(F34:F37))</f>
        <v>0.49777319799999986</v>
      </c>
      <c r="G33" s="12">
        <f>$B$33-(D$37+D$36)/1000</f>
        <v>0.17398999999999998</v>
      </c>
      <c r="H33" s="12">
        <f>$C$33-(D$35+D$34)/1000</f>
        <v>4.8310799999999992</v>
      </c>
      <c r="I33" s="12">
        <f>(B$33-(D$37+D$36)/1000)*(C$33-(D$35+D$34)/1000)</f>
        <v>0.84055960919999972</v>
      </c>
      <c r="J33" s="19">
        <f>IF((C$33-(D$35+D$34)/1000-2*0.0635)*(B$33-(D$37+D$36)/1000-2*0.0635)&lt;0,0,(C$33-(D$35+D$34)/1000-2*0.0635)*(B$33-(D$37+D$36)/1000-2*0.0635))</f>
        <v>0.22104471919999985</v>
      </c>
      <c r="K33" s="20">
        <f>SUM(K34:K37)</f>
        <v>0.61951488999999982</v>
      </c>
      <c r="L33" s="21">
        <f>Input!D34</f>
        <v>1.516</v>
      </c>
      <c r="M33" s="18"/>
      <c r="N33" s="18"/>
      <c r="O33" s="16">
        <f>($J$33*$L$33+$F$35*$M$35+$F$34*$M$34+$F$37*$M$37+$F$36*$M$36+$K$35*$N$35+$K$34*$N$34+$K$37*$N$37+$K$36*$N$36)/$E$33</f>
        <v>1.3193753428669217</v>
      </c>
    </row>
    <row r="34" spans="1:15" x14ac:dyDescent="0.2">
      <c r="A34" s="5" t="s">
        <v>9</v>
      </c>
      <c r="B34" s="12"/>
      <c r="C34" s="12"/>
      <c r="D34" s="44">
        <f>Input!H10*25.4</f>
        <v>38.099999999999994</v>
      </c>
      <c r="E34" s="12"/>
      <c r="F34" s="14">
        <f>IF(D34="","",D34*(B$33-(D$37+D$36)/2/1000)/1000)</f>
        <v>8.4435314999999969E-3</v>
      </c>
      <c r="G34" s="14"/>
      <c r="H34" s="14"/>
      <c r="I34" s="12"/>
      <c r="J34" s="24"/>
      <c r="K34" s="19">
        <f>IF((B$33-(D$37+D$36)/1000-0.0635)*0.0635&lt;0,0,(B$33-(D$37+D$36)/1000-0.0635)*0.0635)</f>
        <v>7.016114999999999E-3</v>
      </c>
      <c r="L34" s="21"/>
      <c r="M34" s="21">
        <f>Input!B38</f>
        <v>1.1409</v>
      </c>
      <c r="N34" s="21">
        <f>Input!C38</f>
        <v>1.498</v>
      </c>
      <c r="O34" s="28"/>
    </row>
    <row r="35" spans="1:15" x14ac:dyDescent="0.2">
      <c r="A35" s="5" t="s">
        <v>8</v>
      </c>
      <c r="B35" s="13"/>
      <c r="C35" s="14"/>
      <c r="D35" s="80">
        <f>Input!H11*25.4</f>
        <v>101.6</v>
      </c>
      <c r="E35" s="14"/>
      <c r="F35" s="14">
        <f>IF(D35="","",D35*(B$33-(D$37+D$36)/2/1000)/1000)</f>
        <v>2.2516083999999995E-2</v>
      </c>
      <c r="G35" s="14"/>
      <c r="H35" s="14"/>
      <c r="I35" s="14"/>
      <c r="J35" s="22"/>
      <c r="K35" s="19">
        <f>IF((B$33-(D$37+D$36)/1000-0.0635)*0.0635&lt;0,0,(B$33-(D$37+D$36)/1000-0.0635)*0.0635)</f>
        <v>7.016114999999999E-3</v>
      </c>
      <c r="L35" s="23"/>
      <c r="M35" s="23">
        <f>Input!B37</f>
        <v>1.4096</v>
      </c>
      <c r="N35" s="23">
        <f>Input!C37</f>
        <v>1.0049999999999999</v>
      </c>
      <c r="O35" s="28"/>
    </row>
    <row r="36" spans="1:15" x14ac:dyDescent="0.2">
      <c r="A36" s="5" t="s">
        <v>15</v>
      </c>
      <c r="B36" s="14"/>
      <c r="C36" s="14"/>
      <c r="D36" s="44">
        <f>Input!H12*25.4</f>
        <v>19.049999999999997</v>
      </c>
      <c r="E36" s="14"/>
      <c r="F36" s="14">
        <f>IF(D36="","",D36*(C$33-(D$35+D$34)/2/1000)/1000)</f>
        <v>9.336271649999997E-2</v>
      </c>
      <c r="G36" s="14"/>
      <c r="H36" s="14"/>
      <c r="I36" s="14"/>
      <c r="J36" s="24"/>
      <c r="K36" s="20">
        <f>IF((C$33-(D$35+D$34)/1000-0.0635)*0.0635&lt;0,0,(C$33-(D$35+D$34)/1000-0.0635)*0.0635)</f>
        <v>0.30274132999999992</v>
      </c>
      <c r="L36" s="21"/>
      <c r="M36" s="21">
        <f>Input!B34</f>
        <v>1.2552000000000001</v>
      </c>
      <c r="N36" s="21">
        <f>Input!C34</f>
        <v>1.4494</v>
      </c>
      <c r="O36" s="28"/>
    </row>
    <row r="37" spans="1:15" ht="13.5" thickBot="1" x14ac:dyDescent="0.25">
      <c r="A37" s="10" t="s">
        <v>14</v>
      </c>
      <c r="B37" s="15"/>
      <c r="C37" s="15"/>
      <c r="D37" s="46">
        <f>Input!H13*25.4</f>
        <v>76.199999999999989</v>
      </c>
      <c r="E37" s="15"/>
      <c r="F37" s="15">
        <f>IF(D37="","",D37*(C$33-(D$35+D$34)/2/1000)/1000)</f>
        <v>0.37345086599999988</v>
      </c>
      <c r="G37" s="15"/>
      <c r="H37" s="15"/>
      <c r="I37" s="15"/>
      <c r="J37" s="25"/>
      <c r="K37" s="26">
        <f>IF((C$33-(D$35+D$34)/1000-0.0635)*0.0635&lt;0,0,(C$33-(D$35+D$34)/1000-0.0635)*0.0635)</f>
        <v>0.30274132999999992</v>
      </c>
      <c r="L37" s="27"/>
      <c r="M37" s="27">
        <f>Input!B36</f>
        <v>1.0327999999999999</v>
      </c>
      <c r="N37" s="27">
        <f>Input!C36</f>
        <v>1.4205000000000001</v>
      </c>
      <c r="O37" s="29"/>
    </row>
    <row r="45" spans="1:15" ht="15.75" x14ac:dyDescent="0.3">
      <c r="B45" s="34" t="s">
        <v>30</v>
      </c>
      <c r="C45" s="35">
        <f>(O9-L9)/L9</f>
        <v>-3.558680001041508E-2</v>
      </c>
    </row>
    <row r="46" spans="1:15" ht="15.75" x14ac:dyDescent="0.3">
      <c r="B46" s="34" t="s">
        <v>31</v>
      </c>
      <c r="C46" s="35">
        <f>(O21-L21)/L21</f>
        <v>-8.2688924938998515E-2</v>
      </c>
    </row>
    <row r="47" spans="1:15" ht="15.75" x14ac:dyDescent="0.3">
      <c r="B47" s="34" t="s">
        <v>32</v>
      </c>
      <c r="C47" s="35">
        <f>(O33-L33)/L33</f>
        <v>-0.129699641908363</v>
      </c>
    </row>
    <row r="49" spans="1:4" x14ac:dyDescent="0.2">
      <c r="A49" s="34" t="s">
        <v>33</v>
      </c>
      <c r="D49" s="82">
        <f>Input!B6</f>
        <v>3</v>
      </c>
    </row>
    <row r="50" spans="1:4" ht="13.5" thickBot="1" x14ac:dyDescent="0.25"/>
    <row r="51" spans="1:4" ht="22.5" thickTop="1" thickBot="1" x14ac:dyDescent="0.3">
      <c r="A51" s="83" t="s">
        <v>34</v>
      </c>
      <c r="B51" s="84">
        <f>(D49*O9*E9+O21*E21+O33*E33)/(E9*D49+E21+E33)</f>
        <v>1.4261058858693496</v>
      </c>
      <c r="C51" s="85" t="s">
        <v>68</v>
      </c>
    </row>
    <row r="52" spans="1:4" ht="13.5" thickTop="1" x14ac:dyDescent="0.2"/>
    <row r="53" spans="1:4" ht="15.75" x14ac:dyDescent="0.3">
      <c r="B53" s="34" t="s">
        <v>35</v>
      </c>
      <c r="C53" s="35">
        <f>(B51-L9)/L9</f>
        <v>-5.929690905715726E-2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B33" sqref="B33"/>
    </sheetView>
  </sheetViews>
  <sheetFormatPr defaultRowHeight="12.75" x14ac:dyDescent="0.2"/>
  <cols>
    <col min="1" max="2" width="10.7109375" customWidth="1"/>
    <col min="3" max="3" width="15.28515625" customWidth="1"/>
    <col min="4" max="15" width="10.7109375" customWidth="1"/>
  </cols>
  <sheetData>
    <row r="1" spans="1:15" ht="13.5" thickBot="1" x14ac:dyDescent="0.25"/>
    <row r="2" spans="1:15" ht="19.5" thickTop="1" thickBot="1" x14ac:dyDescent="0.3">
      <c r="A2" s="53" t="s">
        <v>46</v>
      </c>
      <c r="F2" s="54" t="s">
        <v>48</v>
      </c>
    </row>
    <row r="3" spans="1:15" ht="13.5" thickTop="1" x14ac:dyDescent="0.2">
      <c r="L3" s="11"/>
      <c r="M3" s="30"/>
    </row>
    <row r="4" spans="1:15" x14ac:dyDescent="0.2">
      <c r="L4" s="11"/>
    </row>
    <row r="5" spans="1:15" x14ac:dyDescent="0.2">
      <c r="A5" s="8" t="s">
        <v>24</v>
      </c>
      <c r="E5" s="11"/>
      <c r="I5" s="11"/>
    </row>
    <row r="7" spans="1:15" ht="15.75" x14ac:dyDescent="0.3">
      <c r="A7" s="1"/>
      <c r="B7" s="7" t="s">
        <v>7</v>
      </c>
      <c r="C7" s="7" t="s">
        <v>6</v>
      </c>
      <c r="D7" s="2" t="s">
        <v>2</v>
      </c>
      <c r="E7" s="7" t="s">
        <v>10</v>
      </c>
      <c r="F7" s="7" t="s">
        <v>11</v>
      </c>
      <c r="G7" s="7" t="s">
        <v>18</v>
      </c>
      <c r="H7" s="7" t="s">
        <v>19</v>
      </c>
      <c r="I7" s="7" t="s">
        <v>20</v>
      </c>
      <c r="J7" s="6" t="s">
        <v>22</v>
      </c>
      <c r="K7" s="6" t="s">
        <v>21</v>
      </c>
      <c r="L7" s="6" t="s">
        <v>23</v>
      </c>
      <c r="M7" s="6" t="s">
        <v>3</v>
      </c>
      <c r="N7" s="6" t="s">
        <v>5</v>
      </c>
      <c r="O7" s="28" t="s">
        <v>16</v>
      </c>
    </row>
    <row r="8" spans="1:15" ht="15" thickBot="1" x14ac:dyDescent="0.25">
      <c r="A8" s="3"/>
      <c r="B8" s="32" t="s">
        <v>25</v>
      </c>
      <c r="C8" s="32" t="s">
        <v>25</v>
      </c>
      <c r="D8" s="32" t="s">
        <v>25</v>
      </c>
      <c r="E8" s="32" t="s">
        <v>26</v>
      </c>
      <c r="F8" s="32" t="s">
        <v>26</v>
      </c>
      <c r="G8" s="32" t="s">
        <v>25</v>
      </c>
      <c r="H8" s="32" t="s">
        <v>25</v>
      </c>
      <c r="I8" s="32" t="s">
        <v>26</v>
      </c>
      <c r="J8" s="32" t="s">
        <v>26</v>
      </c>
      <c r="K8" s="32" t="s">
        <v>26</v>
      </c>
      <c r="L8" s="32" t="s">
        <v>27</v>
      </c>
      <c r="M8" s="32" t="s">
        <v>27</v>
      </c>
      <c r="N8" s="32" t="s">
        <v>27</v>
      </c>
      <c r="O8" s="33" t="s">
        <v>27</v>
      </c>
    </row>
    <row r="9" spans="1:15" ht="13.5" thickBot="1" x14ac:dyDescent="0.25">
      <c r="A9" s="17" t="s">
        <v>13</v>
      </c>
      <c r="B9" s="81">
        <f>Input!B2</f>
        <v>16</v>
      </c>
      <c r="C9" s="81">
        <f>Input!B5</f>
        <v>195.7</v>
      </c>
      <c r="D9" s="21"/>
      <c r="E9" s="23">
        <f>C9*B9</f>
        <v>3131.2</v>
      </c>
      <c r="F9" s="23">
        <f>IF(SUM(F10:F13)=0,"",SUM(F10:F13))</f>
        <v>373.29999999999995</v>
      </c>
      <c r="G9" s="23">
        <f>$B$9-(D$12+D$13)</f>
        <v>14.5</v>
      </c>
      <c r="H9" s="23">
        <f>$C$9-(D$10+D$11)</f>
        <v>190.2</v>
      </c>
      <c r="I9" s="23">
        <f>(B$9-(D$12+D$13))*(C$9-(D$11+D$10))</f>
        <v>2757.8999999999996</v>
      </c>
      <c r="J9" s="23">
        <f>IF((C$9-(D$11+D$10)-2*2.5)*(B$9-(D$12+D$13)-2*2.5)&lt;0,0,(C$9-(D$11+D$10)-2*2.5)*(B$9-(D$12+D$13)-2*2.5))</f>
        <v>1759.3999999999999</v>
      </c>
      <c r="K9" s="21">
        <f>SUM(K10:K13)</f>
        <v>998.5</v>
      </c>
      <c r="L9" s="21">
        <f>'Walls (SI)'!L9/5.678</f>
        <v>0.26699542092286016</v>
      </c>
      <c r="M9" s="21"/>
      <c r="N9" s="21"/>
      <c r="O9" s="16">
        <f>($J$9*$L$9+$F$11*$M$11+$F$10*$M$10+$F$12*$M$12+$F$13*$M$13+$K$11*$N$11+$K$10*$N$10+$K$12*$N$12+$K$13*$N$13)/$E$9</f>
        <v>0.25749390827478169</v>
      </c>
    </row>
    <row r="10" spans="1:15" x14ac:dyDescent="0.2">
      <c r="A10" s="5" t="s">
        <v>9</v>
      </c>
      <c r="B10" s="23"/>
      <c r="C10" s="23"/>
      <c r="D10" s="44">
        <f>Input!B10</f>
        <v>1.5</v>
      </c>
      <c r="E10" s="23"/>
      <c r="F10" s="21">
        <f>IF(D10="","",D10*(B$9-(D$12+D$13)/2))</f>
        <v>22.875</v>
      </c>
      <c r="G10" s="21"/>
      <c r="H10" s="21"/>
      <c r="I10" s="23"/>
      <c r="J10" s="44"/>
      <c r="K10" s="23">
        <f>IF((B$9-(D$12+D$13)-2.5)*2.5&lt;0,0,(B$9-(D$12+D$13)-2.5)*2.5)</f>
        <v>30</v>
      </c>
      <c r="L10" s="21"/>
      <c r="M10" s="21">
        <f>'Walls (SI)'!M10/5.678</f>
        <v>0.20093342726312083</v>
      </c>
      <c r="N10" s="21">
        <f>'Walls (SI)'!N10/5.678</f>
        <v>0.26382529059528004</v>
      </c>
      <c r="O10" s="55"/>
    </row>
    <row r="11" spans="1:15" x14ac:dyDescent="0.2">
      <c r="A11" s="5" t="s">
        <v>8</v>
      </c>
      <c r="B11" s="56"/>
      <c r="C11" s="21"/>
      <c r="D11" s="80">
        <f>Input!B11</f>
        <v>4</v>
      </c>
      <c r="E11" s="21"/>
      <c r="F11" s="21">
        <f>IF(D11="","",D11*(B$9-(D$12+D$13)/2))</f>
        <v>61</v>
      </c>
      <c r="G11" s="21"/>
      <c r="H11" s="21"/>
      <c r="I11" s="21"/>
      <c r="J11" s="57"/>
      <c r="K11" s="23">
        <f>IF((B$9-(D$12+D$13)-2.5)*2.5&lt;0,0,(B$9-(D$12+D$13)-2.5)*2.5)</f>
        <v>30</v>
      </c>
      <c r="L11" s="23"/>
      <c r="M11" s="23">
        <f>'Walls (SI)'!M11/5.678</f>
        <v>0.24825642831983091</v>
      </c>
      <c r="N11" s="23">
        <f>'Walls (SI)'!N11/5.678</f>
        <v>0.1769989432898908</v>
      </c>
      <c r="O11" s="55"/>
    </row>
    <row r="12" spans="1:15" x14ac:dyDescent="0.2">
      <c r="A12" s="5" t="s">
        <v>15</v>
      </c>
      <c r="B12" s="23"/>
      <c r="C12" s="23"/>
      <c r="D12" s="44">
        <f>Input!B12</f>
        <v>0.75</v>
      </c>
      <c r="E12" s="23"/>
      <c r="F12" s="21">
        <f>IF(D12="","",D12*(C$9-(D$11+D$10)/2))</f>
        <v>144.71249999999998</v>
      </c>
      <c r="G12" s="21"/>
      <c r="H12" s="21"/>
      <c r="I12" s="23"/>
      <c r="J12" s="44"/>
      <c r="K12" s="23">
        <f>IF((C$9-(D$11+D$10)-2.5)*2.5&lt;0,0,(C$9-(D$11+D$10)-2.5)*2.5)</f>
        <v>469.25</v>
      </c>
      <c r="L12" s="21"/>
      <c r="M12" s="23">
        <f>'Walls (SI)'!M12/5.678</f>
        <v>0.22106375484325469</v>
      </c>
      <c r="N12" s="23">
        <f>'Walls (SI)'!N12/5.678</f>
        <v>0.25526593871081366</v>
      </c>
      <c r="O12" s="55"/>
    </row>
    <row r="13" spans="1:15" ht="13.5" thickBot="1" x14ac:dyDescent="0.25">
      <c r="A13" s="10" t="s">
        <v>14</v>
      </c>
      <c r="B13" s="27"/>
      <c r="C13" s="27"/>
      <c r="D13" s="46">
        <f>Input!B13</f>
        <v>0.75</v>
      </c>
      <c r="E13" s="27"/>
      <c r="F13" s="27">
        <f>IF(D13="","",D13*(C$9-(D$11+D$10)/2))</f>
        <v>144.71249999999998</v>
      </c>
      <c r="G13" s="27"/>
      <c r="H13" s="27"/>
      <c r="I13" s="27"/>
      <c r="J13" s="46"/>
      <c r="K13" s="27">
        <f>IF((C$9-(D$11+D$10)-2.5)*2.5&lt;0,0,(C$9-(D$11+D$10)-2.5)*2.5)</f>
        <v>469.25</v>
      </c>
      <c r="L13" s="27"/>
      <c r="M13" s="27">
        <f>'Walls (SI)'!M13/5.678</f>
        <v>0.22106375484325469</v>
      </c>
      <c r="N13" s="27">
        <f>'Walls (SI)'!N13/5.678</f>
        <v>0.25526593871081366</v>
      </c>
      <c r="O13" s="58"/>
    </row>
    <row r="14" spans="1:15" x14ac:dyDescent="0.2">
      <c r="B14" s="47"/>
      <c r="C14" s="47"/>
      <c r="D14" s="47"/>
      <c r="E14" s="47"/>
      <c r="F14" s="47"/>
      <c r="G14" s="47"/>
      <c r="H14" s="47"/>
      <c r="I14" s="22"/>
      <c r="J14" s="47"/>
      <c r="K14" s="22"/>
      <c r="L14" s="22"/>
      <c r="M14" s="22"/>
      <c r="N14" s="22"/>
      <c r="O14" s="11"/>
    </row>
    <row r="15" spans="1:15" x14ac:dyDescent="0.2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5" x14ac:dyDescent="0.2">
      <c r="B16" s="47"/>
      <c r="C16" s="47"/>
      <c r="D16" s="47"/>
      <c r="E16" s="47"/>
      <c r="F16" s="47"/>
      <c r="G16" s="47"/>
      <c r="H16" s="47"/>
      <c r="I16" s="47"/>
      <c r="J16" s="22"/>
      <c r="K16" s="47"/>
      <c r="L16" s="47"/>
      <c r="M16" s="47"/>
      <c r="N16" s="47"/>
    </row>
    <row r="17" spans="1:15" x14ac:dyDescent="0.2">
      <c r="A17" s="31" t="s">
        <v>28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1:15" x14ac:dyDescent="0.2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5" ht="15.75" x14ac:dyDescent="0.3">
      <c r="A19" s="1"/>
      <c r="B19" s="48" t="s">
        <v>7</v>
      </c>
      <c r="C19" s="48" t="s">
        <v>6</v>
      </c>
      <c r="D19" s="49" t="s">
        <v>2</v>
      </c>
      <c r="E19" s="48" t="s">
        <v>10</v>
      </c>
      <c r="F19" s="48" t="s">
        <v>11</v>
      </c>
      <c r="G19" s="48" t="s">
        <v>18</v>
      </c>
      <c r="H19" s="48" t="s">
        <v>19</v>
      </c>
      <c r="I19" s="48" t="s">
        <v>20</v>
      </c>
      <c r="J19" s="50" t="s">
        <v>22</v>
      </c>
      <c r="K19" s="50" t="s">
        <v>21</v>
      </c>
      <c r="L19" s="50" t="s">
        <v>23</v>
      </c>
      <c r="M19" s="50" t="s">
        <v>3</v>
      </c>
      <c r="N19" s="50" t="s">
        <v>5</v>
      </c>
      <c r="O19" s="28" t="s">
        <v>16</v>
      </c>
    </row>
    <row r="20" spans="1:15" ht="15" thickBot="1" x14ac:dyDescent="0.25">
      <c r="A20" s="3"/>
      <c r="B20" s="51" t="s">
        <v>25</v>
      </c>
      <c r="C20" s="51" t="s">
        <v>25</v>
      </c>
      <c r="D20" s="51" t="s">
        <v>25</v>
      </c>
      <c r="E20" s="51" t="s">
        <v>26</v>
      </c>
      <c r="F20" s="51" t="s">
        <v>26</v>
      </c>
      <c r="G20" s="51" t="s">
        <v>25</v>
      </c>
      <c r="H20" s="51" t="s">
        <v>25</v>
      </c>
      <c r="I20" s="51" t="s">
        <v>26</v>
      </c>
      <c r="J20" s="51" t="s">
        <v>26</v>
      </c>
      <c r="K20" s="51" t="s">
        <v>26</v>
      </c>
      <c r="L20" s="51" t="s">
        <v>27</v>
      </c>
      <c r="M20" s="51" t="s">
        <v>27</v>
      </c>
      <c r="N20" s="51" t="s">
        <v>27</v>
      </c>
      <c r="O20" s="33" t="s">
        <v>27</v>
      </c>
    </row>
    <row r="21" spans="1:15" ht="13.5" thickBot="1" x14ac:dyDescent="0.25">
      <c r="A21" s="17" t="s">
        <v>13</v>
      </c>
      <c r="B21" s="79">
        <f>(Input!B2+(Input!B4/2))</f>
        <v>16.75</v>
      </c>
      <c r="C21" s="79">
        <f>Input!B5</f>
        <v>195.7</v>
      </c>
      <c r="D21" s="43"/>
      <c r="E21" s="19">
        <f>C21*B21</f>
        <v>3277.9749999999999</v>
      </c>
      <c r="F21" s="19">
        <f>IF(SUM(F22:F25)=0,"",SUM(F22:F25))</f>
        <v>805.37499999999989</v>
      </c>
      <c r="G21" s="19">
        <f>$B$21-(D$24+D$25)</f>
        <v>13</v>
      </c>
      <c r="H21" s="19">
        <f>$C$21-(D$23+D$22)</f>
        <v>190.2</v>
      </c>
      <c r="I21" s="19">
        <f>(B$21-(D$24+D$25))*(C$21-(D$23+D$22))</f>
        <v>2472.6</v>
      </c>
      <c r="J21" s="19">
        <f>IF((C$21-(D$23+D$22)-2*2.5)*(B$21-(D$24+D$25)-2*2.5)&lt;0,0,(C$21-(D$23+D$22)-2*2.5)*(B$21-(D$24+D$25)-2*2.5))</f>
        <v>1481.6</v>
      </c>
      <c r="K21" s="20">
        <f>SUM(K22:K25)</f>
        <v>991</v>
      </c>
      <c r="L21" s="21">
        <f>'Walls (SI)'!L21/5.678</f>
        <v>0.26699542092286016</v>
      </c>
      <c r="M21" s="43"/>
      <c r="N21" s="43"/>
      <c r="O21" s="16">
        <f>($J$21*$L$21+$F$23*$M$23+$F$22*$M$22+$F$24*$M$24+$F$25*$M$25+$K$23*$N$23+$K$22*$N$22+$K$24*$N$24+$K$25*$N$25)/$E$21</f>
        <v>0.24491785660311349</v>
      </c>
    </row>
    <row r="22" spans="1:15" x14ac:dyDescent="0.2">
      <c r="A22" s="5" t="s">
        <v>9</v>
      </c>
      <c r="B22" s="19"/>
      <c r="C22" s="19"/>
      <c r="D22" s="44">
        <f>Input!B10</f>
        <v>1.5</v>
      </c>
      <c r="E22" s="19"/>
      <c r="F22" s="20">
        <f>IF(D22="","",D22*(B$21-(D$24+D$25)/2))</f>
        <v>22.3125</v>
      </c>
      <c r="G22" s="20"/>
      <c r="H22" s="20"/>
      <c r="I22" s="19"/>
      <c r="J22" s="24"/>
      <c r="K22" s="19">
        <f>IF((B$21-(D$24+D$25)-2.5)*2.5&lt;0,0,(B$21-(D$24+D$25)-2.5)*2.5)</f>
        <v>26.25</v>
      </c>
      <c r="L22" s="21"/>
      <c r="M22" s="21">
        <f>'Walls (SI)'!M22/5.678</f>
        <v>0.20093342726312083</v>
      </c>
      <c r="N22" s="21">
        <f>'Walls (SI)'!N22/5.678</f>
        <v>0.26382529059528004</v>
      </c>
      <c r="O22" s="28"/>
    </row>
    <row r="23" spans="1:15" x14ac:dyDescent="0.2">
      <c r="A23" s="5" t="s">
        <v>8</v>
      </c>
      <c r="B23" s="45"/>
      <c r="C23" s="20"/>
      <c r="D23" s="80">
        <f>Input!B11</f>
        <v>4</v>
      </c>
      <c r="E23" s="20"/>
      <c r="F23" s="20">
        <f>IF(D23="","",D23*(B$21-(D$24+D$25)/2))</f>
        <v>59.5</v>
      </c>
      <c r="G23" s="20"/>
      <c r="H23" s="20"/>
      <c r="I23" s="20"/>
      <c r="J23" s="22"/>
      <c r="K23" s="19">
        <f>IF((B$21-(D$24+D$25)-2.5)*2.5&lt;0,0,(B$21-(D$24+D$25)-2.5)*2.5)</f>
        <v>26.25</v>
      </c>
      <c r="L23" s="23"/>
      <c r="M23" s="23">
        <f>'Walls (SI)'!M23/5.678</f>
        <v>0.24825642831983091</v>
      </c>
      <c r="N23" s="23">
        <f>'Walls (SI)'!N23/5.678</f>
        <v>0.1769989432898908</v>
      </c>
      <c r="O23" s="28"/>
    </row>
    <row r="24" spans="1:15" x14ac:dyDescent="0.2">
      <c r="A24" s="5" t="s">
        <v>15</v>
      </c>
      <c r="B24" s="19"/>
      <c r="C24" s="19"/>
      <c r="D24" s="44">
        <f>Input!E12</f>
        <v>3</v>
      </c>
      <c r="E24" s="19"/>
      <c r="F24" s="20">
        <f>IF(D24="","",D24*(C$21-(D$23+D$22)/2))</f>
        <v>578.84999999999991</v>
      </c>
      <c r="G24" s="20"/>
      <c r="H24" s="20"/>
      <c r="I24" s="19"/>
      <c r="J24" s="24"/>
      <c r="K24" s="19">
        <f>IF((C$21-(D$23+D$22)-2.5)*2.5&lt;0,0,(C$21-(D$23+D$22)-2.5)*2.5)</f>
        <v>469.25</v>
      </c>
      <c r="L24" s="21"/>
      <c r="M24" s="23">
        <f>'Walls (SI)'!M24/5.678</f>
        <v>0.1827404015498415</v>
      </c>
      <c r="N24" s="23">
        <f>'Walls (SI)'!N24/5.678</f>
        <v>0.25332863684395912</v>
      </c>
      <c r="O24" s="28"/>
    </row>
    <row r="25" spans="1:15" ht="13.5" thickBot="1" x14ac:dyDescent="0.25">
      <c r="A25" s="10" t="s">
        <v>14</v>
      </c>
      <c r="B25" s="26"/>
      <c r="C25" s="26"/>
      <c r="D25" s="46">
        <f>Input!E13</f>
        <v>0.75</v>
      </c>
      <c r="E25" s="26"/>
      <c r="F25" s="26">
        <f>IF(D25="","",D25*(C$21-(D$23+D$22)/2))</f>
        <v>144.71249999999998</v>
      </c>
      <c r="G25" s="26"/>
      <c r="H25" s="26"/>
      <c r="I25" s="26"/>
      <c r="J25" s="25"/>
      <c r="K25" s="26">
        <f>IF((C$21-(D$23+D$22)-2.5)*2.5&lt;0,0,(C$21-(D$23+D$22)-2.5)*2.5)</f>
        <v>469.25</v>
      </c>
      <c r="L25" s="27"/>
      <c r="M25" s="27">
        <f>'Walls (SI)'!M25/5.678</f>
        <v>0.22106375484325469</v>
      </c>
      <c r="N25" s="27">
        <f>'Walls (SI)'!N25/5.678</f>
        <v>0.25526593871081366</v>
      </c>
      <c r="O25" s="29"/>
    </row>
    <row r="26" spans="1:15" x14ac:dyDescent="0.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5" x14ac:dyDescent="0.2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1:15" x14ac:dyDescent="0.2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1:15" x14ac:dyDescent="0.2">
      <c r="A29" s="31" t="s">
        <v>29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5" x14ac:dyDescent="0.2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5" ht="15.75" x14ac:dyDescent="0.3">
      <c r="A31" s="1"/>
      <c r="B31" s="48" t="s">
        <v>7</v>
      </c>
      <c r="C31" s="48" t="s">
        <v>6</v>
      </c>
      <c r="D31" s="49" t="s">
        <v>2</v>
      </c>
      <c r="E31" s="48" t="s">
        <v>10</v>
      </c>
      <c r="F31" s="48" t="s">
        <v>11</v>
      </c>
      <c r="G31" s="48" t="s">
        <v>18</v>
      </c>
      <c r="H31" s="48" t="s">
        <v>19</v>
      </c>
      <c r="I31" s="48" t="s">
        <v>20</v>
      </c>
      <c r="J31" s="50" t="s">
        <v>22</v>
      </c>
      <c r="K31" s="50" t="s">
        <v>21</v>
      </c>
      <c r="L31" s="50" t="s">
        <v>23</v>
      </c>
      <c r="M31" s="50" t="s">
        <v>3</v>
      </c>
      <c r="N31" s="50" t="s">
        <v>5</v>
      </c>
      <c r="O31" s="28" t="s">
        <v>16</v>
      </c>
    </row>
    <row r="32" spans="1:15" ht="15" thickBot="1" x14ac:dyDescent="0.25">
      <c r="A32" s="3"/>
      <c r="B32" s="51" t="s">
        <v>25</v>
      </c>
      <c r="C32" s="51" t="s">
        <v>25</v>
      </c>
      <c r="D32" s="51" t="s">
        <v>25</v>
      </c>
      <c r="E32" s="51" t="s">
        <v>26</v>
      </c>
      <c r="F32" s="51" t="s">
        <v>26</v>
      </c>
      <c r="G32" s="51" t="s">
        <v>25</v>
      </c>
      <c r="H32" s="51" t="s">
        <v>25</v>
      </c>
      <c r="I32" s="51" t="s">
        <v>26</v>
      </c>
      <c r="J32" s="51" t="s">
        <v>26</v>
      </c>
      <c r="K32" s="51" t="s">
        <v>26</v>
      </c>
      <c r="L32" s="51" t="s">
        <v>27</v>
      </c>
      <c r="M32" s="51" t="s">
        <v>27</v>
      </c>
      <c r="N32" s="51" t="s">
        <v>27</v>
      </c>
      <c r="O32" s="33" t="s">
        <v>27</v>
      </c>
    </row>
    <row r="33" spans="1:15" ht="13.5" thickBot="1" x14ac:dyDescent="0.25">
      <c r="A33" s="17" t="s">
        <v>13</v>
      </c>
      <c r="B33" s="79">
        <f>Input!B3</f>
        <v>10.6</v>
      </c>
      <c r="C33" s="79">
        <f>Input!B5</f>
        <v>195.7</v>
      </c>
      <c r="D33" s="43"/>
      <c r="E33" s="19">
        <f>C33*B33</f>
        <v>2074.4199999999996</v>
      </c>
      <c r="F33" s="19">
        <f>IF(SUM(F34:F37)=0,"",SUM(F34:F37))</f>
        <v>771.55</v>
      </c>
      <c r="G33" s="19">
        <f>$B$33-(D$37+D$36)</f>
        <v>6.85</v>
      </c>
      <c r="H33" s="19">
        <f>$C$33-(D$35+D$34)</f>
        <v>190.2</v>
      </c>
      <c r="I33" s="19">
        <f>(B$33-(D$37+D$36))*(C$33-(D$35+D$34))</f>
        <v>1302.8699999999999</v>
      </c>
      <c r="J33" s="19">
        <f>IF((C$33-(D$35+D$34)-2*2.5)*(B$33-(D$37+D$36)-2*2.5)&lt;0,0,(C$33-(D$35+D$34)-2*2.5)*(B$33-(D$37+D$36)-2*2.5))</f>
        <v>342.61999999999989</v>
      </c>
      <c r="K33" s="20">
        <f>SUM(K34:K37)</f>
        <v>960.25</v>
      </c>
      <c r="L33" s="21">
        <f>'Walls (SI)'!L33/5.678</f>
        <v>0.26699542092286016</v>
      </c>
      <c r="M33" s="43"/>
      <c r="N33" s="43"/>
      <c r="O33" s="16">
        <f>($J$33*$L$33+$F$35*$M$35+$F$34*$M$34+$F$37*$M$37+$F$36*$M$36+$K$35*$N$35+$K$34*$N$34+$K$37*$N$37+$K$36*$N$36)/$E$33</f>
        <v>0.2323662104379926</v>
      </c>
    </row>
    <row r="34" spans="1:15" x14ac:dyDescent="0.2">
      <c r="A34" s="5" t="s">
        <v>9</v>
      </c>
      <c r="B34" s="19"/>
      <c r="C34" s="19"/>
      <c r="D34" s="44">
        <f>Input!B10</f>
        <v>1.5</v>
      </c>
      <c r="E34" s="19"/>
      <c r="F34" s="20">
        <f>IF(D34="","",D34*(B$33-(D$37+D$36)/2))</f>
        <v>13.087499999999999</v>
      </c>
      <c r="G34" s="20"/>
      <c r="H34" s="20"/>
      <c r="I34" s="19"/>
      <c r="J34" s="24"/>
      <c r="K34" s="19">
        <f>IF((B$33-(D$37+D$36)-2.5)*2.5&lt;0,0,(B$33-(D$37+D$36)-2.5)*2.5)</f>
        <v>10.875</v>
      </c>
      <c r="L34" s="21"/>
      <c r="M34" s="21">
        <f>'Walls (SI)'!M34/5.678</f>
        <v>0.20093342726312083</v>
      </c>
      <c r="N34" s="21">
        <f>'Walls (SI)'!N34/5.678</f>
        <v>0.26382529059528004</v>
      </c>
      <c r="O34" s="28"/>
    </row>
    <row r="35" spans="1:15" x14ac:dyDescent="0.2">
      <c r="A35" s="5" t="s">
        <v>8</v>
      </c>
      <c r="B35" s="45"/>
      <c r="C35" s="20"/>
      <c r="D35" s="80">
        <f>Input!B11</f>
        <v>4</v>
      </c>
      <c r="E35" s="20"/>
      <c r="F35" s="20">
        <f>IF(D35="","",D35*(B$33-(D$37+D$36)/2))</f>
        <v>34.9</v>
      </c>
      <c r="G35" s="20"/>
      <c r="H35" s="20"/>
      <c r="I35" s="20"/>
      <c r="J35" s="22"/>
      <c r="K35" s="19">
        <f>IF((B$33-(D$37+D$36)-2.5)*2.5&lt;0,0,(B$33-(D$37+D$36)-2.5)*2.5)</f>
        <v>10.875</v>
      </c>
      <c r="L35" s="23"/>
      <c r="M35" s="23">
        <f>'Walls (SI)'!M35/5.678</f>
        <v>0.24825642831983091</v>
      </c>
      <c r="N35" s="23">
        <f>'Walls (SI)'!N35/5.678</f>
        <v>0.1769989432898908</v>
      </c>
      <c r="O35" s="28"/>
    </row>
    <row r="36" spans="1:15" x14ac:dyDescent="0.2">
      <c r="A36" s="59" t="s">
        <v>15</v>
      </c>
      <c r="B36" s="20"/>
      <c r="C36" s="20"/>
      <c r="D36" s="44">
        <f>Input!H12</f>
        <v>0.75</v>
      </c>
      <c r="E36" s="20"/>
      <c r="F36" s="20">
        <f>IF(D36="","",D36*(C$33-(D$35+D$34)/2))</f>
        <v>144.71249999999998</v>
      </c>
      <c r="G36" s="20"/>
      <c r="H36" s="20"/>
      <c r="I36" s="20"/>
      <c r="J36" s="24"/>
      <c r="K36" s="20">
        <f>IF((C$33-(D$35+D$34)-2.5)*2.5&lt;0,0,(C$33-(D$35+D$34)-2.5)*2.5)</f>
        <v>469.25</v>
      </c>
      <c r="L36" s="21"/>
      <c r="M36" s="21">
        <f>'Walls (SI)'!M36/5.678</f>
        <v>0.22106375484325469</v>
      </c>
      <c r="N36" s="21">
        <f>'Walls (SI)'!N36/5.678</f>
        <v>0.25526593871081366</v>
      </c>
      <c r="O36" s="28"/>
    </row>
    <row r="37" spans="1:15" ht="13.5" thickBot="1" x14ac:dyDescent="0.25">
      <c r="A37" s="60" t="s">
        <v>14</v>
      </c>
      <c r="B37" s="26"/>
      <c r="C37" s="26"/>
      <c r="D37" s="46">
        <f>Input!H13</f>
        <v>3</v>
      </c>
      <c r="E37" s="26"/>
      <c r="F37" s="26">
        <f>IF(D37="","",D37*(C$33-(D$35+D$34)/2))</f>
        <v>578.84999999999991</v>
      </c>
      <c r="G37" s="26"/>
      <c r="H37" s="26"/>
      <c r="I37" s="26"/>
      <c r="J37" s="25"/>
      <c r="K37" s="26">
        <f>IF((C$33-(D$35+D$34)-2.5)*2.5&lt;0,0,(C$33-(D$35+D$34)-2.5)*2.5)</f>
        <v>469.25</v>
      </c>
      <c r="L37" s="27"/>
      <c r="M37" s="27">
        <f>'Walls (SI)'!M37/5.678</f>
        <v>0.18189503346248678</v>
      </c>
      <c r="N37" s="27">
        <f>'Walls (SI)'!N37/5.678</f>
        <v>0.25017611835153225</v>
      </c>
      <c r="O37" s="29"/>
    </row>
    <row r="39" spans="1:15" x14ac:dyDescent="0.2">
      <c r="E39">
        <f>E33*25.4^2/1000^2</f>
        <v>1.3383328071999996</v>
      </c>
    </row>
    <row r="41" spans="1:15" x14ac:dyDescent="0.2">
      <c r="E41">
        <f>E33/(12^2)</f>
        <v>14.405694444444443</v>
      </c>
    </row>
    <row r="42" spans="1:15" x14ac:dyDescent="0.2">
      <c r="E42">
        <f>E41*0.3046^2</f>
        <v>1.3365770411611109</v>
      </c>
    </row>
    <row r="45" spans="1:15" ht="15.75" x14ac:dyDescent="0.3">
      <c r="B45" s="34" t="s">
        <v>30</v>
      </c>
      <c r="C45" s="35">
        <f>(O9-L9)/L9</f>
        <v>-3.5586800010415268E-2</v>
      </c>
    </row>
    <row r="46" spans="1:15" ht="15.75" x14ac:dyDescent="0.3">
      <c r="B46" s="34" t="s">
        <v>31</v>
      </c>
      <c r="C46" s="35">
        <f>(O21-L21)/L21</f>
        <v>-8.2688924938998404E-2</v>
      </c>
    </row>
    <row r="47" spans="1:15" ht="15.75" x14ac:dyDescent="0.3">
      <c r="B47" s="34" t="s">
        <v>32</v>
      </c>
      <c r="C47" s="35">
        <f>(O33-L33)/L33</f>
        <v>-0.12969964190836278</v>
      </c>
    </row>
    <row r="49" spans="1:6" x14ac:dyDescent="0.2">
      <c r="A49" s="34" t="s">
        <v>33</v>
      </c>
      <c r="D49" s="82">
        <f>Input!B6</f>
        <v>3</v>
      </c>
    </row>
    <row r="50" spans="1:6" ht="13.5" thickBot="1" x14ac:dyDescent="0.25"/>
    <row r="51" spans="1:6" ht="22.5" thickTop="1" thickBot="1" x14ac:dyDescent="0.3">
      <c r="A51" s="83" t="s">
        <v>34</v>
      </c>
      <c r="B51" s="86">
        <f>'Walls (SI)'!B51/5.678</f>
        <v>0.2511634177297199</v>
      </c>
      <c r="C51" s="87" t="s">
        <v>69</v>
      </c>
      <c r="E51" s="52" t="s">
        <v>45</v>
      </c>
      <c r="F51">
        <f>(D49*O9*E9+O21*E21+O33*E33)/(E9*D49+E21+E33)</f>
        <v>0.2511634177297199</v>
      </c>
    </row>
    <row r="52" spans="1:6" ht="13.5" thickTop="1" x14ac:dyDescent="0.2"/>
    <row r="53" spans="1:6" ht="15.75" x14ac:dyDescent="0.3">
      <c r="B53" s="34" t="s">
        <v>35</v>
      </c>
      <c r="C53" s="35">
        <f>(B51-L9)/L9</f>
        <v>-5.9296909057157274E-2</v>
      </c>
    </row>
  </sheetData>
  <printOptions gridLines="1"/>
  <pageMargins left="0.75" right="0.75" top="1" bottom="1" header="0.5" footer="0.5"/>
  <pageSetup scale="68" orientation="landscape" horizontalDpi="1200" verticalDpi="12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3" sqref="A3:B9"/>
    </sheetView>
  </sheetViews>
  <sheetFormatPr defaultRowHeight="12.75" x14ac:dyDescent="0.2"/>
  <cols>
    <col min="1" max="1" width="26" customWidth="1"/>
  </cols>
  <sheetData>
    <row r="2" spans="1:3" ht="13.5" thickBot="1" x14ac:dyDescent="0.25"/>
    <row r="3" spans="1:3" x14ac:dyDescent="0.2">
      <c r="A3" s="36" t="s">
        <v>42</v>
      </c>
      <c r="B3" s="37" t="s">
        <v>43</v>
      </c>
    </row>
    <row r="4" spans="1:3" ht="13.5" thickBot="1" x14ac:dyDescent="0.25">
      <c r="A4" s="38"/>
      <c r="B4" s="39" t="s">
        <v>41</v>
      </c>
    </row>
    <row r="5" spans="1:3" x14ac:dyDescent="0.2">
      <c r="A5" s="40" t="s">
        <v>36</v>
      </c>
      <c r="B5" s="41">
        <v>0.14000000000000001</v>
      </c>
    </row>
    <row r="6" spans="1:3" x14ac:dyDescent="0.2">
      <c r="A6" s="40" t="s">
        <v>37</v>
      </c>
      <c r="B6" s="41">
        <v>0.04</v>
      </c>
      <c r="C6" s="34"/>
    </row>
    <row r="7" spans="1:3" x14ac:dyDescent="0.2">
      <c r="A7" s="40" t="s">
        <v>38</v>
      </c>
      <c r="B7" s="41">
        <v>0.16009999999999999</v>
      </c>
      <c r="C7" s="34"/>
    </row>
    <row r="8" spans="1:3" x14ac:dyDescent="0.2">
      <c r="A8" s="40" t="s">
        <v>39</v>
      </c>
      <c r="B8" s="41">
        <v>0.1356</v>
      </c>
      <c r="C8" s="34"/>
    </row>
    <row r="9" spans="1:3" ht="13.5" thickBot="1" x14ac:dyDescent="0.25">
      <c r="A9" s="38" t="s">
        <v>40</v>
      </c>
      <c r="B9" s="42">
        <v>0.1082</v>
      </c>
      <c r="C9" s="3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Walls (SI)</vt:lpstr>
      <vt:lpstr>Walls (IP)</vt:lpstr>
      <vt:lpstr>Materials</vt:lpstr>
    </vt:vector>
  </TitlesOfParts>
  <Company>CEERE @ University of Massachusetts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Curcija</dc:creator>
  <cp:lastModifiedBy>Mehry Yazdanian</cp:lastModifiedBy>
  <cp:lastPrinted>2014-11-07T20:04:37Z</cp:lastPrinted>
  <dcterms:created xsi:type="dcterms:W3CDTF">1997-12-05T05:53:35Z</dcterms:created>
  <dcterms:modified xsi:type="dcterms:W3CDTF">2015-02-09T19:32:18Z</dcterms:modified>
</cp:coreProperties>
</file>