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ummer 23 internship\H2S Document selection\"/>
    </mc:Choice>
  </mc:AlternateContent>
  <xr:revisionPtr revIDLastSave="0" documentId="13_ncr:1_{56E78B02-C404-4047-A7D3-3C9AF10CCABB}" xr6:coauthVersionLast="47" xr6:coauthVersionMax="47" xr10:uidLastSave="{00000000-0000-0000-0000-000000000000}"/>
  <bookViews>
    <workbookView xWindow="28680" yWindow="-120" windowWidth="29040" windowHeight="15840" xr2:uid="{1622E8FC-1417-4EC4-880E-931F982A0398}"/>
  </bookViews>
  <sheets>
    <sheet name="Feuil1" sheetId="1" r:id="rId1"/>
  </sheets>
  <definedNames>
    <definedName name="_xlnm._FilterDatabase" localSheetId="0" hidden="1">Feuil1!$B$1:$U$1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1" l="1"/>
  <c r="R97" i="1"/>
  <c r="S97" i="1"/>
  <c r="S773" i="1"/>
  <c r="R773" i="1"/>
  <c r="S772" i="1"/>
  <c r="R772" i="1"/>
  <c r="S771" i="1"/>
  <c r="R771" i="1"/>
  <c r="M771" i="1"/>
  <c r="S534" i="1"/>
  <c r="R534" i="1"/>
  <c r="M534" i="1"/>
  <c r="R527" i="1"/>
  <c r="S768" i="1"/>
  <c r="S567" i="1"/>
  <c r="S566" i="1"/>
  <c r="S767" i="1"/>
  <c r="S565" i="1"/>
  <c r="S564" i="1"/>
  <c r="S766" i="1"/>
  <c r="S765" i="1"/>
  <c r="S562" i="1"/>
  <c r="S561" i="1"/>
  <c r="R561" i="1"/>
  <c r="M561" i="1"/>
  <c r="S560" i="1"/>
  <c r="M560" i="1"/>
  <c r="S559" i="1"/>
  <c r="R559" i="1"/>
  <c r="M559" i="1"/>
  <c r="S558" i="1"/>
  <c r="R558" i="1"/>
  <c r="M558" i="1"/>
  <c r="S722" i="1"/>
  <c r="S683" i="1"/>
  <c r="M683" i="1"/>
  <c r="S682" i="1"/>
  <c r="M682" i="1"/>
  <c r="S355" i="1"/>
  <c r="M355" i="1"/>
  <c r="S354" i="1"/>
  <c r="M354" i="1"/>
  <c r="S681" i="1"/>
  <c r="M681" i="1"/>
  <c r="S680" i="1"/>
  <c r="M680" i="1"/>
  <c r="S679" i="1"/>
  <c r="M679" i="1"/>
  <c r="S678" i="1"/>
  <c r="S677" i="1"/>
  <c r="M677" i="1"/>
  <c r="S676" i="1"/>
  <c r="M676" i="1"/>
  <c r="S675" i="1"/>
  <c r="M675" i="1"/>
  <c r="S340" i="1"/>
  <c r="R340" i="1"/>
  <c r="M340" i="1"/>
  <c r="S339" i="1"/>
  <c r="R339" i="1"/>
  <c r="M339" i="1"/>
  <c r="S338" i="1"/>
  <c r="R338" i="1"/>
  <c r="M338" i="1"/>
  <c r="S337" i="1"/>
  <c r="R337" i="1"/>
  <c r="M337" i="1"/>
  <c r="S665" i="1"/>
  <c r="R665" i="1"/>
  <c r="M665" i="1"/>
  <c r="S333" i="1"/>
  <c r="R333" i="1"/>
  <c r="M333" i="1"/>
  <c r="S664" i="1"/>
  <c r="R664" i="1"/>
  <c r="M664" i="1"/>
  <c r="S663" i="1"/>
  <c r="R663" i="1"/>
  <c r="M663" i="1"/>
  <c r="S662" i="1"/>
  <c r="R662" i="1"/>
  <c r="M662" i="1"/>
  <c r="S661" i="1"/>
  <c r="R661" i="1"/>
  <c r="M661" i="1"/>
  <c r="S331" i="1"/>
  <c r="R331" i="1"/>
  <c r="M331" i="1"/>
  <c r="S660" i="1"/>
  <c r="R660" i="1"/>
  <c r="M660" i="1"/>
  <c r="S659" i="1"/>
  <c r="R659" i="1"/>
  <c r="M659" i="1"/>
  <c r="S658" i="1"/>
  <c r="R658" i="1"/>
  <c r="M658" i="1"/>
  <c r="S330" i="1"/>
  <c r="R330" i="1"/>
  <c r="M330" i="1"/>
  <c r="S329" i="1"/>
  <c r="R329" i="1"/>
  <c r="M329" i="1"/>
  <c r="S657" i="1"/>
  <c r="R657" i="1"/>
  <c r="M657" i="1"/>
  <c r="S656" i="1"/>
  <c r="R656" i="1"/>
  <c r="M656" i="1"/>
  <c r="S655" i="1"/>
  <c r="R655" i="1"/>
  <c r="S654" i="1"/>
  <c r="R654" i="1"/>
  <c r="M654" i="1"/>
  <c r="S653" i="1"/>
  <c r="R653" i="1"/>
  <c r="M653" i="1"/>
  <c r="S652" i="1"/>
  <c r="R652" i="1"/>
  <c r="M652" i="1"/>
  <c r="S651" i="1"/>
  <c r="R651" i="1"/>
  <c r="M651" i="1"/>
  <c r="S650" i="1"/>
  <c r="R650" i="1"/>
  <c r="M650" i="1"/>
  <c r="S325" i="1"/>
  <c r="R325" i="1"/>
  <c r="M325" i="1"/>
  <c r="S649" i="1"/>
  <c r="R649" i="1"/>
  <c r="M649" i="1"/>
  <c r="S648" i="1"/>
  <c r="R648" i="1"/>
  <c r="M648" i="1"/>
  <c r="S647" i="1"/>
  <c r="R647" i="1"/>
  <c r="M647" i="1"/>
  <c r="S323" i="1"/>
  <c r="R323" i="1"/>
  <c r="M323" i="1"/>
  <c r="S322" i="1"/>
  <c r="R322" i="1"/>
  <c r="M322" i="1"/>
  <c r="S646" i="1"/>
  <c r="R646" i="1"/>
  <c r="M646" i="1"/>
  <c r="S645" i="1"/>
  <c r="R645" i="1"/>
  <c r="M645" i="1"/>
  <c r="S644" i="1"/>
  <c r="S643" i="1"/>
  <c r="S320" i="1"/>
  <c r="M320" i="1"/>
  <c r="S318" i="1"/>
  <c r="M318" i="1"/>
  <c r="S317" i="1"/>
  <c r="M317" i="1"/>
  <c r="S642" i="1"/>
  <c r="M642" i="1"/>
  <c r="S641" i="1"/>
  <c r="M641" i="1"/>
  <c r="S640" i="1"/>
  <c r="R640" i="1"/>
  <c r="M640" i="1"/>
  <c r="S639" i="1"/>
  <c r="R639" i="1"/>
  <c r="S638" i="1"/>
  <c r="R638" i="1"/>
  <c r="S637" i="1"/>
  <c r="M637" i="1"/>
  <c r="S294" i="1"/>
  <c r="R294" i="1"/>
  <c r="M294" i="1"/>
  <c r="S636" i="1"/>
  <c r="R636" i="1"/>
  <c r="M636" i="1"/>
  <c r="S635" i="1"/>
  <c r="M635" i="1"/>
  <c r="S541" i="1"/>
  <c r="M541" i="1"/>
  <c r="S634" i="1"/>
  <c r="M634" i="1"/>
  <c r="S633" i="1"/>
  <c r="R633" i="1"/>
  <c r="M633" i="1"/>
  <c r="S282" i="1"/>
  <c r="M282" i="1"/>
  <c r="S540" i="1"/>
  <c r="M540" i="1"/>
  <c r="S539" i="1"/>
  <c r="R539" i="1"/>
  <c r="M539" i="1"/>
  <c r="S632" i="1"/>
  <c r="M632" i="1"/>
  <c r="S631" i="1"/>
  <c r="M631" i="1"/>
  <c r="S630" i="1"/>
  <c r="M630" i="1"/>
  <c r="S627" i="1"/>
  <c r="S262" i="1"/>
  <c r="S626" i="1"/>
  <c r="R626" i="1"/>
  <c r="S625" i="1"/>
  <c r="S623" i="1"/>
  <c r="S622" i="1"/>
  <c r="S621" i="1"/>
  <c r="S620" i="1"/>
  <c r="S619" i="1"/>
  <c r="S618" i="1"/>
  <c r="S617" i="1"/>
  <c r="S259" i="1"/>
  <c r="R259" i="1"/>
  <c r="S258" i="1"/>
  <c r="S256" i="1"/>
  <c r="S616" i="1"/>
  <c r="R616" i="1"/>
  <c r="S255" i="1"/>
  <c r="S615" i="1"/>
  <c r="S614" i="1"/>
  <c r="S613" i="1"/>
  <c r="S612" i="1"/>
  <c r="S611" i="1"/>
  <c r="S610" i="1"/>
  <c r="S609" i="1"/>
  <c r="S608" i="1"/>
  <c r="R608" i="1"/>
  <c r="S254" i="1"/>
  <c r="M254" i="1"/>
  <c r="S253" i="1"/>
  <c r="M253" i="1"/>
  <c r="S607" i="1"/>
  <c r="R607" i="1"/>
  <c r="S252" i="1"/>
  <c r="S606" i="1"/>
  <c r="S605" i="1"/>
  <c r="R605" i="1"/>
  <c r="S604" i="1"/>
  <c r="R604" i="1"/>
  <c r="S603" i="1"/>
  <c r="R603" i="1"/>
  <c r="S602" i="1"/>
  <c r="S220" i="1"/>
  <c r="S213" i="1"/>
  <c r="R213" i="1"/>
  <c r="M213" i="1"/>
  <c r="S212" i="1"/>
  <c r="R212" i="1"/>
  <c r="M212" i="1"/>
  <c r="S209" i="1"/>
  <c r="R209" i="1"/>
  <c r="M209" i="1"/>
  <c r="S208" i="1"/>
  <c r="R208" i="1"/>
  <c r="M208" i="1"/>
  <c r="S201" i="1"/>
  <c r="R201" i="1"/>
  <c r="M201" i="1"/>
  <c r="S198" i="1"/>
  <c r="R198" i="1"/>
  <c r="M198" i="1"/>
  <c r="S600" i="1"/>
  <c r="R600" i="1"/>
  <c r="M600" i="1"/>
  <c r="S599" i="1"/>
  <c r="R599" i="1"/>
  <c r="M599" i="1"/>
  <c r="S598" i="1"/>
  <c r="R598" i="1"/>
  <c r="M598" i="1"/>
  <c r="S538" i="1"/>
  <c r="R538" i="1"/>
  <c r="M538" i="1"/>
  <c r="S189" i="1"/>
  <c r="R189" i="1"/>
  <c r="M189" i="1"/>
  <c r="S182" i="1"/>
  <c r="R182" i="1"/>
  <c r="M182" i="1"/>
  <c r="S597" i="1"/>
  <c r="R597" i="1"/>
  <c r="M597" i="1"/>
  <c r="S596" i="1"/>
  <c r="R596" i="1"/>
  <c r="M596" i="1"/>
  <c r="S595" i="1"/>
  <c r="R595" i="1"/>
  <c r="M595" i="1"/>
  <c r="S588" i="1"/>
  <c r="R588" i="1"/>
  <c r="M588" i="1"/>
  <c r="S587" i="1"/>
  <c r="R587" i="1"/>
  <c r="M587" i="1"/>
  <c r="S582" i="1"/>
  <c r="R582" i="1"/>
  <c r="M582" i="1"/>
  <c r="S581" i="1"/>
  <c r="R581" i="1"/>
  <c r="M581" i="1"/>
  <c r="S580" i="1"/>
  <c r="R580" i="1"/>
  <c r="M580" i="1"/>
  <c r="S579" i="1"/>
  <c r="R579" i="1"/>
  <c r="S578" i="1"/>
  <c r="R578" i="1"/>
  <c r="S577" i="1"/>
  <c r="R577" i="1"/>
  <c r="M577" i="1"/>
  <c r="S574" i="1"/>
  <c r="R574" i="1"/>
  <c r="M574" i="1"/>
  <c r="S116" i="1"/>
  <c r="R116" i="1"/>
  <c r="M116" i="1"/>
  <c r="S572" i="1"/>
  <c r="R572" i="1"/>
  <c r="M572" i="1"/>
  <c r="S571" i="1"/>
  <c r="R571" i="1"/>
  <c r="S569" i="1"/>
  <c r="R569" i="1"/>
  <c r="M569" i="1"/>
  <c r="S180" i="1"/>
  <c r="R180" i="1"/>
  <c r="M180" i="1"/>
  <c r="S179" i="1"/>
  <c r="R179" i="1"/>
  <c r="M179" i="1"/>
  <c r="S178" i="1"/>
  <c r="R178" i="1"/>
  <c r="M178" i="1"/>
  <c r="S173" i="1"/>
  <c r="R173" i="1"/>
  <c r="M173" i="1"/>
  <c r="S594" i="1"/>
  <c r="R594" i="1"/>
  <c r="M594" i="1"/>
  <c r="S167" i="1"/>
  <c r="R167" i="1"/>
  <c r="S593" i="1"/>
  <c r="R593" i="1"/>
  <c r="S592" i="1"/>
  <c r="R592" i="1"/>
  <c r="S591" i="1"/>
  <c r="R591" i="1"/>
  <c r="M591" i="1"/>
  <c r="S166" i="1"/>
  <c r="M166" i="1"/>
  <c r="S537" i="1"/>
  <c r="R537" i="1"/>
  <c r="S590" i="1"/>
  <c r="R590" i="1"/>
  <c r="M590" i="1"/>
  <c r="S153" i="1"/>
  <c r="R153" i="1"/>
  <c r="M153" i="1"/>
  <c r="S589" i="1"/>
  <c r="R589" i="1"/>
  <c r="M589" i="1"/>
  <c r="S147" i="1"/>
  <c r="R147" i="1"/>
  <c r="M147" i="1"/>
  <c r="S586" i="1"/>
  <c r="R586" i="1"/>
  <c r="M586" i="1"/>
  <c r="S585" i="1"/>
  <c r="S536" i="1"/>
  <c r="R536" i="1"/>
  <c r="M536" i="1"/>
  <c r="S584" i="1"/>
  <c r="R584" i="1"/>
  <c r="S583" i="1"/>
  <c r="R583" i="1"/>
  <c r="M583" i="1"/>
  <c r="S133" i="1"/>
  <c r="R133" i="1"/>
  <c r="M133" i="1"/>
  <c r="S126" i="1"/>
  <c r="R126" i="1"/>
  <c r="M126" i="1"/>
  <c r="S125" i="1"/>
  <c r="R125" i="1"/>
  <c r="M125" i="1"/>
  <c r="S122" i="1"/>
  <c r="R122" i="1"/>
  <c r="M122" i="1"/>
  <c r="S576" i="1"/>
  <c r="R576" i="1"/>
  <c r="M576" i="1"/>
  <c r="S575" i="1"/>
  <c r="R575" i="1"/>
  <c r="M575" i="1"/>
  <c r="S573" i="1"/>
  <c r="R573" i="1"/>
  <c r="M573" i="1"/>
  <c r="S113" i="1"/>
  <c r="R113" i="1"/>
  <c r="M113" i="1"/>
  <c r="S112" i="1"/>
  <c r="R112" i="1"/>
  <c r="M112" i="1"/>
  <c r="S570" i="1"/>
  <c r="R570" i="1"/>
  <c r="S568" i="1"/>
  <c r="R568" i="1"/>
  <c r="S776" i="1"/>
  <c r="R776" i="1"/>
  <c r="S775" i="1"/>
  <c r="R775" i="1"/>
  <c r="S774" i="1"/>
  <c r="R774" i="1"/>
  <c r="S530" i="1"/>
  <c r="R530" i="1"/>
  <c r="M530" i="1"/>
  <c r="R528" i="1"/>
  <c r="S526" i="1"/>
  <c r="R526" i="1"/>
  <c r="M526" i="1"/>
  <c r="S525" i="1"/>
  <c r="M525" i="1"/>
  <c r="S524" i="1"/>
  <c r="M524" i="1"/>
  <c r="S523" i="1"/>
  <c r="S522" i="1"/>
  <c r="S497" i="1"/>
  <c r="R497" i="1"/>
  <c r="M497" i="1"/>
  <c r="S496" i="1"/>
  <c r="R496" i="1"/>
  <c r="M496" i="1"/>
  <c r="S495" i="1"/>
  <c r="R495" i="1"/>
  <c r="M495" i="1"/>
  <c r="S494" i="1"/>
  <c r="R494" i="1"/>
  <c r="M494" i="1"/>
  <c r="S459" i="1"/>
  <c r="R459" i="1"/>
  <c r="M459" i="1"/>
  <c r="S442" i="1"/>
  <c r="R442" i="1"/>
  <c r="M442" i="1"/>
  <c r="S441" i="1"/>
  <c r="R441" i="1"/>
  <c r="M441" i="1"/>
  <c r="S440" i="1"/>
  <c r="R440" i="1"/>
  <c r="M440" i="1"/>
  <c r="S439" i="1"/>
  <c r="R439" i="1"/>
  <c r="M439" i="1"/>
  <c r="S438" i="1"/>
  <c r="R438" i="1"/>
  <c r="M438" i="1"/>
  <c r="S437" i="1"/>
  <c r="R437" i="1"/>
  <c r="M437" i="1"/>
  <c r="S436" i="1"/>
  <c r="R436" i="1"/>
  <c r="M436" i="1"/>
  <c r="S749" i="1"/>
  <c r="R749" i="1"/>
  <c r="M749" i="1"/>
  <c r="S435" i="1"/>
  <c r="R435" i="1"/>
  <c r="M435" i="1"/>
  <c r="R748" i="1"/>
  <c r="S434" i="1"/>
  <c r="R434" i="1"/>
  <c r="M434" i="1"/>
  <c r="S433" i="1"/>
  <c r="R433" i="1"/>
  <c r="M433" i="1"/>
  <c r="S432" i="1"/>
  <c r="R432" i="1"/>
  <c r="M432" i="1"/>
  <c r="S747" i="1"/>
  <c r="R747" i="1"/>
  <c r="M747" i="1"/>
  <c r="S746" i="1"/>
  <c r="R746" i="1"/>
  <c r="M746" i="1"/>
  <c r="S745" i="1"/>
  <c r="R745" i="1"/>
  <c r="M745" i="1"/>
  <c r="S744" i="1"/>
  <c r="R744" i="1"/>
  <c r="M744" i="1"/>
  <c r="S743" i="1"/>
  <c r="R743" i="1"/>
  <c r="M743" i="1"/>
  <c r="S431" i="1"/>
  <c r="R431" i="1"/>
  <c r="M431" i="1"/>
  <c r="S742" i="1"/>
  <c r="R742" i="1"/>
  <c r="M742" i="1"/>
  <c r="S741" i="1"/>
  <c r="R741" i="1"/>
  <c r="S740" i="1"/>
  <c r="R740" i="1"/>
  <c r="M740" i="1"/>
  <c r="S430" i="1"/>
  <c r="R430" i="1"/>
  <c r="M430" i="1"/>
  <c r="S429" i="1"/>
  <c r="R429" i="1"/>
  <c r="M429" i="1"/>
  <c r="S739" i="1"/>
  <c r="R739" i="1"/>
  <c r="M739" i="1"/>
  <c r="S738" i="1"/>
  <c r="R738" i="1"/>
  <c r="M738" i="1"/>
  <c r="S428" i="1"/>
  <c r="R428" i="1"/>
  <c r="M428" i="1"/>
  <c r="S427" i="1"/>
  <c r="R427" i="1"/>
  <c r="M427" i="1"/>
  <c r="S737" i="1"/>
  <c r="R737" i="1"/>
  <c r="M737" i="1"/>
  <c r="S736" i="1"/>
  <c r="R736" i="1"/>
  <c r="M736" i="1"/>
  <c r="S735" i="1"/>
  <c r="R735" i="1"/>
  <c r="S553" i="1"/>
  <c r="R553" i="1"/>
  <c r="S734" i="1"/>
  <c r="R734" i="1"/>
  <c r="S426" i="1"/>
  <c r="R426" i="1"/>
  <c r="M426" i="1"/>
  <c r="S425" i="1"/>
  <c r="R425" i="1"/>
  <c r="S424" i="1"/>
  <c r="R424" i="1"/>
  <c r="M424" i="1"/>
  <c r="S733" i="1"/>
  <c r="R733" i="1"/>
  <c r="S423" i="1"/>
  <c r="R423" i="1"/>
  <c r="M423" i="1"/>
  <c r="S422" i="1"/>
  <c r="R422" i="1"/>
  <c r="M422" i="1"/>
  <c r="S421" i="1"/>
  <c r="R421" i="1"/>
  <c r="M421" i="1"/>
  <c r="S732" i="1"/>
  <c r="R732" i="1"/>
  <c r="S731" i="1"/>
  <c r="R731" i="1"/>
  <c r="S730" i="1"/>
  <c r="R730" i="1"/>
  <c r="S420" i="1"/>
  <c r="R420" i="1"/>
  <c r="M420" i="1"/>
  <c r="S419" i="1"/>
  <c r="R419" i="1"/>
  <c r="M419" i="1"/>
  <c r="S418" i="1"/>
  <c r="R418" i="1"/>
  <c r="M418" i="1"/>
  <c r="S417" i="1"/>
  <c r="R417" i="1"/>
  <c r="M417" i="1"/>
  <c r="S416" i="1"/>
  <c r="R416" i="1"/>
  <c r="M416" i="1"/>
  <c r="S415" i="1"/>
  <c r="R415" i="1"/>
  <c r="M415" i="1"/>
  <c r="S414" i="1"/>
  <c r="R414" i="1"/>
  <c r="M414" i="1"/>
  <c r="S413" i="1"/>
  <c r="R413" i="1"/>
  <c r="M413" i="1"/>
  <c r="S729" i="1"/>
  <c r="R729" i="1"/>
  <c r="S728" i="1"/>
  <c r="R728" i="1"/>
  <c r="S727" i="1"/>
  <c r="R727" i="1"/>
  <c r="S726" i="1"/>
  <c r="R726" i="1"/>
  <c r="S412" i="1"/>
  <c r="R412" i="1"/>
  <c r="S725" i="1"/>
  <c r="R725" i="1"/>
  <c r="S411" i="1"/>
  <c r="R411" i="1"/>
  <c r="M724" i="1"/>
  <c r="R410" i="1"/>
  <c r="S409" i="1"/>
  <c r="R409" i="1"/>
  <c r="M409" i="1"/>
  <c r="S723" i="1"/>
  <c r="R723" i="1"/>
  <c r="M723" i="1"/>
  <c r="S408" i="1"/>
  <c r="S407" i="1"/>
  <c r="S406" i="1"/>
  <c r="S405" i="1"/>
  <c r="S550" i="1"/>
  <c r="S404" i="1"/>
  <c r="S403" i="1"/>
  <c r="S402" i="1"/>
  <c r="S401" i="1"/>
  <c r="S400" i="1"/>
  <c r="S399" i="1"/>
  <c r="S398" i="1"/>
  <c r="S386" i="1"/>
  <c r="R386" i="1"/>
  <c r="M386" i="1"/>
  <c r="S721" i="1"/>
  <c r="M721" i="1"/>
  <c r="S385" i="1"/>
  <c r="M385" i="1"/>
  <c r="S384" i="1"/>
  <c r="M384" i="1"/>
  <c r="S383" i="1"/>
  <c r="S720" i="1"/>
  <c r="R720" i="1"/>
  <c r="M720" i="1"/>
  <c r="S719" i="1"/>
  <c r="R719" i="1"/>
  <c r="M719" i="1"/>
  <c r="S718" i="1"/>
  <c r="R718" i="1"/>
  <c r="M718" i="1"/>
  <c r="S717" i="1"/>
  <c r="R717" i="1"/>
  <c r="M717" i="1"/>
  <c r="S716" i="1"/>
  <c r="R716" i="1"/>
  <c r="M716" i="1"/>
  <c r="S715" i="1"/>
  <c r="R715" i="1"/>
  <c r="M715" i="1"/>
  <c r="S714" i="1"/>
  <c r="R714" i="1"/>
  <c r="M714" i="1"/>
  <c r="S713" i="1"/>
  <c r="R713" i="1"/>
  <c r="M713" i="1"/>
  <c r="S712" i="1"/>
  <c r="R712" i="1"/>
  <c r="M712" i="1"/>
  <c r="S711" i="1"/>
  <c r="R711" i="1"/>
  <c r="M711" i="1"/>
  <c r="S549" i="1"/>
  <c r="R549" i="1"/>
  <c r="M549" i="1"/>
  <c r="S710" i="1"/>
  <c r="R710" i="1"/>
  <c r="M710" i="1"/>
  <c r="S709" i="1"/>
  <c r="R709" i="1"/>
  <c r="M709" i="1"/>
  <c r="S708" i="1"/>
  <c r="R708" i="1"/>
  <c r="M708" i="1"/>
  <c r="S707" i="1"/>
  <c r="R707" i="1"/>
  <c r="M707" i="1"/>
  <c r="S706" i="1"/>
  <c r="R706" i="1"/>
  <c r="M706" i="1"/>
  <c r="S705" i="1"/>
  <c r="R705" i="1"/>
  <c r="M705" i="1"/>
  <c r="S704" i="1"/>
  <c r="R704" i="1"/>
  <c r="M704" i="1"/>
  <c r="S703" i="1"/>
  <c r="R703" i="1"/>
  <c r="M703" i="1"/>
  <c r="S702" i="1"/>
  <c r="R702" i="1"/>
  <c r="M702" i="1"/>
  <c r="S701" i="1"/>
  <c r="R701" i="1"/>
  <c r="M701" i="1"/>
  <c r="S548" i="1"/>
  <c r="R548" i="1"/>
  <c r="M548" i="1"/>
  <c r="S700" i="1"/>
  <c r="R700" i="1"/>
  <c r="M700" i="1"/>
  <c r="S699" i="1"/>
  <c r="M699" i="1"/>
  <c r="S698" i="1"/>
  <c r="M698" i="1"/>
  <c r="S697" i="1"/>
  <c r="M697" i="1"/>
  <c r="S547" i="1"/>
  <c r="M547" i="1"/>
  <c r="S696" i="1"/>
  <c r="M696" i="1"/>
  <c r="S695" i="1"/>
  <c r="M695" i="1"/>
  <c r="S546" i="1"/>
  <c r="M546" i="1"/>
  <c r="S382" i="1"/>
  <c r="R382" i="1"/>
  <c r="M382" i="1"/>
  <c r="S381" i="1"/>
  <c r="R381" i="1"/>
  <c r="M381" i="1"/>
  <c r="S380" i="1"/>
  <c r="R380" i="1"/>
  <c r="M380" i="1"/>
  <c r="S379" i="1"/>
  <c r="M379" i="1"/>
  <c r="S378" i="1"/>
  <c r="M378" i="1"/>
  <c r="S377" i="1"/>
  <c r="M377" i="1"/>
  <c r="S376" i="1"/>
  <c r="R376" i="1"/>
  <c r="M376" i="1"/>
  <c r="S375" i="1"/>
  <c r="R375" i="1"/>
  <c r="M375" i="1"/>
  <c r="S374" i="1"/>
  <c r="R374" i="1"/>
  <c r="M374" i="1"/>
  <c r="S373" i="1"/>
  <c r="M373" i="1"/>
  <c r="S545" i="1"/>
  <c r="S694" i="1"/>
  <c r="S372" i="1"/>
  <c r="S544" i="1"/>
  <c r="S543" i="1"/>
  <c r="S371" i="1"/>
  <c r="S370" i="1"/>
  <c r="S369" i="1"/>
  <c r="S693" i="1"/>
  <c r="R693" i="1"/>
  <c r="M693" i="1"/>
  <c r="S368" i="1"/>
  <c r="R368" i="1"/>
  <c r="M368" i="1"/>
  <c r="S367" i="1"/>
  <c r="R367" i="1"/>
  <c r="S366" i="1"/>
  <c r="R366" i="1"/>
  <c r="S365" i="1"/>
  <c r="R365" i="1"/>
  <c r="S692" i="1"/>
  <c r="R692" i="1"/>
  <c r="S364" i="1"/>
  <c r="R364" i="1"/>
  <c r="M364" i="1"/>
  <c r="S691" i="1"/>
  <c r="R691" i="1"/>
  <c r="M691" i="1"/>
  <c r="S363" i="1"/>
  <c r="R363" i="1"/>
  <c r="M363" i="1"/>
  <c r="S362" i="1"/>
  <c r="R362" i="1"/>
  <c r="M362" i="1"/>
  <c r="S361" i="1"/>
  <c r="R361" i="1"/>
  <c r="M361" i="1"/>
  <c r="S690" i="1"/>
  <c r="R690" i="1"/>
  <c r="S360" i="1"/>
  <c r="M360" i="1"/>
  <c r="S689" i="1"/>
  <c r="S688" i="1"/>
  <c r="R688" i="1"/>
  <c r="S687" i="1"/>
  <c r="S686" i="1"/>
  <c r="S359" i="1"/>
  <c r="M359" i="1"/>
  <c r="S685" i="1"/>
  <c r="M685" i="1"/>
  <c r="S684" i="1"/>
  <c r="M684" i="1"/>
  <c r="S358" i="1"/>
  <c r="R358" i="1"/>
  <c r="M358" i="1"/>
  <c r="S357" i="1"/>
  <c r="M357" i="1"/>
  <c r="S356" i="1"/>
  <c r="M356" i="1"/>
  <c r="S353" i="1"/>
  <c r="M353" i="1"/>
  <c r="S542" i="1"/>
  <c r="M542" i="1"/>
  <c r="S352" i="1"/>
  <c r="M352" i="1"/>
  <c r="S351" i="1"/>
  <c r="M351" i="1"/>
  <c r="S350" i="1"/>
  <c r="M350" i="1"/>
  <c r="S349" i="1"/>
  <c r="R349" i="1"/>
  <c r="M349" i="1"/>
  <c r="S348" i="1"/>
  <c r="M348" i="1"/>
  <c r="S674" i="1"/>
  <c r="M674" i="1"/>
  <c r="S347" i="1"/>
  <c r="M347" i="1"/>
  <c r="S346" i="1"/>
  <c r="S345" i="1"/>
  <c r="S344" i="1"/>
  <c r="S343" i="1"/>
  <c r="M343" i="1"/>
  <c r="S673" i="1"/>
  <c r="S672" i="1"/>
  <c r="R672" i="1"/>
  <c r="S671" i="1"/>
  <c r="R671" i="1"/>
  <c r="S670" i="1"/>
  <c r="S669" i="1"/>
  <c r="R669" i="1"/>
  <c r="M669" i="1"/>
  <c r="S668" i="1"/>
  <c r="R668" i="1"/>
  <c r="M668" i="1"/>
  <c r="S342" i="1"/>
  <c r="R342" i="1"/>
  <c r="M342" i="1"/>
  <c r="S667" i="1"/>
  <c r="R667" i="1"/>
  <c r="M667" i="1"/>
  <c r="S666" i="1"/>
  <c r="R666" i="1"/>
  <c r="M666" i="1"/>
  <c r="S341" i="1"/>
  <c r="R341" i="1"/>
  <c r="M341" i="1"/>
  <c r="S336" i="1"/>
  <c r="R336" i="1"/>
  <c r="M336" i="1"/>
  <c r="S335" i="1"/>
  <c r="R335" i="1"/>
  <c r="M335" i="1"/>
  <c r="S334" i="1"/>
  <c r="R334" i="1"/>
  <c r="M334" i="1"/>
  <c r="S332" i="1"/>
  <c r="R332" i="1"/>
  <c r="M332" i="1"/>
  <c r="S328" i="1"/>
  <c r="R328" i="1"/>
  <c r="M328" i="1"/>
  <c r="S327" i="1"/>
  <c r="R327" i="1"/>
  <c r="M327" i="1"/>
  <c r="S326" i="1"/>
  <c r="R326" i="1"/>
  <c r="M326" i="1"/>
  <c r="S324" i="1"/>
  <c r="R324" i="1"/>
  <c r="M324" i="1"/>
  <c r="S321" i="1"/>
  <c r="M321" i="1"/>
  <c r="S319" i="1"/>
  <c r="R319" i="1"/>
  <c r="M319" i="1"/>
  <c r="S316" i="1"/>
  <c r="M316" i="1"/>
  <c r="S315" i="1"/>
  <c r="M315" i="1"/>
  <c r="S314" i="1"/>
  <c r="M314" i="1"/>
  <c r="S313" i="1"/>
  <c r="M313" i="1"/>
  <c r="S312" i="1"/>
  <c r="M312" i="1"/>
  <c r="S311" i="1"/>
  <c r="M311" i="1"/>
  <c r="S310" i="1"/>
  <c r="M310" i="1"/>
  <c r="S309" i="1"/>
  <c r="R309" i="1"/>
  <c r="M309" i="1"/>
  <c r="S308" i="1"/>
  <c r="M308" i="1"/>
  <c r="S307" i="1"/>
  <c r="M307" i="1"/>
  <c r="S306" i="1"/>
  <c r="R306" i="1"/>
  <c r="M306" i="1"/>
  <c r="S305" i="1"/>
  <c r="R305" i="1"/>
  <c r="M305" i="1"/>
  <c r="S304" i="1"/>
  <c r="R304" i="1"/>
  <c r="S303" i="1"/>
  <c r="M303" i="1"/>
  <c r="S302" i="1"/>
  <c r="S301" i="1"/>
  <c r="R301" i="1"/>
  <c r="M301" i="1"/>
  <c r="S300" i="1"/>
  <c r="M300" i="1"/>
  <c r="S299" i="1"/>
  <c r="R299" i="1"/>
  <c r="M299" i="1"/>
  <c r="S298" i="1"/>
  <c r="R298" i="1"/>
  <c r="M298" i="1"/>
  <c r="S297" i="1"/>
  <c r="R297" i="1"/>
  <c r="M297" i="1"/>
  <c r="S296" i="1"/>
  <c r="R296" i="1"/>
  <c r="S295" i="1"/>
  <c r="R295" i="1"/>
  <c r="S293" i="1"/>
  <c r="R293" i="1"/>
  <c r="M293" i="1"/>
  <c r="S292" i="1"/>
  <c r="R292" i="1"/>
  <c r="M292" i="1"/>
  <c r="S291" i="1"/>
  <c r="R291" i="1"/>
  <c r="M291" i="1"/>
  <c r="S290" i="1"/>
  <c r="R290" i="1"/>
  <c r="M290" i="1"/>
  <c r="S289" i="1"/>
  <c r="R289" i="1"/>
  <c r="M289" i="1"/>
  <c r="S288" i="1"/>
  <c r="R288" i="1"/>
  <c r="M288" i="1"/>
  <c r="S287" i="1"/>
  <c r="R287" i="1"/>
  <c r="M287" i="1"/>
  <c r="S286" i="1"/>
  <c r="R286" i="1"/>
  <c r="S285" i="1"/>
  <c r="M285" i="1"/>
  <c r="S284" i="1"/>
  <c r="S283" i="1"/>
  <c r="R283" i="1"/>
  <c r="S281" i="1"/>
  <c r="M281" i="1"/>
  <c r="S280" i="1"/>
  <c r="R280" i="1"/>
  <c r="M280" i="1"/>
  <c r="S279" i="1"/>
  <c r="R279" i="1"/>
  <c r="M279" i="1"/>
  <c r="S278" i="1"/>
  <c r="R278" i="1"/>
  <c r="M278" i="1"/>
  <c r="S277" i="1"/>
  <c r="R277" i="1"/>
  <c r="M277" i="1"/>
  <c r="S276" i="1"/>
  <c r="R276" i="1"/>
  <c r="M276" i="1"/>
  <c r="S275" i="1"/>
  <c r="R275" i="1"/>
  <c r="M275" i="1"/>
  <c r="S274" i="1"/>
  <c r="R274" i="1"/>
  <c r="M274" i="1"/>
  <c r="S273" i="1"/>
  <c r="R273" i="1"/>
  <c r="M273" i="1"/>
  <c r="S272" i="1"/>
  <c r="R272" i="1"/>
  <c r="M272" i="1"/>
  <c r="S271" i="1"/>
  <c r="R271" i="1"/>
  <c r="M271" i="1"/>
  <c r="S270" i="1"/>
  <c r="R270" i="1"/>
  <c r="M270" i="1"/>
  <c r="S269" i="1"/>
  <c r="R269" i="1"/>
  <c r="S268" i="1"/>
  <c r="R268" i="1"/>
  <c r="M268" i="1"/>
  <c r="S267" i="1"/>
  <c r="R267" i="1"/>
  <c r="M267" i="1"/>
  <c r="S266" i="1"/>
  <c r="R266" i="1"/>
  <c r="M266" i="1"/>
  <c r="S265" i="1"/>
  <c r="R265" i="1"/>
  <c r="M265" i="1"/>
  <c r="S264" i="1"/>
  <c r="R264" i="1"/>
  <c r="M264" i="1"/>
  <c r="S263" i="1"/>
  <c r="S261" i="1"/>
  <c r="S260" i="1"/>
  <c r="M260" i="1"/>
  <c r="S257" i="1"/>
  <c r="M257" i="1"/>
  <c r="S226" i="1"/>
  <c r="R226" i="1"/>
  <c r="M226" i="1"/>
  <c r="S218" i="1"/>
  <c r="R218" i="1"/>
  <c r="M218" i="1"/>
  <c r="S217" i="1"/>
  <c r="R217" i="1"/>
  <c r="M217" i="1"/>
  <c r="S216" i="1"/>
  <c r="R216" i="1"/>
  <c r="M216" i="1"/>
  <c r="S215" i="1"/>
  <c r="R215" i="1"/>
  <c r="M215" i="1"/>
  <c r="S214" i="1"/>
  <c r="R214" i="1"/>
  <c r="M214" i="1"/>
  <c r="S211" i="1"/>
  <c r="R211" i="1"/>
  <c r="M211" i="1"/>
  <c r="S210" i="1"/>
  <c r="R210" i="1"/>
  <c r="M210" i="1"/>
  <c r="S207" i="1"/>
  <c r="R207" i="1"/>
  <c r="M207" i="1"/>
  <c r="S206" i="1"/>
  <c r="R206" i="1"/>
  <c r="M206" i="1"/>
  <c r="S205" i="1"/>
  <c r="R205" i="1"/>
  <c r="M205" i="1"/>
  <c r="S204" i="1"/>
  <c r="R204" i="1"/>
  <c r="M204" i="1"/>
  <c r="S203" i="1"/>
  <c r="R203" i="1"/>
  <c r="M203" i="1"/>
  <c r="S202" i="1"/>
  <c r="R202" i="1"/>
  <c r="M202" i="1"/>
  <c r="S200" i="1"/>
  <c r="R200" i="1"/>
  <c r="M200" i="1"/>
  <c r="S199" i="1"/>
  <c r="R199" i="1"/>
  <c r="M199" i="1"/>
  <c r="S197" i="1"/>
  <c r="R197" i="1"/>
  <c r="M197" i="1"/>
  <c r="S196" i="1"/>
  <c r="R196" i="1"/>
  <c r="M196" i="1"/>
  <c r="S195" i="1"/>
  <c r="R195" i="1"/>
  <c r="M195" i="1"/>
  <c r="S194" i="1"/>
  <c r="M194" i="1"/>
  <c r="S193" i="1"/>
  <c r="R193" i="1"/>
  <c r="M193" i="1"/>
  <c r="S192" i="1"/>
  <c r="R192" i="1"/>
  <c r="M192" i="1"/>
  <c r="S191" i="1"/>
  <c r="R191" i="1"/>
  <c r="M191" i="1"/>
  <c r="S190" i="1"/>
  <c r="R190" i="1"/>
  <c r="M190" i="1"/>
  <c r="S188" i="1"/>
  <c r="R188" i="1"/>
  <c r="M188" i="1"/>
  <c r="S187" i="1"/>
  <c r="M187" i="1"/>
  <c r="S186" i="1"/>
  <c r="R186" i="1"/>
  <c r="M186" i="1"/>
  <c r="S185" i="1"/>
  <c r="R185" i="1"/>
  <c r="M185" i="1"/>
  <c r="S184" i="1"/>
  <c r="R184" i="1"/>
  <c r="M184" i="1"/>
  <c r="S183" i="1"/>
  <c r="R183" i="1"/>
  <c r="M183" i="1"/>
  <c r="S181" i="1"/>
  <c r="R181" i="1"/>
  <c r="M181" i="1"/>
  <c r="S177" i="1"/>
  <c r="R177" i="1"/>
  <c r="M177" i="1"/>
  <c r="S176" i="1"/>
  <c r="R176" i="1"/>
  <c r="M176" i="1"/>
  <c r="S175" i="1"/>
  <c r="R175" i="1"/>
  <c r="S174" i="1"/>
  <c r="R174" i="1"/>
  <c r="S172" i="1"/>
  <c r="R172" i="1"/>
  <c r="M172" i="1"/>
  <c r="S171" i="1"/>
  <c r="M171" i="1"/>
  <c r="S170" i="1"/>
  <c r="R170" i="1"/>
  <c r="M170" i="1"/>
  <c r="S169" i="1"/>
  <c r="R169" i="1"/>
  <c r="S168" i="1"/>
  <c r="R168" i="1"/>
  <c r="S165" i="1"/>
  <c r="R165" i="1"/>
  <c r="M165" i="1"/>
  <c r="S164" i="1"/>
  <c r="R164" i="1"/>
  <c r="M164" i="1"/>
  <c r="S163" i="1"/>
  <c r="R163" i="1"/>
  <c r="S162" i="1"/>
  <c r="R162" i="1"/>
  <c r="S161" i="1"/>
  <c r="R161" i="1"/>
  <c r="M161" i="1"/>
  <c r="S160" i="1"/>
  <c r="R160" i="1"/>
  <c r="M160" i="1"/>
  <c r="S159" i="1"/>
  <c r="R159" i="1"/>
  <c r="M159" i="1"/>
  <c r="S158" i="1"/>
  <c r="R158" i="1"/>
  <c r="M158" i="1"/>
  <c r="S157" i="1"/>
  <c r="R157" i="1"/>
  <c r="M157" i="1"/>
  <c r="S156" i="1"/>
  <c r="R156" i="1"/>
  <c r="M156" i="1"/>
  <c r="S155" i="1"/>
  <c r="R155" i="1"/>
  <c r="M155" i="1"/>
  <c r="S154" i="1"/>
  <c r="R154" i="1"/>
  <c r="M154" i="1"/>
  <c r="S152" i="1"/>
  <c r="R152" i="1"/>
  <c r="M152" i="1"/>
  <c r="S151" i="1"/>
  <c r="R151" i="1"/>
  <c r="M151" i="1"/>
  <c r="S150" i="1"/>
  <c r="R150" i="1"/>
  <c r="M150" i="1"/>
  <c r="S149" i="1"/>
  <c r="R149" i="1"/>
  <c r="M149" i="1"/>
  <c r="S148" i="1"/>
  <c r="R148" i="1"/>
  <c r="M148" i="1"/>
  <c r="S146" i="1"/>
  <c r="R146" i="1"/>
  <c r="M146" i="1"/>
  <c r="S145" i="1"/>
  <c r="R145" i="1"/>
  <c r="S144" i="1"/>
  <c r="R144" i="1"/>
  <c r="M144" i="1"/>
  <c r="S143" i="1"/>
  <c r="R143" i="1"/>
  <c r="M143" i="1"/>
  <c r="S142" i="1"/>
  <c r="R142" i="1"/>
  <c r="M142" i="1"/>
  <c r="S141" i="1"/>
  <c r="R141" i="1"/>
  <c r="M141" i="1"/>
  <c r="S140" i="1"/>
  <c r="R140" i="1"/>
  <c r="M140" i="1"/>
  <c r="S139" i="1"/>
  <c r="R139" i="1"/>
  <c r="M139" i="1"/>
  <c r="S138" i="1"/>
  <c r="R138" i="1"/>
  <c r="S137" i="1"/>
  <c r="R137" i="1"/>
  <c r="M137" i="1"/>
  <c r="S136" i="1"/>
  <c r="R136" i="1"/>
  <c r="M136" i="1"/>
  <c r="S135" i="1"/>
  <c r="R135" i="1"/>
  <c r="M135" i="1"/>
  <c r="S134" i="1"/>
  <c r="R134" i="1"/>
  <c r="M134" i="1"/>
  <c r="S132" i="1"/>
  <c r="R132" i="1"/>
  <c r="M132" i="1"/>
  <c r="S131" i="1"/>
  <c r="R131" i="1"/>
  <c r="M131" i="1"/>
  <c r="S130" i="1"/>
  <c r="M130" i="1"/>
  <c r="S129" i="1"/>
  <c r="R129" i="1"/>
  <c r="S128" i="1"/>
  <c r="R128" i="1"/>
  <c r="M128" i="1"/>
  <c r="S127" i="1"/>
  <c r="R127" i="1"/>
  <c r="M127" i="1"/>
  <c r="S124" i="1"/>
  <c r="R124" i="1"/>
  <c r="M124" i="1"/>
  <c r="S123" i="1"/>
  <c r="R123" i="1"/>
  <c r="M123" i="1"/>
  <c r="S121" i="1"/>
  <c r="R121" i="1"/>
  <c r="M121" i="1"/>
  <c r="S120" i="1"/>
  <c r="R120" i="1"/>
  <c r="S119" i="1"/>
  <c r="R119" i="1"/>
  <c r="M119" i="1"/>
  <c r="S118" i="1"/>
  <c r="R118" i="1"/>
  <c r="M118" i="1"/>
  <c r="S117" i="1"/>
  <c r="R117" i="1"/>
  <c r="M117" i="1"/>
  <c r="S115" i="1"/>
  <c r="R115" i="1"/>
  <c r="M115" i="1"/>
  <c r="S114" i="1"/>
  <c r="R114" i="1"/>
  <c r="M114" i="1"/>
  <c r="S111" i="1"/>
  <c r="R111" i="1"/>
  <c r="M111" i="1"/>
  <c r="S110" i="1"/>
  <c r="R110" i="1"/>
  <c r="M110" i="1"/>
  <c r="S109" i="1"/>
  <c r="R109" i="1"/>
  <c r="M109" i="1"/>
  <c r="S108" i="1"/>
  <c r="R108" i="1"/>
  <c r="M108" i="1"/>
  <c r="S107" i="1"/>
  <c r="R107" i="1"/>
  <c r="M107" i="1"/>
  <c r="S106" i="1"/>
  <c r="R106" i="1"/>
  <c r="M106" i="1"/>
  <c r="S105" i="1"/>
  <c r="R105" i="1"/>
  <c r="M105" i="1"/>
  <c r="S104" i="1"/>
  <c r="R104" i="1"/>
  <c r="M104" i="1"/>
  <c r="S103" i="1"/>
  <c r="R103" i="1"/>
  <c r="M103" i="1"/>
  <c r="S102" i="1"/>
  <c r="R102" i="1"/>
  <c r="M102" i="1"/>
  <c r="S101" i="1"/>
  <c r="R101" i="1"/>
  <c r="M101" i="1"/>
  <c r="S100" i="1"/>
  <c r="R100" i="1"/>
  <c r="M100" i="1"/>
  <c r="S99" i="1"/>
  <c r="R99" i="1"/>
  <c r="M99" i="1"/>
  <c r="S98" i="1"/>
  <c r="R98" i="1"/>
  <c r="M98" i="1"/>
  <c r="M96" i="1"/>
  <c r="R80" i="1"/>
  <c r="M80" i="1"/>
  <c r="R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R65" i="1"/>
  <c r="M65" i="1"/>
  <c r="R64" i="1"/>
  <c r="R63" i="1"/>
  <c r="M63" i="1"/>
  <c r="R62" i="1"/>
  <c r="M62" i="1"/>
  <c r="R61" i="1"/>
  <c r="M60" i="1"/>
  <c r="R59" i="1"/>
  <c r="M59" i="1"/>
  <c r="R58" i="1"/>
  <c r="M58" i="1"/>
  <c r="R57" i="1"/>
  <c r="M57" i="1"/>
  <c r="R56" i="1"/>
  <c r="M56" i="1"/>
  <c r="R55" i="1"/>
  <c r="M55" i="1"/>
  <c r="R46" i="1"/>
  <c r="M46" i="1"/>
  <c r="M45" i="1"/>
  <c r="M44" i="1"/>
  <c r="M41" i="1"/>
  <c r="M40" i="1"/>
  <c r="M39" i="1"/>
  <c r="R38" i="1"/>
  <c r="M37" i="1"/>
  <c r="R36" i="1"/>
  <c r="M36" i="1"/>
  <c r="R35" i="1"/>
  <c r="M35" i="1"/>
  <c r="R34" i="1"/>
  <c r="M34" i="1"/>
  <c r="R33" i="1"/>
  <c r="M33" i="1"/>
  <c r="M31" i="1"/>
  <c r="R30" i="1"/>
  <c r="M30" i="1"/>
  <c r="R29" i="1"/>
  <c r="M28" i="1"/>
  <c r="M22" i="1"/>
  <c r="R21" i="1"/>
  <c r="M21" i="1"/>
  <c r="R20" i="1"/>
  <c r="M20" i="1"/>
  <c r="R19" i="1"/>
  <c r="M19" i="1"/>
  <c r="R18" i="1"/>
  <c r="M18" i="1"/>
  <c r="R17" i="1"/>
  <c r="M17" i="1"/>
  <c r="M16" i="1"/>
  <c r="R15" i="1"/>
  <c r="M15" i="1"/>
  <c r="R14" i="1"/>
  <c r="M14" i="1"/>
  <c r="R13" i="1"/>
  <c r="R12" i="1"/>
  <c r="M12" i="1"/>
  <c r="R11" i="1"/>
  <c r="M11" i="1"/>
  <c r="R10" i="1"/>
  <c r="M10" i="1"/>
  <c r="R9" i="1"/>
  <c r="M9" i="1"/>
  <c r="R8" i="1"/>
  <c r="M8" i="1"/>
  <c r="R7" i="1"/>
  <c r="M7" i="1"/>
  <c r="R6" i="1"/>
  <c r="R5" i="1"/>
  <c r="M5" i="1"/>
  <c r="R4" i="1"/>
  <c r="M4" i="1"/>
  <c r="R3" i="1"/>
  <c r="M3" i="1"/>
  <c r="R2" i="1"/>
  <c r="M2" i="1"/>
  <c r="S96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9" i="1"/>
  <c r="S58" i="1"/>
  <c r="S57" i="1"/>
  <c r="S56" i="1"/>
  <c r="S55" i="1"/>
  <c r="S54" i="1"/>
  <c r="S53" i="1"/>
  <c r="S52" i="1"/>
  <c r="S51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<sst xmlns="http://schemas.openxmlformats.org/spreadsheetml/2006/main" count="10714" uniqueCount="3319">
  <si>
    <t>Number</t>
  </si>
  <si>
    <t>Name</t>
  </si>
  <si>
    <t>Year of drilling</t>
  </si>
  <si>
    <t>Administrative region</t>
  </si>
  <si>
    <t>Plugging status</t>
  </si>
  <si>
    <t>Link to inspection report</t>
  </si>
  <si>
    <t>Work/Repairs Needed</t>
  </si>
  <si>
    <t>Non-Problematic</t>
  </si>
  <si>
    <t>Still Searching</t>
  </si>
  <si>
    <t>Non-Locatable</t>
  </si>
  <si>
    <t>A004</t>
  </si>
  <si>
    <t>Bald Mountain, Batiscan No 2</t>
  </si>
  <si>
    <t>Mauricie</t>
  </si>
  <si>
    <t>A014</t>
  </si>
  <si>
    <t>Bald Mountain, Saint-Roch No 1</t>
  </si>
  <si>
    <t>Montérégie</t>
  </si>
  <si>
    <t>A040</t>
  </si>
  <si>
    <t>Eastern Canada No 3</t>
  </si>
  <si>
    <t>Eastern Canada No 4</t>
  </si>
  <si>
    <t>A041</t>
  </si>
  <si>
    <t>A071</t>
  </si>
  <si>
    <t>Centre-du-Québec</t>
  </si>
  <si>
    <t>Guillemette</t>
  </si>
  <si>
    <t>A055</t>
  </si>
  <si>
    <t>A066</t>
  </si>
  <si>
    <t>Laduboro Seaway Almega No 5, Champlain</t>
  </si>
  <si>
    <t>Impérial Lowlands No 3</t>
  </si>
  <si>
    <t>A093</t>
  </si>
  <si>
    <t>Oil Selections No 18</t>
  </si>
  <si>
    <t>Lanaudière</t>
  </si>
  <si>
    <t>A097</t>
  </si>
  <si>
    <t>Oil Selections No 23</t>
  </si>
  <si>
    <t>A100</t>
  </si>
  <si>
    <t>A133</t>
  </si>
  <si>
    <t>A155</t>
  </si>
  <si>
    <t>A199</t>
  </si>
  <si>
    <t>Oil Selections No 30</t>
  </si>
  <si>
    <t>A102</t>
  </si>
  <si>
    <t>Oil Selections No 32</t>
  </si>
  <si>
    <t>A105</t>
  </si>
  <si>
    <t>Québec Fuel No 2</t>
  </si>
  <si>
    <t>A119</t>
  </si>
  <si>
    <t>Senneterre métal, Gélinas No 2, Sainte-Angèle</t>
  </si>
  <si>
    <t>A131</t>
  </si>
  <si>
    <t>Verchères No 1, Louiseville</t>
  </si>
  <si>
    <t>Gélinas No 5</t>
  </si>
  <si>
    <t>Morin &amp; Grad, Yamachiche No 1</t>
  </si>
  <si>
    <t>A161</t>
  </si>
  <si>
    <t>Shell, Sainte-Françoise-Romaine No 1</t>
  </si>
  <si>
    <t>A168</t>
  </si>
  <si>
    <t>SOQUIP Shell, Villeroy No 1</t>
  </si>
  <si>
    <t>Chaudière-Appalaches</t>
  </si>
  <si>
    <t>A172</t>
  </si>
  <si>
    <t>C.S. SOQUIP S.W., Maskinongé No 1</t>
  </si>
  <si>
    <t>A175</t>
  </si>
  <si>
    <t>SOQUIP et al., Les Saules No 1</t>
  </si>
  <si>
    <t>Capitale-Nationale</t>
  </si>
  <si>
    <t>A190</t>
  </si>
  <si>
    <t>SOQUIP, Sainte-Françoise-Romaine No 1</t>
  </si>
  <si>
    <t>A194</t>
  </si>
  <si>
    <t>SOQUIP, Pintendre No 1 Lévis</t>
  </si>
  <si>
    <t>Texaco, Yamaska-Est No 1</t>
  </si>
  <si>
    <t>A214</t>
  </si>
  <si>
    <t>BVI et al., Saint-Simon No 1</t>
  </si>
  <si>
    <t>A216</t>
  </si>
  <si>
    <t>Intermont SOQUIP, Villeroy No 1</t>
  </si>
  <si>
    <t>A229</t>
  </si>
  <si>
    <t>Genoil et al., Saint-Léonard No 1</t>
  </si>
  <si>
    <t>AZ01</t>
  </si>
  <si>
    <t>Saint-Viateur No 1</t>
  </si>
  <si>
    <t>B001C</t>
  </si>
  <si>
    <t>Pères de la Fraternité Sacerdotale No 2</t>
  </si>
  <si>
    <t>B014</t>
  </si>
  <si>
    <t>Bald Mountain Intercity New Ass. No 12, Pointe-du-Lac</t>
  </si>
  <si>
    <t>B020</t>
  </si>
  <si>
    <t>Bald Mountain Intercity No 1, Sainte-Anne</t>
  </si>
  <si>
    <t>B021</t>
  </si>
  <si>
    <t>Bald Mountain Intercity No 2, Sainte-Anne</t>
  </si>
  <si>
    <t>B046</t>
  </si>
  <si>
    <t>Laduboro Verchères Saint-Pierre No 11a, Pointe-du-Lac</t>
  </si>
  <si>
    <t>B059</t>
  </si>
  <si>
    <t>Laduboro Verchères Saint-Pierre No 2, Yamachiche</t>
  </si>
  <si>
    <t>B060</t>
  </si>
  <si>
    <t>Laduboro Verchères Saint-Pierre No 4, Yamachiche</t>
  </si>
  <si>
    <t>B073</t>
  </si>
  <si>
    <t>Laduboro Seaway Almega No 3, Champlain</t>
  </si>
  <si>
    <t>B083</t>
  </si>
  <si>
    <t>Calbec No 10</t>
  </si>
  <si>
    <t>B141</t>
  </si>
  <si>
    <t>Roy J.A. &amp; Fortin J.</t>
  </si>
  <si>
    <t>B147</t>
  </si>
  <si>
    <t>Seaway Almega No 2, Champlain</t>
  </si>
  <si>
    <t>B157</t>
  </si>
  <si>
    <t>Seaway Almega No 6a, Saint-Maurice</t>
  </si>
  <si>
    <t>B165</t>
  </si>
  <si>
    <t>Senneterre No 2, Saint-Sulpice</t>
  </si>
  <si>
    <t>B198</t>
  </si>
  <si>
    <t>Senneterre No 1, Saint-Grégoire</t>
  </si>
  <si>
    <t>B207</t>
  </si>
  <si>
    <t>Senneterre No 14, Saint-Sulpice</t>
  </si>
  <si>
    <t>B211</t>
  </si>
  <si>
    <t>Verchères No 5, Louiseville</t>
  </si>
  <si>
    <t>B216</t>
  </si>
  <si>
    <t>Louvicourt No 1, L'Assomption</t>
  </si>
  <si>
    <t>B220</t>
  </si>
  <si>
    <t>Louvicourt No 6, L'Assomption</t>
  </si>
  <si>
    <t>B267</t>
  </si>
  <si>
    <t>Jaltin Lemaire, Yamachiche No 1</t>
  </si>
  <si>
    <t>B267A</t>
  </si>
  <si>
    <t>Jaltin Lemaire, Yamachiche No 1a</t>
  </si>
  <si>
    <t>B272</t>
  </si>
  <si>
    <t>Jaltin Lemaire, Yamachiche No 3</t>
  </si>
  <si>
    <t>B275</t>
  </si>
  <si>
    <t>Jaltin Lemaire, Yamachiche No 6</t>
  </si>
  <si>
    <t>BZ12</t>
  </si>
  <si>
    <t>Lanoraie Oil and Gas Syndicate No 1</t>
  </si>
  <si>
    <t>BZ14</t>
  </si>
  <si>
    <t>Lanoraie Oil and Gas Syndicate No 3</t>
  </si>
  <si>
    <t>BZ18</t>
  </si>
  <si>
    <t>Baril No 1</t>
  </si>
  <si>
    <t>BZ20</t>
  </si>
  <si>
    <t>Baril No 3</t>
  </si>
  <si>
    <t>C004</t>
  </si>
  <si>
    <t>C.P.C. No 1</t>
  </si>
  <si>
    <t>Gaspésie-Îles-de-la-Madeleine</t>
  </si>
  <si>
    <t>C006</t>
  </si>
  <si>
    <t>C.P.C. No 3</t>
  </si>
  <si>
    <t>C007</t>
  </si>
  <si>
    <t>C.P.C. No 4</t>
  </si>
  <si>
    <t>C008</t>
  </si>
  <si>
    <t>C.P.C. No 5</t>
  </si>
  <si>
    <t>C027</t>
  </si>
  <si>
    <t>Conant (Adams)</t>
  </si>
  <si>
    <t>C036</t>
  </si>
  <si>
    <t>P.O.T. No 2</t>
  </si>
  <si>
    <t>C038</t>
  </si>
  <si>
    <t>P.O.T. No 4</t>
  </si>
  <si>
    <t>C039</t>
  </si>
  <si>
    <t>P.O.T. No 5</t>
  </si>
  <si>
    <t>C040</t>
  </si>
  <si>
    <t>P.O.T. No 6</t>
  </si>
  <si>
    <t>C041</t>
  </si>
  <si>
    <t>P.O.T. No 7</t>
  </si>
  <si>
    <t>C042</t>
  </si>
  <si>
    <t>P.O.T. No 8</t>
  </si>
  <si>
    <t>C044</t>
  </si>
  <si>
    <t>P.O.T. No 10</t>
  </si>
  <si>
    <t>C045</t>
  </si>
  <si>
    <t>P.O.T. No 11</t>
  </si>
  <si>
    <t>C047</t>
  </si>
  <si>
    <t>P.O.T. No 13</t>
  </si>
  <si>
    <t>C050</t>
  </si>
  <si>
    <t>P.O.T. No 16</t>
  </si>
  <si>
    <t>C054</t>
  </si>
  <si>
    <t>P.O.T. No 20</t>
  </si>
  <si>
    <t>C055</t>
  </si>
  <si>
    <t>P.O.T. No 21</t>
  </si>
  <si>
    <t>C056</t>
  </si>
  <si>
    <t>P.O.T. No 22</t>
  </si>
  <si>
    <t>C057</t>
  </si>
  <si>
    <t>P.O.T. No 23</t>
  </si>
  <si>
    <t>C058</t>
  </si>
  <si>
    <t>P.O.T. No 24</t>
  </si>
  <si>
    <t>C065</t>
  </si>
  <si>
    <t>P.O.T. No 31</t>
  </si>
  <si>
    <t>C070</t>
  </si>
  <si>
    <t>P.O.T. No 36</t>
  </si>
  <si>
    <t>C071</t>
  </si>
  <si>
    <t>P.O.T. No 37</t>
  </si>
  <si>
    <t>C072</t>
  </si>
  <si>
    <t>P.O.T. No 38</t>
  </si>
  <si>
    <t>C074</t>
  </si>
  <si>
    <t>P.O.T. No 40</t>
  </si>
  <si>
    <t>C076</t>
  </si>
  <si>
    <t>P.O.T. No 42</t>
  </si>
  <si>
    <t>C102</t>
  </si>
  <si>
    <t>CMG, Galt No 2 (84-02)</t>
  </si>
  <si>
    <t>C106</t>
  </si>
  <si>
    <t>CMG, Galt No 6</t>
  </si>
  <si>
    <t>C109</t>
  </si>
  <si>
    <t>Pétro Gaspé, Galt No 3</t>
  </si>
  <si>
    <t>C110</t>
  </si>
  <si>
    <t>Pétro Gaspé, Galt No 4</t>
  </si>
  <si>
    <t>C113</t>
  </si>
  <si>
    <t>Gaspésie, Galt No 1 (85-12)</t>
  </si>
  <si>
    <t>C136</t>
  </si>
  <si>
    <t>Abba Quebec Resources, Mont-Alexandre No 1</t>
  </si>
  <si>
    <t>CS01</t>
  </si>
  <si>
    <t>83-01</t>
  </si>
  <si>
    <t>CS05</t>
  </si>
  <si>
    <t>83-05</t>
  </si>
  <si>
    <t>CS07</t>
  </si>
  <si>
    <t>83-07 (1983FCS07)</t>
  </si>
  <si>
    <t>CS08</t>
  </si>
  <si>
    <t>83-08 (1983FCS08)</t>
  </si>
  <si>
    <t>CS21</t>
  </si>
  <si>
    <t>84-13 (1984FCS21)</t>
  </si>
  <si>
    <t>CS26</t>
  </si>
  <si>
    <t>85-02</t>
  </si>
  <si>
    <t>CS34</t>
  </si>
  <si>
    <t>85-10</t>
  </si>
  <si>
    <t>CS42</t>
  </si>
  <si>
    <t>85-18</t>
  </si>
  <si>
    <t>D020</t>
  </si>
  <si>
    <t>Pétrolia/Corridor, Anticosti, Chaloupe No. 1</t>
  </si>
  <si>
    <t>Côte-Nord</t>
  </si>
  <si>
    <t>E008</t>
  </si>
  <si>
    <t>Saguenay Lake Saint-John No 1</t>
  </si>
  <si>
    <t>Saguenay-Lac-Saint-Jean</t>
  </si>
  <si>
    <t>Latitude</t>
  </si>
  <si>
    <t>Longitude</t>
  </si>
  <si>
    <t>http://sigpeg.mrn.gouv.qc.ca/rapport/P_A004_inspection_2018-11-01_publique.pdf</t>
  </si>
  <si>
    <t>Gas</t>
  </si>
  <si>
    <t>Plugged</t>
  </si>
  <si>
    <t xml:space="preserve">http://sigpeg.mrn.gouv.qc.ca/rapport/A014_insp_inactif_2019-08-21_Publique.pdf </t>
  </si>
  <si>
    <t>http://sigpeg.mrn.gouv.qc.ca/rapport/A040_insp_inactif_2019-10-03_Publique.pdf</t>
  </si>
  <si>
    <t>http://sigpeg.mrn.gouv.qc.ca/rapport/P_A041_inspection_2018-09-12_publique.pdf</t>
  </si>
  <si>
    <t>http://sigpeg.mrn.gouv.qc.ca/rapport/A055_insp_inactif_2019-08-01_Publique.pdf</t>
  </si>
  <si>
    <t>Both</t>
  </si>
  <si>
    <t>http://sigpeg.mrn.gouv.qc.ca/rapport/A066_insp_inactif_2019-09-17_Publique.pdf</t>
  </si>
  <si>
    <t>None</t>
  </si>
  <si>
    <t>http://sigpeg.mrn.gouv.qc.ca/rapport/A071_insp_inactif_2019-11-14_Publique.pdf</t>
  </si>
  <si>
    <t>http://sigpeg.mrn.gouv.qc.ca/rapport/A093_insp_inactif_2019-07-15_Publique.pdf</t>
  </si>
  <si>
    <t>Link to SIGPEG</t>
  </si>
  <si>
    <t>http://sigpeg.mrn.gouv.qc.ca/rapport/A097_insp_inactif_2019-06-19_Publique.pdf</t>
  </si>
  <si>
    <t>https://sigpeg.mrn.gouv.qc.ca/gpg/classes/ficheDescriptive?type=popup&amp;mode=fichePuits&amp;menu=puit&amp;table=GPG_ENTRE_PUITS&amp;cle=A004</t>
  </si>
  <si>
    <t>https://sigpeg.mrn.gouv.qc.ca/gpg/classes/ficheDescriptive?type=popup&amp;mode=fichePuits&amp;menu=puit&amp;table=GPG_ENTRE_PUITS&amp;cle=A014</t>
  </si>
  <si>
    <t>https://sigpeg.mrn.gouv.qc.ca/gpg/classes/ficheDescriptive?type=popup&amp;mode=fichePuits&amp;menu=puit&amp;table=GPG_ENTRE_PUITS&amp;cle=A040</t>
  </si>
  <si>
    <t>https://sigpeg.mrn.gouv.qc.ca/gpg/classes/ficheDescriptive?type=popup&amp;mode=fichePuits&amp;menu=puit&amp;table=GPG_ENTRE_PUITS&amp;cle=A041</t>
  </si>
  <si>
    <t>https://sigpeg.mrn.gouv.qc.ca/gpg/classes/ficheDescriptive?type=popup&amp;mode=fichePuits&amp;menu=puit&amp;table=GPG_ENTRE_PUITS&amp;cle=A055</t>
  </si>
  <si>
    <t>https://sigpeg.mrn.gouv.qc.ca/gpg/classes/ficheDescriptive?type=popup&amp;mode=fichePuits&amp;menu=puit&amp;table=GPG_ENTRE_PUITS&amp;cle=A066</t>
  </si>
  <si>
    <t>https://sigpeg.mrn.gouv.qc.ca/gpg/classes/ficheDescriptive?type=popup&amp;mode=fichePuits&amp;menu=puit&amp;table=GPG_ENTRE_PUITS&amp;cle=A071</t>
  </si>
  <si>
    <t>https://sigpeg.mrn.gouv.qc.ca/gpg/classes/ficheDescriptive?type=popup&amp;mode=fichePuits&amp;menu=puit&amp;table=GPG_ENTRE_PUITS&amp;cle=A093</t>
  </si>
  <si>
    <t>https://sigpeg.mrn.gouv.qc.ca/gpg/classes/ficheDescriptive?type=popup&amp;mode=fichePuits&amp;menu=puit&amp;table=GPG_ENTRE_PUITS&amp;cle=A097</t>
  </si>
  <si>
    <t>https://sigpeg.mrn.gouv.qc.ca/rapport/A100_insp_inactif_2019-07-16_Publique.pdf</t>
  </si>
  <si>
    <t>https://sigpeg.mrn.gouv.qc.ca/gpg/classes/ficheDescriptive?type=popup&amp;mode=fichePuits&amp;menu=puit&amp;table=GPG_ENTRE_PUITS&amp;cle=A100</t>
  </si>
  <si>
    <t>https://sigpeg.mrn.gouv.qc.ca/rapport/A102_insp_inactif_2019-07-15_Publique.pdf</t>
  </si>
  <si>
    <t>https://sigpeg.mrn.gouv.qc.ca/gpg/classes/ficheDescriptive?type=popup&amp;mode=fichePuits&amp;menu=puit&amp;table=GPG_ENTRE_PUITS&amp;cle=A102</t>
  </si>
  <si>
    <t>https://sigpeg.mrn.gouv.qc.ca/rapport/A105_insp_inactif_2019-09-16_Publique.pdf</t>
  </si>
  <si>
    <t>https://sigpeg.mrn.gouv.qc.ca/gpg/classes/ficheDescriptive?type=popup&amp;mode=fichePuits&amp;menu=puit&amp;table=GPG_ENTRE_PUITS&amp;cle=A105</t>
  </si>
  <si>
    <t>https://sigpeg.mrn.gouv.qc.ca/rapport/A119_insp_inactif_2019-05-08_Publique.pdf</t>
  </si>
  <si>
    <t>https://sigpeg.mrn.gouv.qc.ca/gpg/classes/ficheDescriptive?type=popup&amp;mode=fichePuits&amp;menu=puit&amp;table=GPG_ENTRE_PUITS&amp;cle=A119</t>
  </si>
  <si>
    <t>https://sigpeg.mrn.gouv.qc.ca/rapport/P_A131_inspection_2018-10-29_publique.pdf</t>
  </si>
  <si>
    <t>https://sigpeg.mrn.gouv.qc.ca/gpg/classes/ficheDescriptive?type=popup&amp;mode=fichePuits&amp;menu=puit&amp;table=GPG_ENTRE_PUITS&amp;cle=A131</t>
  </si>
  <si>
    <t>https://sigpeg.mrn.gouv.qc.ca/rapport/A133_insp_inactif_2019-05-08_Publique.pdf</t>
  </si>
  <si>
    <t>https://sigpeg.mrn.gouv.qc.ca/gpg/classes/ficheDescriptive?type=popup&amp;mode=fichePuits&amp;menu=puit&amp;table=GPG_ENTRE_PUITS&amp;cle=A133</t>
  </si>
  <si>
    <t>https://sigpeg.mrn.gouv.qc.ca/rapport/A155_insp_inactif_2019-07-10_Publique.pdf</t>
  </si>
  <si>
    <t>https://sigpeg.mrn.gouv.qc.ca/gpg/classes/ficheDescriptive?type=popup&amp;mode=fichePuits&amp;menu=puit&amp;table=GPG_ENTRE_PUITS&amp;cle=A155</t>
  </si>
  <si>
    <t>https://sigpeg.mrn.gouv.qc.ca/rapport/A161_insp_inactif_2019-06-12_Publique.pdf</t>
  </si>
  <si>
    <t>https://sigpeg.mrn.gouv.qc.ca/gpg/classes/ficheDescriptive?type=popup&amp;mode=fichePuits&amp;menu=puit&amp;table=GPG_ENTRE_PUITS&amp;cle=A161</t>
  </si>
  <si>
    <t>https://sigpeg.mrn.gouv.qc.ca/rapport/P_A168_inspection_2018-10-03_publique.pdf</t>
  </si>
  <si>
    <t>https://sigpeg.mrn.gouv.qc.ca/gpg/classes/ficheDescriptive?type=popup&amp;mode=fichePuits&amp;menu=puit&amp;table=GPG_ENTRE_PUITS&amp;cle=A168</t>
  </si>
  <si>
    <t>https://sigpeg.mrn.gouv.qc.ca/rapport/P_A172_inspection_2018-10-01_publique.pdf</t>
  </si>
  <si>
    <t>https://sigpeg.mrn.gouv.qc.ca/gpg/classes/ficheDescriptive?type=popup&amp;mode=fichePuits&amp;menu=puit&amp;table=GPG_ENTRE_PUITS&amp;cle=A172</t>
  </si>
  <si>
    <t>https://sigpeg.mrn.gouv.qc.ca/rapport/A175_insp_inactif_2019-10-30_Publique.pdf</t>
  </si>
  <si>
    <t>https://sigpeg.mrn.gouv.qc.ca/gpg/classes/ficheDescriptive?type=popup&amp;mode=fichePuits&amp;menu=puit&amp;table=GPG_ENTRE_PUITS&amp;cle=A175</t>
  </si>
  <si>
    <t>https://sigpeg.mrn.gouv.qc.ca/rapport/A190_insp_inactif_2019-07-15_Publique.pdf</t>
  </si>
  <si>
    <t>https://sigpeg.mrn.gouv.qc.ca/gpg/classes/ficheDescriptive?type=popup&amp;mode=fichePuits&amp;menu=puit&amp;table=GPG_ENTRE_PUITS&amp;cle=A190</t>
  </si>
  <si>
    <t>https://sigpeg.mrn.gouv.qc.ca/rapport/P_A194_inspection_2018-10-08_publique.pdf</t>
  </si>
  <si>
    <t>https://sigpeg.mrn.gouv.qc.ca/gpg/classes/ficheDescriptive?type=popup&amp;mode=fichePuits&amp;menu=puit&amp;table=GPG_ENTRE_PUITS&amp;cle=A194</t>
  </si>
  <si>
    <t>https://sigpeg.mrn.gouv.qc.ca/rapport/A199_insp_inactif_2019-11-11_Publique.pdf</t>
  </si>
  <si>
    <t>https://sigpeg.mrn.gouv.qc.ca/gpg/classes/ficheDescriptive?type=popup&amp;mode=fichePuits&amp;menu=puit&amp;table=GPG_ENTRE_PUITS&amp;cle=A199</t>
  </si>
  <si>
    <t>https://sigpeg.mrn.gouv.qc.ca/rapport/A214_insp_inactif_2019-09-12_Publique.pdf</t>
  </si>
  <si>
    <t>https://sigpeg.mrn.gouv.qc.ca/gpg/classes/ficheDescriptive?type=popup&amp;mode=fichePuits&amp;menu=puit&amp;table=GPG_ENTRE_PUITS&amp;cle=A214</t>
  </si>
  <si>
    <t>https://sigpeg.mrn.gouv.qc.ca/rapport/A216_insp_inactif_2019-07-15_Publique.pdf</t>
  </si>
  <si>
    <t>https://sigpeg.mrn.gouv.qc.ca/gpg/classes/ficheDescriptive?type=popup&amp;mode=fichePuits&amp;menu=puit&amp;table=GPG_ENTRE_PUITS&amp;cle=A216</t>
  </si>
  <si>
    <t>https://sigpeg.mrn.gouv.qc.ca/rapport/A229_insp_inactif_2019-07-09_Publique.pdf</t>
  </si>
  <si>
    <t>https://sigpeg.mrn.gouv.qc.ca/gpg/classes/ficheDescriptive?type=popup&amp;mode=fichePuits&amp;menu=puit&amp;table=GPG_ENTRE_PUITS&amp;cle=A229</t>
  </si>
  <si>
    <t>https://sigpeg.mrn.gouv.qc.ca/rapport/AZ01_insp_inactif_2019-11-13_Publique.pdf</t>
  </si>
  <si>
    <t>https://sigpeg.mrn.gouv.qc.ca/gpg/classes/ficheDescriptive?type=popup&amp;mode=fichePuits&amp;menu=puit&amp;table=GPG_ENTRE_PUITS&amp;cle=AZ01</t>
  </si>
  <si>
    <t>https://sigpeg.mrn.gouv.qc.ca/rapport/P_B001C_inspection_2018-07-26_publique.pdf</t>
  </si>
  <si>
    <t>https://sigpeg.mrn.gouv.qc.ca/gpg/classes/ficheDescriptive?type=popup&amp;mode=fichePuits&amp;menu=puit&amp;table=GPG_ENTRE_PUITS&amp;cle=B001C</t>
  </si>
  <si>
    <t>https://sigpeg.mrn.gouv.qc.ca/rapport/B014_insp_inactif_2019-09-29_Publique.pdf</t>
  </si>
  <si>
    <t>https://sigpeg.mrn.gouv.qc.ca/gpg/classes/ficheDescriptive?type=popup&amp;mode=fichePuits&amp;menu=puit&amp;table=GPG_ENTRE_PUITS&amp;cle=B014</t>
  </si>
  <si>
    <t>https://sigpeg.mrn.gouv.qc.ca/rapport/B020_insp_inactif_2019-07-10_Publique.pdf</t>
  </si>
  <si>
    <t>https://sigpeg.mrn.gouv.qc.ca/gpg/classes/ficheDescriptive?type=popup&amp;mode=fichePuits&amp;menu=puit&amp;table=GPG_ENTRE_PUITS&amp;cle=B020</t>
  </si>
  <si>
    <t>https://sigpeg.mrn.gouv.qc.ca/rapport/B021_insp_inactif_2019-07-16_Publique.pdf</t>
  </si>
  <si>
    <t>https://sigpeg.mrn.gouv.qc.ca/gpg/classes/ficheDescriptive?type=popup&amp;mode=fichePuits&amp;menu=puit&amp;table=GPG_ENTRE_PUITS&amp;cle=B021</t>
  </si>
  <si>
    <t>https://sigpeg.mrn.gouv.qc.ca/rapport/B046_insp_inactif_2019-09-20_Publique.pdf</t>
  </si>
  <si>
    <t>https://sigpeg.mrn.gouv.qc.ca/gpg/classes/ficheDescriptive?type=popup&amp;mode=fichePuits&amp;menu=puit&amp;table=GPG_ENTRE_PUITS&amp;cle=B046</t>
  </si>
  <si>
    <t>https://sigpeg.mrn.gouv.qc.ca/rapport/B059_insp_inactif_2019-07-18_Publique.pdf</t>
  </si>
  <si>
    <t>https://sigpeg.mrn.gouv.qc.ca/gpg/classes/ficheDescriptive?type=popup&amp;mode=fichePuits&amp;menu=puit&amp;table=GPG_ENTRE_PUITS&amp;cle=B059</t>
  </si>
  <si>
    <t>https://sigpeg.mrn.gouv.qc.ca/rapport/B060_insp_inactif_2019-07-18_Publique.pdf</t>
  </si>
  <si>
    <t>https://sigpeg.mrn.gouv.qc.ca/gpg/classes/ficheDescriptive?type=popup&amp;mode=fichePuits&amp;menu=puit&amp;table=GPG_ENTRE_PUITS&amp;cle=B060</t>
  </si>
  <si>
    <t>https://sigpeg.mrn.gouv.qc.ca/rapport/B073_insp_inactif_2019-08-01_Publique.pdf</t>
  </si>
  <si>
    <t>https://sigpeg.mrn.gouv.qc.ca/gpg/classes/ficheDescriptive?type=popup&amp;mode=fichePuits&amp;menu=puit&amp;table=GPG_ENTRE_PUITS&amp;cle=B073</t>
  </si>
  <si>
    <t>https://sigpeg.mrn.gouv.qc.ca/rapport/P_B083_inspection_2018-09-07_publique.pdf</t>
  </si>
  <si>
    <t>https://sigpeg.mrn.gouv.qc.ca/gpg/classes/ficheDescriptive?type=popup&amp;mode=fichePuits&amp;menu=puit&amp;table=GPG_ENTRE_PUITS&amp;cle=B083</t>
  </si>
  <si>
    <t>https://sigpeg.mrn.gouv.qc.ca/rapport/B141_insp_inactif_2019-06-18_Publique.pdf</t>
  </si>
  <si>
    <t>https://sigpeg.mrn.gouv.qc.ca/gpg/classes/ficheDescriptive?type=popup&amp;mode=fichePuits&amp;menu=puit&amp;table=GPG_ENTRE_PUITS&amp;cle=B141</t>
  </si>
  <si>
    <t>https://sigpeg.mrn.gouv.qc.ca/rapport/B147_insp_inactif_2019-07-25_Publique.pdf</t>
  </si>
  <si>
    <t>https://sigpeg.mrn.gouv.qc.ca/gpg/classes/ficheDescriptive?type=popup&amp;mode=fichePuits&amp;menu=puit&amp;table=GPG_ENTRE_PUITS&amp;cle=B147</t>
  </si>
  <si>
    <t>https://sigpeg.mrn.gouv.qc.ca/rapport/B157_insp_inactif_2019-07-05_Publique.pdf</t>
  </si>
  <si>
    <t>https://sigpeg.mrn.gouv.qc.ca/gpg/classes/ficheDescriptive?type=popup&amp;mode=fichePuits&amp;menu=puit&amp;table=GPG_ENTRE_PUITS&amp;cle=B157</t>
  </si>
  <si>
    <t>https://sigpeg.mrn.gouv.qc.ca/rapport/P_B165_inspection_2018-07-18_publique.pdf</t>
  </si>
  <si>
    <t>https://sigpeg.mrn.gouv.qc.ca/gpg/classes/ficheDescriptive?type=popup&amp;mode=fichePuits&amp;menu=puit&amp;table=GPG_ENTRE_PUITS&amp;cle=B165</t>
  </si>
  <si>
    <t>https://sigpeg.mrn.gouv.qc.ca/rapport/B198_insp_inactif_2019-06-06_Publique.pdf</t>
  </si>
  <si>
    <t>https://sigpeg.mrn.gouv.qc.ca/gpg/classes/ficheDescriptive?type=popup&amp;mode=fichePuits&amp;menu=puit&amp;table=GPG_ENTRE_PUITS&amp;cle=B198</t>
  </si>
  <si>
    <t>https://sigpeg.mrn.gouv.qc.ca/rapport/B207_insp_inactif_2019-08-21_Publique.pdf</t>
  </si>
  <si>
    <t>https://sigpeg.mrn.gouv.qc.ca/gpg/classes/ficheDescriptive?type=popup&amp;mode=fichePuits&amp;menu=puit&amp;table=GPG_ENTRE_PUITS&amp;cle=B207</t>
  </si>
  <si>
    <t>https://sigpeg.mrn.gouv.qc.ca/rapport/B211_insp_inactif_2019-04-30_Publique.pdf</t>
  </si>
  <si>
    <t>https://sigpeg.mrn.gouv.qc.ca/gpg/classes/ficheDescriptive?type=popup&amp;mode=fichePuits&amp;menu=puit&amp;table=GPG_ENTRE_PUITS&amp;cle=B211</t>
  </si>
  <si>
    <t>https://sigpeg.mrn.gouv.qc.ca/rapport/B216_insp_inactif_2019-07-16_Publique.pdf</t>
  </si>
  <si>
    <t>https://sigpeg.mrn.gouv.qc.ca/gpg/classes/ficheDescriptive?type=popup&amp;mode=fichePuits&amp;menu=puit&amp;table=GPG_ENTRE_PUITS&amp;cle=B216</t>
  </si>
  <si>
    <t>https://sigpeg.mrn.gouv.qc.ca/rapport/B220_insp_inactif_2019-06-19_Publique.pdf</t>
  </si>
  <si>
    <t>https://sigpeg.mrn.gouv.qc.ca/gpg/classes/ficheDescriptive?type=popup&amp;mode=fichePuits&amp;menu=puit&amp;table=GPG_ENTRE_PUITS&amp;cle=B220</t>
  </si>
  <si>
    <t>https://sigpeg.mrn.gouv.qc.ca/rapport/B267_insp_inactif_2019-09-06_Publique.pdf</t>
  </si>
  <si>
    <t>https://sigpeg.mrn.gouv.qc.ca/gpg/classes/ficheDescriptive?type=popup&amp;mode=fichePuits&amp;menu=puit&amp;table=GPG_ENTRE_PUITS&amp;cle=B267</t>
  </si>
  <si>
    <t>https://sigpeg.mrn.gouv.qc.ca/rapport/B267A_insp_inactif_2019-09-06_Publique.pdf</t>
  </si>
  <si>
    <t>https://sigpeg.mrn.gouv.qc.ca/gpg/classes/ficheDescriptive?type=popup&amp;mode=fichePuits&amp;menu=puit&amp;table=GPG_ENTRE_PUITS&amp;cle=B267A</t>
  </si>
  <si>
    <t>https://sigpeg.mrn.gouv.qc.ca/rapport/B272_insp_inactif_2019-09-18_Publique.pdf</t>
  </si>
  <si>
    <t>https://sigpeg.mrn.gouv.qc.ca/gpg/classes/ficheDescriptive?type=popup&amp;mode=fichePuits&amp;menu=puit&amp;table=GPG_ENTRE_PUITS&amp;cle=B272</t>
  </si>
  <si>
    <t>https://sigpeg.mrn.gouv.qc.ca/rapport/P_B275_inspection_2018-10-09_publique.pdf</t>
  </si>
  <si>
    <t>https://sigpeg.mrn.gouv.qc.ca/gpg/classes/ficheDescriptive?type=popup&amp;mode=fichePuits&amp;menu=puit&amp;table=GPG_ENTRE_PUITS&amp;cle=B275</t>
  </si>
  <si>
    <t>https://sigpeg.mrn.gouv.qc.ca/rapport/BZ12_insp_inactif_2019-08-19_Publique.pdf</t>
  </si>
  <si>
    <t>https://sigpeg.mrn.gouv.qc.ca/gpg/classes/ficheDescriptive?type=popup&amp;mode=fichePuits&amp;menu=puit&amp;table=GPG_ENTRE_PUITS&amp;cle=BZ12</t>
  </si>
  <si>
    <t>https://sigpeg.mrn.gouv.qc.ca/rapport/BZ14_insp_inactif_2019-08-19_Publique.pdf</t>
  </si>
  <si>
    <t>https://sigpeg.mrn.gouv.qc.ca/gpg/classes/ficheDescriptive?type=popup&amp;mode=fichePuits&amp;menu=puit&amp;table=GPG_ENTRE_PUITS&amp;cle=BZ14</t>
  </si>
  <si>
    <t>https://sigpeg.mrn.gouv.qc.ca/rapport/BZ18_insp_inactif_2019-08-21_Publique.pdf</t>
  </si>
  <si>
    <t>https://sigpeg.mrn.gouv.qc.ca/gpg/classes/ficheDescriptive?type=popup&amp;mode=fichePuits&amp;menu=puit&amp;table=GPG_ENTRE_PUITS&amp;cle=BZ18</t>
  </si>
  <si>
    <t>https://sigpeg.mrn.gouv.qc.ca/rapport/BZ20_insp_inactif_2019-08-21_Publique.pdf</t>
  </si>
  <si>
    <t>https://sigpeg.mrn.gouv.qc.ca/gpg/classes/ficheDescriptive?type=popup&amp;mode=fichePuits&amp;menu=puit&amp;table=GPG_ENTRE_PUITS&amp;cle=BZ20</t>
  </si>
  <si>
    <t>https://sigpeg.mrn.gouv.qc.ca/rapport/P_C004_inspection_2018-08-25_publique.pdf</t>
  </si>
  <si>
    <t>https://sigpeg.mrn.gouv.qc.ca/gpg/classes/ficheDescriptive?type=popup&amp;mode=fichePuits&amp;menu=puit&amp;table=GPG_ENTRE_PUITS&amp;cle=C004</t>
  </si>
  <si>
    <t>https://sigpeg.mrn.gouv.qc.ca/rapport/C006_insp_inactif_2019-09-05_Publique.pdf</t>
  </si>
  <si>
    <t>https://sigpeg.mrn.gouv.qc.ca/gpg/classes/ficheDescriptive?type=popup&amp;mode=fichePuits&amp;menu=puit&amp;table=GPG_ENTRE_PUITS&amp;cle=C006</t>
  </si>
  <si>
    <t>https://sigpeg.mrn.gouv.qc.ca/rapport/P_C007_inspection_2018-10-30_publique.pdf</t>
  </si>
  <si>
    <t>https://sigpeg.mrn.gouv.qc.ca/gpg/classes/ficheDescriptive?type=popup&amp;mode=fichePuits&amp;menu=puit&amp;table=GPG_ENTRE_PUITS&amp;cle=C007</t>
  </si>
  <si>
    <t>https://sigpeg.mrn.gouv.qc.ca/rapport/P_C008_inspection_2018-10-30_publique.pdf</t>
  </si>
  <si>
    <t>Oil</t>
  </si>
  <si>
    <t>https://sigpeg.mrn.gouv.qc.ca/gpg/classes/ficheDescriptive?type=popup&amp;mode=fichePuits&amp;menu=puit&amp;table=GPG_ENTRE_PUITS&amp;cle=C008</t>
  </si>
  <si>
    <t>https://sigpeg.mrn.gouv.qc.ca/rapport/C027_insp_inactif_2019-08-08_Publique.pdf</t>
  </si>
  <si>
    <t>https://sigpeg.mrn.gouv.qc.ca/gpg/classes/ficheDescriptive?type=popup&amp;mode=fichePuits&amp;menu=puit&amp;table=GPG_ENTRE_PUITS&amp;cle=C027</t>
  </si>
  <si>
    <t>https://sigpeg.mrn.gouv.qc.ca/rapport/P_C036_inspection_2018-09-12_publique.pdf</t>
  </si>
  <si>
    <t>https://sigpeg.mrn.gouv.qc.ca/gpg/classes/ficheDescriptive?type=popup&amp;mode=fichePuits&amp;menu=puit&amp;table=GPG_ENTRE_PUITS&amp;cle=C036</t>
  </si>
  <si>
    <t>https://sigpeg.mrn.gouv.qc.ca/rapport/C038_insp_inactif_2019-08-08_Publique.pdf</t>
  </si>
  <si>
    <t>https://sigpeg.mrn.gouv.qc.ca/gpg/classes/ficheDescriptive?type=popup&amp;mode=fichePuits&amp;menu=puit&amp;table=GPG_ENTRE_PUITS&amp;cle=C038</t>
  </si>
  <si>
    <t>https://sigpeg.mrn.gouv.qc.ca/rapport/C039_insp_inactif_2019-07-10_Publique.pdf</t>
  </si>
  <si>
    <t>https://sigpeg.mrn.gouv.qc.ca/gpg/classes/ficheDescriptive?type=popup&amp;mode=fichePuits&amp;menu=puit&amp;table=GPG_ENTRE_PUITS&amp;cle=C039</t>
  </si>
  <si>
    <t>https://sigpeg.mrn.gouv.qc.ca/rapport/C040_insp_inactif_2019-07-18_Publique.pdf</t>
  </si>
  <si>
    <t>https://sigpeg.mrn.gouv.qc.ca/gpg/classes/ficheDescriptive?type=popup&amp;mode=fichePuits&amp;menu=puit&amp;table=GPG_ENTRE_PUITS&amp;cle=C040</t>
  </si>
  <si>
    <t>https://sigpeg.mrn.gouv.qc.ca/rapport/C041_insp_inactif_2019-07-09_Publique.pdf</t>
  </si>
  <si>
    <t>https://sigpeg.mrn.gouv.qc.ca/gpg/classes/ficheDescriptive?type=popup&amp;mode=fichePuits&amp;menu=puit&amp;table=GPG_ENTRE_PUITS&amp;cle=C041</t>
  </si>
  <si>
    <t>https://sigpeg.mrn.gouv.qc.ca/rapport/C042_insp_inactif_2019-08-08_Publique.pdf</t>
  </si>
  <si>
    <t>https://sigpeg.mrn.gouv.qc.ca/gpg/classes/ficheDescriptive?type=popup&amp;mode=fichePuits&amp;menu=puit&amp;table=GPG_ENTRE_PUITS&amp;cle=C042</t>
  </si>
  <si>
    <t>https://sigpeg.mrn.gouv.qc.ca/rapport/C044_insp_inactif_2019-07-16_Publique.pdf</t>
  </si>
  <si>
    <t>https://sigpeg.mrn.gouv.qc.ca/gpg/classes/ficheDescriptive?type=popup&amp;mode=fichePuits&amp;menu=puit&amp;table=GPG_ENTRE_PUITS&amp;cle=C044</t>
  </si>
  <si>
    <t>https://sigpeg.mrn.gouv.qc.ca/rapport/C045_insp_inactif_2019-07-19_Publique.pdf</t>
  </si>
  <si>
    <t>https://sigpeg.mrn.gouv.qc.ca/gpg/classes/ficheDescriptive?type=popup&amp;mode=fichePuits&amp;menu=puit&amp;table=GPG_ENTRE_PUITS&amp;cle=C045</t>
  </si>
  <si>
    <t>https://sigpeg.mrn.gouv.qc.ca/rapport/C047_insp_inactif_2019-07-18_Publique%20(2).pdf</t>
  </si>
  <si>
    <t>https://sigpeg.mrn.gouv.qc.ca/gpg/classes/ficheDescriptive?type=popup&amp;mode=fichePuits&amp;menu=puit&amp;table=GPG_ENTRE_PUITS&amp;cle=C047</t>
  </si>
  <si>
    <t>https://sigpeg.mrn.gouv.qc.ca/rapport/C050_insp_inactif_2019-08-15_Publique.pdf</t>
  </si>
  <si>
    <t>https://sigpeg.mrn.gouv.qc.ca/gpg/classes/ficheDescriptive?type=popup&amp;mode=fichePuits&amp;menu=puit&amp;table=GPG_ENTRE_PUITS&amp;cle=C050</t>
  </si>
  <si>
    <t>https://sigpeg.mrn.gouv.qc.ca/rapport/C054_insp_inactif_2019-08-28_Publique.pdf</t>
  </si>
  <si>
    <t>https://sigpeg.mrn.gouv.qc.ca/gpg/classes/ficheDescriptive?type=popup&amp;mode=fichePuits&amp;menu=puit&amp;table=GPG_ENTRE_PUITS&amp;cle=C054</t>
  </si>
  <si>
    <t>https://sigpeg.mrn.gouv.qc.ca/rapport/P_C055_inspection_2018-08-24_publique.pdf</t>
  </si>
  <si>
    <t>https://sigpeg.mrn.gouv.qc.ca/gpg/classes/ficheDescriptive?type=popup&amp;mode=fichePuits&amp;menu=puit&amp;table=GPG_ENTRE_PUITS&amp;cle=C055</t>
  </si>
  <si>
    <t>https://sigpeg.mrn.gouv.qc.ca/rapport/C056_insp_inactif_2019-07-23_Publique.pdf</t>
  </si>
  <si>
    <t>https://sigpeg.mrn.gouv.qc.ca/gpg/classes/ficheDescriptive?type=popup&amp;mode=fichePuits&amp;menu=puit&amp;table=GPG_ENTRE_PUITS&amp;cle=C056</t>
  </si>
  <si>
    <t>https://sigpeg.mrn.gouv.qc.ca/rapport/C057_insp_inactif_2019-07-23_Publique.pdf</t>
  </si>
  <si>
    <t>https://sigpeg.mrn.gouv.qc.ca/gpg/classes/ficheDescriptive?type=popup&amp;mode=fichePuits&amp;menu=puit&amp;table=GPG_ENTRE_PUITS&amp;cle=C057</t>
  </si>
  <si>
    <t>https://sigpeg.mrn.gouv.qc.ca/rapport/C058_insp_inactif_2019-10-30_Publique%20(2).pdf</t>
  </si>
  <si>
    <t>https://sigpeg.mrn.gouv.qc.ca/gpg/classes/ficheDescriptive?type=popup&amp;mode=fichePuits&amp;menu=puit&amp;table=GPG_ENTRE_PUITS&amp;cle=C058</t>
  </si>
  <si>
    <t>https://sigpeg.mrn.gouv.qc.ca/rapport/P_C065_inspection_2018-08-22_publique.pdf</t>
  </si>
  <si>
    <t>https://sigpeg.mrn.gouv.qc.ca/gpg/classes/ficheDescriptive?type=popup&amp;mode=fichePuits&amp;menu=puit&amp;table=GPG_ENTRE_PUITS&amp;cle=C065</t>
  </si>
  <si>
    <t>https://sigpeg.mrn.gouv.qc.ca/rapport/C070_insp_inactif_2019-07-09_Publique.pdf</t>
  </si>
  <si>
    <t>https://sigpeg.mrn.gouv.qc.ca/gpg/classes/ficheDescriptive?type=popup&amp;mode=fichePuits&amp;menu=puit&amp;table=GPG_ENTRE_PUITS&amp;cle=C070</t>
  </si>
  <si>
    <t>https://sigpeg.mrn.gouv.qc.ca/rapport/C071_insp_inactif_2019-07-23_Publique.pdf</t>
  </si>
  <si>
    <t>https://sigpeg.mrn.gouv.qc.ca/gpg/classes/ficheDescriptive?type=popup&amp;mode=fichePuits&amp;menu=puit&amp;table=GPG_ENTRE_PUITS&amp;cle=C071</t>
  </si>
  <si>
    <t>https://sigpeg.mrn.gouv.qc.ca/rapport/C072_insp_inactif_2019-07-24_Publique.pdf</t>
  </si>
  <si>
    <t>https://sigpeg.mrn.gouv.qc.ca/gpg/classes/ficheDescriptive?type=popup&amp;mode=fichePuits&amp;menu=puit&amp;table=GPG_ENTRE_PUITS&amp;cle=C072</t>
  </si>
  <si>
    <t>https://sigpeg.mrn.gouv.qc.ca/rapport/C074_insp_inactif_2019-08-23_Publique.pdf</t>
  </si>
  <si>
    <t>https://sigpeg.mrn.gouv.qc.ca/gpg/classes/ficheDescriptive?type=popup&amp;mode=fichePuits&amp;menu=puit&amp;table=GPG_ENTRE_PUITS&amp;cle=C074</t>
  </si>
  <si>
    <t>https://sigpeg.mrn.gouv.qc.ca/gpg/classes/ficheDescriptive?type=popup&amp;mode=fichePuits&amp;menu=puit&amp;table=GPG_ENTRE_PUITS&amp;cle=C076</t>
  </si>
  <si>
    <t>https://sigpeg.mrn.gouv.qc.ca/rapport/P_C102_inspection_2018-10-31_publique.pdf</t>
  </si>
  <si>
    <t>https://sigpeg.mrn.gouv.qc.ca/gpg/classes/ficheDescriptive?type=popup&amp;mode=fichePuits&amp;menu=puit&amp;table=GPG_ENTRE_PUITS&amp;cle=C102</t>
  </si>
  <si>
    <t>https://sigpeg.mrn.gouv.qc.ca/rapport/Rap_2017-10-07_C106_P2.pdf</t>
  </si>
  <si>
    <t>https://sigpeg.mrn.gouv.qc.ca/gpg/classes/ficheDescriptive?type=popup&amp;mode=fichePuits&amp;menu=puit&amp;table=GPG_ENTRE_PUITS&amp;cle=C106</t>
  </si>
  <si>
    <t>https://sigpeg.mrn.gouv.qc.ca/rapport/P_C109_inspection_2018-11-02_publique.pdf</t>
  </si>
  <si>
    <t>https://sigpeg.mrn.gouv.qc.ca/gpg/classes/ficheDescriptive?type=popup&amp;mode=fichePuits&amp;menu=puit&amp;table=GPG_ENTRE_PUITS&amp;cle=C109</t>
  </si>
  <si>
    <t>https://sigpeg.mrn.gouv.qc.ca/gpg/classes/ficheDescriptive?type=popup&amp;mode=fichePuits&amp;menu=puit&amp;table=GPG_ENTRE_PUITS&amp;cle=C110</t>
  </si>
  <si>
    <t>https://sigpeg.mrn.gouv.qc.ca/rapport/P_C113_inspection_2018-11-04_publique.pdf</t>
  </si>
  <si>
    <t>https://sigpeg.mrn.gouv.qc.ca/gpg/classes/ficheDescriptive?type=popup&amp;mode=fichePuits&amp;menu=puit&amp;table=GPG_ENTRE_PUITS&amp;cle=C113</t>
  </si>
  <si>
    <t>https://sigpeg.mrn.gouv.qc.ca/rapport/C136_insp_inactif_2019-09-18_Publique.pdf</t>
  </si>
  <si>
    <t>https://sigpeg.mrn.gouv.qc.ca/gpg/classes/ficheDescriptive?type=popup&amp;mode=fichePuits&amp;menu=puit&amp;table=GPG_ENTRE_PUITS&amp;cle=C136</t>
  </si>
  <si>
    <t>https://sigpeg.mrn.gouv.qc.ca/rapport/CS01_insp_inactif_2019-10-17_Publique.pdf</t>
  </si>
  <si>
    <t>https://sigpeg.mrn.gouv.qc.ca/gpg/classes/ficheDescriptive?type=popup&amp;mode=fichePuits&amp;menu=puit&amp;table=GPG_ENTRE_PUITS&amp;cle=CS01</t>
  </si>
  <si>
    <t>https://sigpeg.mrn.gouv.qc.ca/rapport/P_CS05_inspection_2018-07-29_publique.pdf</t>
  </si>
  <si>
    <t>https://sigpeg.mrn.gouv.qc.ca/gpg/classes/ficheDescriptive?type=popup&amp;mode=fichePuits&amp;menu=puit&amp;table=GPG_ENTRE_PUITS&amp;cle=CS05</t>
  </si>
  <si>
    <t>https://sigpeg.mrn.gouv.qc.ca/rapport/P_CS07_inspection_2018-11-02_publique.pdf</t>
  </si>
  <si>
    <t>https://sigpeg.mrn.gouv.qc.ca/gpg/classes/ficheDescriptive?type=popup&amp;mode=fichePuits&amp;menu=puit&amp;table=GPG_ENTRE_PUITS&amp;cle=CS07</t>
  </si>
  <si>
    <t>https://sigpeg.mrn.gouv.qc.ca/rapport/P_CS08_inspection_2018-11-02_publique.pdf</t>
  </si>
  <si>
    <t>https://sigpeg.mrn.gouv.qc.ca/gpg/classes/ficheDescriptive?type=popup&amp;mode=fichePuits&amp;menu=puit&amp;table=GPG_ENTRE_PUITS&amp;cle=CS08</t>
  </si>
  <si>
    <t>https://sigpeg.mrn.gouv.qc.ca/rapport/P_CS21_inspection_2018-11-01_publique.pdf</t>
  </si>
  <si>
    <t>https://sigpeg.mrn.gouv.qc.ca/gpg/classes/ficheDescriptive?type=popup&amp;mode=fichePuits&amp;menu=puit&amp;table=GPG_ENTRE_PUITS&amp;cle=CS21</t>
  </si>
  <si>
    <t>https://sigpeg.mrn.gouv.qc.ca/rapport/CS26_insp_inactif_2019-10-17_Publique.pdf</t>
  </si>
  <si>
    <t>https://sigpeg.mrn.gouv.qc.ca/gpg/classes/ficheDescriptive?type=popup&amp;mode=fichePuits&amp;menu=puit&amp;table=GPG_ENTRE_PUITS&amp;cle=CS26</t>
  </si>
  <si>
    <t>https://sigpeg.mrn.gouv.qc.ca/rapport/CS34_insp_inactif_2019-08-15_Publique.pdf</t>
  </si>
  <si>
    <t>https://sigpeg.mrn.gouv.qc.ca/gpg/classes/ficheDescriptive?type=popup&amp;mode=fichePuits&amp;menu=puit&amp;table=GPG_ENTRE_PUITS&amp;cle=CS34</t>
  </si>
  <si>
    <t>https://sigpeg.mrn.gouv.qc.ca/rapport/CS42_insp_inactif_2019-09-17_Publique.pdf</t>
  </si>
  <si>
    <t>https://sigpeg.mrn.gouv.qc.ca/gpg/classes/ficheDescriptive?type=popup&amp;mode=fichePuits&amp;menu=puit&amp;table=GPG_ENTRE_PUITS&amp;cle=CS42</t>
  </si>
  <si>
    <t>https://sigpeg.mrn.gouv.qc.ca/rapport/E008_insp_inactif_2019-08-23_Publique.pdf</t>
  </si>
  <si>
    <t>https://sigpeg.mrn.gouv.qc.ca/gpg/classes/ficheDescriptive?type=popup&amp;mode=fichePuits&amp;menu=puit&amp;table=GPG_ENTRE_PUITS&amp;cle=E008</t>
  </si>
  <si>
    <t>https://sigpeg.mrn.gouv.qc.ca/gpg/classes/ficheDescriptive?type=popup&amp;mode=fichePuits&amp;menu=puit&amp;table=GPG_ENTRE_PUITS&amp;cle=D020</t>
  </si>
  <si>
    <t>Unplugged</t>
  </si>
  <si>
    <t>Type</t>
  </si>
  <si>
    <t>MERN status</t>
  </si>
  <si>
    <t>A001</t>
  </si>
  <si>
    <t>A002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</si>
  <si>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</si>
  <si>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</si>
  <si>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</si>
  <si>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</si>
  <si>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</si>
  <si>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</si>
  <si>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</si>
  <si>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</si>
  <si>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</si>
  <si>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</si>
  <si>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</si>
  <si>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</si>
  <si>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</si>
  <si>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</si>
  <si>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</si>
  <si>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</si>
  <si>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</si>
  <si>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</si>
  <si>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</si>
  <si>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</si>
  <si>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</si>
  <si>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</si>
  <si>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</si>
  <si>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</si>
  <si>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</si>
  <si>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</si>
  <si>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</si>
  <si>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</si>
  <si>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</si>
  <si>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</si>
  <si>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</si>
  <si>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</si>
  <si>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</si>
  <si>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</si>
  <si>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A042</t>
  </si>
  <si>
    <t>A043</t>
  </si>
  <si>
    <t>A044</t>
  </si>
  <si>
    <t>A045</t>
  </si>
  <si>
    <t>A046</t>
  </si>
  <si>
    <t>A047</t>
  </si>
  <si>
    <t>A050</t>
  </si>
  <si>
    <t>A051</t>
  </si>
  <si>
    <t>A052</t>
  </si>
  <si>
    <t>A053</t>
  </si>
  <si>
    <t>A054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</si>
  <si>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</si>
  <si>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</si>
  <si>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</si>
  <si>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</si>
  <si>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</si>
  <si>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</si>
  <si>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</si>
  <si>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</si>
  <si>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</si>
  <si>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</si>
  <si>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A067</t>
  </si>
  <si>
    <t>A068</t>
  </si>
  <si>
    <t>A069</t>
  </si>
  <si>
    <t>A070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</si>
  <si>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</si>
  <si>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</si>
  <si>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</si>
  <si>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</si>
  <si>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</si>
  <si>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</si>
  <si>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</si>
  <si>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</si>
  <si>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</si>
  <si>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</si>
  <si>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</si>
  <si>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</si>
  <si>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</si>
  <si>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</si>
  <si>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</si>
  <si>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</si>
  <si>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</si>
  <si>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</si>
  <si>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</si>
  <si>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</si>
  <si>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</si>
  <si>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A094</t>
  </si>
  <si>
    <t>A095</t>
  </si>
  <si>
    <t>A096</t>
  </si>
  <si>
    <t>A098</t>
  </si>
  <si>
    <t>A099</t>
  </si>
  <si>
    <t>A101</t>
  </si>
  <si>
    <t>A103</t>
  </si>
  <si>
    <t>A104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</si>
  <si>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</si>
  <si>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</si>
  <si>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</si>
  <si>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</si>
  <si>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</si>
  <si>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</si>
  <si>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</si>
  <si>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</si>
  <si>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</si>
  <si>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</si>
  <si>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</si>
  <si>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</si>
  <si>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</si>
  <si>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</si>
  <si>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</si>
  <si>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</si>
  <si>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</si>
  <si>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</si>
  <si>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</si>
  <si>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</si>
  <si>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</si>
  <si>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</si>
  <si>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A132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</si>
  <si>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</si>
  <si>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</si>
  <si>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</si>
  <si>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</si>
  <si>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</si>
  <si>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</si>
  <si>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</si>
  <si>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</si>
  <si>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</si>
  <si>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</si>
  <si>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</si>
  <si>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</si>
  <si>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</si>
  <si>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</si>
  <si>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</si>
  <si>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</si>
  <si>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</si>
  <si>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</si>
  <si>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A153</t>
  </si>
  <si>
    <t>A154</t>
  </si>
  <si>
    <t>A156</t>
  </si>
  <si>
    <t>A157</t>
  </si>
  <si>
    <t>A159</t>
  </si>
  <si>
    <t>A160</t>
  </si>
  <si>
    <t>A162</t>
  </si>
  <si>
    <t>A163</t>
  </si>
  <si>
    <t>A165</t>
  </si>
  <si>
    <t>A166</t>
  </si>
  <si>
    <t>A167</t>
  </si>
  <si>
    <t>A169</t>
  </si>
  <si>
    <t>A170</t>
  </si>
  <si>
    <t>A171</t>
  </si>
  <si>
    <t>A174</t>
  </si>
  <si>
    <t>A176</t>
  </si>
  <si>
    <t>A177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</si>
  <si>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</si>
  <si>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</si>
  <si>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</si>
  <si>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</si>
  <si>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</si>
  <si>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</si>
  <si>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</si>
  <si>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</si>
  <si>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</si>
  <si>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</si>
  <si>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</si>
  <si>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A191</t>
  </si>
  <si>
    <t>A192</t>
  </si>
  <si>
    <t>A193</t>
  </si>
  <si>
    <t>A195</t>
  </si>
  <si>
    <t>A197</t>
  </si>
  <si>
    <t>A201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</si>
  <si>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</si>
  <si>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</si>
  <si>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</si>
  <si>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</si>
  <si>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</si>
  <si>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</si>
  <si>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</si>
  <si>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</si>
  <si>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</si>
  <si>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</si>
  <si>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</si>
  <si>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A217</t>
  </si>
  <si>
    <t>A218</t>
  </si>
  <si>
    <t>A219</t>
  </si>
  <si>
    <t>A220</t>
  </si>
  <si>
    <t>A222</t>
  </si>
  <si>
    <t>A223</t>
  </si>
  <si>
    <t>A224</t>
  </si>
  <si>
    <t>A231</t>
  </si>
  <si>
    <t>A233</t>
  </si>
  <si>
    <t>A234</t>
  </si>
  <si>
    <t>A236</t>
  </si>
  <si>
    <t>A245</t>
  </si>
  <si>
    <t>A256</t>
  </si>
  <si>
    <t>A271</t>
  </si>
  <si>
    <t>A278</t>
  </si>
  <si>
    <t>A287</t>
  </si>
  <si>
    <t>AZ03</t>
  </si>
  <si>
    <t>AZ04</t>
  </si>
  <si>
    <t>AZ05</t>
  </si>
  <si>
    <t>AZ06</t>
  </si>
  <si>
    <t>AZ07</t>
  </si>
  <si>
    <t>AZ09</t>
  </si>
  <si>
    <t>AZ10</t>
  </si>
  <si>
    <t>AZ11</t>
  </si>
  <si>
    <t>AZ12</t>
  </si>
  <si>
    <t>AZ14</t>
  </si>
  <si>
    <t>AZ15</t>
  </si>
  <si>
    <t>AZ16</t>
  </si>
  <si>
    <t>AZ21</t>
  </si>
  <si>
    <t>AZ22</t>
  </si>
  <si>
    <t>AZ23</t>
  </si>
  <si>
    <t>AZ24</t>
  </si>
  <si>
    <t>AZ25</t>
  </si>
  <si>
    <t>AZ26</t>
  </si>
  <si>
    <t>AZ28</t>
  </si>
  <si>
    <t>AZ29</t>
  </si>
  <si>
    <t>AZ35</t>
  </si>
  <si>
    <t>AZ40</t>
  </si>
  <si>
    <t>AZ41</t>
  </si>
  <si>
    <t>AZ42</t>
  </si>
  <si>
    <t>AZ43</t>
  </si>
  <si>
    <t>AZ45</t>
  </si>
  <si>
    <t>AZ49</t>
  </si>
  <si>
    <t>AZ50</t>
  </si>
  <si>
    <t>AZ51</t>
  </si>
  <si>
    <t>AZ52</t>
  </si>
  <si>
    <t>AZ54</t>
  </si>
  <si>
    <t>AZ55</t>
  </si>
  <si>
    <t>AZ57</t>
  </si>
  <si>
    <t>AZ60</t>
  </si>
  <si>
    <t>AZ61</t>
  </si>
  <si>
    <t>AZ62</t>
  </si>
  <si>
    <t>AZ63</t>
  </si>
  <si>
    <t>AZ64</t>
  </si>
  <si>
    <t>AZ65</t>
  </si>
  <si>
    <t>AZ66</t>
  </si>
  <si>
    <t>AZ67</t>
  </si>
  <si>
    <t>AZ68</t>
  </si>
  <si>
    <t>AZ69</t>
  </si>
  <si>
    <t>B001B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</si>
  <si>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</si>
  <si>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</si>
  <si>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</si>
  <si>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</si>
  <si>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</si>
  <si>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</si>
  <si>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</si>
  <si>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</si>
  <si>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</si>
  <si>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</si>
  <si>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</si>
  <si>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</si>
  <si>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B015</t>
  </si>
  <si>
    <t>B016</t>
  </si>
  <si>
    <t>B017</t>
  </si>
  <si>
    <t>B018</t>
  </si>
  <si>
    <t>B019</t>
  </si>
  <si>
    <t>B022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</si>
  <si>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</si>
  <si>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</si>
  <si>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</si>
  <si>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</si>
  <si>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</si>
  <si>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</si>
  <si>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</si>
  <si>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</si>
  <si>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</si>
  <si>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</si>
  <si>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B040</t>
  </si>
  <si>
    <t>B041</t>
  </si>
  <si>
    <t>B042</t>
  </si>
  <si>
    <t>B043</t>
  </si>
  <si>
    <t>B044</t>
  </si>
  <si>
    <t>B045</t>
  </si>
  <si>
    <t>B047</t>
  </si>
  <si>
    <t>B048</t>
  </si>
  <si>
    <t>B049</t>
  </si>
  <si>
    <t>B050</t>
  </si>
  <si>
    <t>B052</t>
  </si>
  <si>
    <t>B053</t>
  </si>
  <si>
    <t>B055</t>
  </si>
  <si>
    <t>B056</t>
  </si>
  <si>
    <t>B058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</si>
  <si>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</si>
  <si>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</si>
  <si>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</si>
  <si>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</si>
  <si>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</si>
  <si>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</si>
  <si>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</si>
  <si>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</si>
  <si>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</si>
  <si>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</si>
  <si>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</si>
  <si>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</si>
  <si>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B074</t>
  </si>
  <si>
    <t>B075</t>
  </si>
  <si>
    <t>B076</t>
  </si>
  <si>
    <t>B077</t>
  </si>
  <si>
    <t>B078</t>
  </si>
  <si>
    <t>B079</t>
  </si>
  <si>
    <t>B080</t>
  </si>
  <si>
    <t>B082</t>
  </si>
  <si>
    <t>B084</t>
  </si>
  <si>
    <t>B085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</si>
  <si>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</si>
  <si>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</si>
  <si>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</si>
  <si>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</si>
  <si>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</si>
  <si>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</si>
  <si>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</si>
  <si>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</si>
  <si>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</si>
  <si>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</si>
  <si>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</si>
  <si>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</si>
  <si>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</si>
  <si>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</si>
  <si>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</si>
  <si>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</si>
  <si>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</si>
  <si>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</si>
  <si>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</si>
  <si>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</si>
  <si>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</si>
  <si>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</si>
  <si>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</si>
  <si>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</si>
  <si>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</si>
  <si>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</si>
  <si>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</si>
  <si>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</si>
  <si>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</si>
  <si>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</si>
  <si>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</si>
  <si>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</si>
  <si>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</si>
  <si>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</si>
  <si>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</si>
  <si>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</si>
  <si>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</si>
  <si>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</si>
  <si>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</si>
  <si>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</si>
  <si>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</si>
  <si>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</si>
  <si>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</si>
  <si>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</si>
  <si>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</si>
  <si>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</si>
  <si>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</si>
  <si>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</si>
  <si>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</si>
  <si>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</si>
  <si>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</si>
  <si>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</si>
  <si>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</si>
  <si>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</si>
  <si>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B142</t>
  </si>
  <si>
    <t>B143</t>
  </si>
  <si>
    <t>B144</t>
  </si>
  <si>
    <t>B146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</si>
  <si>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</si>
  <si>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</si>
  <si>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</si>
  <si>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</si>
  <si>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</si>
  <si>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</si>
  <si>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</si>
  <si>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</si>
  <si>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</si>
  <si>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B158</t>
  </si>
  <si>
    <t>B159</t>
  </si>
  <si>
    <t>B160</t>
  </si>
  <si>
    <t>B161</t>
  </si>
  <si>
    <t>B162</t>
  </si>
  <si>
    <t>B163</t>
  </si>
  <si>
    <t>B164</t>
  </si>
  <si>
    <t>B166</t>
  </si>
  <si>
    <t>B167</t>
  </si>
  <si>
    <t>B168</t>
  </si>
  <si>
    <t>B169</t>
  </si>
  <si>
    <t>B170</t>
  </si>
  <si>
    <t>B171</t>
  </si>
  <si>
    <t>B172</t>
  </si>
  <si>
    <t>B173</t>
  </si>
  <si>
    <t>B175</t>
  </si>
  <si>
    <t>B176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</si>
  <si>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</si>
  <si>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</si>
  <si>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</si>
  <si>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</si>
  <si>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</si>
  <si>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</si>
  <si>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</si>
  <si>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</si>
  <si>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</si>
  <si>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</si>
  <si>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</si>
  <si>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</si>
  <si>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</si>
  <si>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</si>
  <si>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</si>
  <si>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</si>
  <si>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</si>
  <si>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</si>
  <si>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</si>
  <si>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</si>
  <si>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B199</t>
  </si>
  <si>
    <t>B200</t>
  </si>
  <si>
    <t>B201</t>
  </si>
  <si>
    <t>B202</t>
  </si>
  <si>
    <t>B203</t>
  </si>
  <si>
    <t>B204</t>
  </si>
  <si>
    <t>B205</t>
  </si>
  <si>
    <t>B206</t>
  </si>
  <si>
    <t>B208</t>
  </si>
  <si>
    <t>B209</t>
  </si>
  <si>
    <t>B210</t>
  </si>
  <si>
    <t>B212</t>
  </si>
  <si>
    <t>B213</t>
  </si>
  <si>
    <t>B214</t>
  </si>
  <si>
    <t>B215</t>
  </si>
  <si>
    <t>B217</t>
  </si>
  <si>
    <t>B218</t>
  </si>
  <si>
    <t>B219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</si>
  <si>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</si>
  <si>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</si>
  <si>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</si>
  <si>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</si>
  <si>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</si>
  <si>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</si>
  <si>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</si>
  <si>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</si>
  <si>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</si>
  <si>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</si>
  <si>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</si>
  <si>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</si>
  <si>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</si>
  <si>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</si>
  <si>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</si>
  <si>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</si>
  <si>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</si>
  <si>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</si>
  <si>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</si>
  <si>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</si>
  <si>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</si>
  <si>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</si>
  <si>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</si>
  <si>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</si>
  <si>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</si>
  <si>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</si>
  <si>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</si>
  <si>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</si>
  <si>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</si>
  <si>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</si>
  <si>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</si>
  <si>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B253</t>
  </si>
  <si>
    <t>B254</t>
  </si>
  <si>
    <t>B256</t>
  </si>
  <si>
    <t>B258</t>
  </si>
  <si>
    <t>B268</t>
  </si>
  <si>
    <t>B268A</t>
  </si>
  <si>
    <t>B269</t>
  </si>
  <si>
    <t>B270</t>
  </si>
  <si>
    <t>B271</t>
  </si>
  <si>
    <t>B273</t>
  </si>
  <si>
    <t>B274</t>
  </si>
  <si>
    <t>B276</t>
  </si>
  <si>
    <t>B299</t>
  </si>
  <si>
    <t>B304</t>
  </si>
  <si>
    <t>B305</t>
  </si>
  <si>
    <t>BZ01</t>
  </si>
  <si>
    <t>BZ02</t>
  </si>
  <si>
    <t>BZ03</t>
  </si>
  <si>
    <t>BZ04</t>
  </si>
  <si>
    <t>BZ05</t>
  </si>
  <si>
    <t>BZ06</t>
  </si>
  <si>
    <t>BZ07</t>
  </si>
  <si>
    <t>BZ08</t>
  </si>
  <si>
    <t>BZ09</t>
  </si>
  <si>
    <t>BZ10</t>
  </si>
  <si>
    <t>BZ11</t>
  </si>
  <si>
    <t>BZ13</t>
  </si>
  <si>
    <t>BZ15</t>
  </si>
  <si>
    <t>BZ16</t>
  </si>
  <si>
    <t>BZ19</t>
  </si>
  <si>
    <t>C001</t>
  </si>
  <si>
    <t>C002</t>
  </si>
  <si>
    <t>C003</t>
  </si>
  <si>
    <t>C005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</si>
  <si>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</si>
  <si>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</si>
  <si>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</si>
  <si>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</si>
  <si>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</si>
  <si>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</si>
  <si>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</si>
  <si>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</si>
  <si>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</si>
  <si>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</si>
  <si>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</si>
  <si>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C030</t>
  </si>
  <si>
    <t>C020</t>
  </si>
  <si>
    <t>C021</t>
  </si>
  <si>
    <t>C022</t>
  </si>
  <si>
    <t>C023</t>
  </si>
  <si>
    <t>C024</t>
  </si>
  <si>
    <t>C025</t>
  </si>
  <si>
    <t>C026</t>
  </si>
  <si>
    <t>C028</t>
  </si>
  <si>
    <t>C029</t>
  </si>
  <si>
    <t>C031</t>
  </si>
  <si>
    <t>C032</t>
  </si>
  <si>
    <t>C033</t>
  </si>
  <si>
    <t>C034</t>
  </si>
  <si>
    <t>C035</t>
  </si>
  <si>
    <t>C037</t>
  </si>
  <si>
    <t>C043</t>
  </si>
  <si>
    <t>C046</t>
  </si>
  <si>
    <t>C048</t>
  </si>
  <si>
    <t>C049</t>
  </si>
  <si>
    <t>C051</t>
  </si>
  <si>
    <t>C052</t>
  </si>
  <si>
    <t>C053</t>
  </si>
  <si>
    <t>C059</t>
  </si>
  <si>
    <t>C060</t>
  </si>
  <si>
    <t>C061</t>
  </si>
  <si>
    <t>C062</t>
  </si>
  <si>
    <t>C063</t>
  </si>
  <si>
    <t>C064</t>
  </si>
  <si>
    <t>C066</t>
  </si>
  <si>
    <t>C067</t>
  </si>
  <si>
    <t>C068</t>
  </si>
  <si>
    <t>C069</t>
  </si>
  <si>
    <t>C075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</si>
  <si>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</si>
  <si>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</si>
  <si>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</si>
  <si>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</si>
  <si>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</si>
  <si>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</si>
  <si>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</si>
  <si>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</si>
  <si>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</si>
  <si>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</si>
  <si>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C088</t>
  </si>
  <si>
    <t>C090</t>
  </si>
  <si>
    <t>C092</t>
  </si>
  <si>
    <t>C093</t>
  </si>
  <si>
    <t>C094</t>
  </si>
  <si>
    <t>C096</t>
  </si>
  <si>
    <t>C097</t>
  </si>
  <si>
    <t>C099</t>
  </si>
  <si>
    <t>C101</t>
  </si>
  <si>
    <t>C103</t>
  </si>
  <si>
    <t>C104</t>
  </si>
  <si>
    <t>C105</t>
  </si>
  <si>
    <t>C107</t>
  </si>
  <si>
    <t>C108</t>
  </si>
  <si>
    <t>C111</t>
  </si>
  <si>
    <t>C114</t>
  </si>
  <si>
    <t>C115</t>
  </si>
  <si>
    <t>C116</t>
  </si>
  <si>
    <t>C117</t>
  </si>
  <si>
    <t>C118</t>
  </si>
  <si>
    <t>C119</t>
  </si>
  <si>
    <t>C120</t>
  </si>
  <si>
    <t>C125</t>
  </si>
  <si>
    <t>C127</t>
  </si>
  <si>
    <t>C128</t>
  </si>
  <si>
    <t>C132</t>
  </si>
  <si>
    <t>C144</t>
  </si>
  <si>
    <t>CS02</t>
  </si>
  <si>
    <t>CS03</t>
  </si>
  <si>
    <t>CS04</t>
  </si>
  <si>
    <t>CS09</t>
  </si>
  <si>
    <t>CS11</t>
  </si>
  <si>
    <t>CS13</t>
  </si>
  <si>
    <t>CS14</t>
  </si>
  <si>
    <t>CS17</t>
  </si>
  <si>
    <t>CS19</t>
  </si>
  <si>
    <t>CS20</t>
  </si>
  <si>
    <t>CS22</t>
  </si>
  <si>
    <t>CS23</t>
  </si>
  <si>
    <t>CS24</t>
  </si>
  <si>
    <t>CS25</t>
  </si>
  <si>
    <t>CS27</t>
  </si>
  <si>
    <t>CS28</t>
  </si>
  <si>
    <t>CS29</t>
  </si>
  <si>
    <t>CS30</t>
  </si>
  <si>
    <t>CS31</t>
  </si>
  <si>
    <t>CS32</t>
  </si>
  <si>
    <t>CS33</t>
  </si>
  <si>
    <t>CS35</t>
  </si>
  <si>
    <t>CS37</t>
  </si>
  <si>
    <t>CS38</t>
  </si>
  <si>
    <t>CS39</t>
  </si>
  <si>
    <t>CS40</t>
  </si>
  <si>
    <t>CS41</t>
  </si>
  <si>
    <t>CS43</t>
  </si>
  <si>
    <t>CS44</t>
  </si>
  <si>
    <t>CS45</t>
  </si>
  <si>
    <t>CS46</t>
  </si>
  <si>
    <t>CS48</t>
  </si>
  <si>
    <t>CS49</t>
  </si>
  <si>
    <t>CS50</t>
  </si>
  <si>
    <t>D001</t>
  </si>
  <si>
    <t>D002</t>
  </si>
  <si>
    <t>D003</t>
  </si>
  <si>
    <t>D004</t>
  </si>
  <si>
    <t>D005</t>
  </si>
  <si>
    <t>D006</t>
  </si>
  <si>
    <t>D007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</si>
  <si>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</si>
  <si>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</si>
  <si>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</si>
  <si>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</si>
  <si>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</si>
  <si>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</si>
  <si>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</si>
  <si>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</si>
  <si>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</si>
  <si>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</si>
  <si>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E001</t>
  </si>
  <si>
    <t>E002</t>
  </si>
  <si>
    <t>E003</t>
  </si>
  <si>
    <t>E004</t>
  </si>
  <si>
    <t>E005</t>
  </si>
  <si>
    <t>E006</t>
  </si>
  <si>
    <t>E007</t>
  </si>
  <si>
    <t>E009</t>
  </si>
  <si>
    <t>E010</t>
  </si>
  <si>
    <t>E012</t>
  </si>
  <si>
    <t>EZ01</t>
  </si>
  <si>
    <t>F000</t>
  </si>
  <si>
    <t>F001</t>
  </si>
  <si>
    <t>F002</t>
  </si>
  <si>
    <t>F003</t>
  </si>
  <si>
    <t>F004</t>
  </si>
  <si>
    <t>F005</t>
  </si>
  <si>
    <t>FZ005</t>
  </si>
  <si>
    <t>G001</t>
  </si>
  <si>
    <t>G002</t>
  </si>
  <si>
    <t>G003</t>
  </si>
  <si>
    <t>GZ01</t>
  </si>
  <si>
    <t>GZ02</t>
  </si>
  <si>
    <t>GZ03</t>
  </si>
  <si>
    <t>GZ04</t>
  </si>
  <si>
    <t>GZ05</t>
  </si>
  <si>
    <t>Operator</t>
  </si>
  <si>
    <t>Type of drill</t>
  </si>
  <si>
    <t>Year of suspension</t>
  </si>
  <si>
    <t>Year of abandon</t>
  </si>
  <si>
    <t>Geological region</t>
  </si>
  <si>
    <t>Oil Selections No 9</t>
  </si>
  <si>
    <t>https://sigpeg.mrn.gouv.qc.ca/rapport/A091_insp_inactif_2019-07-15_Publique.pdf</t>
  </si>
  <si>
    <t>Oil Selections No 20</t>
  </si>
  <si>
    <t>https://sigpeg.mrn.gouv.qc.ca/rapport/A094_insp_inactif_2019-07-15_Publique.pdf</t>
  </si>
  <si>
    <t>Oil Selections No 21</t>
  </si>
  <si>
    <t>https://sigpeg.mrn.gouv.qc.ca/rapport/A095_insp_inactif_2019-06-18_Publique.pdf</t>
  </si>
  <si>
    <t>Oil Selections No 22</t>
  </si>
  <si>
    <t>https://sigpeg.mrn.gouv.qc.ca/rapport/A096_insp_inactif_2019-06-19_Publique.pdf</t>
  </si>
  <si>
    <t>Oil Selections No 24</t>
  </si>
  <si>
    <t>https://sigpeg.mrn.gouv.qc.ca/rapport/A098_insp_inactif_2019-06-19_Publique.pdf</t>
  </si>
  <si>
    <t>Louvicourt - Métal l'Assomption No 8</t>
  </si>
  <si>
    <t>https://sigpeg.mrn.gouv.qc.ca/rapport/A151_insp_inactif_2019-11-20_Publique.pdf</t>
  </si>
  <si>
    <t>Louvicourt No 3, L'Assomption</t>
  </si>
  <si>
    <t>https://sigpeg.mrn.gouv.qc.ca/rapport/B218_insp_inactif_2019-09-10_Publique.pdf</t>
  </si>
  <si>
    <t>Oil Selections No 29</t>
  </si>
  <si>
    <t>https://sigpeg.mrn.gouv.qc.ca/rapport/A099_insp_inactif_2019-06-19_Publique.pdf</t>
  </si>
  <si>
    <t>Louvicourt No 2, L'Assomption</t>
  </si>
  <si>
    <t>https://sigpeg.mrn.gouv.qc.ca/rapport/B217_insp_inactif_2019-07-15_Publique.pdf</t>
  </si>
  <si>
    <t>Louvicourt No 5, L'Assomption</t>
  </si>
  <si>
    <t>https://sigpeg.mrn.gouv.qc.ca/rapport/A144_insp_inactif_2019-07-16_Publique.pdf</t>
  </si>
  <si>
    <t>Oil Selections No 31</t>
  </si>
  <si>
    <t>https://sigpeg.mrn.gouv.qc.ca/rapport/A101_insp_inactif_2019-06-18_Publique.pdf</t>
  </si>
  <si>
    <t>Louvicourt No 2, Berthier</t>
  </si>
  <si>
    <t>https://sigpeg.mrn.gouv.qc.ca/rapport/B215_insp_inactif_2019-11-25_Publique.pdf</t>
  </si>
  <si>
    <t>Louvicourt No 1, Berthier</t>
  </si>
  <si>
    <t>https://sigpeg.mrn.gouv.qc.ca/rapport/P_B214_inspection_2018-08-15_publique.pdf</t>
  </si>
  <si>
    <t>Québec Natural Gas No 2, Sainte-Rose</t>
  </si>
  <si>
    <t>https://sigpeg.mrn.gouv.qc.ca/rapport/B188_insp_inactif_2019-07-09_Publique%20(2).pdf</t>
  </si>
  <si>
    <t>Québec Natural Gas No 1, Sainte-Rose</t>
  </si>
  <si>
    <t>https://sigpeg.mrn.gouv.qc.ca/rapport/B187_insp_inactif_2019-10-10_Publique.pdf</t>
  </si>
  <si>
    <t>Québec Natural Gas No 12, Saint-Vincent-de-Paul</t>
  </si>
  <si>
    <t>https://sigpeg.mrn.gouv.qc.ca/rapport/A136_insp_inactif_2019-06-25_Publique.pdf</t>
  </si>
  <si>
    <t>Québec Natural Gas No 7a, Saint-Vincent-de-Paul</t>
  </si>
  <si>
    <t>https://sigpeg.mrn.gouv.qc.ca/rapport/B195_insp_inactif_2019-10-07_Publique.pdf</t>
  </si>
  <si>
    <t>Québec Natural Gas No 3, Saint-Vincent-de-Paul</t>
  </si>
  <si>
    <t>https://sigpeg.mrn.gouv.qc.ca/rapport/B191_insp_inactif_2019-10-22_Publique.pdf</t>
  </si>
  <si>
    <t>Québec Natural Gas No 9, Saint-François-de-Sales</t>
  </si>
  <si>
    <t>https://sigpeg.mrn.gouv.qc.ca/rapport/A139_insp_inactif_2019-11-06_Publique.pdf</t>
  </si>
  <si>
    <t>Québec Natural Gas No 7, Saint-François-de-Sales</t>
  </si>
  <si>
    <t>https://sigpeg.mrn.gouv.qc.ca/rapport/B185_insp_inactif_2019-11-05_Publique.pdf</t>
  </si>
  <si>
    <t>Québec Natural Gas No 10, Saint-François-de-Sales</t>
  </si>
  <si>
    <t>https://sigpeg.mrn.gouv.qc.ca/rapport/A140_insp_inactif_2019-10-08_Publique.pdf</t>
  </si>
  <si>
    <t>Québec Natural Gas No 1, Saint-François-de-Sales</t>
  </si>
  <si>
    <t>https://sigpeg.mrn.gouv.qc.ca/rapport/B180_insp_inactif_2019-10-08_Publique.pdf</t>
  </si>
  <si>
    <t>Okalta Oilmont No 2</t>
  </si>
  <si>
    <t>https://sigpeg.mrn.gouv.qc.ca/rapport/P_A085_inspection_2018-07-12_publique.pdf</t>
  </si>
  <si>
    <t>Okalta Oilmont No 1</t>
  </si>
  <si>
    <t>https://sigpeg.mrn.gouv.qc.ca/rapport/P_A084_inspection_2018-07-12_publique.pdf</t>
  </si>
  <si>
    <t>SOQUIP Soligaz, Varennes No 1</t>
  </si>
  <si>
    <t>https://sigpeg.mrn.gouv.qc.ca/rapport/P_A208_inspection_2018-09-19_publique.pdf</t>
  </si>
  <si>
    <t>SNC SOQUIP Soligaz, Varennes No 4</t>
  </si>
  <si>
    <t>https://sigpeg.mrn.gouv.qc.ca/rapport/P_A220_inspection_2018-09-19_publique.pdf</t>
  </si>
  <si>
    <t>SOQUIP Soligaz, Varennes No 5</t>
  </si>
  <si>
    <t>https://sigpeg.mrn.gouv.qc.ca/rapport/P_A212_inspection_2018-09-19_publique.pdf</t>
  </si>
  <si>
    <t>SOQUIP Soligaz, Varennes No 2</t>
  </si>
  <si>
    <t>SOQUIP Soligaz, Varennes No 6</t>
  </si>
  <si>
    <t>https://sigpeg.mrn.gouv.qc.ca/rapport/P_A209_inspection_2018-09-19_publique.pdf</t>
  </si>
  <si>
    <t>SNC SOQUIP Soligaz, Varennes No 2</t>
  </si>
  <si>
    <t>SNC SOQUIP Soligaz, Varennes No 3</t>
  </si>
  <si>
    <t>https://sigpeg.mrn.gouv.qc.ca/rapport/P_A218_inspection_2018-09-19_publique.pdf</t>
  </si>
  <si>
    <t>https://sigpeg.mrn.gouv.qc.ca/rapport/P_A219_inspection_2018-09-19_publique.pdf</t>
  </si>
  <si>
    <t>SNC SOQUIP Soligaz, Varennes No 1</t>
  </si>
  <si>
    <t>https://sigpeg.mrn.gouv.qc.ca/rapport/P_A217_inspection_2018-09-19_publique.pdf</t>
  </si>
  <si>
    <t>SOQUIP Soligaz, Varennes No 3a et 3b</t>
  </si>
  <si>
    <t>https://sigpeg.mrn.gouv.qc.ca/rapport/P_A210_inspection_2018-09-19_publique.pdf</t>
  </si>
  <si>
    <t>SOQUIP Soligaz, Varennes No 4</t>
  </si>
  <si>
    <t>https://sigpeg.mrn.gouv.qc.ca/rapport/P_A211_inspection_2018-09-19_publique.pdf</t>
  </si>
  <si>
    <t>https://sigpeg.mrn.gouv.qc.ca/rapport/P_A213_inspection_2018-09-19_publique.pdf</t>
  </si>
  <si>
    <t>Richelieu Gas, Saint-Denis No 2</t>
  </si>
  <si>
    <t>https://sigpeg.mrn.gouv.qc.ca/rapport/A109_insp_inactif_2019-11-18_Publique.pdf</t>
  </si>
  <si>
    <t>Saint-Hyacinthe No 1</t>
  </si>
  <si>
    <t>https://sigpeg.mrn.gouv.qc.ca/rapport/P_A108_inspection_2018-08-31_publique.pdf</t>
  </si>
  <si>
    <t>SOQUIP, Saint-Thomas-d'Aquin No 1</t>
  </si>
  <si>
    <t>https://sigpeg.mrn.gouv.qc.ca/rapport/P_A189_inspection_2018-10-30_publique.pdf</t>
  </si>
  <si>
    <t>National Gas No 2</t>
  </si>
  <si>
    <t>https://sigpeg.mrn.gouv.qc.ca/rapport/A082_insp_inactif_2019-11-19_Publique.pdf</t>
  </si>
  <si>
    <t>Canadian Natural Gas No 1</t>
  </si>
  <si>
    <t>Canadian Natural Gas No 2</t>
  </si>
  <si>
    <t>Canadian Natural Gas No 3</t>
  </si>
  <si>
    <t>https://sigpeg.mrn.gouv.qc.ca/rapport/A020_insp_inactif_2019-11-28_Publique.pdf</t>
  </si>
  <si>
    <t>https://sigpeg.mrn.gouv.qc.ca/rapport/A021_insp_inactif_2019-11-28_Publique.pdf</t>
  </si>
  <si>
    <t>https://sigpeg.mrn.gouv.qc.ca/rapport/A022_insp_inactif_2019-11-20_Publique.pdf</t>
  </si>
  <si>
    <t>Sainte-Rosalie No 1</t>
  </si>
  <si>
    <t>https://sigpeg.mrn.gouv.qc.ca/rapport/A115_insp_inactif_2019-11-21_Publique.pdf</t>
  </si>
  <si>
    <t>Sainte-Rosalie No 2</t>
  </si>
  <si>
    <t>https://sigpeg.mrn.gouv.qc.ca/rapport/A116_insp_inactif_2019-11-21_Publique.pdf</t>
  </si>
  <si>
    <t>SOQUIP et al., Sainte-Hélène No 1</t>
  </si>
  <si>
    <t>https://sigpeg.mrn.gouv.qc.ca/rapport/P_A181_inspection_2018-10-30_publique.pdf</t>
  </si>
  <si>
    <t>Coupal No 1</t>
  </si>
  <si>
    <t>https://sigpeg.mrn.gouv.qc.ca/rapport/A036_insp_inactif_2019-09-24_Publique.pdf</t>
  </si>
  <si>
    <t>Eastern Canada Gas &amp; Oil No 9, Sainte-Anne-de-Sabrevois</t>
  </si>
  <si>
    <t>https://sigpeg.mrn.gouv.qc.ca/rapport/A045_insp_inactif_2019-10-01_Publique.pdf</t>
  </si>
  <si>
    <t>Canbriam, Farnham No 1</t>
  </si>
  <si>
    <t>https://sigpeg.mrn.gouv.qc.ca/rapport/A271_insp_inactif_2019-04-23_Publiquee.pdf</t>
  </si>
  <si>
    <t>Lozo and Joseph No 2</t>
  </si>
  <si>
    <t>https://sigpeg.mrn.gouv.qc.ca/rapport/A077_insp_inactif_2019-11-04_Publique.pdf</t>
  </si>
  <si>
    <t>Eastern Canada No 5</t>
  </si>
  <si>
    <t>https://sigpeg.mrn.gouv.qc.ca/rapport/A042_insp_inactif_2019-10-02_Publique.pdf</t>
  </si>
  <si>
    <t>Eastern Canada No 2</t>
  </si>
  <si>
    <t>https://sigpeg.mrn.gouv.qc.ca/rapport/A039_insp_inactif_2019-11-04_Publique.pdf</t>
  </si>
  <si>
    <t>Senigon No 1</t>
  </si>
  <si>
    <t>https://sigpeg.mrn.gouv.qc.ca/rapport/A120_insp_inactif_2019-10-08_Publique.pdf</t>
  </si>
  <si>
    <t>Depth (m/sol or m/KB)</t>
  </si>
  <si>
    <t>A-Basses-Terres (sols consolidés)</t>
  </si>
  <si>
    <t>Cable</t>
  </si>
  <si>
    <t>Sandstone, limestone</t>
  </si>
  <si>
    <t>Bald Mountain Oil Co.</t>
  </si>
  <si>
    <t>Ground elevation (m/mer)</t>
  </si>
  <si>
    <t>Core drilling</t>
  </si>
  <si>
    <t>Dolomite, sandstone</t>
  </si>
  <si>
    <t>Deepest casing base (m/sol ou m/KB)</t>
  </si>
  <si>
    <t>Calcareous shale, limestone, shale, calcareous sandstone, dolomite</t>
  </si>
  <si>
    <t>Eastern Canada Gas &amp; Oil Ltd.</t>
  </si>
  <si>
    <t>Shale, siltstone</t>
  </si>
  <si>
    <t>Rotary</t>
  </si>
  <si>
    <t>Unconsolidated deposits, fractured shale, siltstone</t>
  </si>
  <si>
    <t>Laduboro Oil Ltd.</t>
  </si>
  <si>
    <t>Cable and rotary</t>
  </si>
  <si>
    <t>Shale, limestone</t>
  </si>
  <si>
    <t>Lowlands Exploration Ltd.</t>
  </si>
  <si>
    <t>Shale</t>
  </si>
  <si>
    <t>Oil Selections Ltd.</t>
  </si>
  <si>
    <t>Limestone, shale</t>
  </si>
  <si>
    <t>Limestone</t>
  </si>
  <si>
    <t>N.D.</t>
  </si>
  <si>
    <t>The Quebec Fuel Company</t>
  </si>
  <si>
    <t>Senneterre Metals Mines Ltd.</t>
  </si>
  <si>
    <t>Verchères Ore Oil Corporation</t>
  </si>
  <si>
    <t>Robert Gélinas</t>
  </si>
  <si>
    <t>Limestone, dolomite, sandstone</t>
  </si>
  <si>
    <t>La société d'Exploration minière Morin &amp; Grad</t>
  </si>
  <si>
    <t>Shell Quebec Limited</t>
  </si>
  <si>
    <t>Canada-Cities Service Ltd.</t>
  </si>
  <si>
    <t>Shale, limestone, dolomite, sandstone, precambrian base</t>
  </si>
  <si>
    <t>Shale, limestone, sandstone, precambrian base</t>
  </si>
  <si>
    <t>Soquip</t>
  </si>
  <si>
    <t>Intermont</t>
  </si>
  <si>
    <t xml:space="preserve">Shale, limestone, dolomite, sandstone </t>
  </si>
  <si>
    <t>Texaco Canada Ressources Ltd.</t>
  </si>
  <si>
    <t>Siltstone, shale, limestone, sandstone, dolomite</t>
  </si>
  <si>
    <t xml:space="preserve">Sandstone </t>
  </si>
  <si>
    <t>Bow Valley Industries Ltd.</t>
  </si>
  <si>
    <t>Genoil Inc.</t>
  </si>
  <si>
    <t>Limestone, mafic dyke</t>
  </si>
  <si>
    <t>St. Paul Oil and Gas Corporation Ltd.</t>
  </si>
  <si>
    <t>B-Basses-Terres (sol non cosolidés)</t>
  </si>
  <si>
    <t>Manual drilling</t>
  </si>
  <si>
    <t>Sand, clay</t>
  </si>
  <si>
    <t>Pères de la Fraternité Sacerdotale</t>
  </si>
  <si>
    <t>Sand</t>
  </si>
  <si>
    <t>Clay</t>
  </si>
  <si>
    <t>Corporation des Gaz et Pétroles du Lac St-Pierre Ltée</t>
  </si>
  <si>
    <t>Clay, sand, limestone, gravel</t>
  </si>
  <si>
    <t>Shale, sand, gravel</t>
  </si>
  <si>
    <t>Clay, sand, gravel, shale, siltstone</t>
  </si>
  <si>
    <t>Louiseville Gas &amp; Oil Ltd.</t>
  </si>
  <si>
    <t>J.A. Roy &amp; J. Fortin</t>
  </si>
  <si>
    <t>Seaway Gas &amp; Oil Ltd.</t>
  </si>
  <si>
    <t>Senneterre Metals Gas &amp; Oil Ltd.</t>
  </si>
  <si>
    <t>Sable, clay, gravel</t>
  </si>
  <si>
    <t>Clay, sand</t>
  </si>
  <si>
    <t>Gravel</t>
  </si>
  <si>
    <t>Louvicourt Goldfield Corporation</t>
  </si>
  <si>
    <t>Les Ressources Naturelles Jaltin Inc.</t>
  </si>
  <si>
    <t>Sand, gravel, rock</t>
  </si>
  <si>
    <t xml:space="preserve">Clay, sand, gravel </t>
  </si>
  <si>
    <t>Clay, sand, gravel</t>
  </si>
  <si>
    <t>Démétrius Baril</t>
  </si>
  <si>
    <t>Léo-Paul Kay</t>
  </si>
  <si>
    <t>C-Gaspésie</t>
  </si>
  <si>
    <t>Sandstone, siltstone</t>
  </si>
  <si>
    <t>Canada Petroleum Company</t>
  </si>
  <si>
    <t>Sandstone,limestone, shale</t>
  </si>
  <si>
    <t>Siltstone, sandstone</t>
  </si>
  <si>
    <t>Sandstone, limestone, siltstone</t>
  </si>
  <si>
    <t>Sandstone</t>
  </si>
  <si>
    <t>Gaspé Oil Co.</t>
  </si>
  <si>
    <t>Petroleum Oil Trust</t>
  </si>
  <si>
    <t>Sandstone, shale</t>
  </si>
  <si>
    <t>Sandstone, limestone, shale</t>
  </si>
  <si>
    <t>Limestone, sandstone</t>
  </si>
  <si>
    <t>Compagnie Minière Gaspésie Ltée</t>
  </si>
  <si>
    <t>Pétro Gaspé Inc.</t>
  </si>
  <si>
    <t>Gaspésie soc d'explo</t>
  </si>
  <si>
    <t>Siltstone, limestone, shale</t>
  </si>
  <si>
    <t>Abba Quebec Resources Inc.</t>
  </si>
  <si>
    <t>Limestone, clay, sandstone</t>
  </si>
  <si>
    <t>Émilien Séguin</t>
  </si>
  <si>
    <t>D-Anticosti / Estuaire du St-Laurent</t>
  </si>
  <si>
    <t>Land Coil Hybrid Rig</t>
  </si>
  <si>
    <t>Corridor Resources Inc.</t>
  </si>
  <si>
    <t>E-Nord du Québec</t>
  </si>
  <si>
    <t>Saguenay Oil and Natural Gas Company Ltd.</t>
  </si>
  <si>
    <t>Bald Mountain, Bastican No 3</t>
  </si>
  <si>
    <t>https://sigpeg.mrn.gouv.qc.ca/rapport/A005_insp_inactif_2019-11-27_Publique.pdf</t>
  </si>
  <si>
    <t>https://sigpeg.mrn.gouv.qc.ca/gpg/classes/ficheDescriptive?type=popup&amp;mode=fichePuits&amp;menu=puit&amp;table=GPG_ENTRE_PUITS&amp;cle=A005</t>
  </si>
  <si>
    <t>Bald Mountain, Bastican No 4</t>
  </si>
  <si>
    <t>Limestone, siltstone, shale</t>
  </si>
  <si>
    <t>https://sigpeg.mrn.gouv.qc.ca/rapport/P_A006_inspection_2018-11-01_publique.pdf</t>
  </si>
  <si>
    <t>https://sigpeg.mrn.gouv.qc.ca/gpg/classes/ficheDescriptive?type=popup&amp;mode=fichePuits&amp;menu=puit&amp;table=GPG_ENTRE_PUITS&amp;cle=A006</t>
  </si>
  <si>
    <t>Bald Mountain, Bastican No 5</t>
  </si>
  <si>
    <t>Limestone, sandstone, siltstone, shale</t>
  </si>
  <si>
    <t>https://sigpeg.mrn.gouv.qc.ca/gpg/classes/ficheDescriptive?type=popup&amp;mode=fichePuits&amp;menu=puit&amp;table=GPG_ENTRE_PUITS&amp;cle=A007</t>
  </si>
  <si>
    <t>https://sigpeg.mrn.gouv.qc.ca/rapport/P_A007_inspection_2018-11-07_publique.pdf</t>
  </si>
  <si>
    <t>Bald Mountain, Cap-Santé No 1</t>
  </si>
  <si>
    <t>Limestone, sandstone, gneiss</t>
  </si>
  <si>
    <t>https://sigpeg.mrn.gouv.qc.ca/gpg/classes/ficheDescriptive?type=popup&amp;mode=fichePuits&amp;menu=puit&amp;table=GPG_ENTRE_PUITS&amp;cle=A009</t>
  </si>
  <si>
    <t>https://sigpeg.mrn.gouv.qc.ca/rapport/A009_insp_inactif_2019-05-15_Publique.pdf</t>
  </si>
  <si>
    <t>Bald Mountain, Cap-Santé No 2</t>
  </si>
  <si>
    <t>Limestone, shale, quartzite</t>
  </si>
  <si>
    <t>https://sigpeg.mrn.gouv.qc.ca/gpg/classes/ficheDescriptive?type=popup&amp;mode=fichePuits&amp;menu=puit&amp;table=GPG_ENTRE_PUITS&amp;cle=A010</t>
  </si>
  <si>
    <t>https://sigpeg.mrn.gouv.qc.ca/rapport/A010_insp_inactif_2019-05-15_Publique.pdf</t>
  </si>
  <si>
    <t>Bald Mountain, La Pérade No 2</t>
  </si>
  <si>
    <t>https://sigpeg.mrn.gouv.qc.ca/gpg/classes/ficheDescriptive?type=popup&amp;mode=fichePuits&amp;menu=puit&amp;table=GPG_ENTRE_PUITS&amp;cle=A011</t>
  </si>
  <si>
    <t>https://sigpeg.mrn.gouv.qc.ca/rapport/A011_insp_inactif_2019-05-07_Publique.pdf</t>
  </si>
  <si>
    <t>Bald Mountain, Louiseville No 1</t>
  </si>
  <si>
    <t>Limestone, dolomite</t>
  </si>
  <si>
    <t>https://sigpeg.mrn.gouv.qc.ca/gpg/classes/ficheDescriptive?type=popup&amp;mode=fichePuits&amp;menu=puit&amp;table=GPG_ENTRE_PUITS&amp;cle=A012</t>
  </si>
  <si>
    <t>https://sigpeg.mrn.gouv.qc.ca/rapport/A012_insp_inactif_2019-09-13_Publique.pdf</t>
  </si>
  <si>
    <t>Bald Mountain, Louiseville No 2</t>
  </si>
  <si>
    <t>Limestone, sandstone, dolomite</t>
  </si>
  <si>
    <t>https://sigpeg.mrn.gouv.qc.ca/gpg/classes/ficheDescriptive?type=popup&amp;mode=fichePuits&amp;menu=puit&amp;table=GPG_ENTRE_PUITS&amp;cle=A013</t>
  </si>
  <si>
    <t>https://sigpeg.mrn.gouv.qc.ca/rapport/A013_insp_inactif_2019-09-13_Publique.pdf</t>
  </si>
  <si>
    <t>Bald Mountain, Portneuf No 1</t>
  </si>
  <si>
    <t>Shale, limestone, sandstone, dolomite, gneiss</t>
  </si>
  <si>
    <t>https://sigpeg.mrn.gouv.qc.ca/gpg/classes/ficheDescriptive?type=popup&amp;mode=fichePuits&amp;menu=puit&amp;table=GPG_ENTRE_PUITS&amp;cle=A015</t>
  </si>
  <si>
    <t>https://sigpeg.mrn.gouv.qc.ca/rapport/A015_insp_inactif_2019-07-16_Publique.pdf</t>
  </si>
  <si>
    <t>Bald Mountain, Portneuf No 2</t>
  </si>
  <si>
    <t>Limestone, gneiss</t>
  </si>
  <si>
    <t>https://sigpeg.mrn.gouv.qc.ca/gpg/classes/ficheDescriptive?type=popup&amp;mode=fichePuits&amp;menu=puit&amp;table=GPG_ENTRE_PUITS&amp;cle=A016</t>
  </si>
  <si>
    <t>https://sigpeg.mrn.gouv.qc.ca/rapport/A016_insp_inactif_2019-05-07_Publique.pdf</t>
  </si>
  <si>
    <t>Bald Mountain, Sainte-Geneviève-de-Batiscan No 2</t>
  </si>
  <si>
    <t>https://sigpeg.mrn.gouv.qc.ca/gpg/classes/ficheDescriptive?type=popup&amp;mode=fichePuits&amp;menu=puit&amp;table=GPG_ENTRE_PUITS&amp;cle=A017</t>
  </si>
  <si>
    <t>https://sigpeg.mrn.gouv.qc.ca/rapport/P_A017_inspection_2018-11-19_publique.pdf</t>
  </si>
  <si>
    <t>Canadian Natural Gas Co.</t>
  </si>
  <si>
    <t>https://sigpeg.mrn.gouv.qc.ca/gpg/classes/ficheDescriptive?type=popup&amp;mode=fichePuits&amp;menu=puit&amp;table=GPG_ENTRE_PUITS&amp;cle=A020</t>
  </si>
  <si>
    <t>Shale, sandstone, siltstone</t>
  </si>
  <si>
    <t>https://sigpeg.mrn.gouv.qc.ca/gpg/classes/ficheDescriptive?type=popup&amp;mode=fichePuits&amp;menu=puit&amp;table=GPG_ENTRE_PUITS&amp;cle=A021</t>
  </si>
  <si>
    <t>https://sigpeg.mrn.gouv.qc.ca/gpg/classes/ficheDescriptive?type=popup&amp;mode=fichePuits&amp;menu=puit&amp;table=GPG_ENTRE_PUITS&amp;cle=A022</t>
  </si>
  <si>
    <t>Canadian Seaboard, Saint-Gérard No 1</t>
  </si>
  <si>
    <t>Limestone, shale, sandstone, dolomite</t>
  </si>
  <si>
    <t>Canadian Seabord Oil &amp; Gas Ltd.</t>
  </si>
  <si>
    <t>https://sigpeg.mrn.gouv.qc.ca/rapport/A026_insp_inactif_2019-07-31_Publique.pdf</t>
  </si>
  <si>
    <t>https://sigpeg.mrn.gouv.qc.ca/gpg/classes/ficheDescriptive?type=popup&amp;mode=fichePuits&amp;menu=puit&amp;table=GPG_ENTRE_PUITS&amp;cle=A026</t>
  </si>
  <si>
    <t>Canso Saint-Maurice, Saint-Léon No 1</t>
  </si>
  <si>
    <t>Canso Natural Gas Ltd.</t>
  </si>
  <si>
    <t>https://sigpeg.mrn.gouv.qc.ca/rapport/P_A028_inspection_2018-10-03_publique.pdf</t>
  </si>
  <si>
    <t>https://sigpeg.mrn.gouv.qc.ca/gpg/classes/ficheDescriptive?type=popup&amp;mode=fichePuits&amp;menu=puit&amp;table=GPG_ENTRE_PUITS&amp;cle=A028</t>
  </si>
  <si>
    <t>Cartier Natural Gas No 5</t>
  </si>
  <si>
    <t>Limestone, shale, sandstone</t>
  </si>
  <si>
    <t>Cartier Natural Gas Co.</t>
  </si>
  <si>
    <t>https://sigpeg.mrn.gouv.qc.ca/rapport/A031_insp_inactif_2019-08-20_Publique.pdf</t>
  </si>
  <si>
    <t>https://sigpeg.mrn.gouv.qc.ca/gpg/classes/ficheDescriptive?type=popup&amp;mode=fichePuits&amp;menu=puit&amp;table=GPG_ENTRE_PUITS&amp;cle=A031</t>
  </si>
  <si>
    <t>Madeleine No 1</t>
  </si>
  <si>
    <t>Châteauguay Gas &amp; Oil Co.</t>
  </si>
  <si>
    <t>https://sigpeg.mrn.gouv.qc.ca/rapport/A033_insp_inactif_2019-10-07_Publique.pdf</t>
  </si>
  <si>
    <t>https://sigpeg.mrn.gouv.qc.ca/gpg/classes/ficheDescriptive?type=popup&amp;mode=fichePuits&amp;menu=puit&amp;table=GPG_ENTRE_PUITS&amp;cle=A033</t>
  </si>
  <si>
    <t>Laduboro Verchères Saint-Pierre No 3, Yamachiche</t>
  </si>
  <si>
    <t>https://sigpeg.mrn.gouv.qc.ca/rapport/P_A035_inspection_2018-09-18_publique.pdf</t>
  </si>
  <si>
    <t>https://sigpeg.mrn.gouv.qc.ca/gpg/classes/ficheDescriptive?type=popup&amp;mode=fichePuits&amp;menu=puit&amp;table=GPG_ENTRE_PUITS&amp;cle=A035</t>
  </si>
  <si>
    <t>Shale, syenite</t>
  </si>
  <si>
    <t>Louis Coupal</t>
  </si>
  <si>
    <t>https://sigpeg.mrn.gouv.qc.ca/gpg/classes/ficheDescriptive?type=popup&amp;mode=fichePuits&amp;menu=puit&amp;table=GPG_ENTRE_PUITS&amp;cle=A036</t>
  </si>
  <si>
    <t>Nicolet No 1</t>
  </si>
  <si>
    <t>Croinor Perching Mines Ltd.</t>
  </si>
  <si>
    <t>https://sigpeg.mrn.gouv.qc.ca/rapport/A037_insp_inactif_2019-07-22_Publique.pdf</t>
  </si>
  <si>
    <t>https://sigpeg.mrn.gouv.qc.ca/gpg/classes/ficheDescriptive?type=popup&amp;mode=fichePuits&amp;menu=puit&amp;table=GPG_ENTRE_PUITS&amp;cle=A037</t>
  </si>
  <si>
    <t>Dolomite</t>
  </si>
  <si>
    <t>https://sigpeg.mrn.gouv.qc.ca/gpg/classes/ficheDescriptive?type=popup&amp;mode=fichePuits&amp;menu=puit&amp;table=GPG_ENTRE_PUITS&amp;cle=A039</t>
  </si>
  <si>
    <t>https://sigpeg.mrn.gouv.qc.ca/gpg/classes/ficheDescriptive?type=popup&amp;mode=fichePuits&amp;menu=puit&amp;table=GPG_ENTRE_PUITS&amp;cle=A042</t>
  </si>
  <si>
    <t>https://sigpeg.mrn.gouv.qc.ca/gpg/classes/ficheDescriptive?type=popup&amp;mode=fichePuits&amp;menu=puit&amp;table=GPG_ENTRE_PUITS&amp;cle=A045</t>
  </si>
  <si>
    <t>Ferme expérimentale de l'Assomption</t>
  </si>
  <si>
    <t>Limestone, shale, dolomite</t>
  </si>
  <si>
    <t>Government of Canada</t>
  </si>
  <si>
    <t>https://sigpeg.mrn.gouv.qc.ca/rapport/P_A046_inspection_2018-06-20_publique.pdf</t>
  </si>
  <si>
    <t>https://sigpeg.mrn.gouv.qc.ca/gpg/classes/ficheDescriptive?type=popup&amp;mode=fichePuits&amp;menu=puit&amp;table=GPG_ENTRE_PUITS&amp;cle=A046</t>
  </si>
  <si>
    <t>Forest</t>
  </si>
  <si>
    <t>https://sigpeg.mrn.gouv.qc.ca/rapport/A047_insp_inactif_2019-08-01_Publique.pdf</t>
  </si>
  <si>
    <t>https://sigpeg.mrn.gouv.qc.ca/gpg/classes/ficheDescriptive?type=popup&amp;mode=fichePuits&amp;menu=puit&amp;table=GPG_ENTRE_PUITS&amp;cle=A047</t>
  </si>
  <si>
    <t>Gélinas No 4</t>
  </si>
  <si>
    <t>Germain Gélinas</t>
  </si>
  <si>
    <t>https://sigpeg.mrn.gouv.qc.ca/rapport/P_A050_inspection_2018-11-15_publique.pdf</t>
  </si>
  <si>
    <t>https://sigpeg.mrn.gouv.qc.ca/gpg/classes/ficheDescriptive?type=popup&amp;mode=fichePuits&amp;menu=puit&amp;table=GPG_ENTRE_PUITS&amp;cle=A050</t>
  </si>
  <si>
    <t>Fortierville No 1</t>
  </si>
  <si>
    <t>A.E. Goyette</t>
  </si>
  <si>
    <t>https://sigpeg.mrn.gouv.qc.ca/rapport/A051_insp_inactif_2019-08-01_Publique.pdf</t>
  </si>
  <si>
    <t>https://sigpeg.mrn.gouv.qc.ca/gpg/classes/ficheDescriptive?type=popup&amp;mode=fichePuits&amp;menu=puit&amp;table=GPG_ENTRE_PUITS&amp;cle=A051</t>
  </si>
  <si>
    <t>Sweet Grass, Yamachiche No 4</t>
  </si>
  <si>
    <t>Great Sweet Grass Oils Ltd.</t>
  </si>
  <si>
    <t>https://sigpeg.mrn.gouv.qc.ca/rapport/A054_insp_inactif_2019-08-21_Publique.pdf</t>
  </si>
  <si>
    <t>https://sigpeg.mrn.gouv.qc.ca/gpg/classes/ficheDescriptive?type=popup&amp;mode=fichePuits&amp;menu=puit&amp;table=GPG_ENTRE_PUITS&amp;cle=A054</t>
  </si>
  <si>
    <t>Laduboro No 1, La Baie Yamaska</t>
  </si>
  <si>
    <t>https://sigpeg.mrn.gouv.qc.ca/rapport/A061_insp_inactif_2019-06-27_Publique.pdf</t>
  </si>
  <si>
    <t>https://sigpeg.mrn.gouv.qc.ca/gpg/classes/ficheDescriptive?type=popup&amp;mode=fichePuits&amp;menu=puit&amp;table=GPG_ENTRE_PUITS&amp;cle=A061</t>
  </si>
  <si>
    <t>Laduboro No 2, La Baie Yamaska</t>
  </si>
  <si>
    <t>https://sigpeg.mrn.gouv.qc.ca/rapport/A062_insp_inactif_2019-06-27_Publique.pdf</t>
  </si>
  <si>
    <t>https://sigpeg.mrn.gouv.qc.ca/gpg/classes/ficheDescriptive?type=popup&amp;mode=fichePuits&amp;menu=puit&amp;table=GPG_ENTRE_PUITS&amp;cle=A062</t>
  </si>
  <si>
    <t>Laduboro No 3, La Baie Yamaska</t>
  </si>
  <si>
    <t>https://sigpeg.mrn.gouv.qc.ca/rapport/A063_insp_inactif_2019-06-27_Publique.pdf</t>
  </si>
  <si>
    <t>https://sigpeg.mrn.gouv.qc.ca/gpg/classes/ficheDescriptive?type=popup&amp;mode=fichePuits&amp;menu=puit&amp;table=GPG_ENTRE_PUITS&amp;cle=A063</t>
  </si>
  <si>
    <t>Laduboro No 5, La Baie Yamaska</t>
  </si>
  <si>
    <t>Sandstone, granite</t>
  </si>
  <si>
    <t>https://sigpeg.mrn.gouv.qc.ca/rapport/A065_insp_inactif_2019-06-27_Publique.pdf</t>
  </si>
  <si>
    <t>https://sigpeg.mrn.gouv.qc.ca/gpg/classes/ficheDescriptive?type=popup&amp;mode=fichePuits&amp;menu=puit&amp;table=GPG_ENTRE_PUITS&amp;cle=A065</t>
  </si>
  <si>
    <t>Lounan No 1</t>
  </si>
  <si>
    <t>F.X. Vézina</t>
  </si>
  <si>
    <t>https://sigpeg.mrn.gouv.qc.ca/rapport/A068_insp_inactif_2019-08-15_Publique.pdf</t>
  </si>
  <si>
    <t>https://sigpeg.mrn.gouv.qc.ca/gpg/classes/ficheDescriptive?type=popup&amp;mode=fichePuits&amp;menu=puit&amp;table=GPG_ENTRE_PUITS&amp;cle=A068</t>
  </si>
  <si>
    <t>https://sigpeg.mrn.gouv.qc.ca/rapport/A069_insp_inactif_2019-07-24_Publique.pdf</t>
  </si>
  <si>
    <t>https://sigpeg.mrn.gouv.qc.ca/gpg/classes/ficheDescriptive?type=popup&amp;mode=fichePuits&amp;menu=puit&amp;table=GPG_ENTRE_PUITS&amp;cle=A069</t>
  </si>
  <si>
    <t>https://sigpeg.mrn.gouv.qc.ca/rapport/A070_insp_inactif_2019-08-22_Publique.pdf</t>
  </si>
  <si>
    <t>https://sigpeg.mrn.gouv.qc.ca/gpg/classes/ficheDescriptive?type=popup&amp;mode=fichePuits&amp;menu=puit&amp;table=GPG_ENTRE_PUITS&amp;cle=A070</t>
  </si>
  <si>
    <t>Impérial Lowlands No 4, Lotbinière</t>
  </si>
  <si>
    <t>Impérial Lowlands No 2</t>
  </si>
  <si>
    <t>Impérial Lowlands No 1</t>
  </si>
  <si>
    <t>https://sigpeg.mrn.gouv.qc.ca/rapport/A072_insp_inactif_2019-07-24_Publique.pdf</t>
  </si>
  <si>
    <t>https://sigpeg.mrn.gouv.qc.ca/gpg/classes/ficheDescriptive?type=popup&amp;mode=fichePuits&amp;menu=puit&amp;table=GPG_ENTRE_PUITS&amp;cle=A072</t>
  </si>
  <si>
    <t>Impérial Lowlands No 6, Nicolet</t>
  </si>
  <si>
    <t>https://sigpeg.mrn.gouv.qc.ca/rapport/A073_insp_inactif_2019-11-04_Publique.pdf</t>
  </si>
  <si>
    <t>https://sigpeg.mrn.gouv.qc.ca/gpg/classes/ficheDescriptive?type=popup&amp;mode=fichePuits&amp;menu=puit&amp;table=GPG_ENTRE_PUITS&amp;cle=A073</t>
  </si>
  <si>
    <t>Impérial Lowlands Seaway No 1, Champlain</t>
  </si>
  <si>
    <t>https://sigpeg.mrn.gouv.qc.ca/rapport/P_A074_inspection_2018-11-07_publique.pdf</t>
  </si>
  <si>
    <t>https://sigpeg.mrn.gouv.qc.ca/gpg/classes/ficheDescriptive?type=popup&amp;mode=fichePuits&amp;menu=puit&amp;table=GPG_ENTRE_PUITS&amp;cle=A074</t>
  </si>
  <si>
    <t>Impérial Lowlands, Verchères No 1</t>
  </si>
  <si>
    <t>Dolomite, shale</t>
  </si>
  <si>
    <t>https://sigpeg.mrn.gouv.qc.ca/rapport/A075_insp_inactif_2019-09-27_Publique.pdf</t>
  </si>
  <si>
    <t>https://sigpeg.mrn.gouv.qc.ca/gpg/classes/ficheDescriptive?type=popup&amp;mode=fichePuits&amp;menu=puit&amp;table=GPG_ENTRE_PUITS&amp;cle=A075</t>
  </si>
  <si>
    <t>Lozo Oil Co.</t>
  </si>
  <si>
    <t>https://sigpeg.mrn.gouv.qc.ca/gpg/classes/ficheDescriptive?type=popup&amp;mode=fichePuits&amp;menu=puit&amp;table=GPG_ENTRE_PUITS&amp;cle=A077</t>
  </si>
  <si>
    <t>Mallet No 1</t>
  </si>
  <si>
    <t>Laurentides</t>
  </si>
  <si>
    <t>Limestone, sandstone, shale, dolomite</t>
  </si>
  <si>
    <t>Vicomte Roger de Roumefort</t>
  </si>
  <si>
    <t>https://sigpeg.mrn.gouv.qc.ca/rapport/A079_insp_inactif_2019-09-03_Publique.pdf</t>
  </si>
  <si>
    <t>https://sigpeg.mrn.gouv.qc.ca/gpg/classes/ficheDescriptive?type=popup&amp;mode=fichePuits&amp;menu=puit&amp;table=GPG_ENTRE_PUITS&amp;cle=A079</t>
  </si>
  <si>
    <t>Geology from end of last casing to bottom of well</t>
  </si>
  <si>
    <t>National Gas Company</t>
  </si>
  <si>
    <t>https://sigpeg.mrn.gouv.qc.ca/gpg/classes/ficheDescriptive?type=popup&amp;mode=fichePuits&amp;menu=puit&amp;table=GPG_ENTRE_PUITS&amp;cle=A082</t>
  </si>
  <si>
    <t>Laval</t>
  </si>
  <si>
    <t>Oilmont Petroleums Co.</t>
  </si>
  <si>
    <t>https://sigpeg.mrn.gouv.qc.ca/gpg/classes/ficheDescriptive?type=popup&amp;mode=fichePuits&amp;menu=puit&amp;table=GPG_ENTRE_PUITS&amp;cle=A084</t>
  </si>
  <si>
    <t>https://sigpeg.mrn.gouv.qc.ca/gpg/classes/ficheDescriptive?type=popup&amp;mode=fichePuits&amp;menu=puit&amp;table=GPG_ENTRE_PUITS&amp;cle=A085</t>
  </si>
  <si>
    <t>Oil Selections No 2</t>
  </si>
  <si>
    <t>https://sigpeg.mrn.gouv.qc.ca/rapport/A086_insp_inactif_2019-11-13_Publique.pdf</t>
  </si>
  <si>
    <t>https://sigpeg.mrn.gouv.qc.ca/gpg/classes/ficheDescriptive?type=popup&amp;mode=fichePuits&amp;menu=puit&amp;table=GPG_ENTRE_PUITS&amp;cle=A086</t>
  </si>
  <si>
    <t>Oil Selections No 6</t>
  </si>
  <si>
    <t>https://sigpeg.mrn.gouv.qc.ca/rapport/A088_insp_inactif_2019-10-28_Publique.pdf</t>
  </si>
  <si>
    <t>https://sigpeg.mrn.gouv.qc.ca/gpg/classes/ficheDescriptive?type=popup&amp;mode=fichePuits&amp;menu=puit&amp;table=GPG_ENTRE_PUITS&amp;cle=A088</t>
  </si>
  <si>
    <t>https://sigpeg.mrn.gouv.qc.ca/gpg/classes/ficheDescriptive?type=popup&amp;mode=fichePuits&amp;menu=puit&amp;table=GPG_ENTRE_PUITS&amp;cle=A091</t>
  </si>
  <si>
    <t>Oil Selections No 11</t>
  </si>
  <si>
    <t>https://sigpeg.mrn.gouv.qc.ca/rapport/A092_insp_inactif_2019-11-21_Publique.pdf</t>
  </si>
  <si>
    <t>https://sigpeg.mrn.gouv.qc.ca/gpg/classes/ficheDescriptive?type=popup&amp;mode=fichePuits&amp;menu=puit&amp;table=GPG_ENTRE_PUITS&amp;cle=A092</t>
  </si>
  <si>
    <t>https://sigpeg.mrn.gouv.qc.ca/gpg/classes/ficheDescriptive?type=popup&amp;mode=fichePuits&amp;menu=puit&amp;table=GPG_ENTRE_PUITS&amp;cle=A094</t>
  </si>
  <si>
    <t>https://sigpeg.mrn.gouv.qc.ca/gpg/classes/ficheDescriptive?type=popup&amp;mode=fichePuits&amp;menu=puit&amp;table=GPG_ENTRE_PUITS&amp;cle=A095</t>
  </si>
  <si>
    <t>https://sigpeg.mrn.gouv.qc.ca/gpg/classes/ficheDescriptive?type=popup&amp;mode=fichePuits&amp;menu=puit&amp;table=GPG_ENTRE_PUITS&amp;cle=A096</t>
  </si>
  <si>
    <t>https://sigpeg.mrn.gouv.qc.ca/gpg/classes/ficheDescriptive?type=popup&amp;mode=fichePuits&amp;menu=puit&amp;table=GPG_ENTRE_PUITS&amp;cle=A098</t>
  </si>
  <si>
    <t>https://sigpeg.mrn.gouv.qc.ca/gpg/classes/ficheDescriptive?type=popup&amp;mode=fichePuits&amp;menu=puit&amp;table=GPG_ENTRE_PUITS&amp;cle=A099</t>
  </si>
  <si>
    <t>https://sigpeg.mrn.gouv.qc.ca/gpg/classes/ficheDescriptive?type=popup&amp;mode=fichePuits&amp;menu=puit&amp;table=GPG_ENTRE_PUITS&amp;cle=A101</t>
  </si>
  <si>
    <t>Québec Fuel No 1</t>
  </si>
  <si>
    <t>https://sigpeg.mrn.gouv.qc.ca/rapport/A104_insp_inactif_2019-09-24_Publique.pdf</t>
  </si>
  <si>
    <t>https://sigpeg.mrn.gouv.qc.ca/gpg/classes/ficheDescriptive?type=popup&amp;mode=fichePuits&amp;menu=puit&amp;table=GPG_ENTRE_PUITS&amp;cle=A104</t>
  </si>
  <si>
    <t>Québec Fuel No 3</t>
  </si>
  <si>
    <t>https://sigpeg.mrn.gouv.qc.ca/rapport/P_A106_inspection_2018-09-26_publique.pdf</t>
  </si>
  <si>
    <t>https://sigpeg.mrn.gouv.qc.ca/gpg/classes/ficheDescriptive?type=popup&amp;mode=fichePuits&amp;menu=puit&amp;table=GPG_ENTRE_PUITS&amp;cle=A106</t>
  </si>
  <si>
    <t>Quebec Lowlands Gas &amp; Oil Ltd.</t>
  </si>
  <si>
    <t>https://sigpeg.mrn.gouv.qc.ca/gpg/classes/ficheDescriptive?type=popup&amp;mode=fichePuits&amp;menu=puit&amp;table=GPG_ENTRE_PUITS&amp;cle=A108</t>
  </si>
  <si>
    <t>Richelieu Gas Co.</t>
  </si>
  <si>
    <t>https://sigpeg.mrn.gouv.qc.ca/gpg/classes/ficheDescriptive?type=popup&amp;mode=fichePuits&amp;menu=puit&amp;table=GPG_ENTRE_PUITS&amp;cle=A109</t>
  </si>
  <si>
    <t>Yvon L'Heureux</t>
  </si>
  <si>
    <t>https://sigpeg.mrn.gouv.qc.ca/gpg/classes/ficheDescriptive?type=popup&amp;mode=fichePuits&amp;menu=puit&amp;table=GPG_ENTRE_PUITS&amp;cle=A115</t>
  </si>
  <si>
    <t>Shale, sandstone</t>
  </si>
  <si>
    <t>https://sigpeg.mrn.gouv.qc.ca/gpg/classes/ficheDescriptive?type=popup&amp;mode=fichePuits&amp;menu=puit&amp;table=GPG_ENTRE_PUITS&amp;cle=A116</t>
  </si>
  <si>
    <t>Seaway Almega No 9, Saint-Maurice</t>
  </si>
  <si>
    <t>https://sigpeg.mrn.gouv.qc.ca/rapport/P_A117_inspection_2018-09-28_publique.pdf</t>
  </si>
  <si>
    <t>https://sigpeg.mrn.gouv.qc.ca/gpg/classes/ficheDescriptive?type=popup&amp;mode=fichePuits&amp;menu=puit&amp;table=GPG_ENTRE_PUITS&amp;cle=A117</t>
  </si>
  <si>
    <t>Senneterre métal, Gélinas No 1, Sainte-Angèle</t>
  </si>
  <si>
    <t>https://sigpeg.mrn.gouv.qc.ca/rapport/A118_insp_inactif_2019-05-08_Publique.pdf</t>
  </si>
  <si>
    <t>https://sigpeg.mrn.gouv.qc.ca/gpg/classes/ficheDescriptive?type=popup&amp;mode=fichePuits&amp;menu=puit&amp;table=GPG_ENTRE_PUITS&amp;cle=A118</t>
  </si>
  <si>
    <t>https://sigpeg.mrn.gouv.qc.ca/gpg/classes/ficheDescriptive?type=popup&amp;mode=fichePuits&amp;menu=puit&amp;table=GPG_ENTRE_PUITS&amp;cle=A120</t>
  </si>
  <si>
    <t>Trudel</t>
  </si>
  <si>
    <t>Mr. Poirier</t>
  </si>
  <si>
    <t>https://sigpeg.mrn.gouv.qc.ca/rapport/A123_insp_inactif_2019-08-01_Publique.pdf</t>
  </si>
  <si>
    <t>https://sigpeg.mrn.gouv.qc.ca/gpg/classes/ficheDescriptive?type=popup&amp;mode=fichePuits&amp;menu=puit&amp;table=GPG_ENTRE_PUITS&amp;cle=A123</t>
  </si>
  <si>
    <t>Oka No 1</t>
  </si>
  <si>
    <t>Oka Oil Company Limited</t>
  </si>
  <si>
    <t>https://sigpeg.mrn.gouv.qc.ca/rapport/A124_insp_inactif_2019-09-12_Publique.pdf</t>
  </si>
  <si>
    <t>https://sigpeg.mrn.gouv.qc.ca/gpg/classes/ficheDescriptive?type=popup&amp;mode=fichePuits&amp;menu=puit&amp;table=GPG_ENTRE_PUITS&amp;cle=A124</t>
  </si>
  <si>
    <t>Laduboro C.I.G. No 1, Nicolet</t>
  </si>
  <si>
    <t>https://sigpeg.mrn.gouv.qc.ca/rapport/A125_insp_inactif_2019-07-22_Publique.pdf</t>
  </si>
  <si>
    <t>https://sigpeg.mrn.gouv.qc.ca/gpg/classes/ficheDescriptive?type=popup&amp;mode=fichePuits&amp;menu=puit&amp;table=GPG_ENTRE_PUITS&amp;cle=A125</t>
  </si>
  <si>
    <t>Laduboro QIG et al No 1, Yamaska</t>
  </si>
  <si>
    <t>Limestone, shale, sandstone, dolomite, granite</t>
  </si>
  <si>
    <t>https://sigpeg.mrn.gouv.qc.ca/rapport/A126_insp_inactif_2019-11-14_Publique.pdf</t>
  </si>
  <si>
    <t>https://sigpeg.mrn.gouv.qc.ca/gpg/classes/ficheDescriptive?type=popup&amp;mode=fichePuits&amp;menu=puit&amp;table=GPG_ENTRE_PUITS&amp;cle=A126</t>
  </si>
  <si>
    <t>Quebec Natural Gas Company</t>
  </si>
  <si>
    <t>https://sigpeg.mrn.gouv.qc.ca/gpg/classes/ficheDescriptive?type=popup&amp;mode=fichePuits&amp;menu=puit&amp;table=GPG_ENTRE_PUITS&amp;cle=A136</t>
  </si>
  <si>
    <t>https://sigpeg.mrn.gouv.qc.ca/gpg/classes/ficheDescriptive?type=popup&amp;mode=fichePuits&amp;menu=puit&amp;table=GPG_ENTRE_PUITS&amp;cle=A139</t>
  </si>
  <si>
    <t>https://sigpeg.mrn.gouv.qc.ca/gpg/classes/ficheDescriptive?type=popup&amp;mode=fichePuits&amp;menu=puit&amp;table=GPG_ENTRE_PUITS&amp;cle=A140</t>
  </si>
  <si>
    <t>Québec Natural Gas No 1, L'Épiphanie</t>
  </si>
  <si>
    <t>https://sigpeg.mrn.gouv.qc.ca/rapport/A141_insp_inactif_2019-09-09_Publique.pdf</t>
  </si>
  <si>
    <t>https://sigpeg.mrn.gouv.qc.ca/gpg/classes/ficheDescriptive?type=popup&amp;mode=fichePuits&amp;menu=puit&amp;table=GPG_ENTRE_PUITS&amp;cle=A141</t>
  </si>
  <si>
    <t>Québec Natural Gas No 2, L'Épiphanie</t>
  </si>
  <si>
    <t>https://sigpeg.mrn.gouv.qc.ca/rapport/A142_insp_inactif_2019-08-14_Publique.pdf</t>
  </si>
  <si>
    <t>https://sigpeg.mrn.gouv.qc.ca/gpg/classes/ficheDescriptive?type=popup&amp;mode=fichePuits&amp;menu=puit&amp;table=GPG_ENTRE_PUITS&amp;cle=A142</t>
  </si>
  <si>
    <t>Senneterre No 2, Saint-Grégoire</t>
  </si>
  <si>
    <t>https://sigpeg.mrn.gouv.qc.ca/rapport/A143_insp_inactif_2019-06-06_Publique.pdf</t>
  </si>
  <si>
    <t>https://sigpeg.mrn.gouv.qc.ca/gpg/classes/ficheDescriptive?type=popup&amp;mode=fichePuits&amp;menu=puit&amp;table=GPG_ENTRE_PUITS&amp;cle=A143</t>
  </si>
  <si>
    <t>https://sigpeg.mrn.gouv.qc.ca/gpg/classes/ficheDescriptive?type=popup&amp;mode=fichePuits&amp;menu=puit&amp;table=GPG_ENTRE_PUITS&amp;cle=A144</t>
  </si>
  <si>
    <t>Québec Natural Gas No 1, Saint-Gérard-Magella</t>
  </si>
  <si>
    <t>https://sigpeg.mrn.gouv.qc.ca/rapport/A146_insp_inactif_2019-10-03_Publique.pdf</t>
  </si>
  <si>
    <t>https://sigpeg.mrn.gouv.qc.ca/gpg/classes/ficheDescriptive?type=popup&amp;mode=fichePuits&amp;menu=puit&amp;table=GPG_ENTRE_PUITS&amp;cle=A146</t>
  </si>
  <si>
    <t>Québec Natural Gas No 3, Saint-Gérard-Magella</t>
  </si>
  <si>
    <t>https://sigpeg.mrn.gouv.qc.ca/rapport/A148_insp_inactif_2019-08-14_Publique.pdf</t>
  </si>
  <si>
    <t>https://sigpeg.mrn.gouv.qc.ca/gpg/classes/ficheDescriptive?type=popup&amp;mode=fichePuits&amp;menu=puit&amp;table=GPG_ENTRE_PUITS&amp;cle=A148</t>
  </si>
  <si>
    <t>https://sigpeg.mrn.gouv.qc.ca/gpg/classes/ficheDescriptive?type=popup&amp;mode=fichePuits&amp;menu=puit&amp;table=GPG_ENTRE_PUITS&amp;cle=A151</t>
  </si>
  <si>
    <t>Laduboro No 6, La Baie Yamaska</t>
  </si>
  <si>
    <t>https://sigpeg.mrn.gouv.qc.ca/rapport/A153_insp_inactif_2019-07-24_Publique.pdf</t>
  </si>
  <si>
    <t>https://sigpeg.mrn.gouv.qc.ca/gpg/classes/ficheDescriptive?type=popup&amp;mode=fichePuits&amp;menu=puit&amp;table=GPG_ENTRE_PUITS&amp;cle=A153</t>
  </si>
  <si>
    <t>Salem No 1</t>
  </si>
  <si>
    <t>Salem Exploration Ltd.</t>
  </si>
  <si>
    <t>https://sigpeg.mrn.gouv.qc.ca/rapport/A154_insp_inactif_2019-10-23_Publique.pdf</t>
  </si>
  <si>
    <t>https://sigpeg.mrn.gouv.qc.ca/gpg/classes/ficheDescriptive?type=popup&amp;mode=fichePuits&amp;menu=puit&amp;table=GPG_ENTRE_PUITS&amp;cle=A154</t>
  </si>
  <si>
    <t>Husky, Gentilly No 1</t>
  </si>
  <si>
    <t>Husky Oil Ltd.</t>
  </si>
  <si>
    <t>https://sigpeg.mrn.gouv.qc.ca/rapport/A156_insp_inactif_2019-07-15_Publique.pdf</t>
  </si>
  <si>
    <t>https://sigpeg.mrn.gouv.qc.ca/gpg/classes/ficheDescriptive?type=popup&amp;mode=fichePuits&amp;menu=puit&amp;table=GPG_ENTRE_PUITS&amp;cle=A156</t>
  </si>
  <si>
    <t>SOQUIP Laduboro, Baieville No 1</t>
  </si>
  <si>
    <t>https://sigpeg.mrn.gouv.qc.ca/rapport/P_A159_inspection_2018-08-30_publique.pdf</t>
  </si>
  <si>
    <t>https://sigpeg.mrn.gouv.qc.ca/gpg/classes/ficheDescriptive?type=popup&amp;mode=fichePuits&amp;menu=puit&amp;table=GPG_ENTRE_PUITS&amp;cle=A159</t>
  </si>
  <si>
    <t>CPOG SOQUIP Sisque, Île d'Orléans No 1</t>
  </si>
  <si>
    <t>Shale, sandstone, metaquartzite, carbonates</t>
  </si>
  <si>
    <t>Canadian Pacifique Oil &amp; Gas Ltd.</t>
  </si>
  <si>
    <t>https://sigpeg.mrn.gouv.qc.ca/rapport/P_A160_inspection_2018-08-15_publique.pdf</t>
  </si>
  <si>
    <t>https://sigpeg.mrn.gouv.qc.ca/gpg/classes/ficheDescriptive?type=popup&amp;mode=fichePuits&amp;menu=puit&amp;table=GPG_ENTRE_PUITS&amp;cle=A160</t>
  </si>
  <si>
    <t>Shell, Wickham No 1</t>
  </si>
  <si>
    <t>Shale, sandstone, dolomite</t>
  </si>
  <si>
    <t>Shell Canada Limited</t>
  </si>
  <si>
    <t>https://sigpeg.mrn.gouv.qc.ca/rapport/A163_insp_inactif_2019-07-08_Publique.pdf</t>
  </si>
  <si>
    <t>https://sigpeg.mrn.gouv.qc.ca/gpg/classes/ficheDescriptive?type=popup&amp;mode=fichePuits&amp;menu=puit&amp;table=GPG_ENTRE_PUITS&amp;cle=A163</t>
  </si>
  <si>
    <t>C.S. SOQUIP Laduboro, Nicolet No 1 et No 1a</t>
  </si>
  <si>
    <t>https://sigpeg.mrn.gouv.qc.ca/rapport/P_A165_inspection_2018-10-27_publique.pdf</t>
  </si>
  <si>
    <t>https://sigpeg.mrn.gouv.qc.ca/gpg/classes/ficheDescriptive?type=popup&amp;mode=fichePuits&amp;menu=puit&amp;table=GPG_ENTRE_PUITS&amp;cle=A165</t>
  </si>
  <si>
    <t>SOQUIP Shell, Sainte-Croix No 1</t>
  </si>
  <si>
    <t>https://sigpeg.mrn.gouv.qc.ca/rapport/P_A167_inspection_2018-11-09_publique.pdf</t>
  </si>
  <si>
    <t>https://sigpeg.mrn.gouv.qc.ca/gpg/classes/ficheDescriptive?type=popup&amp;mode=fichePuits&amp;menu=puit&amp;table=GPG_ENTRE_PUITS&amp;cle=A167</t>
  </si>
  <si>
    <t>SOQUIP Shell, Saint-Flavien No 1</t>
  </si>
  <si>
    <t>Limestone, shale, sandstone, carbonates</t>
  </si>
  <si>
    <t>https://sigpeg.mrn.gouv.qc.ca/rapport/P_A169_inspection_2018-10-12_publique.pdf</t>
  </si>
  <si>
    <t>https://sigpeg.mrn.gouv.qc.ca/gpg/classes/ficheDescriptive?type=popup&amp;mode=fichePuits&amp;menu=puit&amp;table=GPG_ENTRE_PUITS&amp;cle=A169</t>
  </si>
  <si>
    <t>C.S. SOQUIP , Yamachiche No 1</t>
  </si>
  <si>
    <t>https://sigpeg.mrn.gouv.qc.ca/rapport/A170_insp_inactif_2018-10-03_Publique.pdf</t>
  </si>
  <si>
    <t>https://sigpeg.mrn.gouv.qc.ca/gpg/classes/ficheDescriptive?type=popup&amp;mode=fichePuits&amp;menu=puit&amp;table=GPG_ENTRE_PUITS&amp;cle=A170</t>
  </si>
  <si>
    <t>SOQUIP et al., Val-Alain No 1</t>
  </si>
  <si>
    <t>Limestone, shale, siltstone</t>
  </si>
  <si>
    <t>https://sigpeg.mrn.gouv.qc.ca/rapport/P_A171_inspection_2018-10-12_publique.pdf</t>
  </si>
  <si>
    <t>https://sigpeg.mrn.gouv.qc.ca/gpg/classes/ficheDescriptive?type=popup&amp;mode=fichePuits&amp;menu=puit&amp;table=GPG_ENTRE_PUITS&amp;cle=A171</t>
  </si>
  <si>
    <t>SOQUIP et al., Île d'Orléans No 2</t>
  </si>
  <si>
    <t>https://sigpeg.mrn.gouv.qc.ca/rapport/P_A174_inspection_2018-08-15_publique.pdf</t>
  </si>
  <si>
    <t>https://sigpeg.mrn.gouv.qc.ca/gpg/classes/ficheDescriptive?type=popup&amp;mode=fichePuits&amp;menu=puit&amp;table=GPG_ENTRE_PUITS&amp;cle=A174</t>
  </si>
  <si>
    <t>SOQUIP et al., Anciennce-Lorette No 1</t>
  </si>
  <si>
    <t>https://sigpeg.mrn.gouv.qc.ca/rapport/P_A176_inspection_2018-09-05_publique.pdf</t>
  </si>
  <si>
    <t>https://sigpeg.mrn.gouv.qc.ca/gpg/classes/ficheDescriptive?type=popup&amp;mode=fichePuits&amp;menu=puit&amp;table=GPG_ENTRE_PUITS&amp;cle=A176</t>
  </si>
  <si>
    <t>SOQUIP et al., Saint-Flavien No 4</t>
  </si>
  <si>
    <t>https://sigpeg.mrn.gouv.qc.ca/rapport/P_A180_inspection_2018-10-12_publique.pdf</t>
  </si>
  <si>
    <t>https://sigpeg.mrn.gouv.qc.ca/gpg/classes/ficheDescriptive?type=popup&amp;mode=fichePuits&amp;menu=puit&amp;table=GPG_ENTRE_PUITS&amp;cle=A180</t>
  </si>
  <si>
    <t>https://sigpeg.mrn.gouv.qc.ca/gpg/classes/ficheDescriptive?type=popup&amp;mode=fichePuits&amp;menu=puit&amp;table=GPG_ENTRE_PUITS&amp;cle=A181</t>
  </si>
  <si>
    <t>SOQUIP et al., Lyster No 1</t>
  </si>
  <si>
    <t>Limestone, sandstone, siltstone, dolomite</t>
  </si>
  <si>
    <t>https://sigpeg.mrn.gouv.qc.ca/rapport/P_A184_inspection_2018-11-09_publique.pdf</t>
  </si>
  <si>
    <t>https://sigpeg.mrn.gouv.qc.ca/gpg/classes/ficheDescriptive?type=popup&amp;mode=fichePuits&amp;menu=puit&amp;table=GPG_ENTRE_PUITS&amp;cle=A184</t>
  </si>
  <si>
    <t>SOQUIP Dome et al., Notre-Dame-du-Bon-Conseil No 1</t>
  </si>
  <si>
    <t>https://sigpeg.mrn.gouv.qc.ca/rapport/A185_insp_inactif_2019-10-11_Publique.pdf</t>
  </si>
  <si>
    <t>https://sigpeg.mrn.gouv.qc.ca/gpg/classes/ficheDescriptive?type=popup&amp;mode=fichePuits&amp;menu=puit&amp;table=GPG_ENTRE_PUITS&amp;cle=A185</t>
  </si>
  <si>
    <t>SOQUIP, Nicolet No 1</t>
  </si>
  <si>
    <t>SOQUIP, Nicolet No 2</t>
  </si>
  <si>
    <t>https://sigpeg.mrn.gouv.qc.ca/rapport/P_A186_inspection_2018-11-11_publique.pdf</t>
  </si>
  <si>
    <t>https://sigpeg.mrn.gouv.qc.ca/gpg/classes/ficheDescriptive?type=popup&amp;mode=fichePuits&amp;menu=puit&amp;table=GPG_ENTRE_PUITS&amp;cle=A186</t>
  </si>
  <si>
    <t>SOQUIP et al., Du Chêne No 1 (Villeroy)</t>
  </si>
  <si>
    <t>https://sigpeg.mrn.gouv.qc.ca/rapport/P_A187_inspection_2018-10-03_publique.pdf</t>
  </si>
  <si>
    <t>https://sigpeg.mrn.gouv.qc.ca/gpg/classes/ficheDescriptive?type=popup&amp;mode=fichePuits&amp;menu=puit&amp;table=GPG_ENTRE_PUITS&amp;cle=A187</t>
  </si>
  <si>
    <t>https://sigpeg.mrn.gouv.qc.ca/rapport/P_A188_inspection_2018-10-27_publique.pdf</t>
  </si>
  <si>
    <t>https://sigpeg.mrn.gouv.qc.ca/gpg/classes/ficheDescriptive?type=popup&amp;mode=fichePuits&amp;menu=puit&amp;table=GPG_ENTRE_PUITS&amp;cle=A188</t>
  </si>
  <si>
    <t>https://sigpeg.mrn.gouv.qc.ca/gpg/classes/ficheDescriptive?type=popup&amp;mode=fichePuits&amp;menu=puit&amp;table=GPG_ENTRE_PUITS&amp;cle=A189</t>
  </si>
  <si>
    <t>SOQUIP, Sainte-Croix No 1 Lotbinière</t>
  </si>
  <si>
    <t>Limestone, shale, sandstone, siltstone</t>
  </si>
  <si>
    <t>https://sigpeg.mrn.gouv.qc.ca/rapport/P_A192_inspection_2018-10-08_publique.pdf</t>
  </si>
  <si>
    <t>https://sigpeg.mrn.gouv.qc.ca/gpg/classes/ficheDescriptive?type=popup&amp;mode=fichePuits&amp;menu=puit&amp;table=GPG_ENTRE_PUITS&amp;cle=A192</t>
  </si>
  <si>
    <t>SOQUIP, Saint-Janvier-de-Joly No 2</t>
  </si>
  <si>
    <t>https://sigpeg.mrn.gouv.qc.ca/rapport/P_A193_inspection_2018-11-09_publique.pdf</t>
  </si>
  <si>
    <t>https://sigpeg.mrn.gouv.qc.ca/gpg/classes/ficheDescriptive?type=popup&amp;mode=fichePuits&amp;menu=puit&amp;table=GPG_ENTRE_PUITS&amp;cle=A193</t>
  </si>
  <si>
    <t>SOQUIP Pétrofina, Saint-Louis-de-Blandford No 1</t>
  </si>
  <si>
    <t>Shale, sandstone, mudstone</t>
  </si>
  <si>
    <t>https://sigpeg.mrn.gouv.qc.ca/rapport/P_A195_inspection_2018-09-17_publique.pdf</t>
  </si>
  <si>
    <t>https://sigpeg.mrn.gouv.qc.ca/gpg/classes/ficheDescriptive?type=popup&amp;mode=fichePuits&amp;menu=puit&amp;table=GPG_ENTRE_PUITS&amp;cle=A195</t>
  </si>
  <si>
    <t>Texaco SOQUIP, Baieville No 1 Yamaska</t>
  </si>
  <si>
    <t>Sandstone, gneiss</t>
  </si>
  <si>
    <t>https://sigpeg.mrn.gouv.qc.ca/rapport/P_A197_inspection_2018-09-18_publique.pdf</t>
  </si>
  <si>
    <t>https://sigpeg.mrn.gouv.qc.ca/gpg/classes/ficheDescriptive?type=popup&amp;mode=fichePuits&amp;menu=puit&amp;table=GPG_ENTRE_PUITS&amp;cle=A197</t>
  </si>
  <si>
    <t>Tioxide, Tracy No 1</t>
  </si>
  <si>
    <t>Ken E. Davies Associates</t>
  </si>
  <si>
    <t>https://sigpeg.mrn.gouv.qc.ca/rapport/A203_insp_inactif_2019-09-25_Publique%20(2).pdf</t>
  </si>
  <si>
    <t>https://sigpeg.mrn.gouv.qc.ca/gpg/classes/ficheDescriptive?type=popup&amp;mode=fichePuits&amp;menu=puit&amp;table=GPG_ENTRE_PUITS&amp;cle=A203</t>
  </si>
  <si>
    <t>Jaltin Lemaire, Louiseville No 2</t>
  </si>
  <si>
    <t>https://sigpeg.mrn.gouv.qc.ca/rapport/A207_insp_inactif_2019-06-17_Publique.pdf</t>
  </si>
  <si>
    <t>https://sigpeg.mrn.gouv.qc.ca/gpg/classes/ficheDescriptive?type=popup&amp;mode=fichePuits&amp;menu=puit&amp;table=GPG_ENTRE_PUITS&amp;cle=A207</t>
  </si>
  <si>
    <t>https://sigpeg.mrn.gouv.qc.ca/gpg/classes/ficheDescriptive?type=popup&amp;mode=fichePuits&amp;menu=puit&amp;table=GPG_ENTRE_PUITS&amp;cle=A208</t>
  </si>
  <si>
    <t>https://sigpeg.mrn.gouv.qc.ca/gpg/classes/ficheDescriptive?type=popup&amp;mode=fichePuits&amp;menu=puit&amp;table=GPG_ENTRE_PUITS&amp;cle=A209</t>
  </si>
  <si>
    <t>https://sigpeg.mrn.gouv.qc.ca/gpg/classes/ficheDescriptive?type=popup&amp;mode=fichePuits&amp;menu=puit&amp;table=GPG_ENTRE_PUITS&amp;cle=A210</t>
  </si>
  <si>
    <t>https://sigpeg.mrn.gouv.qc.ca/gpg/classes/ficheDescriptive?type=popup&amp;mode=fichePuits&amp;menu=puit&amp;table=GPG_ENTRE_PUITS&amp;cle=A211</t>
  </si>
  <si>
    <t>https://sigpeg.mrn.gouv.qc.ca/gpg/classes/ficheDescriptive?type=popup&amp;mode=fichePuits&amp;menu=puit&amp;table=GPG_ENTRE_PUITS&amp;cle=A212</t>
  </si>
  <si>
    <t>https://sigpeg.mrn.gouv.qc.ca/gpg/classes/ficheDescriptive?type=popup&amp;mode=fichePuits&amp;menu=puit&amp;table=GPG_ENTRE_PUITS&amp;cle=A213</t>
  </si>
  <si>
    <t>SNC Lavalin</t>
  </si>
  <si>
    <t>https://sigpeg.mrn.gouv.qc.ca/gpg/classes/ficheDescriptive?type=popup&amp;mode=fichePuits&amp;menu=puit&amp;table=GPG_ENTRE_PUITS&amp;cle=A217</t>
  </si>
  <si>
    <t>https://sigpeg.mrn.gouv.qc.ca/gpg/classes/ficheDescriptive?type=popup&amp;mode=fichePuits&amp;menu=puit&amp;table=GPG_ENTRE_PUITS&amp;cle=A218</t>
  </si>
  <si>
    <t>https://sigpeg.mrn.gouv.qc.ca/gpg/classes/ficheDescriptive?type=popup&amp;mode=fichePuits&amp;menu=puit&amp;table=GPG_ENTRE_PUITS&amp;cle=A219</t>
  </si>
  <si>
    <t>https://sigpeg.mrn.gouv.qc.ca/gpg/classes/ficheDescriptive?type=popup&amp;mode=fichePuits&amp;menu=puit&amp;table=GPG_ENTRE_PUITS&amp;cle=A220</t>
  </si>
  <si>
    <t>BVI et al., Saint-Wenceslas No 1</t>
  </si>
  <si>
    <t>https://sigpeg.mrn.gouv.qc.ca/rapport/A222_insp_inactif_2019-07-15_Publique.pdf</t>
  </si>
  <si>
    <t>https://sigpeg.mrn.gouv.qc.ca/gpg/classes/ficheDescriptive?type=popup&amp;mode=fichePuits&amp;menu=puit&amp;table=GPG_ENTRE_PUITS&amp;cle=A222</t>
  </si>
  <si>
    <t>Intermont, Bécancour No 1</t>
  </si>
  <si>
    <t>Limestone, shale, sandstone, siltstone, dolomite</t>
  </si>
  <si>
    <t>https://sigpeg.mrn.gouv.qc.ca/rapport/A223_insp_inactif_2019-07-10_Publique.pdf</t>
  </si>
  <si>
    <t>https://sigpeg.mrn.gouv.qc.ca/gpg/classes/ficheDescriptive?type=popup&amp;mode=fichePuits&amp;menu=puit&amp;table=GPG_ENTRE_PUITS&amp;cle=A223</t>
  </si>
  <si>
    <t>Intermont, Bécancour No 2</t>
  </si>
  <si>
    <t>https://sigpeg.mrn.gouv.qc.ca/rapport/A224_insp_inactif_2019-06-27_Publique.pdf</t>
  </si>
  <si>
    <t>https://sigpeg.mrn.gouv.qc.ca/gpg/classes/ficheDescriptive?type=popup&amp;mode=fichePuits&amp;menu=puit&amp;table=GPG_ENTRE_PUITS&amp;cle=A224</t>
  </si>
  <si>
    <t>Junex, Bécancour No 1</t>
  </si>
  <si>
    <t>Junex Inc.</t>
  </si>
  <si>
    <t>https://sigpeg.mrn.gouv.qc.ca/rapport/P_A231_inspection_2018-06-05_publique.pdf</t>
  </si>
  <si>
    <t>https://sigpeg.mrn.gouv.qc.ca/gpg/classes/ficheDescriptive?type=popup&amp;mode=fichePuits&amp;menu=puit&amp;table=GPG_ENTRE_PUITS&amp;cle=A231</t>
  </si>
  <si>
    <t>Ditem, Huntingdon No 1</t>
  </si>
  <si>
    <t>Ditem Explorations Inc.</t>
  </si>
  <si>
    <t>https://sigpeg.mrn.gouv.qc.ca/rapport/P_A233_inspection_2018-10-10_publique.pdf</t>
  </si>
  <si>
    <t>https://sigpeg.mrn.gouv.qc.ca/gpg/classes/ficheDescriptive?type=popup&amp;mode=fichePuits&amp;menu=puit&amp;table=GPG_ENTRE_PUITS&amp;cle=A233</t>
  </si>
  <si>
    <t>Ditem, Dundee No 1</t>
  </si>
  <si>
    <t>https://sigpeg.mrn.gouv.qc.ca/rapport/A234_insp_inactif_2019-10-23_Publique.pdf</t>
  </si>
  <si>
    <t>https://sigpeg.mrn.gouv.qc.ca/gpg/classes/ficheDescriptive?type=popup&amp;mode=fichePuits&amp;menu=puit&amp;table=GPG_ENTRE_PUITS&amp;cle=A234</t>
  </si>
  <si>
    <t>Junex, Bécancour No 2</t>
  </si>
  <si>
    <t>Limestone, shale, sandstone, mudstone, dolomite</t>
  </si>
  <si>
    <t>https://sigpeg.mrn.gouv.qc.ca/rapport/A236_insp_inactif_2019-07-10_Publique.pdf</t>
  </si>
  <si>
    <t>https://sigpeg.mrn.gouv.qc.ca/gpg/classes/ficheDescriptive?type=popup&amp;mode=fichePuits&amp;menu=puit&amp;table=GPG_ENTRE_PUITS&amp;cle=A236</t>
  </si>
  <si>
    <t>Gastem, Dundee No 1</t>
  </si>
  <si>
    <t>Sandstone, dolomite</t>
  </si>
  <si>
    <t>Gastem inc</t>
  </si>
  <si>
    <t>https://sigpeg.mrn.gouv.qc.ca/rapport/P_A245_inspection_2018-10-10_publique.pdf</t>
  </si>
  <si>
    <t>https://sigpeg.mrn.gouv.qc.ca/gpg/classes/ficheDescriptive?type=popup&amp;mode=fichePuits&amp;menu=puit&amp;table=GPG_ENTRE_PUITS&amp;cle=A245</t>
  </si>
  <si>
    <t>Gastem Intragaz, Joly No 4</t>
  </si>
  <si>
    <t>https://sigpeg.mrn.gouv.qc.ca/rapport/A256_insp_inactif_2019-06-12_Publique.pdf</t>
  </si>
  <si>
    <t>https://sigpeg.mrn.gouv.qc.ca/gpg/classes/ficheDescriptive?type=popup&amp;mode=fichePuits&amp;menu=puit&amp;table=GPG_ENTRE_PUITS&amp;cle=A256</t>
  </si>
  <si>
    <t>Canbriam Energy Inc.</t>
  </si>
  <si>
    <t>https://sigpeg.mrn.gouv.qc.ca/gpg/classes/ficheDescriptive?type=popup&amp;mode=fichePuits&amp;menu=puit&amp;table=GPG_ENTRE_PUITS&amp;cle=A271</t>
  </si>
  <si>
    <t>Junex, Wotton No 1</t>
  </si>
  <si>
    <t>Estrie</t>
  </si>
  <si>
    <t>https://sigpeg.mrn.gouv.qc.ca/rapport/P_A278_inspection_2018-10-29_publique.pdf</t>
  </si>
  <si>
    <t>https://sigpeg.mrn.gouv.qc.ca/gpg/classes/ficheDescriptive?type=popup&amp;mode=fichePuits&amp;menu=puit&amp;table=GPG_ENTRE_PUITS&amp;cle=A278</t>
  </si>
  <si>
    <t>Gastem, Saint-Janvier-de-Joly</t>
  </si>
  <si>
    <t>https://sigpeg.mrn.gouv.qc.ca/rapport/A287_insp_inactif_2019-06-12_Publique.pdf</t>
  </si>
  <si>
    <t>https://sigpeg.mrn.gouv.qc.ca/gpg/classes/ficheDescriptive?type=popup&amp;mode=fichePuits&amp;menu=puit&amp;table=GPG_ENTRE_PUITS&amp;cle=A287</t>
  </si>
  <si>
    <t>Saint-Georges No 1</t>
  </si>
  <si>
    <t>Edouard Lacroix</t>
  </si>
  <si>
    <t>https://sigpeg.mrn.gouv.qc.ca/rapport/AZ35_insp_inactif_2019-07-24_Publique.pdf</t>
  </si>
  <si>
    <t>https://sigpeg.mrn.gouv.qc.ca/gpg/classes/ficheDescriptive?type=popup&amp;mode=fichePuits&amp;menu=puit&amp;table=GPG_ENTRE_PUITS&amp;cle=AZ35</t>
  </si>
  <si>
    <t>Euchariste Coutu No 1</t>
  </si>
  <si>
    <t>Lanoraie Oil and Gas Syndicate Ltd.</t>
  </si>
  <si>
    <t>https://sigpeg.mrn.gouv.qc.ca/rapport/AZ51_insp_inactif_2019-08-15_Publique.pdf</t>
  </si>
  <si>
    <t>https://sigpeg.mrn.gouv.qc.ca/gpg/classes/ficheDescriptive?type=popup&amp;mode=fichePuits&amp;menu=puit&amp;table=GPG_ENTRE_PUITS&amp;cle=AZ51</t>
  </si>
  <si>
    <t>Baril No 4</t>
  </si>
  <si>
    <t>https://sigpeg.mrn.gouv.qc.ca/rapport/AZ60_insp_inactif_2019-11-12_Publique.pdf</t>
  </si>
  <si>
    <t>https://sigpeg.mrn.gouv.qc.ca/gpg/classes/ficheDescriptive?type=popup&amp;mode=fichePuits&amp;menu=puit&amp;table=GPG_ENTRE_PUITS&amp;cle=AZ60</t>
  </si>
  <si>
    <t>Frères de l'Instruction Chrétienne No 2</t>
  </si>
  <si>
    <t>Limestone, sand, clay</t>
  </si>
  <si>
    <t>Frères de l'Instruction Chrétienne</t>
  </si>
  <si>
    <t>https://sigpeg.mrn.gouv.qc.ca/rapport/AZ63_insp_inactif_2019-06-10_Publique.pdf</t>
  </si>
  <si>
    <t>https://sigpeg.mrn.gouv.qc.ca/gpg/classes/ficheDescriptive?type=popup&amp;mode=fichePuits&amp;menu=puit&amp;table=GPG_ENTRE_PUITS&amp;cle=AZ63</t>
  </si>
  <si>
    <t>Pères de la Fraternité Sacerdotale No 1</t>
  </si>
  <si>
    <t>B-Basses-Terres (sols non consolidés)</t>
  </si>
  <si>
    <t>https://sigpeg.mrn.gouv.qc.ca/rapport/P_B001B_inspection_2018-07-26_publique.pdf</t>
  </si>
  <si>
    <t>https://sigpeg.mrn.gouv.qc.ca/gpg/classes/ficheDescriptive?type=popup&amp;mode=fichePuits&amp;menu=puit&amp;table=GPG_ENTRE_PUITS&amp;cle=B001B</t>
  </si>
  <si>
    <t>Bald Mountain Intercity No 1, Pointe-du-Lac</t>
  </si>
  <si>
    <t>https://sigpeg.mrn.gouv.qc.ca/rapport/B003_insp_inactif_2019-09-28_Publique.pdf</t>
  </si>
  <si>
    <t>https://sigpeg.mrn.gouv.qc.ca/gpg/classes/ficheDescriptive?type=popup&amp;mode=fichePuits&amp;menu=puit&amp;table=GPG_ENTRE_PUITS&amp;cle=B003</t>
  </si>
  <si>
    <t>Bald Mountain Intercity No 2, Pointe-du-Lac</t>
  </si>
  <si>
    <t>https://sigpeg.mrn.gouv.qc.ca/rapport/B004_insp_inactif_2019-09-28_Publique.pdf</t>
  </si>
  <si>
    <t>https://sigpeg.mrn.gouv.qc.ca/gpg/classes/ficheDescriptive?type=popup&amp;mode=fichePuits&amp;menu=puit&amp;table=GPG_ENTRE_PUITS&amp;cle=B004</t>
  </si>
  <si>
    <t>https://sigpeg.mrn.gouv.qc.ca/rapport/B005_insp_inactif_2019-09-28_Publique.pdf</t>
  </si>
  <si>
    <t>https://sigpeg.mrn.gouv.qc.ca/gpg/classes/ficheDescriptive?type=popup&amp;mode=fichePuits&amp;menu=puit&amp;table=GPG_ENTRE_PUITS&amp;cle=B005</t>
  </si>
  <si>
    <t>Bald Mountain Intercity No 3, Pointe-du-Lac</t>
  </si>
  <si>
    <t>Bald Mountain Intercity No 4, Pointe-du-Lac</t>
  </si>
  <si>
    <t>https://sigpeg.mrn.gouv.qc.ca/rapport/B006_insp_inactif_2019-09-28_Publique.pdf</t>
  </si>
  <si>
    <t>https://sigpeg.mrn.gouv.qc.ca/gpg/classes/ficheDescriptive?type=popup&amp;mode=fichePuits&amp;menu=puit&amp;table=GPG_ENTRE_PUITS&amp;cle=B006</t>
  </si>
  <si>
    <t>Bald Mountain Intercity No 5, Pointe-du-Lac</t>
  </si>
  <si>
    <t>Clay, sand, limestone</t>
  </si>
  <si>
    <t>https://sigpeg.mrn.gouv.qc.ca/rapport/B007_insp_inactif_2019-09-28_Publique.pdf</t>
  </si>
  <si>
    <t>https://sigpeg.mrn.gouv.qc.ca/gpg/classes/ficheDescriptive?type=popup&amp;mode=fichePuits&amp;menu=puit&amp;table=GPG_ENTRE_PUITS&amp;cle=B007</t>
  </si>
  <si>
    <t>Bald Mountain Intercity No 6, Pointe-du-Lac</t>
  </si>
  <si>
    <t>https://sigpeg.mrn.gouv.qc.ca/rapport/B008_insp_inactif_2019-09-29_Publique.pdf</t>
  </si>
  <si>
    <t>https://sigpeg.mrn.gouv.qc.ca/gpg/classes/ficheDescriptive?type=popup&amp;mode=fichePuits&amp;menu=puit&amp;table=GPG_ENTRE_PUITS&amp;cle=B008</t>
  </si>
  <si>
    <t>Bald Mountain Intercity New Ass. No 7, Pointe-du-Lac</t>
  </si>
  <si>
    <t>https://sigpeg.mrn.gouv.qc.ca/rapport/B009_insp_inactif_2019-09-29_Publique.pdf</t>
  </si>
  <si>
    <t>https://sigpeg.mrn.gouv.qc.ca/gpg/classes/ficheDescriptive?type=popup&amp;mode=fichePuits&amp;menu=puit&amp;table=GPG_ENTRE_PUITS&amp;cle=B009</t>
  </si>
  <si>
    <t>Bald Mountain Intercity New Ass. No 8, Pointe-du-Lac</t>
  </si>
  <si>
    <t>https://sigpeg.mrn.gouv.qc.ca/rapport/B010_insp_inactif_2019-09-29_Publique.pdf</t>
  </si>
  <si>
    <t>https://sigpeg.mrn.gouv.qc.ca/gpg/classes/ficheDescriptive?type=popup&amp;mode=fichePuits&amp;menu=puit&amp;table=GPG_ENTRE_PUITS&amp;cle=B010</t>
  </si>
  <si>
    <t>Bald Mountain Intercity New Ass. No 9, Pointe-du-Lac</t>
  </si>
  <si>
    <t>https://sigpeg.mrn.gouv.qc.ca/rapport/B011_insp_inactif_2019-09-29_Publique.pdf</t>
  </si>
  <si>
    <t>https://sigpeg.mrn.gouv.qc.ca/gpg/classes/ficheDescriptive?type=popup&amp;mode=fichePuits&amp;menu=puit&amp;table=GPG_ENTRE_PUITS&amp;cle=B011</t>
  </si>
  <si>
    <t>Shale, clay, sand, gravel</t>
  </si>
  <si>
    <t>https://sigpeg.mrn.gouv.qc.ca/rapport/B012_insp_inactif_2019-09-30_Publique.pdf</t>
  </si>
  <si>
    <t>https://sigpeg.mrn.gouv.qc.ca/gpg/classes/ficheDescriptive?type=popup&amp;mode=fichePuits&amp;menu=puit&amp;table=GPG_ENTRE_PUITS&amp;cle=B012</t>
  </si>
  <si>
    <t>Bald Mountain Intercity New Ass. No 11, Pointe-du-Lac</t>
  </si>
  <si>
    <t>Bald Mountain Intercity New Ass. No 10, Pointe-du-Lac</t>
  </si>
  <si>
    <t>https://sigpeg.mrn.gouv.qc.ca/rapport/B013_insp_inactif_2019-09-29_Publique.pdf</t>
  </si>
  <si>
    <t>https://sigpeg.mrn.gouv.qc.ca/gpg/classes/ficheDescriptive?type=popup&amp;mode=fichePuits&amp;menu=puit&amp;table=GPG_ENTRE_PUITS&amp;cle=B013</t>
  </si>
  <si>
    <t>Bald Mountain Intercity New Ass. No 15, Pointe-du-Lac</t>
  </si>
  <si>
    <t>https://sigpeg.mrn.gouv.qc.ca/rapport/B015_insp_inactif_2019-09-30_Publique.pdf</t>
  </si>
  <si>
    <t>https://sigpeg.mrn.gouv.qc.ca/gpg/classes/ficheDescriptive?type=popup&amp;mode=fichePuits&amp;menu=puit&amp;table=GPG_ENTRE_PUITS&amp;cle=B015</t>
  </si>
  <si>
    <t>https://sigpeg.mrn.gouv.qc.ca/rapport/B016_insp_inactif_2019-09-30_Publique.pdf</t>
  </si>
  <si>
    <t>https://sigpeg.mrn.gouv.qc.ca/gpg/classes/ficheDescriptive?type=popup&amp;mode=fichePuits&amp;menu=puit&amp;table=GPG_ENTRE_PUITS&amp;cle=B016</t>
  </si>
  <si>
    <t>New-Ass. Bald Mountain Intercity No 17, Pointe-du-Lac</t>
  </si>
  <si>
    <t>Bald Mountain Intercity New-Ass. No 16, Pointe-du-Lac</t>
  </si>
  <si>
    <t>https://sigpeg.mrn.gouv.qc.ca/rapport/B017_insp_inactif_2019-09-30_Publique.pdf</t>
  </si>
  <si>
    <t>https://sigpeg.mrn.gouv.qc.ca/gpg/classes/ficheDescriptive?type=popup&amp;mode=fichePuits&amp;menu=puit&amp;table=GPG_ENTRE_PUITS&amp;cle=B017</t>
  </si>
  <si>
    <t>New-Ass. Bald Mountain Intercity No 20, Pointe-du-Lac</t>
  </si>
  <si>
    <t>https://sigpeg.mrn.gouv.qc.ca/rapport/B018_insp_inactif_2019-09-25_Publique.pdf</t>
  </si>
  <si>
    <t>https://sigpeg.mrn.gouv.qc.ca/gpg/classes/ficheDescriptive?type=popup&amp;mode=fichePuits&amp;menu=puit&amp;table=GPG_ENTRE_PUITS&amp;cle=B018</t>
  </si>
  <si>
    <t>New-Ass. Bald Mountain Intercity No 21, Pointe-du-Lac</t>
  </si>
  <si>
    <t>Shale, clay, sand</t>
  </si>
  <si>
    <t>https://sigpeg.mrn.gouv.qc.ca/rapport/B019_insp_inactif_2019-09-30_Publique.pdf</t>
  </si>
  <si>
    <t>https://sigpeg.mrn.gouv.qc.ca/gpg/classes/ficheDescriptive?type=popup&amp;mode=fichePuits&amp;menu=puit&amp;table=GPG_ENTRE_PUITS&amp;cle=B019</t>
  </si>
  <si>
    <t>Bald Mountain, La Pérade No 1</t>
  </si>
  <si>
    <t>https://sigpeg.mrn.gouv.qc.ca/rapport/B022_insp_inactif_2019-07-04_Publique.pdf</t>
  </si>
  <si>
    <t>https://sigpeg.mrn.gouv.qc.ca/gpg/classes/ficheDescriptive?type=popup&amp;mode=fichePuits&amp;menu=puit&amp;table=GPG_ENTRE_PUITS&amp;cle=B022</t>
  </si>
  <si>
    <t>Bald Mountain New-Miller No 3, Sorel</t>
  </si>
  <si>
    <t>https://sigpeg.mrn.gouv.qc.ca/rapport/B026_insp_inactif_2019-10-03_Publique.pdf</t>
  </si>
  <si>
    <t>https://sigpeg.mrn.gouv.qc.ca/gpg/classes/ficheDescriptive?type=popup&amp;mode=fichePuits&amp;menu=puit&amp;table=GPG_ENTRE_PUITS&amp;cle=B026</t>
  </si>
  <si>
    <t>Cabane Ronde</t>
  </si>
  <si>
    <t>Renaud Brothers and Dubois</t>
  </si>
  <si>
    <t>https://sigpeg.mrn.gouv.qc.ca/rapport/B030_insp_inactif_2019-09-09_Publique.pdf</t>
  </si>
  <si>
    <t>https://sigpeg.mrn.gouv.qc.ca/gpg/classes/ficheDescriptive?type=popup&amp;mode=fichePuits&amp;menu=puit&amp;table=GPG_ENTRE_PUITS&amp;cle=B030</t>
  </si>
  <si>
    <t>Caprive No 1, Trois-Rivières</t>
  </si>
  <si>
    <t>Caprive Oil and Gas Co.</t>
  </si>
  <si>
    <t>https://sigpeg.mrn.gouv.qc.ca/rapport/B032_insp_inactif_2019-05-27_Publique.pdf</t>
  </si>
  <si>
    <t>https://sigpeg.mrn.gouv.qc.ca/gpg/classes/ficheDescriptive?type=popup&amp;mode=fichePuits&amp;menu=puit&amp;table=GPG_ENTRE_PUITS&amp;cle=B032</t>
  </si>
  <si>
    <t>Laduboro Verchères Saint-Pierre No 1, Pointe-du-Lac</t>
  </si>
  <si>
    <t>Corp. des gaz et pét. (1961); Intragaz (1992)</t>
  </si>
  <si>
    <t>https://sigpeg.mrn.gouv.qc.ca/rapport/P_B033_inspection_2018-07-19_publique.pdf</t>
  </si>
  <si>
    <t>https://sigpeg.mrn.gouv.qc.ca/gpg/classes/ficheDescriptive?type=popup&amp;mode=fichePuits&amp;menu=puit&amp;table=GPG_ENTRE_PUITS&amp;cle=B033</t>
  </si>
  <si>
    <t>Laduboro Verchères Saint-Pierre No 8, Pointe-du-Lac</t>
  </si>
  <si>
    <t>https://sigpeg.mrn.gouv.qc.ca/rapport/P_B040_inspection_2018-10-25_publique.pdf</t>
  </si>
  <si>
    <t>https://sigpeg.mrn.gouv.qc.ca/gpg/classes/ficheDescriptive?type=popup&amp;mode=fichePuits&amp;menu=puit&amp;table=GPG_ENTRE_PUITS&amp;cle=B040</t>
  </si>
  <si>
    <t>Laduboro Verchères Saint-Pierre No 8a, Pointe-du-Lac</t>
  </si>
  <si>
    <t>https://sigpeg.mrn.gouv.qc.ca/rapport/P_B041_inspection_2018-10-25_publique.pdf</t>
  </si>
  <si>
    <t>https://sigpeg.mrn.gouv.qc.ca/gpg/classes/ficheDescriptive?type=popup&amp;mode=fichePuits&amp;menu=puit&amp;table=GPG_ENTRE_PUITS&amp;cle=B041</t>
  </si>
  <si>
    <t>Laduboro Verchères Saint-Pierre No 9, Pointe-du-Lac</t>
  </si>
  <si>
    <t>Shale, gravel</t>
  </si>
  <si>
    <t>https://sigpeg.mrn.gouv.qc.ca/rapport/B042_insp_inactif_2019-05-28_Publique.pdf</t>
  </si>
  <si>
    <t>https://sigpeg.mrn.gouv.qc.ca/gpg/classes/ficheDescriptive?type=popup&amp;mode=fichePuits&amp;menu=puit&amp;table=GPG_ENTRE_PUITS&amp;cle=B042</t>
  </si>
  <si>
    <t>Laduboro Verchères Saint-Pierre No 9a, Pointe-du-Lac</t>
  </si>
  <si>
    <t>https://sigpeg.mrn.gouv.qc.ca/rapport/P_B043_inspection_2018-10-29_publique.pdf</t>
  </si>
  <si>
    <t>https://sigpeg.mrn.gouv.qc.ca/gpg/classes/ficheDescriptive?type=popup&amp;mode=fichePuits&amp;menu=puit&amp;table=GPG_ENTRE_PUITS&amp;cle=B043</t>
  </si>
  <si>
    <t>Laduboro Verchères Saint-Pierre No 11, Pointe-du-Lac</t>
  </si>
  <si>
    <t>https://sigpeg.mrn.gouv.qc.ca/rapport/P_B045_inspection_2018-10-23_publique.pdf</t>
  </si>
  <si>
    <t>https://sigpeg.mrn.gouv.qc.ca/gpg/classes/ficheDescriptive?type=popup&amp;mode=fichePuits&amp;menu=puit&amp;table=GPG_ENTRE_PUITS&amp;cle=B045</t>
  </si>
  <si>
    <t>Laduboro Verchères Saint-Pierre No 11b, Pointe-du-Lac</t>
  </si>
  <si>
    <t>https://sigpeg.mrn.gouv.qc.ca/rapport/P_B047_inspection_2018-10-29_publique.pdf</t>
  </si>
  <si>
    <t>https://sigpeg.mrn.gouv.qc.ca/gpg/classes/ficheDescriptive?type=popup&amp;mode=fichePuits&amp;menu=puit&amp;table=GPG_ENTRE_PUITS&amp;cle=B047</t>
  </si>
  <si>
    <t>Laduboro Verchères Saint-Pierre No 12, Pointe-du-Lac</t>
  </si>
  <si>
    <t>https://sigpeg.mrn.gouv.qc.ca/rapport/P_B048_inspection_2018-10-24_publique.pdf</t>
  </si>
  <si>
    <t>https://sigpeg.mrn.gouv.qc.ca/gpg/classes/ficheDescriptive?type=popup&amp;mode=fichePuits&amp;menu=puit&amp;table=GPG_ENTRE_PUITS&amp;cle=B048</t>
  </si>
  <si>
    <t>https://sigpeg.mrn.gouv.qc.ca/rapport/P_B050_inspection_2018-07-25_publique.pdf</t>
  </si>
  <si>
    <t>https://sigpeg.mrn.gouv.qc.ca/gpg/classes/ficheDescriptive?type=popup&amp;mode=fichePuits&amp;menu=puit&amp;table=GPG_ENTRE_PUITS&amp;cle=B050</t>
  </si>
  <si>
    <t>Laduboro Verchères Saint-Pierre No 14, Pointe-du-Lac</t>
  </si>
  <si>
    <t>Laduboro Verchères Saint-Pierre No 16, Pointe-du-Lac</t>
  </si>
  <si>
    <t>Laduboro Verchères Saint-Pierre No 17, Pointe-du-Lac</t>
  </si>
  <si>
    <t>Laduboro Verchères Saint-Pierre No 19, Pointe-du-Lac</t>
  </si>
  <si>
    <t>https://sigpeg.mrn.gouv.qc.ca/rapport/P_B052_inspection_2018-07-26_publique.pdf</t>
  </si>
  <si>
    <t>https://sigpeg.mrn.gouv.qc.ca/gpg/classes/ficheDescriptive?type=popup&amp;mode=fichePuits&amp;menu=puit&amp;table=GPG_ENTRE_PUITS&amp;cle=B052</t>
  </si>
  <si>
    <t>https://sigpeg.mrn.gouv.qc.ca/rapport/P_B053_inspection_2018-10-30_publique.pdf</t>
  </si>
  <si>
    <t>https://sigpeg.mrn.gouv.qc.ca/gpg/classes/ficheDescriptive?type=popup&amp;mode=fichePuits&amp;menu=puit&amp;table=GPG_ENTRE_PUITS&amp;cle=B053</t>
  </si>
  <si>
    <t>Shale, clay</t>
  </si>
  <si>
    <t>https://sigpeg.mrn.gouv.qc.ca/rapport/B055_insp_inactif_2019-05-23_Publique.pdf</t>
  </si>
  <si>
    <t>https://sigpeg.mrn.gouv.qc.ca/gpg/classes/ficheDescriptive?type=popup&amp;mode=fichePuits&amp;menu=puit&amp;table=GPG_ENTRE_PUITS&amp;cle=B055</t>
  </si>
  <si>
    <t>Laduboro Verchères Saint-Pierre No 20, Pointe-du-Lac</t>
  </si>
  <si>
    <t>https://sigpeg.mrn.gouv.qc.ca/rapport/P_B056_inspection_2018-07-26_publique.pdf</t>
  </si>
  <si>
    <t>https://sigpeg.mrn.gouv.qc.ca/gpg/classes/ficheDescriptive?type=popup&amp;mode=fichePuits&amp;menu=puit&amp;table=GPG_ENTRE_PUITS&amp;cle=B056</t>
  </si>
  <si>
    <t>Laduboro Verchères Saint-Pierre No 1, Yamachiche</t>
  </si>
  <si>
    <t>https://sigpeg.mrn.gouv.qc.ca/rapport/P_B058_inspection_2018-09-18_publique.pdf</t>
  </si>
  <si>
    <t>https://sigpeg.mrn.gouv.qc.ca/gpg/classes/ficheDescriptive?type=popup&amp;mode=fichePuits&amp;menu=puit&amp;table=GPG_ENTRE_PUITS&amp;cle=B058</t>
  </si>
  <si>
    <t>Laduboro Verchères Saint-Pierre No 5, Yamachiche</t>
  </si>
  <si>
    <t>https://sigpeg.mrn.gouv.qc.ca/rapport/P_B061_inspection_2018-09-19_publique.pdf</t>
  </si>
  <si>
    <t>https://sigpeg.mrn.gouv.qc.ca/gpg/classes/ficheDescriptive?type=popup&amp;mode=fichePuits&amp;menu=puit&amp;table=GPG_ENTRE_PUITS&amp;cle=B061</t>
  </si>
  <si>
    <t>Gélinas No 1</t>
  </si>
  <si>
    <t>https://sigpeg.mrn.gouv.qc.ca/rapport/B063_insp_inactif_2019-05-08_Publique.pdf</t>
  </si>
  <si>
    <t>https://sigpeg.mrn.gouv.qc.ca/gpg/classes/ficheDescriptive?type=popup&amp;mode=fichePuits&amp;menu=puit&amp;table=GPG_ENTRE_PUITS&amp;cle=B063</t>
  </si>
  <si>
    <t>Sweet Grass, Yamachiche No 1</t>
  </si>
  <si>
    <t>https://sigpeg.mrn.gouv.qc.ca/rapport/P_B064_inspection_2018-09-07_publique.pdf</t>
  </si>
  <si>
    <t>https://sigpeg.mrn.gouv.qc.ca/gpg/classes/ficheDescriptive?type=popup&amp;mode=fichePuits&amp;menu=puit&amp;table=GPG_ENTRE_PUITS&amp;cle=B064</t>
  </si>
  <si>
    <t>Canso Intercity, Pointe-du-Lac No 2</t>
  </si>
  <si>
    <t>https://sigpeg.mrn.gouv.qc.ca/rapport/B066_insp_inactif_2019-05-23_Publique.pdf</t>
  </si>
  <si>
    <t>https://sigpeg.mrn.gouv.qc.ca/gpg/classes/ficheDescriptive?type=popup&amp;mode=fichePuits&amp;menu=puit&amp;table=GPG_ENTRE_PUITS&amp;cle=B066</t>
  </si>
  <si>
    <t>Canso Intercity, Sainte-Anne No 1</t>
  </si>
  <si>
    <t>https://sigpeg.mrn.gouv.qc.ca/rapport/P_B067_inspection_2018-08-31_publique.pdf</t>
  </si>
  <si>
    <t>https://sigpeg.mrn.gouv.qc.ca/gpg/classes/ficheDescriptive?type=popup&amp;mode=fichePuits&amp;menu=puit&amp;table=GPG_ENTRE_PUITS&amp;cle=B067</t>
  </si>
  <si>
    <t>Canso Intercity, Sainte-Anne No 2</t>
  </si>
  <si>
    <t>https://sigpeg.mrn.gouv.qc.ca/rapport/P_B068_inspection_2018-10-29_publique.pdf</t>
  </si>
  <si>
    <t>https://sigpeg.mrn.gouv.qc.ca/gpg/classes/ficheDescriptive?type=popup&amp;mode=fichePuits&amp;menu=puit&amp;table=GPG_ENTRE_PUITS&amp;cle=B068</t>
  </si>
  <si>
    <t>Laduboro Seaway Almega No 1, Champlain</t>
  </si>
  <si>
    <t>Clay, gravel</t>
  </si>
  <si>
    <t>https://sigpeg.mrn.gouv.qc.ca/rapport/P_B071_inspection_2018-11-08_publique.pdf</t>
  </si>
  <si>
    <t>https://sigpeg.mrn.gouv.qc.ca/gpg/classes/ficheDescriptive?type=popup&amp;mode=fichePuits&amp;menu=puit&amp;table=GPG_ENTRE_PUITS&amp;cle=B071</t>
  </si>
  <si>
    <t>Laduboro Seaway Almega No 2, Champlain</t>
  </si>
  <si>
    <t>Clay, sand, sandstone, gravel</t>
  </si>
  <si>
    <t>https://sigpeg.mrn.gouv.qc.ca/rapport/B072_insp_inactif_2019-07-25_Publique.pdf</t>
  </si>
  <si>
    <t>https://sigpeg.mrn.gouv.qc.ca/gpg/classes/ficheDescriptive?type=popup&amp;mode=fichePuits&amp;menu=puit&amp;table=GPG_ENTRE_PUITS&amp;cle=B072</t>
  </si>
  <si>
    <t>Laduboro Seaway Almega No 4, Champlain</t>
  </si>
  <si>
    <t>Clay, sandstone, siltstone</t>
  </si>
  <si>
    <t>https://sigpeg.mrn.gouv.qc.ca/rapport/P_B074_inspection_2018-10-08_publique.pdf</t>
  </si>
  <si>
    <t>https://sigpeg.mrn.gouv.qc.ca/gpg/classes/ficheDescriptive?type=popup&amp;mode=fichePuits&amp;menu=puit&amp;table=GPG_ENTRE_PUITS&amp;cle=B074</t>
  </si>
  <si>
    <t>Calbec No 1</t>
  </si>
  <si>
    <t>https://sigpeg.mrn.gouv.qc.ca/rapport/P_B075_inspection_2018-09-07_publique.pdf</t>
  </si>
  <si>
    <t>https://sigpeg.mrn.gouv.qc.ca/gpg/classes/ficheDescriptive?type=popup&amp;mode=fichePuits&amp;menu=puit&amp;table=GPG_ENTRE_PUITS&amp;cle=B075</t>
  </si>
  <si>
    <t>Calbec No 3</t>
  </si>
  <si>
    <t>https://sigpeg.mrn.gouv.qc.ca/rapport/P_B076_inspection_2018-09-26_publique.pdf</t>
  </si>
  <si>
    <t>https://sigpeg.mrn.gouv.qc.ca/gpg/classes/ficheDescriptive?type=popup&amp;mode=fichePuits&amp;menu=puit&amp;table=GPG_ENTRE_PUITS&amp;cle=B076</t>
  </si>
  <si>
    <t>Calbec No 4</t>
  </si>
  <si>
    <t>https://sigpeg.mrn.gouv.qc.ca/rapport/P_B077_inspection_2018-09-18_publique.pdf</t>
  </si>
  <si>
    <t>https://sigpeg.mrn.gouv.qc.ca/gpg/classes/ficheDescriptive?type=popup&amp;mode=fichePuits&amp;menu=puit&amp;table=GPG_ENTRE_PUITS&amp;cle=B077</t>
  </si>
  <si>
    <t>Calbec No 5</t>
  </si>
  <si>
    <t>https://sigpeg.mrn.gouv.qc.ca/rapport/B078_insp_inactif_2019-06-18_Publique.pdf</t>
  </si>
  <si>
    <t>https://sigpeg.mrn.gouv.qc.ca/gpg/classes/ficheDescriptive?type=popup&amp;mode=fichePuits&amp;menu=puit&amp;table=GPG_ENTRE_PUITS&amp;cle=B078</t>
  </si>
  <si>
    <t>Calbec No 6</t>
  </si>
  <si>
    <t>https://sigpeg.mrn.gouv.qc.ca/rapport/P_B079_inspection_2018-10-10_publique.pdf</t>
  </si>
  <si>
    <t>https://sigpeg.mrn.gouv.qc.ca/gpg/classes/ficheDescriptive?type=popup&amp;mode=fichePuits&amp;menu=puit&amp;table=GPG_ENTRE_PUITS&amp;cle=B079</t>
  </si>
  <si>
    <t>Calbec No 7</t>
  </si>
  <si>
    <t>https://sigpeg.mrn.gouv.qc.ca/rapport/P_B080_inspection_2018-10-25_publique.pdf</t>
  </si>
  <si>
    <t>https://sigpeg.mrn.gouv.qc.ca/gpg/classes/ficheDescriptive?type=popup&amp;mode=fichePuits&amp;menu=puit&amp;table=GPG_ENTRE_PUITS&amp;cle=B080</t>
  </si>
  <si>
    <t>Calbec No 9</t>
  </si>
  <si>
    <t>https://sigpeg.mrn.gouv.qc.ca/rapport/B082_insp_inactif_2019-10-30_Publique.pdf</t>
  </si>
  <si>
    <t>https://sigpeg.mrn.gouv.qc.ca/gpg/classes/ficheDescriptive?type=popup&amp;mode=fichePuits&amp;menu=puit&amp;table=GPG_ENTRE_PUITS&amp;cle=B082</t>
  </si>
  <si>
    <t>North Shore Seaway No 2, Louiseville</t>
  </si>
  <si>
    <t>North Shore Pipe Lines</t>
  </si>
  <si>
    <t>https://sigpeg.mrn.gouv.qc.ca/rapport/P_B089_inspection_2018-09-28_publique.pdf</t>
  </si>
  <si>
    <t>https://sigpeg.mrn.gouv.qc.ca/gpg/classes/ficheDescriptive?type=popup&amp;mode=fichePuits&amp;menu=puit&amp;table=GPG_ENTRE_PUITS&amp;cle=B089</t>
  </si>
  <si>
    <t>Oil Selections No 4</t>
  </si>
  <si>
    <t>https://sigpeg.mrn.gouv.qc.ca/rapport/B092_insp_inactif_2019-11-12_Publique.pdf</t>
  </si>
  <si>
    <t>https://sigpeg.mrn.gouv.qc.ca/gpg/classes/ficheDescriptive?type=popup&amp;mode=fichePuits&amp;menu=puit&amp;table=GPG_ENTRE_PUITS&amp;cle=B092</t>
  </si>
  <si>
    <t>Prospère, Contrecoeur No 8</t>
  </si>
  <si>
    <t>Les Huiles Prospères Inc.</t>
  </si>
  <si>
    <t>https://sigpeg.mrn.gouv.qc.ca/rapport/B101_insp_inactif_2019-11-19_Publique.pdf</t>
  </si>
  <si>
    <t>https://sigpeg.mrn.gouv.qc.ca/gpg/classes/ficheDescriptive?type=popup&amp;mode=fichePuits&amp;menu=puit&amp;table=GPG_ENTRE_PUITS&amp;cle=B101</t>
  </si>
  <si>
    <t>Prospère, Saint-Ours No 2</t>
  </si>
  <si>
    <t>https://sigpeg.mrn.gouv.qc.ca/rapport/B106_insp_inactif_2019-09-26_Publique.pdf</t>
  </si>
  <si>
    <t>https://sigpeg.mrn.gouv.qc.ca/gpg/classes/ficheDescriptive?type=popup&amp;mode=fichePuits&amp;menu=puit&amp;table=GPG_ENTRE_PUITS&amp;cle=B106</t>
  </si>
  <si>
    <t>Prospère, Varennes No 2</t>
  </si>
  <si>
    <t>https://sigpeg.mrn.gouv.qc.ca/rapport/B111_insp_inactif_2019-10-29_Publique.pdf</t>
  </si>
  <si>
    <t>https://sigpeg.mrn.gouv.qc.ca/gpg/classes/ficheDescriptive?type=popup&amp;mode=fichePuits&amp;menu=puit&amp;table=GPG_ENTRE_PUITS&amp;cle=B111</t>
  </si>
  <si>
    <t>Prospère, Varennes No 4</t>
  </si>
  <si>
    <t>https://sigpeg.mrn.gouv.qc.ca/rapport/B113_insp_inactif_2019-09-27_Publique.pdf</t>
  </si>
  <si>
    <t>https://sigpeg.mrn.gouv.qc.ca/gpg/classes/ficheDescriptive?type=popup&amp;mode=fichePuits&amp;menu=puit&amp;table=GPG_ENTRE_PUITS&amp;cle=B113</t>
  </si>
  <si>
    <t>Prospère, Varennes No 13</t>
  </si>
  <si>
    <t>https://sigpeg.mrn.gouv.qc.ca/rapport/B122_insp_inactif_2019-08-19_Publique%20(2).pdf</t>
  </si>
  <si>
    <t>https://sigpeg.mrn.gouv.qc.ca/gpg/classes/ficheDescriptive?type=popup&amp;mode=fichePuits&amp;menu=puit&amp;table=GPG_ENTRE_PUITS&amp;cle=B122</t>
  </si>
  <si>
    <t>Prospère, Verchères No 1</t>
  </si>
  <si>
    <t>https://sigpeg.mrn.gouv.qc.ca/rapport/B127_insp_inactif_2019-09-26_Publique.pdf</t>
  </si>
  <si>
    <t>https://sigpeg.mrn.gouv.qc.ca/gpg/classes/ficheDescriptive?type=popup&amp;mode=fichePuits&amp;menu=puit&amp;table=GPG_ENTRE_PUITS&amp;cle=B127</t>
  </si>
  <si>
    <t>Prospère, Verchères No 1a</t>
  </si>
  <si>
    <t>https://sigpeg.mrn.gouv.qc.ca/rapport/B128_insp_inactif_2019-09-26_Publique.pdf</t>
  </si>
  <si>
    <t>https://sigpeg.mrn.gouv.qc.ca/gpg/classes/ficheDescriptive?type=popup&amp;mode=fichePuits&amp;menu=puit&amp;table=GPG_ENTRE_PUITS&amp;cle=B128</t>
  </si>
  <si>
    <t>Prospère, Verchères No 1b</t>
  </si>
  <si>
    <t>https://sigpeg.mrn.gouv.qc.ca/rapport/B129_insp_inactif_2019-09-26_Publique.pdf</t>
  </si>
  <si>
    <t>https://sigpeg.mrn.gouv.qc.ca/gpg/classes/ficheDescriptive?type=popup&amp;mode=fichePuits&amp;menu=puit&amp;table=GPG_ENTRE_PUITS&amp;cle=B129</t>
  </si>
  <si>
    <t>Prospère, Verchères No 4</t>
  </si>
  <si>
    <t>https://sigpeg.mrn.gouv.qc.ca/rapport/B134_insp_inactif_2019-09-05_Publique.pdf</t>
  </si>
  <si>
    <t>https://sigpeg.mrn.gouv.qc.ca/gpg/classes/ficheDescriptive?type=popup&amp;mode=fichePuits&amp;menu=puit&amp;table=GPG_ENTRE_PUITS&amp;cle=B134</t>
  </si>
  <si>
    <t>Prospère, Verchères No 5</t>
  </si>
  <si>
    <t>https://sigpeg.mrn.gouv.qc.ca/rapport/B135_insp_inactif_2019-11-19_Publique.pdf</t>
  </si>
  <si>
    <t>https://sigpeg.mrn.gouv.qc.ca/gpg/classes/ficheDescriptive?type=popup&amp;mode=fichePuits&amp;menu=puit&amp;table=GPG_ENTRE_PUITS&amp;cle=B135</t>
  </si>
  <si>
    <t>Prospère, Verchères No 6</t>
  </si>
  <si>
    <t>https://sigpeg.mrn.gouv.qc.ca/rapport/B136_insp_inactif_2019-11-18_Publique.pdf</t>
  </si>
  <si>
    <t>https://sigpeg.mrn.gouv.qc.ca/gpg/classes/ficheDescriptive?type=popup&amp;mode=fichePuits&amp;menu=puit&amp;table=GPG_ENTRE_PUITS&amp;cle=B136</t>
  </si>
  <si>
    <t>Prospère, Verchères No 7</t>
  </si>
  <si>
    <t>https://sigpeg.mrn.gouv.qc.ca/rapport/B137_insp_inactif_2019-10-29_Publique.pdf</t>
  </si>
  <si>
    <t>https://sigpeg.mrn.gouv.qc.ca/gpg/classes/ficheDescriptive?type=popup&amp;mode=fichePuits&amp;menu=puit&amp;table=GPG_ENTRE_PUITS&amp;cle=B137</t>
  </si>
  <si>
    <t>Prospère, Verchères No 8</t>
  </si>
  <si>
    <t>https://sigpeg.mrn.gouv.qc.ca/rapport/B138_insp_inactif_2019-08-07_Publique.pdf</t>
  </si>
  <si>
    <t>https://sigpeg.mrn.gouv.qc.ca/gpg/classes/ficheDescriptive?type=popup&amp;mode=fichePuits&amp;menu=puit&amp;table=GPG_ENTRE_PUITS&amp;cle=B138</t>
  </si>
  <si>
    <t>Prospère, Verchères No 9</t>
  </si>
  <si>
    <t>https://sigpeg.mrn.gouv.qc.ca/rapport/B139_insp_inactif_2019-09-30_Publique.pdf</t>
  </si>
  <si>
    <t>https://sigpeg.mrn.gouv.qc.ca/gpg/classes/ficheDescriptive?type=popup&amp;mode=fichePuits&amp;menu=puit&amp;table=GPG_ENTRE_PUITS&amp;cle=B139</t>
  </si>
  <si>
    <t>Lanoraie No 1</t>
  </si>
  <si>
    <t>Quebec Oil Enr.</t>
  </si>
  <si>
    <t>https://sigpeg.mrn.gouv.qc.ca/rapport/B140_insp_inactif_2019-09-11_Publique.pdf</t>
  </si>
  <si>
    <t>https://sigpeg.mrn.gouv.qc.ca/gpg/classes/ficheDescriptive?type=popup&amp;mode=fichePuits&amp;menu=puit&amp;table=GPG_ENTRE_PUITS&amp;cle=B140</t>
  </si>
  <si>
    <t>Canso Saint-Maurice, Sorel No 1</t>
  </si>
  <si>
    <t>Clay, silt</t>
  </si>
  <si>
    <t>https://sigpeg.mrn.gouv.qc.ca/rapport/B142_insp_inactif_2019-09-18_Publique.pdf</t>
  </si>
  <si>
    <t>https://sigpeg.mrn.gouv.qc.ca/gpg/classes/ficheDescriptive?type=popup&amp;mode=fichePuits&amp;menu=puit&amp;table=GPG_ENTRE_PUITS&amp;cle=B142</t>
  </si>
  <si>
    <t>Canso Saint-Maurice, Sorel No 2</t>
  </si>
  <si>
    <t>Clay, sand, gravel, silt</t>
  </si>
  <si>
    <t>https://sigpeg.mrn.gouv.qc.ca/rapport/B143_insp_inactif_2019-09-25_Publique.pdf</t>
  </si>
  <si>
    <t>https://sigpeg.mrn.gouv.qc.ca/gpg/classes/ficheDescriptive?type=popup&amp;mode=fichePuits&amp;menu=puit&amp;table=GPG_ENTRE_PUITS&amp;cle=B143</t>
  </si>
  <si>
    <t>Canso Saint-Maurice, Sorel No 3</t>
  </si>
  <si>
    <t>https://sigpeg.mrn.gouv.qc.ca/rapport/B144_insp_inactif_2019-09-25_Publique.pdf</t>
  </si>
  <si>
    <t>https://sigpeg.mrn.gouv.qc.ca/gpg/classes/ficheDescriptive?type=popup&amp;mode=fichePuits&amp;menu=puit&amp;table=GPG_ENTRE_PUITS&amp;cle=B144</t>
  </si>
  <si>
    <t>Seaway Almega No 1, Champlain</t>
  </si>
  <si>
    <t>https://sigpeg.mrn.gouv.qc.ca/rapport/B146_insp_inactif_2019-05-16_Publique.pdf</t>
  </si>
  <si>
    <t>https://sigpeg.mrn.gouv.qc.ca/gpg/classes/ficheDescriptive?type=popup&amp;mode=fichePuits&amp;menu=puit&amp;table=GPG_ENTRE_PUITS&amp;cle=B146</t>
  </si>
  <si>
    <t>Seaway Almega No 3, Champlain</t>
  </si>
  <si>
    <t>https://sigpeg.mrn.gouv.qc.ca/rapport/B148_insp_inactif_2019-05-16_Publique.pdf</t>
  </si>
  <si>
    <t>https://sigpeg.mrn.gouv.qc.ca/gpg/classes/ficheDescriptive?type=popup&amp;mode=fichePuits&amp;menu=puit&amp;table=GPG_ENTRE_PUITS&amp;cle=B148</t>
  </si>
  <si>
    <t>Seaway Almega No 4, Champlain</t>
  </si>
  <si>
    <t>https://sigpeg.mrn.gouv.qc.ca/rapport/B149_insp_inactif_2019-05-16_Publique.pdf</t>
  </si>
  <si>
    <t>https://sigpeg.mrn.gouv.qc.ca/gpg/classes/ficheDescriptive?type=popup&amp;mode=fichePuits&amp;menu=puit&amp;table=GPG_ENTRE_PUITS&amp;cle=B149</t>
  </si>
  <si>
    <t>Seaway Almega No 5, Champlain</t>
  </si>
  <si>
    <t>https://sigpeg.mrn.gouv.qc.ca/rapport/B150_insp_inactif_2019-05-16_Publique.pdf</t>
  </si>
  <si>
    <t>https://sigpeg.mrn.gouv.qc.ca/gpg/classes/ficheDescriptive?type=popup&amp;mode=fichePuits&amp;menu=puit&amp;table=GPG_ENTRE_PUITS&amp;cle=B150</t>
  </si>
  <si>
    <t>Seaway Almega No 1, Saint-Maurice</t>
  </si>
  <si>
    <t>https://sigpeg.mrn.gouv.qc.ca/rapport/B151_insp_inactif_2019-07-10_Publique.pdf</t>
  </si>
  <si>
    <t>https://sigpeg.mrn.gouv.qc.ca/gpg/classes/ficheDescriptive?type=popup&amp;mode=fichePuits&amp;menu=puit&amp;table=GPG_ENTRE_PUITS&amp;cle=B151</t>
  </si>
  <si>
    <t>Seaway Almega No 2, Saint-Maurice</t>
  </si>
  <si>
    <t>https://sigpeg.mrn.gouv.qc.ca/rapport/B152_insp_inactif_2019-07-10_Publique.pdf</t>
  </si>
  <si>
    <t>https://sigpeg.mrn.gouv.qc.ca/gpg/classes/ficheDescriptive?type=popup&amp;mode=fichePuits&amp;menu=puit&amp;table=GPG_ENTRE_PUITS&amp;cle=B152</t>
  </si>
  <si>
    <t>Seaway Almega No 3, Saint-Maurice</t>
  </si>
  <si>
    <t>https://sigpeg.mrn.gouv.qc.ca/rapport/B153_insp_inactif_2019-11-27_Publique.pdf</t>
  </si>
  <si>
    <t>https://sigpeg.mrn.gouv.qc.ca/gpg/classes/ficheDescriptive?type=popup&amp;mode=fichePuits&amp;menu=puit&amp;table=GPG_ENTRE_PUITS&amp;cle=B153</t>
  </si>
  <si>
    <t>Seaway Almega No 5, Saint-Maurice</t>
  </si>
  <si>
    <t>https://sigpeg.mrn.gouv.qc.ca/rapport/B155_insp_inactif_2019-07-05_Publique.pdf</t>
  </si>
  <si>
    <t>https://sigpeg.mrn.gouv.qc.ca/gpg/classes/ficheDescriptive?type=popup&amp;mode=fichePuits&amp;menu=puit&amp;table=GPG_ENTRE_PUITS&amp;cle=B155</t>
  </si>
  <si>
    <t>Seaway Almega No 6, Saint-Maurice</t>
  </si>
  <si>
    <t>https://sigpeg.mrn.gouv.qc.ca/rapport/B156_insp_inactif_2019-07-05_Publique.pdf</t>
  </si>
  <si>
    <t>https://sigpeg.mrn.gouv.qc.ca/gpg/classes/ficheDescriptive?type=popup&amp;mode=fichePuits&amp;menu=puit&amp;table=GPG_ENTRE_PUITS&amp;cle=B156</t>
  </si>
  <si>
    <t>Seaway Almega No 8, Saint-Maurice</t>
  </si>
  <si>
    <t>https://sigpeg.mrn.gouv.qc.ca/rapport/B159_insp_inactif_2019-07-10_Publique.pdf</t>
  </si>
  <si>
    <t>https://sigpeg.mrn.gouv.qc.ca/gpg/classes/ficheDescriptive?type=popup&amp;mode=fichePuits&amp;menu=puit&amp;table=GPG_ENTRE_PUITS&amp;cle=B159</t>
  </si>
  <si>
    <t>Senneterre No 1, L'Assomption</t>
  </si>
  <si>
    <t>https://sigpeg.mrn.gouv.qc.ca/rapport/B160_insp_inactif_2019-08-27_Publique.pdf</t>
  </si>
  <si>
    <t>https://sigpeg.mrn.gouv.qc.ca/gpg/classes/ficheDescriptive?type=popup&amp;mode=fichePuits&amp;menu=puit&amp;table=GPG_ENTRE_PUITS&amp;cle=B160</t>
  </si>
  <si>
    <t>Senneterre No 2, L'Assomption</t>
  </si>
  <si>
    <t>https://sigpeg.mrn.gouv.qc.ca/rapport/P_B161_inspection_2018-07-16_publique.pdf</t>
  </si>
  <si>
    <t>https://sigpeg.mrn.gouv.qc.ca/gpg/classes/ficheDescriptive?type=popup&amp;mode=fichePuits&amp;menu=puit&amp;table=GPG_ENTRE_PUITS&amp;cle=B161</t>
  </si>
  <si>
    <t>Senneterre No 1, Saint-Sulpice</t>
  </si>
  <si>
    <t>https://sigpeg.mrn.gouv.qc.ca/rapport/B164_insp_inactif_2019-11-13_Publique.pdf</t>
  </si>
  <si>
    <t>https://sigpeg.mrn.gouv.qc.ca/gpg/classes/ficheDescriptive?type=popup&amp;mode=fichePuits&amp;menu=puit&amp;table=GPG_ENTRE_PUITS&amp;cle=B164</t>
  </si>
  <si>
    <t>Caxton No 1</t>
  </si>
  <si>
    <t>Three Rivers Gas &amp; Oil Ltd.</t>
  </si>
  <si>
    <t>https://sigpeg.mrn.gouv.qc.ca/rapport/P_B171_inspection_2018-09-28_publique.pdf</t>
  </si>
  <si>
    <t>https://sigpeg.mrn.gouv.qc.ca/gpg/classes/ficheDescriptive?type=popup&amp;mode=fichePuits&amp;menu=puit&amp;table=GPG_ENTRE_PUITS&amp;cle=B171</t>
  </si>
  <si>
    <t>Caxton No 1a</t>
  </si>
  <si>
    <t>https://sigpeg.mrn.gouv.qc.ca/rapport/P_B172_inspection_2018-09-28_publique.pdf</t>
  </si>
  <si>
    <t>https://sigpeg.mrn.gouv.qc.ca/gpg/classes/ficheDescriptive?type=popup&amp;mode=fichePuits&amp;menu=puit&amp;table=GPG_ENTRE_PUITS&amp;cle=B172</t>
  </si>
  <si>
    <t>Verchères No 1, Trois-Rivières</t>
  </si>
  <si>
    <t>https://sigpeg.mrn.gouv.qc.ca/rapport/B176_insp_inactif_2019-05-29_Publique.pdf</t>
  </si>
  <si>
    <t>https://sigpeg.mrn.gouv.qc.ca/gpg/classes/ficheDescriptive?type=popup&amp;mode=fichePuits&amp;menu=puit&amp;table=GPG_ENTRE_PUITS&amp;cle=B176</t>
  </si>
  <si>
    <t>Verchères Oil T-2, Trois-Rivières</t>
  </si>
  <si>
    <t>https://sigpeg.mrn.gouv.qc.ca/rapport/B178_insp_inactif_2019-06-13_Publique.pdf</t>
  </si>
  <si>
    <t>https://sigpeg.mrn.gouv.qc.ca/gpg/classes/ficheDescriptive?type=popup&amp;mode=fichePuits&amp;menu=puit&amp;table=GPG_ENTRE_PUITS&amp;cle=B178</t>
  </si>
  <si>
    <t>Verchères Oil T-3, Trois-Rivières</t>
  </si>
  <si>
    <t>https://sigpeg.mrn.gouv.qc.ca/rapport/B179_insp_inactif_2019-06-13_Publique.pdf</t>
  </si>
  <si>
    <t>https://sigpeg.mrn.gouv.qc.ca/gpg/classes/ficheDescriptive?type=popup&amp;mode=fichePuits&amp;menu=puit&amp;table=GPG_ENTRE_PUITS&amp;cle=B179</t>
  </si>
  <si>
    <t>https://sigpeg.mrn.gouv.qc.ca/gpg/classes/ficheDescriptive?type=popup&amp;mode=fichePuits&amp;menu=puit&amp;table=GPG_ENTRE_PUITS&amp;cle=B180</t>
  </si>
  <si>
    <t>Québec Natural Gas No 3, Saint-François-de-Sales</t>
  </si>
  <si>
    <t>https://sigpeg.mrn.gouv.qc.ca/rapport/B181_insp_inactif_2019-11-07_Publique.pdf</t>
  </si>
  <si>
    <t>https://sigpeg.mrn.gouv.qc.ca/gpg/classes/ficheDescriptive?type=popup&amp;mode=fichePuits&amp;menu=puit&amp;table=GPG_ENTRE_PUITS&amp;cle=B181</t>
  </si>
  <si>
    <t>Québec Natural Gas No 4, Saint-François-de-Sales</t>
  </si>
  <si>
    <t>https://sigpeg.mrn.gouv.qc.ca/rapport/B182_insp_inactif_2019-10-08_Publique.pdf</t>
  </si>
  <si>
    <t>https://sigpeg.mrn.gouv.qc.ca/gpg/classes/ficheDescriptive?type=popup&amp;mode=fichePuits&amp;menu=puit&amp;table=GPG_ENTRE_PUITS&amp;cle=B182</t>
  </si>
  <si>
    <t>Québec Natural Gas No 5, Saint-François-de-Sales</t>
  </si>
  <si>
    <t>https://sigpeg.mrn.gouv.qc.ca/rapport/B183_insp_inactif_2019-11-06_Publique.pdf</t>
  </si>
  <si>
    <t>https://sigpeg.mrn.gouv.qc.ca/gpg/classes/ficheDescriptive?type=popup&amp;mode=fichePuits&amp;menu=puit&amp;table=GPG_ENTRE_PUITS&amp;cle=B183</t>
  </si>
  <si>
    <t>Québec Natural Gas No 6, Saint-François-de-Sales</t>
  </si>
  <si>
    <t>https://sigpeg.mrn.gouv.qc.ca/rapport/B184_insp_inactif_2019-11-05_Publique.pdf</t>
  </si>
  <si>
    <t>https://sigpeg.mrn.gouv.qc.ca/gpg/classes/ficheDescriptive?type=popup&amp;mode=fichePuits&amp;menu=puit&amp;table=GPG_ENTRE_PUITS&amp;cle=B184</t>
  </si>
  <si>
    <t>https://sigpeg.mrn.gouv.qc.ca/gpg/classes/ficheDescriptive?type=popup&amp;mode=fichePuits&amp;menu=puit&amp;table=GPG_ENTRE_PUITS&amp;cle=B185</t>
  </si>
  <si>
    <t>Québec Natural Gas No 8, Saint-François-de-Sales</t>
  </si>
  <si>
    <t>https://sigpeg.mrn.gouv.qc.ca/rapport/B186_insp_inactif_2019-07-10_Publique.pdf</t>
  </si>
  <si>
    <t>https://sigpeg.mrn.gouv.qc.ca/gpg/classes/ficheDescriptive?type=popup&amp;mode=fichePuits&amp;menu=puit&amp;table=GPG_ENTRE_PUITS&amp;cle=B186</t>
  </si>
  <si>
    <t>https://sigpeg.mrn.gouv.qc.ca/gpg/classes/ficheDescriptive?type=popup&amp;mode=fichePuits&amp;menu=puit&amp;table=GPG_ENTRE_PUITS&amp;cle=B187</t>
  </si>
  <si>
    <t>https://sigpeg.mrn.gouv.qc.ca/gpg/classes/ficheDescriptive?type=popup&amp;mode=fichePuits&amp;menu=puit&amp;table=GPG_ENTRE_PUITS&amp;cle=B188</t>
  </si>
  <si>
    <t>Québec Natural Gas No 1, Saint-Vincent-de-Paul</t>
  </si>
  <si>
    <t>https://sigpeg.mrn.gouv.qc.ca/rapport/B189_insp_inactif_2019-10-18_Publique.pdf</t>
  </si>
  <si>
    <t>https://sigpeg.mrn.gouv.qc.ca/gpg/classes/ficheDescriptive?type=popup&amp;mode=fichePuits&amp;menu=puit&amp;table=GPG_ENTRE_PUITS&amp;cle=B189</t>
  </si>
  <si>
    <t>Québec Natural Gas No 2, Saint-Vincent-de-Paul</t>
  </si>
  <si>
    <t>https://sigpeg.mrn.gouv.qc.ca/rapport/B190_insp_inactif_2019-10-10_Publique.pdf</t>
  </si>
  <si>
    <t>https://sigpeg.mrn.gouv.qc.ca/gpg/classes/ficheDescriptive?type=popup&amp;mode=fichePuits&amp;menu=puit&amp;table=GPG_ENTRE_PUITS&amp;cle=B190</t>
  </si>
  <si>
    <t>https://sigpeg.mrn.gouv.qc.ca/gpg/classes/ficheDescriptive?type=popup&amp;mode=fichePuits&amp;menu=puit&amp;table=GPG_ENTRE_PUITS&amp;cle=B191</t>
  </si>
  <si>
    <t>Québec Natural Gas No 4, Saint-Vincent-de-Paul</t>
  </si>
  <si>
    <t>https://sigpeg.mrn.gouv.qc.ca/rapport/B192_insp_inactif_2019-11-06_Publique.pdf</t>
  </si>
  <si>
    <t>https://sigpeg.mrn.gouv.qc.ca/gpg/classes/ficheDescriptive?type=popup&amp;mode=fichePuits&amp;menu=puit&amp;table=GPG_ENTRE_PUITS&amp;cle=B192</t>
  </si>
  <si>
    <t>Québec Natural Gas No 5, Saint-Vincent-de-Paul</t>
  </si>
  <si>
    <t>https://sigpeg.mrn.gouv.qc.ca/rapport/B193_insp_inactif_2019-07-11_Publique.pdf</t>
  </si>
  <si>
    <t>https://sigpeg.mrn.gouv.qc.ca/gpg/classes/ficheDescriptive?type=popup&amp;mode=fichePuits&amp;menu=puit&amp;table=GPG_ENTRE_PUITS&amp;cle=B193</t>
  </si>
  <si>
    <t>Québec Natural Gas No 6, Saint-Vincent-de-Paul</t>
  </si>
  <si>
    <t>https://sigpeg.mrn.gouv.qc.ca/rapport/B194_insp_inactif_2019-10-09_Publique.pdf</t>
  </si>
  <si>
    <t>https://sigpeg.mrn.gouv.qc.ca/gpg/classes/ficheDescriptive?type=popup&amp;mode=fichePuits&amp;menu=puit&amp;table=GPG_ENTRE_PUITS&amp;cle=B194</t>
  </si>
  <si>
    <t>https://sigpeg.mrn.gouv.qc.ca/gpg/classes/ficheDescriptive?type=popup&amp;mode=fichePuits&amp;menu=puit&amp;table=GPG_ENTRE_PUITS&amp;cle=B195</t>
  </si>
  <si>
    <t>Québec Natural Gas No 8, Saint-Vincent-de-Paul</t>
  </si>
  <si>
    <t>https://sigpeg.mrn.gouv.qc.ca/rapport/B196_insp_inactif_2019-07-02_Publique.pdf</t>
  </si>
  <si>
    <t>https://sigpeg.mrn.gouv.qc.ca/gpg/classes/ficheDescriptive?type=popup&amp;mode=fichePuits&amp;menu=puit&amp;table=GPG_ENTRE_PUITS&amp;cle=B196</t>
  </si>
  <si>
    <t>Québec Natural Gas No 9, Saint-Vincent-de-Paul</t>
  </si>
  <si>
    <t>https://sigpeg.mrn.gouv.qc.ca/rapport/B197_insp_inactif_2019-11-05_Publique.pdf</t>
  </si>
  <si>
    <t>https://sigpeg.mrn.gouv.qc.ca/gpg/classes/ficheDescriptive?type=popup&amp;mode=fichePuits&amp;menu=puit&amp;table=GPG_ENTRE_PUITS&amp;cle=B197</t>
  </si>
  <si>
    <t>Senneterre No 3, Saint-Grégoire</t>
  </si>
  <si>
    <t>https://sigpeg.mrn.gouv.qc.ca/rapport/B199_insp_inactif_2019-06-05_Publique.pdf</t>
  </si>
  <si>
    <t>https://sigpeg.mrn.gouv.qc.ca/gpg/classes/ficheDescriptive?type=popup&amp;mode=fichePuits&amp;menu=puit&amp;table=GPG_ENTRE_PUITS&amp;cle=B199</t>
  </si>
  <si>
    <t>Senneterre No 7, Saint-Sulpice</t>
  </si>
  <si>
    <t>https://sigpeg.mrn.gouv.qc.ca/gpg/classes/ficheDescriptive?type=popup&amp;mode=fichePuits&amp;menu=puit&amp;table=GPG_ENTRE_PUITS&amp;cle=B200</t>
  </si>
  <si>
    <t>Senneterre No 8, Saint-Sulpice</t>
  </si>
  <si>
    <t>https://sigpeg.mrn.gouv.qc.ca/gpg/classes/ficheDescriptive?type=popup&amp;mode=fichePuits&amp;menu=puit&amp;table=GPG_ENTRE_PUITS&amp;cle=B201</t>
  </si>
  <si>
    <t>Senneterre No 9, Saint-Sulpice</t>
  </si>
  <si>
    <t>https://sigpeg.mrn.gouv.qc.ca/gpg/classes/ficheDescriptive?type=popup&amp;mode=fichePuits&amp;menu=puit&amp;table=GPG_ENTRE_PUITS&amp;cle=B202</t>
  </si>
  <si>
    <t>Senneterre No 10, Saint-Sulpice</t>
  </si>
  <si>
    <t>https://sigpeg.mrn.gouv.qc.ca/gpg/classes/ficheDescriptive?type=popup&amp;mode=fichePuits&amp;menu=puit&amp;table=GPG_ENTRE_PUITS&amp;cle=B203</t>
  </si>
  <si>
    <t>Senneterre No 11, Saint-Sulpice</t>
  </si>
  <si>
    <t>https://sigpeg.mrn.gouv.qc.ca/rapport/B204_insp_inactif_2019-10-28_Publique.pdf</t>
  </si>
  <si>
    <t>https://sigpeg.mrn.gouv.qc.ca/gpg/classes/ficheDescriptive?type=popup&amp;mode=fichePuits&amp;menu=puit&amp;table=GPG_ENTRE_PUITS&amp;cle=B204</t>
  </si>
  <si>
    <t>Senneterre No 12, Saint-Sulpice</t>
  </si>
  <si>
    <t>https://sigpeg.mrn.gouv.qc.ca/gpg/classes/ficheDescriptive?type=popup&amp;mode=fichePuits&amp;menu=puit&amp;table=GPG_ENTRE_PUITS&amp;cle=B205</t>
  </si>
  <si>
    <t>Senneterre No 13, Saint-Sulpice</t>
  </si>
  <si>
    <t>https://sigpeg.mrn.gouv.qc.ca/gpg/classes/ficheDescriptive?type=popup&amp;mode=fichePuits&amp;menu=puit&amp;table=GPG_ENTRE_PUITS&amp;cle=B206</t>
  </si>
  <si>
    <t>Verchères No 2, Louiseville</t>
  </si>
  <si>
    <t>https://sigpeg.mrn.gouv.qc.ca/rapport/P_B208_inspection_2018-10-10_publique.pdf</t>
  </si>
  <si>
    <t>https://sigpeg.mrn.gouv.qc.ca/gpg/classes/ficheDescriptive?type=popup&amp;mode=fichePuits&amp;menu=puit&amp;table=GPG_ENTRE_PUITS&amp;cle=B208</t>
  </si>
  <si>
    <t>Verchères No 3, Louiseville</t>
  </si>
  <si>
    <t>https://sigpeg.mrn.gouv.qc.ca/rapport/P_B209_inspection_2018-10-03_publique.pdf</t>
  </si>
  <si>
    <t>https://sigpeg.mrn.gouv.qc.ca/gpg/classes/ficheDescriptive?type=popup&amp;mode=fichePuits&amp;menu=puit&amp;table=GPG_ENTRE_PUITS&amp;cle=B209</t>
  </si>
  <si>
    <t>Verchères No 4, Louiseville</t>
  </si>
  <si>
    <t>https://sigpeg.mrn.gouv.qc.ca/rapport/P_B210_inspection_2018-10-03_publique.pdf</t>
  </si>
  <si>
    <t>https://sigpeg.mrn.gouv.qc.ca/gpg/classes/ficheDescriptive?type=popup&amp;mode=fichePuits&amp;menu=puit&amp;table=GPG_ENTRE_PUITS&amp;cle=B210</t>
  </si>
  <si>
    <t>Verchères No 6, Louiseville</t>
  </si>
  <si>
    <t>https://sigpeg.mrn.gouv.qc.ca/rapport/P_B212_inspection_2018-10-16_publique.pdf</t>
  </si>
  <si>
    <t>https://sigpeg.mrn.gouv.qc.ca/gpg/classes/ficheDescriptive?type=popup&amp;mode=fichePuits&amp;menu=puit&amp;table=GPG_ENTRE_PUITS&amp;cle=B212</t>
  </si>
  <si>
    <t>Verchères No 1, Maskinongé</t>
  </si>
  <si>
    <t>https://sigpeg.mrn.gouv.qc.ca/rapport/B213_insp_inactif_2019-09-03_Publique.pdf</t>
  </si>
  <si>
    <t>https://sigpeg.mrn.gouv.qc.ca/gpg/classes/ficheDescriptive?type=popup&amp;mode=fichePuits&amp;menu=puit&amp;table=GPG_ENTRE_PUITS&amp;cle=B213</t>
  </si>
  <si>
    <t>https://sigpeg.mrn.gouv.qc.ca/gpg/classes/ficheDescriptive?type=popup&amp;mode=fichePuits&amp;menu=puit&amp;table=GPG_ENTRE_PUITS&amp;cle=B214</t>
  </si>
  <si>
    <t>https://sigpeg.mrn.gouv.qc.ca/gpg/classes/ficheDescriptive?type=popup&amp;mode=fichePuits&amp;menu=puit&amp;table=GPG_ENTRE_PUITS&amp;cle=B215</t>
  </si>
  <si>
    <t>https://sigpeg.mrn.gouv.qc.ca/gpg/classes/ficheDescriptive?type=popup&amp;mode=fichePuits&amp;menu=puit&amp;table=GPG_ENTRE_PUITS&amp;cle=B217</t>
  </si>
  <si>
    <t>https://sigpeg.mrn.gouv.qc.ca/gpg/classes/ficheDescriptive?type=popup&amp;mode=fichePuits&amp;menu=puit&amp;table=GPG_ENTRE_PUITS&amp;cle=B218</t>
  </si>
  <si>
    <t>Louvicourt No 4, L'Assomption</t>
  </si>
  <si>
    <t>https://sigpeg.mrn.gouv.qc.ca/rapport/B219_insp_inactif_2019-10-13_Publique.pdf</t>
  </si>
  <si>
    <t>https://sigpeg.mrn.gouv.qc.ca/gpg/classes/ficheDescriptive?type=popup&amp;mode=fichePuits&amp;menu=puit&amp;table=GPG_ENTRE_PUITS&amp;cle=B219</t>
  </si>
  <si>
    <t>Laduboro C.I.G. No 1, Sainte-Anne-de-Sorel</t>
  </si>
  <si>
    <t>https://sigpeg.mrn.gouv.qc.ca/gpg/classes/ficheDescriptive?type=popup&amp;mode=fichePuits&amp;menu=puit&amp;table=GPG_ENTRE_PUITS&amp;cle=B221</t>
  </si>
  <si>
    <t>Laduboro C.I.G. No 2, Sainte-Anne-de-Sorel</t>
  </si>
  <si>
    <t>https://sigpeg.mrn.gouv.qc.ca/gpg/classes/ficheDescriptive?type=popup&amp;mode=fichePuits&amp;menu=puit&amp;table=GPG_ENTRE_PUITS&amp;cle=B222</t>
  </si>
  <si>
    <t>Laduboro C.I.G. No 3, Sainte-Anne-de-Sorel</t>
  </si>
  <si>
    <t>https://sigpeg.mrn.gouv.qc.ca/gpg/classes/ficheDescriptive?type=popup&amp;mode=fichePuits&amp;menu=puit&amp;table=GPG_ENTRE_PUITS&amp;cle=B223</t>
  </si>
  <si>
    <t>Laduboro C.I.G. No 4, Sainte-Anne-de-Sorel</t>
  </si>
  <si>
    <t>Shale, clay, gravel</t>
  </si>
  <si>
    <t>https://sigpeg.mrn.gouv.qc.ca/gpg/classes/ficheDescriptive?type=popup&amp;mode=fichePuits&amp;menu=puit&amp;table=GPG_ENTRE_PUITS&amp;cle=B224</t>
  </si>
  <si>
    <t>Laduboro C.I.G. No 1, Saint-François-du-Lac</t>
  </si>
  <si>
    <t>https://sigpeg.mrn.gouv.qc.ca/gpg/classes/ficheDescriptive?type=popup&amp;mode=fichePuits&amp;menu=puit&amp;table=GPG_ENTRE_PUITS&amp;cle=B225</t>
  </si>
  <si>
    <t>Laduboro C.I.G. No 2, Saint-François-du-Lac</t>
  </si>
  <si>
    <t>https://sigpeg.mrn.gouv.qc.ca/gpg/classes/ficheDescriptive?type=popup&amp;mode=fichePuits&amp;menu=puit&amp;table=GPG_ENTRE_PUITS&amp;cle=B226</t>
  </si>
  <si>
    <t>Laduboro C.I.G. No 3, Saint-François-du-Lac</t>
  </si>
  <si>
    <t>https://sigpeg.mrn.gouv.qc.ca/gpg/classes/ficheDescriptive?type=popup&amp;mode=fichePuits&amp;menu=puit&amp;table=GPG_ENTRE_PUITS&amp;cle=B227</t>
  </si>
  <si>
    <t>New Miller Bald Mountain, Ile aux Barques No 1</t>
  </si>
  <si>
    <t>New Miller Pipe Lines &amp; Mining Exploration</t>
  </si>
  <si>
    <t>https://sigpeg.mrn.gouv.qc.ca/gpg/classes/ficheDescriptive?type=popup&amp;mode=fichePuits&amp;menu=puit&amp;table=GPG_ENTRE_PUITS&amp;cle=B228</t>
  </si>
  <si>
    <t>New Miller Bald Mountain, Ile aux Barques No 2</t>
  </si>
  <si>
    <t>https://sigpeg.mrn.gouv.qc.ca/gpg/classes/ficheDescriptive?type=popup&amp;mode=fichePuits&amp;menu=puit&amp;table=GPG_ENTRE_PUITS&amp;cle=B229</t>
  </si>
  <si>
    <t>New Miller Bald Mountain, Ile aux Barques No 2a</t>
  </si>
  <si>
    <t>https://sigpeg.mrn.gouv.qc.ca/gpg/classes/ficheDescriptive?type=popup&amp;mode=fichePuits&amp;menu=puit&amp;table=GPG_ENTRE_PUITS&amp;cle=B230</t>
  </si>
  <si>
    <t>New Miller Bald Mountain, Ile aux Barques No 3</t>
  </si>
  <si>
    <t>https://sigpeg.mrn.gouv.qc.ca/gpg/classes/ficheDescriptive?type=popup&amp;mode=fichePuits&amp;menu=puit&amp;table=GPG_ENTRE_PUITS&amp;cle=B231</t>
  </si>
  <si>
    <t>New Miller Bald Mountain, Ile aux Barques No 5</t>
  </si>
  <si>
    <t>https://sigpeg.mrn.gouv.qc.ca/gpg/classes/ficheDescriptive?type=popup&amp;mode=fichePuits&amp;menu=puit&amp;table=GPG_ENTRE_PUITS&amp;cle=B232</t>
  </si>
  <si>
    <t>New Miller Bald Mountain, Ile aux Barques No 6</t>
  </si>
  <si>
    <t>https://sigpeg.mrn.gouv.qc.ca/gpg/classes/ficheDescriptive?type=popup&amp;mode=fichePuits&amp;menu=puit&amp;table=GPG_ENTRE_PUITS&amp;cle=B233</t>
  </si>
  <si>
    <t>New Miller Bald Mountain, Ile aux Corbeaux No 26</t>
  </si>
  <si>
    <t>https://sigpeg.mrn.gouv.qc.ca/gpg/classes/ficheDescriptive?type=popup&amp;mode=fichePuits&amp;menu=puit&amp;table=GPG_ENTRE_PUITS&amp;cle=B234</t>
  </si>
  <si>
    <t>New Miller Bald Mountain, Ile aux Ours No 54</t>
  </si>
  <si>
    <t>https://sigpeg.mrn.gouv.qc.ca/gpg/classes/ficheDescriptive?type=popup&amp;mode=fichePuits&amp;menu=puit&amp;table=GPG_ENTRE_PUITS&amp;cle=B235</t>
  </si>
  <si>
    <t>New Miller Bald Mountain, Ile aux Ours No 54a</t>
  </si>
  <si>
    <t>https://sigpeg.mrn.gouv.qc.ca/gpg/classes/ficheDescriptive?type=popup&amp;mode=fichePuits&amp;menu=puit&amp;table=GPG_ENTRE_PUITS&amp;cle=B236</t>
  </si>
  <si>
    <t>New Miller Bald Mountain, Ile aux Ours No 54b</t>
  </si>
  <si>
    <t>https://sigpeg.mrn.gouv.qc.ca/gpg/classes/ficheDescriptive?type=popup&amp;mode=fichePuits&amp;menu=puit&amp;table=GPG_ENTRE_PUITS&amp;cle=B237</t>
  </si>
  <si>
    <t>New Miller Bald Mountain, Ile aux Ours No 75</t>
  </si>
  <si>
    <t>https://sigpeg.mrn.gouv.qc.ca/gpg/classes/ficheDescriptive?type=popup&amp;mode=fichePuits&amp;menu=puit&amp;table=GPG_ENTRE_PUITS&amp;cle=B238</t>
  </si>
  <si>
    <t>New Miller Bald Mountain, Ile Cardin No 67</t>
  </si>
  <si>
    <t>https://sigpeg.mrn.gouv.qc.ca/gpg/classes/ficheDescriptive?type=popup&amp;mode=fichePuits&amp;menu=puit&amp;table=GPG_ENTRE_PUITS&amp;cle=B239</t>
  </si>
  <si>
    <t>New Miller Bald Mountain, Ile de Grâce No 23</t>
  </si>
  <si>
    <t>https://sigpeg.mrn.gouv.qc.ca/gpg/classes/ficheDescriptive?type=popup&amp;mode=fichePuits&amp;menu=puit&amp;table=GPG_ENTRE_PUITS&amp;cle=B240</t>
  </si>
  <si>
    <t>New Miller Bald Mountain, Ile de Grâce No 30</t>
  </si>
  <si>
    <t>https://sigpeg.mrn.gouv.qc.ca/gpg/classes/ficheDescriptive?type=popup&amp;mode=fichePuits&amp;menu=puit&amp;table=GPG_ENTRE_PUITS&amp;cle=B241</t>
  </si>
  <si>
    <t>New Miller Bald Mountain, Ile de Grâce No 33</t>
  </si>
  <si>
    <t>https://sigpeg.mrn.gouv.qc.ca/gpg/classes/ficheDescriptive?type=popup&amp;mode=fichePuits&amp;menu=puit&amp;table=GPG_ENTRE_PUITS&amp;cle=B242</t>
  </si>
  <si>
    <t>New Miller Bald Mountain, Ile de Grâce No 33a</t>
  </si>
  <si>
    <t>https://sigpeg.mrn.gouv.qc.ca/gpg/classes/ficheDescriptive?type=popup&amp;mode=fichePuits&amp;menu=puit&amp;table=GPG_ENTRE_PUITS&amp;cle=B243</t>
  </si>
  <si>
    <t>New Miller Bald Mountain, Ile de Grâce No 33b</t>
  </si>
  <si>
    <t>https://sigpeg.mrn.gouv.qc.ca/gpg/classes/ficheDescriptive?type=popup&amp;mode=fichePuits&amp;menu=puit&amp;table=GPG_ENTRE_PUITS&amp;cle=B244</t>
  </si>
  <si>
    <t>New Miller Bald Mountain, Ile de Grâce No 33-2a</t>
  </si>
  <si>
    <t>https://sigpeg.mrn.gouv.qc.ca/gpg/classes/ficheDescriptive?type=popup&amp;mode=fichePuits&amp;menu=puit&amp;table=GPG_ENTRE_PUITS&amp;cle=B245</t>
  </si>
  <si>
    <t>New Miller Bald Mountain, Ile de Grâce No 33-2b</t>
  </si>
  <si>
    <t>https://sigpeg.mrn.gouv.qc.ca/gpg/classes/ficheDescriptive?type=popup&amp;mode=fichePuits&amp;menu=puit&amp;table=GPG_ENTRE_PUITS&amp;cle=B246</t>
  </si>
  <si>
    <t>New Miller Bald Mountain, Ile Ducharme No 82</t>
  </si>
  <si>
    <t>https://sigpeg.mrn.gouv.qc.ca/gpg/classes/ficheDescriptive?type=popup&amp;mode=fichePuits&amp;menu=puit&amp;table=GPG_ENTRE_PUITS&amp;cle=B247</t>
  </si>
  <si>
    <t>New Miller Bald Mountain, Ile La Pierre No 13</t>
  </si>
  <si>
    <t>https://sigpeg.mrn.gouv.qc.ca/gpg/classes/ficheDescriptive?type=popup&amp;mode=fichePuits&amp;menu=puit&amp;table=GPG_ENTRE_PUITS&amp;cle=B248</t>
  </si>
  <si>
    <t>New Miller Bald Mountain, Ile Madame No 62</t>
  </si>
  <si>
    <t>https://sigpeg.mrn.gouv.qc.ca/gpg/classes/ficheDescriptive?type=popup&amp;mode=fichePuits&amp;menu=puit&amp;table=GPG_ENTRE_PUITS&amp;cle=B249</t>
  </si>
  <si>
    <t>Quebec Natural Gas No 17, Saint-Vincent-de-Paul</t>
  </si>
  <si>
    <t>https://sigpeg.mrn.gouv.qc.ca/rapport/B250_insp_inactif_2019-07-11_Publique.pdf</t>
  </si>
  <si>
    <t>https://sigpeg.mrn.gouv.qc.ca/gpg/classes/ficheDescriptive?type=popup&amp;mode=fichePuits&amp;menu=puit&amp;table=GPG_ENTRE_PUITS&amp;cle=B250</t>
  </si>
  <si>
    <t>Salem No 2, Dundee</t>
  </si>
  <si>
    <t>https://sigpeg.mrn.gouv.qc.ca/rapport/B251_insp_inactif_2019-10-23_Publique.pdf</t>
  </si>
  <si>
    <t>https://sigpeg.mrn.gouv.qc.ca/gpg/classes/ficheDescriptive?type=popup&amp;mode=fichePuits&amp;menu=puit&amp;table=GPG_ENTRE_PUITS&amp;cle=B251</t>
  </si>
  <si>
    <t>SOQUIP Laduboro, Lac Saint-Pierre No 1</t>
  </si>
  <si>
    <t>https://sigpeg.mrn.gouv.qc.ca/rapport/B253_insp_inactif_2019-09-30_Publique.pdf</t>
  </si>
  <si>
    <t>https://sigpeg.mrn.gouv.qc.ca/gpg/classes/ficheDescriptive?type=popup&amp;mode=fichePuits&amp;menu=puit&amp;table=GPG_ENTRE_PUITS&amp;cle=B253</t>
  </si>
  <si>
    <t>SOQUIP Laduboro, Yamachiche No 1</t>
  </si>
  <si>
    <t>https://sigpeg.mrn.gouv.qc.ca/rapport/B254_insp_inactif_2019-10-01_Publique.pdf</t>
  </si>
  <si>
    <t>https://sigpeg.mrn.gouv.qc.ca/gpg/classes/ficheDescriptive?type=popup&amp;mode=fichePuits&amp;menu=puit&amp;table=GPG_ENTRE_PUITS&amp;cle=B254</t>
  </si>
  <si>
    <t>Atlas No 1</t>
  </si>
  <si>
    <t>Domestic manufacturing</t>
  </si>
  <si>
    <t>Soc. d'expl. min. R. Kirouac et I. De Lacobis</t>
  </si>
  <si>
    <t>https://sigpeg.mrn.gouv.qc.ca/rapport/B256_insp_inactif_2019-05-30_Publique.pdf</t>
  </si>
  <si>
    <t>https://sigpeg.mrn.gouv.qc.ca/gpg/classes/ficheDescriptive?type=popup&amp;mode=fichePuits&amp;menu=puit&amp;table=GPG_ENTRE_PUITS&amp;cle=B256</t>
  </si>
  <si>
    <t>Acroll, Lanoraie No 1</t>
  </si>
  <si>
    <t>Acroll Oil and Gas Ltd.</t>
  </si>
  <si>
    <t>https://sigpeg.mrn.gouv.qc.ca/rapport/B258_insp_inactif_2019-08-19_Publique.pdf</t>
  </si>
  <si>
    <t>https://sigpeg.mrn.gouv.qc.ca/gpg/classes/ficheDescriptive?type=popup&amp;mode=fichePuits&amp;menu=puit&amp;table=GPG_ENTRE_PUITS&amp;cle=B258</t>
  </si>
  <si>
    <t>Jaltin Lemaire, Yamachiche No 2</t>
  </si>
  <si>
    <t>https://sigpeg.mrn.gouv.qc.ca/rapport/P_B268_inspection_2018-09-07_publique.pdf</t>
  </si>
  <si>
    <t>https://sigpeg.mrn.gouv.qc.ca/gpg/classes/ficheDescriptive?type=popup&amp;mode=fichePuits&amp;menu=puit&amp;table=GPG_ENTRE_PUITS&amp;cle=B268</t>
  </si>
  <si>
    <t>Jaltin Lemaire, Yamachiche No 2a</t>
  </si>
  <si>
    <t>https://sigpeg.mrn.gouv.qc.ca/rapport/P_B268A_inspection_2018-09-07_publique.pdf</t>
  </si>
  <si>
    <t>https://sigpeg.mrn.gouv.qc.ca/gpg/classes/ficheDescriptive?type=popup&amp;mode=fichePuits&amp;menu=puit&amp;table=GPG_ENTRE_PUITS&amp;cle=B268A</t>
  </si>
  <si>
    <t>Jaltin Lemaire, Louiseville No 1</t>
  </si>
  <si>
    <t>https://sigpeg.mrn.gouv.qc.ca/rapport/B269_insp_inactif_2019-06-17_Publique.pdf</t>
  </si>
  <si>
    <t>https://sigpeg.mrn.gouv.qc.ca/gpg/classes/ficheDescriptive?type=popup&amp;mode=fichePuits&amp;menu=puit&amp;table=GPG_ENTRE_PUITS&amp;cle=B269</t>
  </si>
  <si>
    <t>PSP, Lac Saint-Pierre No 1</t>
  </si>
  <si>
    <t>Pétro St-Pierre Inc.</t>
  </si>
  <si>
    <t>https://sigpeg.mrn.gouv.qc.ca/rapport/B270_insp_inactif_2019-10-01_Publique.pdf</t>
  </si>
  <si>
    <t>https://sigpeg.mrn.gouv.qc.ca/gpg/classes/ficheDescriptive?type=popup&amp;mode=fichePuits&amp;menu=puit&amp;table=GPG_ENTRE_PUITS&amp;cle=B270</t>
  </si>
  <si>
    <t>PSP, Lac Saint-Pierre No 2</t>
  </si>
  <si>
    <t>https://sigpeg.mrn.gouv.qc.ca/rapport/B271_insp_inactif_2019-11-11_Publique.pdf</t>
  </si>
  <si>
    <t>https://sigpeg.mrn.gouv.qc.ca/gpg/classes/ficheDescriptive?type=popup&amp;mode=fichePuits&amp;menu=puit&amp;table=GPG_ENTRE_PUITS&amp;cle=B271</t>
  </si>
  <si>
    <t>Jaltin Lemaire, Yamachiche No 4</t>
  </si>
  <si>
    <t>https://sigpeg.mrn.gouv.qc.ca/rapport/P_B273_inspection_2018-10-09_publique.pdf</t>
  </si>
  <si>
    <t>https://sigpeg.mrn.gouv.qc.ca/gpg/classes/ficheDescriptive?type=popup&amp;mode=fichePuits&amp;menu=puit&amp;table=GPG_ENTRE_PUITS&amp;cle=B273</t>
  </si>
  <si>
    <t>Jaltin Lemaire, Yamachiche No 5</t>
  </si>
  <si>
    <t>https://sigpeg.mrn.gouv.qc.ca/rapport/P_B274_inspection_2018-10-09_publique.pdf</t>
  </si>
  <si>
    <t>https://sigpeg.mrn.gouv.qc.ca/gpg/classes/ficheDescriptive?type=popup&amp;mode=fichePuits&amp;menu=puit&amp;table=GPG_ENTRE_PUITS&amp;cle=B274</t>
  </si>
  <si>
    <t>Jaltin Lemaire, Yamachiche No 7</t>
  </si>
  <si>
    <t>https://sigpeg.mrn.gouv.qc.ca/rapport/P_B276_inspection_2018-10-09_publique.pdf</t>
  </si>
  <si>
    <t>https://sigpeg.mrn.gouv.qc.ca/gpg/classes/ficheDescriptive?type=popup&amp;mode=fichePuits&amp;menu=puit&amp;table=GPG_ENTRE_PUITS&amp;cle=B276</t>
  </si>
  <si>
    <t>SOQUIP Cascades Énergie, Yamachiche No 1</t>
  </si>
  <si>
    <t>Intragaz, SEC</t>
  </si>
  <si>
    <t>https://sigpeg.mrn.gouv.qc.ca/rapport/P_B299_inspection_2018-09-19_publique.pdf</t>
  </si>
  <si>
    <t>https://sigpeg.mrn.gouv.qc.ca/gpg/classes/ficheDescriptive?type=popup&amp;mode=fichePuits&amp;menu=puit&amp;table=GPG_ENTRE_PUITS&amp;cle=B299</t>
  </si>
  <si>
    <t>Junex, St-Barnabé Nord No 2</t>
  </si>
  <si>
    <t>Limestone, silt, clay, sand</t>
  </si>
  <si>
    <t>https://sigpeg.mrn.gouv.qc.ca/rapport/B304_insp_inactif_2019-05-30_Publique.pdf</t>
  </si>
  <si>
    <t>https://sigpeg.mrn.gouv.qc.ca/gpg/classes/ficheDescriptive?type=popup&amp;mode=fichePuits&amp;menu=puit&amp;table=GPG_ENTRE_PUITS&amp;cle=B304</t>
  </si>
  <si>
    <t>Intragaz, Baie-des-Mines No 1</t>
  </si>
  <si>
    <t>Limestone, clay, sand, gravel</t>
  </si>
  <si>
    <t>Intragaz Exploration SEC</t>
  </si>
  <si>
    <t>https://sigpeg.mrn.gouv.qc.ca/rapport/P_B305_inspection_2018-10-23_publique.pdf</t>
  </si>
  <si>
    <t>https://sigpeg.mrn.gouv.qc.ca/gpg/classes/ficheDescriptive?type=popup&amp;mode=fichePuits&amp;menu=puit&amp;table=GPG_ENTRE_PUITS&amp;cle=B305</t>
  </si>
  <si>
    <t>Géo Demers Forage Trois-Rivières No D-01</t>
  </si>
  <si>
    <t>Géo Demers Forage Trois-Rivières No D-02</t>
  </si>
  <si>
    <t>Géo Demers Forage Trois-Rivières No D-03</t>
  </si>
  <si>
    <t>Géo Demers Forage Trois-Rivières No D-04</t>
  </si>
  <si>
    <t>https://sigpeg.mrn.gouv.qc.ca/rapport/BZ01_insp_inactif_2019-10-07_Publique.pdf</t>
  </si>
  <si>
    <t>https://sigpeg.mrn.gouv.qc.ca/gpg/classes/ficheDescriptive?type=popup&amp;mode=fichePuits&amp;menu=puit&amp;table=GPG_ENTRE_PUITS&amp;cle=BZ01</t>
  </si>
  <si>
    <t>https://sigpeg.mrn.gouv.qc.ca/rapport/BZ02_insp_inactif_2019-10-08_Publique.pdf</t>
  </si>
  <si>
    <t>https://sigpeg.mrn.gouv.qc.ca/gpg/classes/ficheDescriptive?type=popup&amp;mode=fichePuits&amp;menu=puit&amp;table=GPG_ENTRE_PUITS&amp;cle=BZ02</t>
  </si>
  <si>
    <t>https://sigpeg.mrn.gouv.qc.ca/rapport/BZ03_insp_inactif_2019-10-08_Publique.pdf</t>
  </si>
  <si>
    <t>https://sigpeg.mrn.gouv.qc.ca/gpg/classes/ficheDescriptive?type=popup&amp;mode=fichePuits&amp;menu=puit&amp;table=GPG_ENTRE_PUITS&amp;cle=BZ03</t>
  </si>
  <si>
    <t>https://sigpeg.mrn.gouv.qc.ca/rapport/BZ04_insp_inactif_2019-10-08_Publique.pdf</t>
  </si>
  <si>
    <t>https://sigpeg.mrn.gouv.qc.ca/gpg/classes/ficheDescriptive?type=popup&amp;mode=fichePuits&amp;menu=puit&amp;table=GPG_ENTRE_PUITS&amp;cle=BZ04</t>
  </si>
  <si>
    <t>Géo Demers Forage Trois-Rivières No 5</t>
  </si>
  <si>
    <t>https://sigpeg.mrn.gouv.qc.ca/rapport/BZ05_insp_inactif_2019-10-08_Publique.pdf</t>
  </si>
  <si>
    <t>https://sigpeg.mrn.gouv.qc.ca/gpg/classes/ficheDescriptive?type=popup&amp;mode=fichePuits&amp;menu=puit&amp;table=GPG_ENTRE_PUITS&amp;cle=BZ05</t>
  </si>
  <si>
    <t>Géo Demers Forage Trois-Rivières No 14</t>
  </si>
  <si>
    <t>https://sigpeg.mrn.gouv.qc.ca/rapport/BZ07_insp_inactif_2019-10-08_Publique.pdf</t>
  </si>
  <si>
    <t>https://sigpeg.mrn.gouv.qc.ca/gpg/classes/ficheDescriptive?type=popup&amp;mode=fichePuits&amp;menu=puit&amp;table=GPG_ENTRE_PUITS&amp;cle=BZ07</t>
  </si>
  <si>
    <t>Géo Demers Forage Trois-Rivières No 16</t>
  </si>
  <si>
    <t>https://sigpeg.mrn.gouv.qc.ca/rapport/BZ08_insp_inactif_2019-10-08_Publique.pdf</t>
  </si>
  <si>
    <t>https://sigpeg.mrn.gouv.qc.ca/gpg/classes/ficheDescriptive?type=popup&amp;mode=fichePuits&amp;menu=puit&amp;table=GPG_ENTRE_PUITS&amp;cle=BZ08</t>
  </si>
  <si>
    <t>Frères de l'Instruction Chrétienne No 3</t>
  </si>
  <si>
    <t>https://sigpeg.mrn.gouv.qc.ca/rapport/P_BZ09_inspection_2018-10-15_publique.pdf</t>
  </si>
  <si>
    <t>https://sigpeg.mrn.gouv.qc.ca/gpg/classes/ficheDescriptive?type=popup&amp;mode=fichePuits&amp;menu=puit&amp;table=GPG_ENTRE_PUITS&amp;cle=BZ09</t>
  </si>
  <si>
    <t>Frères de l'Instruction Chrétienne No 4</t>
  </si>
  <si>
    <t>https://sigpeg.mrn.gouv.qc.ca/rapport/P_BZ10_inspection_2018-10-18_publique.pdf</t>
  </si>
  <si>
    <t>https://sigpeg.mrn.gouv.qc.ca/gpg/classes/ficheDescriptive?type=popup&amp;mode=fichePuits&amp;menu=puit&amp;table=GPG_ENTRE_PUITS&amp;cle=BZ10</t>
  </si>
  <si>
    <t>Motel Bettez</t>
  </si>
  <si>
    <t>https://sigpeg.mrn.gouv.qc.ca/rapport/P_BZ11_inspection_2018-10-15_publique.pdf</t>
  </si>
  <si>
    <t>https://sigpeg.mrn.gouv.qc.ca/gpg/classes/ficheDescriptive?type=popup&amp;mode=fichePuits&amp;menu=puit&amp;table=GPG_ENTRE_PUITS&amp;cle=BZ11</t>
  </si>
  <si>
    <t>Lanoraie Oil and Gas Syndicate No 2</t>
  </si>
  <si>
    <t>https://sigpeg.mrn.gouv.qc.ca/rapport/BZ13_insp_inactif_2019-08-19_Publique.pdf</t>
  </si>
  <si>
    <t>https://sigpeg.mrn.gouv.qc.ca/gpg/classes/ficheDescriptive?type=popup&amp;mode=fichePuits&amp;menu=puit&amp;table=GPG_ENTRE_PUITS&amp;cle=BZ13</t>
  </si>
  <si>
    <t>Lanoraie Oil and Gas Syndicate No 4</t>
  </si>
  <si>
    <t>https://sigpeg.mrn.gouv.qc.ca/rapport/BZ15_insp_inactif_2019-08-20_Publique.pdf</t>
  </si>
  <si>
    <t>https://sigpeg.mrn.gouv.qc.ca/gpg/classes/ficheDescriptive?type=popup&amp;mode=fichePuits&amp;menu=puit&amp;table=GPG_ENTRE_PUITS&amp;cle=BZ15</t>
  </si>
  <si>
    <t>Trinidad No 1</t>
  </si>
  <si>
    <t>Trinidad Mines Gas and Oil Limited</t>
  </si>
  <si>
    <t>https://sigpeg.mrn.gouv.qc.ca/rapport/BZ16_insp_inactif_2019-08-20_Publique.pdf</t>
  </si>
  <si>
    <t>https://sigpeg.mrn.gouv.qc.ca/gpg/classes/ficheDescriptive?type=popup&amp;mode=fichePuits&amp;menu=puit&amp;table=GPG_ENTRE_PUITS&amp;cle=BZ16</t>
  </si>
  <si>
    <t>Baril No 2</t>
  </si>
  <si>
    <t>https://sigpeg.mrn.gouv.qc.ca/rapport/BZ19_insp_inactif_2019-07-16_Publique.pdf</t>
  </si>
  <si>
    <t>https://sigpeg.mrn.gouv.qc.ca/gpg/classes/ficheDescriptive?type=popup&amp;mode=fichePuits&amp;menu=puit&amp;table=GPG_ENTRE_PUITS&amp;cle=BZ19</t>
  </si>
  <si>
    <t>Associated Developments No 1, Baillargeon</t>
  </si>
  <si>
    <t>Limestone, sandstone, shale</t>
  </si>
  <si>
    <t>Associated Developments Ltd.</t>
  </si>
  <si>
    <t>https://sigpeg.mrn.gouv.qc.ca/rapport/C001_insp_inactif_2019-08-21_Publique.pdf</t>
  </si>
  <si>
    <t>https://sigpeg.mrn.gouv.qc.ca/gpg/classes/ficheDescriptive?type=popup&amp;mode=fichePuits&amp;menu=puit&amp;table=GPG_ENTRE_PUITS&amp;cle=C001</t>
  </si>
  <si>
    <t>Associated Develpoments, Causapscal No 1</t>
  </si>
  <si>
    <t>Bas-Saint-Laurent</t>
  </si>
  <si>
    <t>Sandstone, siltstone, shale</t>
  </si>
  <si>
    <t>https://sigpeg.mrn.gouv.qc.ca/rapport/P_C002_inspection_2018-10-23_publique.pdf</t>
  </si>
  <si>
    <t>https://sigpeg.mrn.gouv.qc.ca/gpg/classes/ficheDescriptive?type=popup&amp;mode=fichePuits&amp;menu=puit&amp;table=GPG_ENTRE_PUITS&amp;cle=C002</t>
  </si>
  <si>
    <t>Bald Mountain No 2</t>
  </si>
  <si>
    <t>Siltstone, shale</t>
  </si>
  <si>
    <t>https://sigpeg.mrn.gouv.qc.ca/rapport/C003_insp_inactif_2019-06-27_Publique.pdf</t>
  </si>
  <si>
    <t>https://sigpeg.mrn.gouv.qc.ca/gpg/classes/ficheDescriptive?type=popup&amp;mode=fichePuits&amp;menu=puit&amp;table=GPG_ENTRE_PUITS&amp;cle=C003</t>
  </si>
  <si>
    <t>C.P.C. No 2</t>
  </si>
  <si>
    <t>https://sigpeg.mrn.gouv.qc.ca/rapport/P_C005_inspection_2018-10-30_publique.pdf</t>
  </si>
  <si>
    <t>https://sigpeg.mrn.gouv.qc.ca/gpg/classes/ficheDescriptive?type=popup&amp;mode=fichePuits&amp;menu=puit&amp;table=GPG_ENTRE_PUITS&amp;cle=C005</t>
  </si>
  <si>
    <t>C.P.C. No 6</t>
  </si>
  <si>
    <t>Limestone, sandstone, siltstone</t>
  </si>
  <si>
    <t>https://sigpeg.mrn.gouv.qc.ca/rapport/P_C009_inspection_2018-10-30_publique.pdf</t>
  </si>
  <si>
    <t>https://sigpeg.mrn.gouv.qc.ca/gpg/classes/ficheDescriptive?type=popup&amp;mode=fichePuits&amp;menu=puit&amp;table=GPG_ENTRE_PUITS&amp;cle=C009</t>
  </si>
  <si>
    <t>C.P.C. No 7</t>
  </si>
  <si>
    <t>https://sigpeg.mrn.gouv.qc.ca/rapport/C010_insp_inactif_2019-07-15_Publique.pdf</t>
  </si>
  <si>
    <t>https://sigpeg.mrn.gouv.qc.ca/gpg/classes/ficheDescriptive?type=popup&amp;mode=fichePuits&amp;menu=puit&amp;table=GPG_ENTRE_PUITS&amp;cle=C010</t>
  </si>
  <si>
    <t>C.P.C. No 8</t>
  </si>
  <si>
    <t>https://sigpeg.mrn.gouv.qc.ca/rapport/P_C011_inspection_2018-10-31_publique.pdf</t>
  </si>
  <si>
    <t>https://sigpeg.mrn.gouv.qc.ca/gpg/classes/ficheDescriptive?type=popup&amp;mode=fichePuits&amp;menu=puit&amp;table=GPG_ENTRE_PUITS&amp;cle=C011</t>
  </si>
  <si>
    <t>C.P.C. No 9</t>
  </si>
  <si>
    <t>https://sigpeg.mrn.gouv.qc.ca/rapport/C012_insp_inactif_2019-07-16_Publique.pdf</t>
  </si>
  <si>
    <t>https://sigpeg.mrn.gouv.qc.ca/gpg/classes/ficheDescriptive?type=popup&amp;mode=fichePuits&amp;menu=puit&amp;table=GPG_ENTRE_PUITS&amp;cle=C012</t>
  </si>
  <si>
    <t>C.P.C. No 10</t>
  </si>
  <si>
    <t>https://sigpeg.mrn.gouv.qc.ca/rapport/C013_insp_inactif_2019-07-09_Publiquie.pdf</t>
  </si>
  <si>
    <t>https://sigpeg.mrn.gouv.qc.ca/gpg/classes/ficheDescriptive?type=popup&amp;mode=fichePuits&amp;menu=puit&amp;table=GPG_ENTRE_PUITS&amp;cle=C013</t>
  </si>
  <si>
    <t>C.P.C. No 11</t>
  </si>
  <si>
    <t>https://sigpeg.mrn.gouv.qc.ca/rapport/C014_insp_inactif_2019-08-22_Publique.pdf</t>
  </si>
  <si>
    <t>https://sigpeg.mrn.gouv.qc.ca/gpg/classes/ficheDescriptive?type=popup&amp;mode=fichePuits&amp;menu=puit&amp;table=GPG_ENTRE_PUITS&amp;cle=C014</t>
  </si>
  <si>
    <t>C.P.C. No 12</t>
  </si>
  <si>
    <t>https://sigpeg.mrn.gouv.qc.ca/rapport/C015_insp_inactif_2019-08-27_Publique.pdf</t>
  </si>
  <si>
    <t>https://sigpeg.mrn.gouv.qc.ca/gpg/classes/ficheDescriptive?type=popup&amp;mode=fichePuits&amp;menu=puit&amp;table=GPG_ENTRE_PUITS&amp;cle=C015</t>
  </si>
  <si>
    <t>Haldimand No 1</t>
  </si>
  <si>
    <t>Compagnie d'exploration de Gaspé Ltée</t>
  </si>
  <si>
    <t>https://sigpeg.mrn.gouv.qc.ca/rapport/P_C016_inspection_2018-07-25_publique.pdf</t>
  </si>
  <si>
    <t>https://sigpeg.mrn.gouv.qc.ca/gpg/classes/ficheDescriptive?type=popup&amp;mode=fichePuits&amp;menu=puit&amp;table=GPG_ENTRE_PUITS&amp;cle=C016</t>
  </si>
  <si>
    <t>Mississippi No 1</t>
  </si>
  <si>
    <t>https://sigpeg.mrn.gouv.qc.ca/rapport/P_C017_inspection_2018-08-22_publique.pdf</t>
  </si>
  <si>
    <t>https://sigpeg.mrn.gouv.qc.ca/gpg/classes/ficheDescriptive?type=popup&amp;mode=fichePuits&amp;menu=puit&amp;table=GPG_ENTRE_PUITS&amp;cle=C017</t>
  </si>
  <si>
    <t>Asphalt Base No 1</t>
  </si>
  <si>
    <t>Continental Petroleums Ltd.</t>
  </si>
  <si>
    <t>https://sigpeg.mrn.gouv.qc.ca/rapport/P_C018_inspection_2018-08-30_publique.pdf</t>
  </si>
  <si>
    <t>https://sigpeg.mrn.gouv.qc.ca/gpg/classes/ficheDescriptive?type=popup&amp;mode=fichePuits&amp;menu=puit&amp;table=GPG_ENTRE_PUITS&amp;cle=C018</t>
  </si>
  <si>
    <t>Continental, Gaspé No 1</t>
  </si>
  <si>
    <t>https://sigpeg.mrn.gouv.qc.ca/rapport/C019_insp_inactif_2019-07-30_Publique.pdf</t>
  </si>
  <si>
    <t>https://sigpeg.mrn.gouv.qc.ca/gpg/classes/ficheDescriptive?type=popup&amp;mode=fichePuits&amp;menu=puit&amp;table=GPG_ENTRE_PUITS&amp;cle=C019</t>
  </si>
  <si>
    <t>Continental, Gaspé Deep Test No 1</t>
  </si>
  <si>
    <t>https://sigpeg.mrn.gouv.qc.ca/rapport/C020_insp_inactif_2019-08-01_Publique.pdf</t>
  </si>
  <si>
    <t>https://sigpeg.mrn.gouv.qc.ca/gpg/classes/ficheDescriptive?type=popup&amp;mode=fichePuits&amp;menu=puit&amp;table=GPG_ENTRE_PUITS&amp;cle=C020</t>
  </si>
  <si>
    <t>C.P.L. No 1</t>
  </si>
  <si>
    <t>https://sigpeg.mrn.gouv.qc.ca/rapport/C021_insp_inactif_2019-07-31_Publique.pdf</t>
  </si>
  <si>
    <t>https://sigpeg.mrn.gouv.qc.ca/gpg/classes/ficheDescriptive?type=popup&amp;mode=fichePuits&amp;menu=puit&amp;table=GPG_ENTRE_PUITS&amp;cle=C021</t>
  </si>
  <si>
    <t>C.P.L. No 2</t>
  </si>
  <si>
    <t>https://sigpeg.mrn.gouv.qc.ca/rapport/P_C022_inspection_2018-08-24_publique.pdf</t>
  </si>
  <si>
    <t>https://sigpeg.mrn.gouv.qc.ca/gpg/classes/ficheDescriptive?type=popup&amp;mode=fichePuits&amp;menu=puit&amp;table=GPG_ENTRE_PUITS&amp;cle=C022</t>
  </si>
  <si>
    <t>Impérial, Gaspé No 1</t>
  </si>
  <si>
    <t>Siltstone</t>
  </si>
  <si>
    <t>https://sigpeg.mrn.gouv.qc.ca/rapport/C023_insp_inactif_2019-06-27_Publique.pdf</t>
  </si>
  <si>
    <t>https://sigpeg.mrn.gouv.qc.ca/gpg/classes/ficheDescriptive?type=popup&amp;mode=fichePuits&amp;menu=puit&amp;table=GPG_ENTRE_PUITS&amp;cle=C023</t>
  </si>
  <si>
    <t>E.C.C. No 1</t>
  </si>
  <si>
    <t>https://sigpeg.mrn.gouv.qc.ca/rapport/C024_insp_inactif_2019-07-08_Publique.pdf</t>
  </si>
  <si>
    <t>https://sigpeg.mrn.gouv.qc.ca/gpg/classes/ficheDescriptive?type=popup&amp;mode=fichePuits&amp;menu=puit&amp;table=GPG_ENTRE_PUITS&amp;cle=C024</t>
  </si>
  <si>
    <t>Campbell</t>
  </si>
  <si>
    <t>Gaspé Bay Mining Co.</t>
  </si>
  <si>
    <t>https://sigpeg.mrn.gouv.qc.ca/rapport/C025_insp_inactif_2019-07-25_Publique.pdf</t>
  </si>
  <si>
    <t>https://sigpeg.mrn.gouv.qc.ca/gpg/classes/ficheDescriptive?type=popup&amp;mode=fichePuits&amp;menu=puit&amp;table=GPG_ENTRE_PUITS&amp;cle=C025</t>
  </si>
  <si>
    <t>G.B.M. No 1</t>
  </si>
  <si>
    <t>https://sigpeg.mrn.gouv.qc.ca/rapport/C026_insp_inactif_2019-08-06_Publique.pdf</t>
  </si>
  <si>
    <t>https://sigpeg.mrn.gouv.qc.ca/gpg/classes/ficheDescriptive?type=popup&amp;mode=fichePuits&amp;menu=puit&amp;table=GPG_ENTRE_PUITS&amp;cle=C026</t>
  </si>
  <si>
    <t>Venture No 1</t>
  </si>
  <si>
    <t>Gaspé Oil Ventures Ltd.</t>
  </si>
  <si>
    <t>https://sigpeg.mrn.gouv.qc.ca/rapport/P_C028_inspection_2018-11-07_publique.pdf</t>
  </si>
  <si>
    <t>https://sigpeg.mrn.gouv.qc.ca/gpg/classes/ficheDescriptive?type=popup&amp;mode=fichePuits&amp;menu=puit&amp;table=GPG_ENTRE_PUITS&amp;cle=C028</t>
  </si>
  <si>
    <t>Venture No 2</t>
  </si>
  <si>
    <t>https://sigpeg.mrn.gouv.qc.ca/rapport/P_C029_inspection_2018-07-26_publique.pdf</t>
  </si>
  <si>
    <t>https://sigpeg.mrn.gouv.qc.ca/gpg/classes/ficheDescriptive?type=popup&amp;mode=fichePuits&amp;menu=puit&amp;table=GPG_ENTRE_PUITS&amp;cle=C029</t>
  </si>
  <si>
    <t>Venture No 3</t>
  </si>
  <si>
    <t>https://sigpeg.mrn.gouv.qc.ca/rapport/P_C030_inspection_2018-07-31_publique.pdf</t>
  </si>
  <si>
    <t>https://sigpeg.mrn.gouv.qc.ca/gpg/classes/ficheDescriptive?type=popup&amp;mode=fichePuits&amp;menu=puit&amp;table=GPG_ENTRE_PUITS&amp;cle=C030</t>
  </si>
  <si>
    <t>I.O.C. No 1</t>
  </si>
  <si>
    <t>International Oil Co.</t>
  </si>
  <si>
    <t>https://sigpeg.mrn.gouv.qc.ca/rapport/P_C031_inspection_2018-11-01_publique.pdf</t>
  </si>
  <si>
    <t>https://sigpeg.mrn.gouv.qc.ca/gpg/classes/ficheDescriptive?type=popup&amp;mode=fichePuits&amp;menu=puit&amp;table=GPG_ENTRE_PUITS&amp;cle=C031</t>
  </si>
  <si>
    <t>C2</t>
  </si>
  <si>
    <t>Wilfrid Robert McMaster</t>
  </si>
  <si>
    <t>https://sigpeg.mrn.gouv.qc.ca/rapport/C032_insp_inactif_2019-08-07_Publique.pdf</t>
  </si>
  <si>
    <t>https://sigpeg.mrn.gouv.qc.ca/gpg/classes/ficheDescriptive?type=popup&amp;mode=fichePuits&amp;menu=puit&amp;table=GPG_ENTRE_PUITS&amp;cle=C032</t>
  </si>
  <si>
    <t>M.P.G. No 1</t>
  </si>
  <si>
    <t>Minéraux et Pétroles de Gaspé Ltd.</t>
  </si>
  <si>
    <t>https://sigpeg.mrn.gouv.qc.ca/rapport/P_C033_inspection_2018-11-06_publique.pdf</t>
  </si>
  <si>
    <t>https://sigpeg.mrn.gouv.qc.ca/gpg/classes/ficheDescriptive?type=popup&amp;mode=fichePuits&amp;menu=puit&amp;table=GPG_ENTRE_PUITS&amp;cle=C033</t>
  </si>
  <si>
    <t>P.C. No 1</t>
  </si>
  <si>
    <t>New Peninsular Oil Ltd.</t>
  </si>
  <si>
    <t>https://sigpeg.mrn.gouv.qc.ca/rapport/C034_insp_inactif_2019-06-28_Publique.pdf</t>
  </si>
  <si>
    <t>https://sigpeg.mrn.gouv.qc.ca/gpg/classes/ficheDescriptive?type=popup&amp;mode=fichePuits&amp;menu=puit&amp;table=GPG_ENTRE_PUITS&amp;cle=C034</t>
  </si>
  <si>
    <t>P.O.T. No 1</t>
  </si>
  <si>
    <t>https://sigpeg.mrn.gouv.qc.ca/rapport/C035_insp_inactif_2019-08-07_Publique.pdf</t>
  </si>
  <si>
    <t>https://sigpeg.mrn.gouv.qc.ca/gpg/classes/ficheDescriptive?type=popup&amp;mode=fichePuits&amp;menu=puit&amp;table=GPG_ENTRE_PUITS&amp;cle=C035</t>
  </si>
  <si>
    <t>P.O.T. No 3</t>
  </si>
  <si>
    <t>https://sigpeg.mrn.gouv.qc.ca/rapport/C037_insp_inactif_2019-08-06_Publique.pdf</t>
  </si>
  <si>
    <t>https://sigpeg.mrn.gouv.qc.ca/gpg/classes/ficheDescriptive?type=popup&amp;mode=fichePuits&amp;menu=puit&amp;table=GPG_ENTRE_PUITS&amp;cle=C037</t>
  </si>
  <si>
    <t xml:space="preserve">P.O.T. No 9 </t>
  </si>
  <si>
    <t>https://sigpeg.mrn.gouv.qc.ca/rapport/C043_insp_inactif_2019-08-22_Publique.pdf</t>
  </si>
  <si>
    <t>https://sigpeg.mrn.gouv.qc.ca/gpg/classes/ficheDescriptive?type=popup&amp;mode=fichePuits&amp;menu=puit&amp;table=GPG_ENTRE_PUITS&amp;cle=C043</t>
  </si>
  <si>
    <t>P.O.T. No 12</t>
  </si>
  <si>
    <t>https://sigpeg.mrn.gouv.qc.ca/rapport/C046_insp_inactif_2019-10-30_Publique.pdf</t>
  </si>
  <si>
    <t>https://sigpeg.mrn.gouv.qc.ca/gpg/classes/ficheDescriptive?type=popup&amp;mode=fichePuits&amp;menu=puit&amp;table=GPG_ENTRE_PUITS&amp;cle=C046</t>
  </si>
  <si>
    <t>P.O.T. No 14</t>
  </si>
  <si>
    <t>https://sigpeg.mrn.gouv.qc.ca/rapport/C048_insp_inactif_2019-09-05_Publique.pdf</t>
  </si>
  <si>
    <t>https://sigpeg.mrn.gouv.qc.ca/gpg/classes/ficheDescriptive?type=popup&amp;mode=fichePuits&amp;menu=puit&amp;table=GPG_ENTRE_PUITS&amp;cle=C048</t>
  </si>
  <si>
    <t>P.O.T. No 15</t>
  </si>
  <si>
    <t>https://sigpeg.mrn.gouv.qc.ca/rapport/P_C049_inspection_2018-11-08_publique.pdf</t>
  </si>
  <si>
    <t>https://sigpeg.mrn.gouv.qc.ca/gpg/classes/ficheDescriptive?type=popup&amp;mode=fichePuits&amp;menu=puit&amp;table=GPG_ENTRE_PUITS&amp;cle=C049</t>
  </si>
  <si>
    <t>P.O.T. No 17</t>
  </si>
  <si>
    <t>https://sigpeg.mrn.gouv.qc.ca/rapport/C051_insp_inactif_2019-08-28_Publique.pdf</t>
  </si>
  <si>
    <t>https://sigpeg.mrn.gouv.qc.ca/gpg/classes/ficheDescriptive?type=popup&amp;mode=fichePuits&amp;menu=puit&amp;table=GPG_ENTRE_PUITS&amp;cle=C051</t>
  </si>
  <si>
    <t>P.O.T. No 18</t>
  </si>
  <si>
    <t>https://sigpeg.mrn.gouv.qc.ca/rapport/P_C052_inspection_2018-08-26_publique.pdf</t>
  </si>
  <si>
    <t>https://sigpeg.mrn.gouv.qc.ca/gpg/classes/ficheDescriptive?type=popup&amp;mode=fichePuits&amp;menu=puit&amp;table=GPG_ENTRE_PUITS&amp;cle=C052</t>
  </si>
  <si>
    <t>P.O.T. No 19</t>
  </si>
  <si>
    <t>https://sigpeg.mrn.gouv.qc.ca/rapport/P_C053_inspection_2018-08-26_publique.pdf</t>
  </si>
  <si>
    <t>https://sigpeg.mrn.gouv.qc.ca/gpg/classes/ficheDescriptive?type=popup&amp;mode=fichePuits&amp;menu=puit&amp;table=GPG_ENTRE_PUITS&amp;cle=C053</t>
  </si>
  <si>
    <t>P.O.T. No 25</t>
  </si>
  <si>
    <t>https://sigpeg.mrn.gouv.qc.ca/gpg/classes/ficheDescriptive?type=popup&amp;mode=fichePuits&amp;menu=puit&amp;table=GPG_ENTRE_PUITS&amp;cle=C059</t>
  </si>
  <si>
    <t>P.O.T. No 26</t>
  </si>
  <si>
    <t>https://sigpeg.mrn.gouv.qc.ca/rapport/C060_insp_inactif_2019-09-11_Publique.pdf</t>
  </si>
  <si>
    <t>https://sigpeg.mrn.gouv.qc.ca/gpg/classes/ficheDescriptive?type=popup&amp;mode=fichePuits&amp;menu=puit&amp;table=GPG_ENTRE_PUITS&amp;cle=C060</t>
  </si>
  <si>
    <t>P.O.T. No 27</t>
  </si>
  <si>
    <t>https://sigpeg.mrn.gouv.qc.ca/rapport/P_C061_inspection_2018-08-26_publique.pdf</t>
  </si>
  <si>
    <t>https://sigpeg.mrn.gouv.qc.ca/gpg/classes/ficheDescriptive?type=popup&amp;mode=fichePuits&amp;menu=puit&amp;table=GPG_ENTRE_PUITS&amp;cle=C061</t>
  </si>
  <si>
    <t>P.O.T. No 28</t>
  </si>
  <si>
    <t>https://sigpeg.mrn.gouv.qc.ca/rapport/C062_insp_inactif_2019-08-29_Publique.pdf</t>
  </si>
  <si>
    <t>https://sigpeg.mrn.gouv.qc.ca/gpg/classes/ficheDescriptive?type=popup&amp;mode=fichePuits&amp;menu=puit&amp;table=GPG_ENTRE_PUITS&amp;cle=C062</t>
  </si>
  <si>
    <t>P.O.T. No 29</t>
  </si>
  <si>
    <t>Limestone, sandstone, shale, siltstone</t>
  </si>
  <si>
    <t>https://sigpeg.mrn.gouv.qc.ca/rapport/P_C063_inspection_2018-10-30_publique.pdf</t>
  </si>
  <si>
    <t>https://sigpeg.mrn.gouv.qc.ca/gpg/classes/ficheDescriptive?type=popup&amp;mode=fichePuits&amp;menu=puit&amp;table=GPG_ENTRE_PUITS&amp;cle=C063</t>
  </si>
  <si>
    <t>P.O.T. No 30</t>
  </si>
  <si>
    <t>https://sigpeg.mrn.gouv.qc.ca/rapport/C064_insp_inactif_2019-08-28_Publique.pdf</t>
  </si>
  <si>
    <t>https://sigpeg.mrn.gouv.qc.ca/gpg/classes/ficheDescriptive?type=popup&amp;mode=fichePuits&amp;menu=puit&amp;table=GPG_ENTRE_PUITS&amp;cle=C064</t>
  </si>
  <si>
    <t>P.O.T. No 32</t>
  </si>
  <si>
    <t>https://sigpeg.mrn.gouv.qc.ca/rapport/P_C066_inspection_2018-10-31_publique.pdf</t>
  </si>
  <si>
    <t>https://sigpeg.mrn.gouv.qc.ca/gpg/classes/ficheDescriptive?type=popup&amp;mode=fichePuits&amp;menu=puit&amp;table=GPG_ENTRE_PUITS&amp;cle=C066</t>
  </si>
  <si>
    <t>P.O.T. No 33</t>
  </si>
  <si>
    <t>https://sigpeg.mrn.gouv.qc.ca/rapport/P_C067_inspection_2018-08-22_publique.pdf</t>
  </si>
  <si>
    <t>https://sigpeg.mrn.gouv.qc.ca/gpg/classes/ficheDescriptive?type=popup&amp;mode=fichePuits&amp;menu=puit&amp;table=GPG_ENTRE_PUITS&amp;cle=C067</t>
  </si>
  <si>
    <t>P.O.T. No 34</t>
  </si>
  <si>
    <t>https://sigpeg.mrn.gouv.qc.ca/rapport/P_C068_inspection_2018-08-25_publique.pdf</t>
  </si>
  <si>
    <t>https://sigpeg.mrn.gouv.qc.ca/gpg/classes/ficheDescriptive?type=popup&amp;mode=fichePuits&amp;menu=puit&amp;table=GPG_ENTRE_PUITS&amp;cle=C068</t>
  </si>
  <si>
    <t>P.O.T. No 35</t>
  </si>
  <si>
    <t>https://sigpeg.mrn.gouv.qc.ca/rapport/P_C069_inspection_2018-08-23_publique.pdf</t>
  </si>
  <si>
    <t>https://sigpeg.mrn.gouv.qc.ca/gpg/classes/ficheDescriptive?type=popup&amp;mode=fichePuits&amp;menu=puit&amp;table=GPG_ENTRE_PUITS&amp;cle=C069</t>
  </si>
  <si>
    <t>P.O.T. No 41</t>
  </si>
  <si>
    <t>https://sigpeg.mrn.gouv.qc.ca/gpg/classes/ficheDescriptive?type=popup&amp;mode=fichePuits&amp;menu=puit&amp;table=GPG_ENTRE_PUITS&amp;cle=C075</t>
  </si>
  <si>
    <t>Québec Oil No 1</t>
  </si>
  <si>
    <t>https://sigpeg.mrn.gouv.qc.ca/rapport/P_C077_inspection_2018-08-30_publique.pdf</t>
  </si>
  <si>
    <t>https://sigpeg.mrn.gouv.qc.ca/gpg/classes/ficheDescriptive?type=popup&amp;mode=fichePuits&amp;menu=puit&amp;table=GPG_ENTRE_PUITS&amp;cle=C077</t>
  </si>
  <si>
    <t>Québec Oil No 2</t>
  </si>
  <si>
    <t>Limestone, siltstone</t>
  </si>
  <si>
    <t>https://sigpeg.mrn.gouv.qc.ca/rapport/C078_insp_inactif_2019-10-19_Publique.pdf</t>
  </si>
  <si>
    <t>https://sigpeg.mrn.gouv.qc.ca/gpg/classes/ficheDescriptive?type=popup&amp;mode=fichePuits&amp;menu=puit&amp;table=GPG_ENTRE_PUITS&amp;cle=C078</t>
  </si>
  <si>
    <t>Tar Point No 1</t>
  </si>
  <si>
    <t>Vern M. Gloss</t>
  </si>
  <si>
    <t>https://sigpeg.mrn.gouv.qc.ca/rapport/P_C079_inspection_2018-08-01_publique.pdf</t>
  </si>
  <si>
    <t>https://sigpeg.mrn.gouv.qc.ca/gpg/classes/ficheDescriptive?type=popup&amp;mode=fichePuits&amp;menu=puit&amp;table=GPG_ENTRE_PUITS&amp;cle=C079</t>
  </si>
  <si>
    <t>https://sigpeg.mrn.gouv.qc.ca/rapport/C080_insp_inactif_2019-07-17_Publique.pdf</t>
  </si>
  <si>
    <t>https://sigpeg.mrn.gouv.qc.ca/gpg/classes/ficheDescriptive?type=popup&amp;mode=fichePuits&amp;menu=puit&amp;table=GPG_ENTRE_PUITS&amp;cle=C080</t>
  </si>
  <si>
    <t>Impérial Lowlands Associated No 1, York</t>
  </si>
  <si>
    <t>https://sigpeg.mrn.gouv.qc.ca/rapport/C081_insp_inactif_2019-09-12_Publique.pdf</t>
  </si>
  <si>
    <t>https://sigpeg.mrn.gouv.qc.ca/gpg/classes/ficheDescriptive?type=popup&amp;mode=fichePuits&amp;menu=puit&amp;table=GPG_ENTRE_PUITS&amp;cle=C081</t>
  </si>
  <si>
    <t>Impérial Lowlands California Standard No 1, Lesseps</t>
  </si>
  <si>
    <t>https://sigpeg.mrn.gouv.qc.ca/rapport/C082_insp_inactif_2019-06-26_Publique.pdf</t>
  </si>
  <si>
    <t>https://sigpeg.mrn.gouv.qc.ca/gpg/classes/ficheDescriptive?type=popup&amp;mode=fichePuits&amp;menu=puit&amp;table=GPG_ENTRE_PUITS&amp;cle=C082</t>
  </si>
  <si>
    <t>New Peninsular Oil No 2, Holland</t>
  </si>
  <si>
    <t>https://sigpeg.mrn.gouv.qc.ca/rapport/C083_insp_inactif_2019-06-28_Publique.pdf</t>
  </si>
  <si>
    <t>https://sigpeg.mrn.gouv.qc.ca/gpg/classes/ficheDescriptive?type=popup&amp;mode=fichePuits&amp;menu=puit&amp;table=GPG_ENTRE_PUITS&amp;cle=C083</t>
  </si>
  <si>
    <t>New Peninsular Oil No 3, Holland</t>
  </si>
  <si>
    <t>https://sigpeg.mrn.gouv.qc.ca/rapport/C084_insp_inactif_2019-06-28_Publique.pdf</t>
  </si>
  <si>
    <t>https://sigpeg.mrn.gouv.qc.ca/gpg/classes/ficheDescriptive?type=popup&amp;mode=fichePuits&amp;menu=puit&amp;table=GPG_ENTRE_PUITS&amp;cle=C084</t>
  </si>
  <si>
    <t>New Peninsular Oil No 5, Holland</t>
  </si>
  <si>
    <t>https://sigpeg.mrn.gouv.qc.ca/rapport/P_C085_inspection_2018-08-21_publique.pdf</t>
  </si>
  <si>
    <t>https://sigpeg.mrn.gouv.qc.ca/gpg/classes/ficheDescriptive?type=popup&amp;mode=fichePuits&amp;menu=puit&amp;table=GPG_ENTRE_PUITS&amp;cle=C085</t>
  </si>
  <si>
    <t>Sun Exploration et al. No 1, La Rédemption</t>
  </si>
  <si>
    <t>Sun Exploration of Quebec Limited</t>
  </si>
  <si>
    <t>https://sigpeg.mrn.gouv.qc.ca/rapport/C086_insp_inactif_2019-09-16_Publique.pdf</t>
  </si>
  <si>
    <t>https://sigpeg.mrn.gouv.qc.ca/gpg/classes/ficheDescriptive?type=popup&amp;mode=fichePuits&amp;menu=puit&amp;table=GPG_ENTRE_PUITS&amp;cle=C086</t>
  </si>
  <si>
    <t>Sun Exploration et al., Mitis No 1</t>
  </si>
  <si>
    <t>Sun Oil Company Ltd.</t>
  </si>
  <si>
    <t>https://sigpeg.mrn.gouv.qc.ca/rapport/P_C088_inspection_2018-10-26_publique.pdf</t>
  </si>
  <si>
    <t>https://sigpeg.mrn.gouv.qc.ca/gpg/classes/ficheDescriptive?type=popup&amp;mode=fichePuits&amp;menu=puit&amp;table=GPG_ENTRE_PUITS&amp;cle=C088</t>
  </si>
  <si>
    <t>Great Plains Noël et al., La Vérendrye No 1</t>
  </si>
  <si>
    <t>Sandstone, siltstone, shale, quartzite</t>
  </si>
  <si>
    <t>Great Plains Development Co.</t>
  </si>
  <si>
    <t>https://sigpeg.mrn.gouv.qc.ca/rapport/C090_insp_inactif_2019-09-17_Publique.pdf</t>
  </si>
  <si>
    <t>https://sigpeg.mrn.gouv.qc.ca/gpg/classes/ficheDescriptive?type=popup&amp;mode=fichePuits&amp;menu=puit&amp;table=GPG_ENTRE_PUITS&amp;cle=C090</t>
  </si>
  <si>
    <t>SOQUIP Aigle d'Or et al., Gastonguay No 1</t>
  </si>
  <si>
    <t>Limestone, mudstone, shale</t>
  </si>
  <si>
    <t>https://sigpeg.mrn.gouv.qc.ca/gpg/classes/ficheDescriptive?type=popup&amp;mode=fichePuits&amp;menu=puit&amp;table=GPG_ENTRE_PUITS&amp;cle=C092</t>
  </si>
  <si>
    <t>SOQUIP, Gaspé sud No 1</t>
  </si>
  <si>
    <t>https://sigpeg.mrn.gouv.qc.ca/rapport/P_C093_inspection_2018-09-27_publique.pdf</t>
  </si>
  <si>
    <t>https://sigpeg.mrn.gouv.qc.ca/gpg/classes/ficheDescriptive?type=popup&amp;mode=fichePuits&amp;menu=puit&amp;table=GPG_ENTRE_PUITS&amp;cle=C093</t>
  </si>
  <si>
    <t>SOQUIP, Malbaie No 1</t>
  </si>
  <si>
    <t>https://sigpeg.mrn.gouv.qc.ca/rapport/P_C094_inspection_2018-09-26_publique.pdf</t>
  </si>
  <si>
    <t>https://sigpeg.mrn.gouv.qc.ca/gpg/classes/ficheDescriptive?type=popup&amp;mode=fichePuits&amp;menu=puit&amp;table=GPG_ENTRE_PUITS&amp;cle=C094</t>
  </si>
  <si>
    <t>SOQUIP, Blanchet No 1</t>
  </si>
  <si>
    <t>https://sigpeg.mrn.gouv.qc.ca/rapport/P_C096_inspection_2018-09-26_publique.pdf</t>
  </si>
  <si>
    <t>https://sigpeg.mrn.gouv.qc.ca/gpg/classes/ficheDescriptive?type=popup&amp;mode=fichePuits&amp;menu=puit&amp;table=GPG_ENTRE_PUITS&amp;cle=C096</t>
  </si>
  <si>
    <t>SOQUIP, Douglas No 1</t>
  </si>
  <si>
    <t>https://sigpeg.mrn.gouv.qc.ca/rapport/P_C097_inspection_2018-09-25_publique.pdf</t>
  </si>
  <si>
    <t>https://sigpeg.mrn.gouv.qc.ca/gpg/classes/ficheDescriptive?type=popup&amp;mode=fichePuits&amp;menu=puit&amp;table=GPG_ENTRE_PUITS&amp;cle=C097</t>
  </si>
  <si>
    <t>SOQUIP Pétrofina, Baie-de-Gaspé-Nord No 1</t>
  </si>
  <si>
    <t>https://sigpeg.mrn.gouv.qc.ca/gpg/classes/ficheDescriptive?type=popup&amp;mode=fichePuits&amp;menu=puit&amp;table=GPG_ENTRE_PUITS&amp;cle=C099</t>
  </si>
  <si>
    <t>CMG, Galt No 1</t>
  </si>
  <si>
    <t>https://sigpeg.mrn.gouv.qc.ca/gpg/classes/ficheDescriptive?type=popup&amp;mode=fichePuits&amp;menu=puit&amp;table=GPG_ENTRE_PUITS&amp;cle=C101</t>
  </si>
  <si>
    <t>Pétro Gaspé, Galt No 1</t>
  </si>
  <si>
    <t>https://sigpeg.mrn.gouv.qc.ca/rapport/P_C107_inspection_2018-11-01_publique.pdf</t>
  </si>
  <si>
    <t>https://sigpeg.mrn.gouv.qc.ca/gpg/classes/ficheDescriptive?type=popup&amp;mode=fichePuits&amp;menu=puit&amp;table=GPG_ENTRE_PUITS&amp;cle=C107</t>
  </si>
  <si>
    <t>Pétro Gaspé, Galt No 6</t>
  </si>
  <si>
    <t>https://sigpeg.mrn.gouv.qc.ca/rapport/P_C116_inspection_2018-11-04_publique.pdf</t>
  </si>
  <si>
    <t>https://sigpeg.mrn.gouv.qc.ca/gpg/classes/ficheDescriptive?type=popup&amp;mode=fichePuits&amp;menu=puit&amp;table=GPG_ENTRE_PUITS&amp;cle=C116</t>
  </si>
  <si>
    <t>Jaltin, Galt No 1</t>
  </si>
  <si>
    <t>https://sigpeg.mrn.gouv.qc.ca/rapport/C118_insp_inactif_2019-07-26_Publique.pdf</t>
  </si>
  <si>
    <t>https://sigpeg.mrn.gouv.qc.ca/gpg/classes/ficheDescriptive?type=popup&amp;mode=fichePuits&amp;menu=puit&amp;table=GPG_ENTRE_PUITS&amp;cle=C118</t>
  </si>
  <si>
    <t>Corridor, Lac Matapédia No 1</t>
  </si>
  <si>
    <t>Limestone, mudstone</t>
  </si>
  <si>
    <t>https://sigpeg.mrn.gouv.qc.ca/rapport/P_C119_inspection_2018-07-13_publique.pdf</t>
  </si>
  <si>
    <t>https://sigpeg.mrn.gouv.qc.ca/gpg/classes/ficheDescriptive?type=popup&amp;mode=fichePuits&amp;menu=puit&amp;table=GPG_ENTRE_PUITS&amp;cle=C119</t>
  </si>
  <si>
    <t>Corridor, Rivière à la Truite No 1</t>
  </si>
  <si>
    <t>https://sigpeg.mrn.gouv.qc.ca/rapport/C120_insp_inactif_2019-09-17_Publique.pdf</t>
  </si>
  <si>
    <t>https://sigpeg.mrn.gouv.qc.ca/gpg/classes/ficheDescriptive?type=popup&amp;mode=fichePuits&amp;menu=puit&amp;table=GPG_ENTRE_PUITS&amp;cle=C120</t>
  </si>
  <si>
    <t>Bartech, Lac Matapédia No 1</t>
  </si>
  <si>
    <t>Prospection 2000 Inc.</t>
  </si>
  <si>
    <t>https://sigpeg.mrn.gouv.qc.ca/rapport/C125_insp_inactif_2019-09-16_Publique.pdf</t>
  </si>
  <si>
    <t>https://sigpeg.mrn.gouv.qc.ca/gpg/classes/ficheDescriptive?type=popup&amp;mode=fichePuits&amp;menu=puit&amp;table=GPG_ENTRE_PUITS&amp;cle=C125</t>
  </si>
  <si>
    <t>Hydro-Québec Pétrole et gaz, Miguasha No 1</t>
  </si>
  <si>
    <t>Hydro-Québec</t>
  </si>
  <si>
    <t>https://sigpeg.mrn.gouv.qc.ca/rapport/C127_insp_inactif_2018-09-25_Publique.pdf</t>
  </si>
  <si>
    <t>https://sigpeg.mrn.gouv.qc.ca/gpg/classes/ficheDescriptive?type=popup&amp;mode=fichePuits&amp;menu=puit&amp;table=GPG_ENTRE_PUITS&amp;cle=C127</t>
  </si>
  <si>
    <t>Hydro-Québec Pétrole et gaz, Miguasha-Ouest No 1</t>
  </si>
  <si>
    <t>https://sigpeg.mrn.gouv.qc.ca/rapport/C128_insp_inactif_2018-09-25_Publique.pdf</t>
  </si>
  <si>
    <t>https://sigpeg.mrn.gouv.qc.ca/gpg/classes/ficheDescriptive?type=popup&amp;mode=fichePuits&amp;menu=puit&amp;table=GPG_ENTRE_PUITS&amp;cle=C128</t>
  </si>
  <si>
    <t>Junex Lemaire, Baillargeon No 1</t>
  </si>
  <si>
    <t>https://sigpeg.mrn.gouv.qc.ca/rapport/C132_insp_inactif_2019-09-11_Publique.pdf</t>
  </si>
  <si>
    <t>https://sigpeg.mrn.gouv.qc.ca/gpg/classes/ficheDescriptive?type=popup&amp;mode=fichePuits&amp;menu=puit&amp;table=GPG_ENTRE_PUITS&amp;cle=C132</t>
  </si>
  <si>
    <t>Gastem, Ristigouche-Partie-Sud-Est No 1</t>
  </si>
  <si>
    <t>https://sigpeg.mrn.gouv.qc.ca/rapport/P_C144_inspection_2018-10-23_publique.pdf</t>
  </si>
  <si>
    <t>https://sigpeg.mrn.gouv.qc.ca/gpg/classes/ficheDescriptive?type=popup&amp;mode=fichePuits&amp;menu=puit&amp;table=GPG_ENTRE_PUITS&amp;cle=C144</t>
  </si>
  <si>
    <t>83-04</t>
  </si>
  <si>
    <t>https://sigpeg.mrn.gouv.qc.ca/rapport/P_CS04_inspection_2018-11-04_publique.pdf</t>
  </si>
  <si>
    <t>https://sigpeg.mrn.gouv.qc.ca/gpg/classes/ficheDescriptive?type=popup&amp;mode=fichePuits&amp;menu=puit&amp;table=GPG_ENTRE_PUITS&amp;cle=CS04</t>
  </si>
  <si>
    <t>84-01</t>
  </si>
  <si>
    <t>https://sigpeg.mrn.gouv.qc.ca/rapport/P_CS09_inspection_2018-07-29_publique.pdf</t>
  </si>
  <si>
    <t>https://sigpeg.mrn.gouv.qc.ca/gpg/classes/ficheDescriptive?type=popup&amp;mode=fichePuits&amp;menu=puit&amp;table=GPG_ENTRE_PUITS&amp;cle=CS09</t>
  </si>
  <si>
    <t>85-01</t>
  </si>
  <si>
    <t>https://sigpeg.mrn.gouv.qc.ca/rapport/P_CS25_inspection_2018-07-30_publique.pdf</t>
  </si>
  <si>
    <t>https://sigpeg.mrn.gouv.qc.ca/gpg/classes/ficheDescriptive?type=popup&amp;mode=fichePuits&amp;menu=puit&amp;table=GPG_ENTRE_PUITS&amp;cle=CS25</t>
  </si>
  <si>
    <t>85-04 (1985FCS28)</t>
  </si>
  <si>
    <t>https://sigpeg.mrn.gouv.qc.ca/rapport/P_CS28_inspection_2018-07-30_publique.pdf</t>
  </si>
  <si>
    <t>https://sigpeg.mrn.gouv.qc.ca/gpg/classes/ficheDescriptive?type=popup&amp;mode=fichePuits&amp;menu=puit&amp;table=GPG_ENTRE_PUITS&amp;cle=CS28</t>
  </si>
  <si>
    <t>85-05 (1985FCS29)</t>
  </si>
  <si>
    <t>https://sigpeg.mrn.gouv.qc.ca/rapport/P_CS29_inspection_2018-11-08_publique.pdf</t>
  </si>
  <si>
    <t>https://sigpeg.mrn.gouv.qc.ca/gpg/classes/ficheDescriptive?type=popup&amp;mode=fichePuits&amp;menu=puit&amp;table=GPG_ENTRE_PUITS&amp;cle=CS29</t>
  </si>
  <si>
    <t>85-06</t>
  </si>
  <si>
    <t>https://sigpeg.mrn.gouv.qc.ca/rapport/Rap_2017-10-07_CS30_P2.pdf</t>
  </si>
  <si>
    <t>https://sigpeg.mrn.gouv.qc.ca/gpg/classes/ficheDescriptive?type=popup&amp;mode=fichePuits&amp;menu=puit&amp;table=GPG_ENTRE_PUITS&amp;cle=CS30</t>
  </si>
  <si>
    <t>85-11</t>
  </si>
  <si>
    <t>https://sigpeg.mrn.gouv.qc.ca/rapport/P_CS35_inspection_2018-08-29_publique.pdf</t>
  </si>
  <si>
    <t>https://sigpeg.mrn.gouv.qc.ca/gpg/classes/ficheDescriptive?type=popup&amp;mode=fichePuits&amp;menu=puit&amp;table=GPG_ENTRE_PUITS&amp;cle=CS35</t>
  </si>
  <si>
    <t>85-13</t>
  </si>
  <si>
    <t>https://sigpeg.mrn.gouv.qc.ca/rapport/P_CS37_inspection_2018-07-28_publique.pdf</t>
  </si>
  <si>
    <t>https://sigpeg.mrn.gouv.qc.ca/gpg/classes/ficheDescriptive?type=popup&amp;mode=fichePuits&amp;menu=puit&amp;table=GPG_ENTRE_PUITS&amp;cle=CS37</t>
  </si>
  <si>
    <t>85-14</t>
  </si>
  <si>
    <t>https://sigpeg.mrn.gouv.qc.ca/rapport/P_CS38_inspection_2018-08-29_publique.pdf</t>
  </si>
  <si>
    <t>https://sigpeg.mrn.gouv.qc.ca/gpg/classes/ficheDescriptive?type=popup&amp;mode=fichePuits&amp;menu=puit&amp;table=GPG_ENTRE_PUITS&amp;cle=CS38</t>
  </si>
  <si>
    <t>85-15</t>
  </si>
  <si>
    <t>Limestone, sandstone, clay</t>
  </si>
  <si>
    <t>https://sigpeg.mrn.gouv.qc.ca/rapport/P_CS39_inspection_2018-08-30_publique.pdf</t>
  </si>
  <si>
    <t>https://sigpeg.mrn.gouv.qc.ca/gpg/classes/ficheDescriptive?type=popup&amp;mode=fichePuits&amp;menu=puit&amp;table=GPG_ENTRE_PUITS&amp;cle=CS39</t>
  </si>
  <si>
    <t>85-16</t>
  </si>
  <si>
    <t>https://sigpeg.mrn.gouv.qc.ca/rapport/CS40_insp_inactif_2019-10-17_Publique.pdf</t>
  </si>
  <si>
    <t>https://sigpeg.mrn.gouv.qc.ca/gpg/classes/ficheDescriptive?type=popup&amp;mode=fichePuits&amp;menu=puit&amp;table=GPG_ENTRE_PUITS&amp;cle=CS40</t>
  </si>
  <si>
    <t>85-17</t>
  </si>
  <si>
    <t>https://sigpeg.mrn.gouv.qc.ca/rapport/P_CS41_inspection_2018-08-29_publique.pdf</t>
  </si>
  <si>
    <t>https://sigpeg.mrn.gouv.qc.ca/gpg/classes/ficheDescriptive?type=popup&amp;mode=fichePuits&amp;menu=puit&amp;table=GPG_ENTRE_PUITS&amp;cle=CS41</t>
  </si>
  <si>
    <t>85-19</t>
  </si>
  <si>
    <t>https://sigpeg.mrn.gouv.qc.ca/rapport/CS43_insp_inactif_2019-10-17_Publique.pdf</t>
  </si>
  <si>
    <t>https://sigpeg.mrn.gouv.qc.ca/gpg/classes/ficheDescriptive?type=popup&amp;mode=fichePuits&amp;menu=puit&amp;table=GPG_ENTRE_PUITS&amp;cle=CS43</t>
  </si>
  <si>
    <t>SB-1</t>
  </si>
  <si>
    <t>Sandstone, mudstone</t>
  </si>
  <si>
    <t>https://sigpeg.mrn.gouv.qc.ca/rapport/CS45_insp_inactif_2019-08-21_Publique.pdf</t>
  </si>
  <si>
    <t>https://sigpeg.mrn.gouv.qc.ca/gpg/classes/ficheDescriptive?type=popup&amp;mode=fichePuits&amp;menu=puit&amp;table=GPG_ENTRE_PUITS&amp;cle=CS45</t>
  </si>
  <si>
    <t>SB-2</t>
  </si>
  <si>
    <t>https://sigpeg.mrn.gouv.qc.ca/rapport/P_CS46_inspection_2018-09-13_publique.pdf</t>
  </si>
  <si>
    <t>https://sigpeg.mrn.gouv.qc.ca/gpg/classes/ficheDescriptive?type=popup&amp;mode=fichePuits&amp;menu=puit&amp;table=GPG_ENTRE_PUITS&amp;cle=CS46</t>
  </si>
  <si>
    <t>SB-4</t>
  </si>
  <si>
    <t>https://sigpeg.mrn.gouv.qc.ca/rapport/P_CS48_inspection_2018-08-28_publique.pdf</t>
  </si>
  <si>
    <t>https://sigpeg.mrn.gouv.qc.ca/gpg/classes/ficheDescriptive?type=popup&amp;mode=fichePuits&amp;menu=puit&amp;table=GPG_ENTRE_PUITS&amp;cle=CS48</t>
  </si>
  <si>
    <t>SB-5</t>
  </si>
  <si>
    <t>https://sigpeg.mrn.gouv.qc.ca/rapport/CS49_insp_inactif_2019-08-20_Publique.pdf</t>
  </si>
  <si>
    <t>https://sigpeg.mrn.gouv.qc.ca/gpg/classes/ficheDescriptive?type=popup&amp;mode=fichePuits&amp;menu=puit&amp;table=GPG_ENTRE_PUITS&amp;cle=CS49</t>
  </si>
  <si>
    <t>SB-6</t>
  </si>
  <si>
    <t>https://sigpeg.mrn.gouv.qc.ca/rapport/P_CS50_inspection_2018-09-13_publique.pdf</t>
  </si>
  <si>
    <t>https://sigpeg.mrn.gouv.qc.ca/gpg/classes/ficheDescriptive?type=popup&amp;mode=fichePuits&amp;menu=puit&amp;table=GPG_ENTRE_PUITS&amp;cle=CS50</t>
  </si>
  <si>
    <t>Lowlands Gamache, Carleton Point No 1</t>
  </si>
  <si>
    <t>https://sigpeg.mrn.gouv.qc.ca/rapport/P_D001_inspection_2018-07-13_publique.pdf</t>
  </si>
  <si>
    <t>https://sigpeg.mrn.gouv.qc.ca/gpg/classes/ficheDescriptive?type=popup&amp;mode=fichePuits&amp;menu=puit&amp;table=GPG_ENTRE_PUITS&amp;cle=D001</t>
  </si>
  <si>
    <t>New Associated Con-Paper, Anticosti No 1</t>
  </si>
  <si>
    <t>Limestone, sandstone, siltstone, shale, dolomite</t>
  </si>
  <si>
    <t>https://sigpeg.mrn.gouv.qc.ca/rapport/P_D003_inspection_2018-07-22_publique.pdf</t>
  </si>
  <si>
    <t>https://sigpeg.mrn.gouv.qc.ca/gpg/classes/ficheDescriptive?type=popup&amp;mode=fichePuits&amp;menu=puit&amp;table=GPG_ENTRE_PUITS&amp;cle=D003</t>
  </si>
  <si>
    <t>Lowlands Gamache, Highcliff No 1</t>
  </si>
  <si>
    <t>Limestone, sandstone, siltstone, shale, dolomite, granite</t>
  </si>
  <si>
    <t>https://sigpeg.mrn.gouv.qc.ca/rapport/P_D005_inspection_2018-07-28_publique.pdf</t>
  </si>
  <si>
    <t>https://sigpeg.mrn.gouv.qc.ca/gpg/classes/ficheDescriptive?type=popup&amp;mode=fichePuits&amp;menu=puit&amp;table=GPG_ENTRE_PUITS&amp;cle=D005</t>
  </si>
  <si>
    <t>SOQUIP Scurry Rainbow, Sandtop No 1 (Anticosti)</t>
  </si>
  <si>
    <t>https://sigpeg.mrn.gouv.qc.ca/rapport/D010_insp_inactif_2019-07-03_Publique.pdf</t>
  </si>
  <si>
    <t>https://sigpeg.mrn.gouv.qc.ca/gpg/classes/ficheDescriptive?type=popup&amp;mode=fichePuits&amp;menu=puit&amp;table=GPG_ENTRE_PUITS&amp;cle=D010</t>
  </si>
  <si>
    <t>Shell Encal Corridor, Roliff No 1</t>
  </si>
  <si>
    <t>https://sigpeg.mrn.gouv.qc.ca/rapport/D012_insp_inactif_2019-07-05_Publique.pdf</t>
  </si>
  <si>
    <t>https://sigpeg.mrn.gouv.qc.ca/gpg/classes/ficheDescriptive?type=popup&amp;mode=fichePuits&amp;menu=puit&amp;table=GPG_ENTRE_PUITS&amp;cle=D012</t>
  </si>
  <si>
    <t>Shell et al., Jupiter No 1</t>
  </si>
  <si>
    <t>https://sigpeg.mrn.gouv.qc.ca/rapport/P_D013_inspection_2018-07-22_publique.pdf</t>
  </si>
  <si>
    <t>https://sigpeg.mrn.gouv.qc.ca/gpg/classes/ficheDescriptive?type=popup&amp;mode=fichePuits&amp;menu=puit&amp;table=GPG_ENTRE_PUITS&amp;cle=D013</t>
  </si>
  <si>
    <t>Shell Encal Corridor, Anticosti, Chaloupe No 1</t>
  </si>
  <si>
    <t>Limestone, sandstone, shale, mudstone, dolomite</t>
  </si>
  <si>
    <t>https://sigpeg.mrn.gouv.qc.ca/rapport/D014_insp_inactif_2019-06-30_Publique.pdf</t>
  </si>
  <si>
    <t>https://sigpeg.mrn.gouv.qc.ca/gpg/classes/ficheDescriptive?type=popup&amp;mode=fichePuits&amp;menu=puit&amp;table=GPG_ENTRE_PUITS&amp;cle=D014</t>
  </si>
  <si>
    <t>Shell Encal Corridor, Anticosti, Saumon No 1</t>
  </si>
  <si>
    <t>https://sigpeg.mrn.gouv.qc.ca/rapport/D015_insp_inactif_2019-06-30_Publique.pdf</t>
  </si>
  <si>
    <t>https://sigpeg.mrn.gouv.qc.ca/gpg/classes/ficheDescriptive?type=popup&amp;mode=fichePuits&amp;menu=puit&amp;table=GPG_ENTRE_PUITS&amp;cle=D015</t>
  </si>
  <si>
    <t>Shell Encal Corridor, Anticosti, Dauphine No 1</t>
  </si>
  <si>
    <t>https://sigpeg.mrn.gouv.qc.ca/rapport/D016_insp_inactif_2019-06-29_Publique.pdf</t>
  </si>
  <si>
    <t>https://sigpeg.mrn.gouv.qc.ca/gpg/classes/ficheDescriptive?type=popup&amp;mode=fichePuits&amp;menu=puit&amp;table=GPG_ENTRE_PUITS&amp;cle=D016</t>
  </si>
  <si>
    <t>Corridor/HQ, Anticosti, Chaloupe No 1</t>
  </si>
  <si>
    <t>https://sigpeg.mrn.gouv.qc.ca/rapport/D017_insp_inactif_2019-06-30_Publique.pdf</t>
  </si>
  <si>
    <t>https://sigpeg.mrn.gouv.qc.ca/gpg/classes/ficheDescriptive?type=popup&amp;mode=fichePuits&amp;menu=puit&amp;table=GPG_ENTRE_PUITS&amp;cle=D017</t>
  </si>
  <si>
    <t>HQ/Corridor, Anticosti, MacDonald No 1</t>
  </si>
  <si>
    <t>https://sigpeg.mrn.gouv.qc.ca/rapport/D018_insp_inactif_2019-07-04_Publique.pdf</t>
  </si>
  <si>
    <t>https://sigpeg.mrn.gouv.qc.ca/gpg/classes/ficheDescriptive?type=popup&amp;mode=fichePuits&amp;menu=puit&amp;table=GPG_ENTRE_PUITS&amp;cle=D018</t>
  </si>
  <si>
    <t>Corridor/HQ, Anticosti, Jupiter No 1</t>
  </si>
  <si>
    <t>https://sigpeg.mrn.gouv.qc.ca/rapport/P_D019_inspection_2018-07-22_publique.pdf</t>
  </si>
  <si>
    <t>https://sigpeg.mrn.gouv.qc.ca/gpg/classes/ficheDescriptive?type=popup&amp;mode=fichePuits&amp;menu=puit&amp;table=GPG_ENTRE_PUITS&amp;cle=D019</t>
  </si>
  <si>
    <t>Chambord No 1</t>
  </si>
  <si>
    <t>La Compagnie d'Huile de Chambord Ltd.</t>
  </si>
  <si>
    <t>https://sigpeg.mrn.gouv.qc.ca/rapport/E003_insp_inactif_2019-08-20_Publique.pdf</t>
  </si>
  <si>
    <t>https://sigpeg.mrn.gouv.qc.ca/gpg/classes/ficheDescriptive?type=popup&amp;mode=fichePuits&amp;menu=puit&amp;table=GPG_ENTRE_PUITS&amp;cle=E003</t>
  </si>
  <si>
    <t>Gérard Fortin</t>
  </si>
  <si>
    <t>Granite, syenite</t>
  </si>
  <si>
    <t>https://sigpeg.mrn.gouv.qc.ca/rapport/E006_insp_inactif_2019-08-22_Publique.pdf</t>
  </si>
  <si>
    <t>https://sigpeg.mrn.gouv.qc.ca/gpg/classes/ficheDescriptive?type=popup&amp;mode=fichePuits&amp;menu=puit&amp;table=GPG_ENTRE_PUITS&amp;cle=E006</t>
  </si>
  <si>
    <t>Maria C No 1</t>
  </si>
  <si>
    <t>Syenite</t>
  </si>
  <si>
    <t>https://sigpeg.mrn.gouv.qc.ca/rapport/E007_insp_inactif_2019-08-22_Publique.pdf</t>
  </si>
  <si>
    <t>https://sigpeg.mrn.gouv.qc.ca/gpg/classes/ficheDescriptive?type=popup&amp;mode=fichePuits&amp;menu=puit&amp;table=GPG_ENTRE_PUITS&amp;cle=E007</t>
  </si>
  <si>
    <t>Baie-Saint-Paul No 1</t>
  </si>
  <si>
    <t>https://sigpeg.mrn.gouv.qc.ca/rapport/E012_insp_inactif_2019-06-26_Publique.pdf</t>
  </si>
  <si>
    <t>https://sigpeg.mrn.gouv.qc.ca/gpg/classes/ficheDescriptive?type=popup&amp;mode=fichePuits&amp;menu=puit&amp;table=GPG_ENTRE_PUITS&amp;cle=E012</t>
  </si>
  <si>
    <t>Great Plains Noël Shell No 1, Parke</t>
  </si>
  <si>
    <t>F-Bas St-Laurent</t>
  </si>
  <si>
    <t>Sandstone, shale, serpentinite</t>
  </si>
  <si>
    <t>Great Plains Resources Co.</t>
  </si>
  <si>
    <t>https://sigpeg.mrn.gouv.qc.ca/rapport/F001_insp_inactif_2019-09-12_Publique.pdf</t>
  </si>
  <si>
    <t>https://sigpeg.mrn.gouv.qc.ca/gpg/classes/ficheDescriptive?type=popup&amp;mode=fichePuits&amp;menu=puit&amp;table=GPG_ENTRE_PUITS&amp;cle=F001</t>
  </si>
  <si>
    <t>SOQUIP, Parke No 2</t>
  </si>
  <si>
    <t>https://sigpeg.mrn.gouv.qc.ca/rapport/F003_insp_inactif_2019-09-09_Publique.pdf</t>
  </si>
  <si>
    <t>https://sigpeg.mrn.gouv.qc.ca/gpg/classes/ficheDescriptive?type=popup&amp;mode=fichePuits&amp;menu=puit&amp;table=GPG_ENTRE_PUITS&amp;cle=F003</t>
  </si>
  <si>
    <t>GHK, Ile aux Coudres No 1</t>
  </si>
  <si>
    <t>GHK Company</t>
  </si>
  <si>
    <t>https://sigpeg.mrn.gouv.qc.ca/rapport/F004_insp_inactif_2019-05-30_Publique.pdf</t>
  </si>
  <si>
    <t>https://sigpeg.mrn.gouv.qc.ca/gpg/classes/ficheDescriptive?type=popup&amp;mode=fichePuits&amp;menu=puit&amp;table=GPG_ENTRE_PUITS&amp;cle=F004</t>
  </si>
  <si>
    <t>SOQUIP Lac Noir No 1, Neigette (C091)</t>
  </si>
  <si>
    <t>https://sigpeg.mrn.gouv.qc.ca/rapport/P_F005_inspection_2018-09-25_publique.pdf</t>
  </si>
  <si>
    <t>https://sigpeg.mrn.gouv.qc.ca/gpg/classes/ficheDescriptive?type=popup&amp;mode=fichePuits&amp;menu=puit&amp;table=GPG_ENTRE_PUITS&amp;cle=F005</t>
  </si>
  <si>
    <t>SQX #09</t>
  </si>
  <si>
    <t>https://sigpeg.mrn.gouv.qc.ca/rapport/FZ005_insp_inactif_2019-09-18_Publique.pdf</t>
  </si>
  <si>
    <t>https://sigpeg.mrn.gouv.qc.ca/gpg/classes/ficheDescriptive?type=popup&amp;mode=fichePuits&amp;menu=puit&amp;table=GPG_ENTRE_PUITS&amp;cle=FZ005</t>
  </si>
  <si>
    <t>Corridor, Iles-de-la-Madeleine, Fatima No 1</t>
  </si>
  <si>
    <t>G-Golfe du St-Laurent</t>
  </si>
  <si>
    <t>https://sigpeg.mrn.gouv.qc.ca/rapport/G003_insp_inactif_2019-09-24_Publique.pdf</t>
  </si>
  <si>
    <t>https://sigpeg.mrn.gouv.qc.ca/gpg/classes/ficheDescriptive?type=popup&amp;mode=fichePuits&amp;menu=puit&amp;table=GPG_ENTRE_PUITS&amp;cle=G003</t>
  </si>
  <si>
    <t>Hydro-Québec Gulf No 2A</t>
  </si>
  <si>
    <t>Pan American Petroleum Corporation</t>
  </si>
  <si>
    <t>https://sigpeg.mrn.gouv.qc.ca/gpg/classes/ficheDescriptive?type=popup&amp;mode=fichePuits&amp;menu=puit&amp;table=GPG_ENTRE_PUITS&amp;cle=GZ03</t>
  </si>
  <si>
    <t>Hydro-Québec Gulf No 4</t>
  </si>
  <si>
    <t>https://sigpeg.mrn.gouv.qc.ca/gpg/classes/ficheDescriptive?type=popup&amp;mode=fichePuits&amp;menu=puit&amp;table=GPG_ENTRE_PUITS&amp;cle=GZ04</t>
  </si>
  <si>
    <t>Hydro-Québec Gulf No 4A</t>
  </si>
  <si>
    <t>https://sigpeg.mrn.gouv.qc.ca/gpg/classes/ficheDescriptive?type=popup&amp;mode=fichePuits&amp;menu=puit&amp;table=GPG_ENTRE_PUITS&amp;cle=GZ05</t>
  </si>
  <si>
    <t>Montréal</t>
  </si>
  <si>
    <t>Montréal No 1</t>
  </si>
  <si>
    <t>A.B. International Prospecting Co.</t>
  </si>
  <si>
    <t>https://sigpeg.mrn.gouv.qc.ca/rapport/A001_insp_inactif_2019-10-24_publique.pdf</t>
  </si>
  <si>
    <t>https://sigpeg.mrn.gouv.qc.ca/gpg/classes/ficheDescriptive?type=popup&amp;mode=fichePuits&amp;menu=puit&amp;table=GPG_ENTRE_PUITS&amp;cle=A001</t>
  </si>
  <si>
    <t>Yamachiche No 1</t>
  </si>
  <si>
    <t>American &amp; Canadian Oil Syndicate</t>
  </si>
  <si>
    <t>https://sigpeg.mrn.gouv.qc.ca/rapport/A002_insp_inactif_2019-10-30_publique.pdf</t>
  </si>
  <si>
    <t>https://sigpeg.mrn.gouv.qc.ca/gpg/classes/ficheDescriptive?type=popup&amp;mode=fichePuits&amp;menu=puit&amp;table=GPG_ENTRE_PUITS&amp;cle=A002</t>
  </si>
  <si>
    <t>Bergeron</t>
  </si>
  <si>
    <t>Limestone, sandstone, shale, clay</t>
  </si>
  <si>
    <t>E. Bergeron</t>
  </si>
  <si>
    <t>https://sigpeg.mrn.gouv.qc.ca/rapport/A018_insp_inactif_2019-11-07_Publique.pdf</t>
  </si>
  <si>
    <t>https://sigpeg.mrn.gouv.qc.ca/gpg/classes/ficheDescriptive?type=popup&amp;mode=fichePuits&amp;menu=puit&amp;table=GPG_ENTRE_PUITS&amp;cle=A018</t>
  </si>
  <si>
    <t>Canadian Natural Gas No 4</t>
  </si>
  <si>
    <t>Canadian Natural Gas No 5</t>
  </si>
  <si>
    <t>https://sigpeg.mrn.gouv.qc.ca/rapport/A023_insp_inactif_2019-11-20_Publique.pdf</t>
  </si>
  <si>
    <t>https://sigpeg.mrn.gouv.qc.ca/gpg/classes/ficheDescriptive?type=popup&amp;mode=fichePuits&amp;menu=puit&amp;table=GPG_ENTRE_PUITS&amp;cle=A023</t>
  </si>
  <si>
    <t>https://sigpeg.mrn.gouv.qc.ca/rapport/A024_insp_inactif_2019-11-25_Publique.pdf</t>
  </si>
  <si>
    <t>https://sigpeg.mrn.gouv.qc.ca/gpg/classes/ficheDescriptive?type=popup&amp;mode=fichePuits&amp;menu=puit&amp;table=GPG_ENTRE_PUITS&amp;cle=A024</t>
  </si>
  <si>
    <t>Canadian Seabord, Sainte-Angèle No 1</t>
  </si>
  <si>
    <t>https://sigpeg.mrn.gouv.qc.ca/rapport/A027_insp_inactif_2019-07-04_Publique.pdf</t>
  </si>
  <si>
    <t>https://sigpeg.mrn.gouv.qc.ca/gpg/classes/ficheDescriptive?type=popup&amp;mode=fichePuits&amp;menu=puit&amp;table=GPG_ENTRE_PUITS&amp;cle=A027</t>
  </si>
  <si>
    <t>Cartier Natural Gas, Saint-Hubert No 1</t>
  </si>
  <si>
    <t>https://sigpeg.mrn.gouv.qc.ca/rapport/A032_insp_inactif_2019-07-17_Publique.pdf</t>
  </si>
  <si>
    <t>https://sigpeg.mrn.gouv.qc.ca/gpg/classes/ficheDescriptive?type=popup&amp;mode=fichePuits&amp;menu=puit&amp;table=GPG_ENTRE_PUITS&amp;cle=A032</t>
  </si>
  <si>
    <t>Madeleine No 2</t>
  </si>
  <si>
    <t>Limestone, sandstone, shale, dolomite, quartzite</t>
  </si>
  <si>
    <t>https://sigpeg.mrn.gouv.qc.ca/rapport/A034_insp_inactif_2019-06-26_Publique.pdf</t>
  </si>
  <si>
    <t>https://sigpeg.mrn.gouv.qc.ca/gpg/classes/ficheDescriptive?type=popup&amp;mode=fichePuits&amp;menu=puit&amp;table=GPG_ENTRE_PUITS&amp;cle=A034</t>
  </si>
  <si>
    <t>Eastern Canada No 1</t>
  </si>
  <si>
    <t>https://sigpeg.mrn.gouv.qc.ca/rapport/P_A038_inspection_2018-08-20_publique.pdf</t>
  </si>
  <si>
    <t>https://sigpeg.mrn.gouv.qc.ca/gpg/classes/ficheDescriptive?type=popup&amp;mode=fichePuits&amp;menu=puit&amp;table=GPG_ENTRE_PUITS&amp;cle=A038</t>
  </si>
  <si>
    <t>Eastern Canada Gas &amp; Oil No 6, Saint-Blaise</t>
  </si>
  <si>
    <t>Sandstone, shale, dolomite</t>
  </si>
  <si>
    <t>https://sigpeg.mrn.gouv.qc.ca/rapport/P_A043_inspection_2018-11-18_publique.pdf</t>
  </si>
  <si>
    <t>https://sigpeg.mrn.gouv.qc.ca/gpg/classes/ficheDescriptive?type=popup&amp;mode=fichePuits&amp;menu=puit&amp;table=GPG_ENTRE_PUITS&amp;cle=A043</t>
  </si>
  <si>
    <t>Eastern Canada Gas &amp; Oil No 7, Saint-Jean</t>
  </si>
  <si>
    <t>https://sigpeg.mrn.gouv.qc.ca/rapport/A044_insp_inactif_2019-10-10_Publique.pdf</t>
  </si>
  <si>
    <t>https://sigpeg.mrn.gouv.qc.ca/gpg/classes/ficheDescriptive?type=popup&amp;mode=fichePuits&amp;menu=puit&amp;table=GPG_ENTRE_PUITS&amp;cle=A044</t>
  </si>
  <si>
    <t>Quonto International No 1, Saint-Vincent-de-Paul</t>
  </si>
  <si>
    <t>International Metal &amp; Petroleum Corp.</t>
  </si>
  <si>
    <t>https://sigpeg.mrn.gouv.qc.ca/rapport/A057_insp_inactif_2019-07-03_Publique.pdf</t>
  </si>
  <si>
    <t>https://sigpeg.mrn.gouv.qc.ca/gpg/classes/ficheDescriptive?type=popup&amp;mode=fichePuits&amp;menu=puit&amp;table=GPG_ENTRE_PUITS&amp;cle=A057</t>
  </si>
  <si>
    <t>Laduboro No 4, La Baie Yamaska</t>
  </si>
  <si>
    <t>https://sigpeg.mrn.gouv.qc.ca/rapport/A064_insp_inactif_2019-07-31_Publique.pdf</t>
  </si>
  <si>
    <t>https://sigpeg.mrn.gouv.qc.ca/gpg/classes/ficheDescriptive?type=popup&amp;mode=fichePuits&amp;menu=puit&amp;table=GPG_ENTRE_PUITS&amp;cle=A064</t>
  </si>
  <si>
    <t>Laduboro Seaway Almega No 6, Champlain</t>
  </si>
  <si>
    <t>https://sigpeg.mrn.gouv.qc.ca/rapport/A067_insp_inactif_2019-06-03_Publique.pdf</t>
  </si>
  <si>
    <t>https://sigpeg.mrn.gouv.qc.ca/gpg/classes/ficheDescriptive?type=popup&amp;mode=fichePuits&amp;menu=puit&amp;table=GPG_ENTRE_PUITS&amp;cle=A067</t>
  </si>
  <si>
    <t>Lozo and Joseph No 1</t>
  </si>
  <si>
    <t>https://sigpeg.mrn.gouv.qc.ca/rapport/A076_insp_inactif_2019-10-10_Publique.pdf</t>
  </si>
  <si>
    <t>https://sigpeg.mrn.gouv.qc.ca/gpg/classes/ficheDescriptive?type=popup&amp;mode=fichePuits&amp;menu=puit&amp;table=GPG_ENTRE_PUITS&amp;cle=A076</t>
  </si>
  <si>
    <t>Maisonneuve</t>
  </si>
  <si>
    <t>Natural Combustible Gas Company</t>
  </si>
  <si>
    <t>https://sigpeg.mrn.gouv.qc.ca/rapport/A078_insp_inactif_2019-07-18_Publique%20(2).pdf</t>
  </si>
  <si>
    <t>https://sigpeg.mrn.gouv.qc.ca/gpg/classes/ficheDescriptive?type=popup&amp;mode=fichePuits&amp;menu=puit&amp;table=GPG_ENTRE_PUITS&amp;cle=A078</t>
  </si>
  <si>
    <t>Mohr No 1</t>
  </si>
  <si>
    <t>Carl Mohr</t>
  </si>
  <si>
    <t>https://sigpeg.mrn.gouv.qc.ca/rapport/A080_insp_inactif_2019-10-03_Publique.pdf</t>
  </si>
  <si>
    <t>https://sigpeg.mrn.gouv.qc.ca/gpg/classes/ficheDescriptive?type=popup&amp;mode=fichePuits&amp;menu=puit&amp;table=GPG_ENTRE_PUITS&amp;cle=A080</t>
  </si>
  <si>
    <t>National Gas No 1</t>
  </si>
  <si>
    <t>https://sigpeg.mrn.gouv.qc.ca/rapport/A081_insp_inactif_2019-11-25_Publique.pdf</t>
  </si>
  <si>
    <t>https://sigpeg.mrn.gouv.qc.ca/gpg/classes/ficheDescriptive?type=popup&amp;mode=fichePuits&amp;menu=puit&amp;table=GPG_ENTRE_PUITS&amp;cle=A081</t>
  </si>
  <si>
    <t>Oil Selections No 7</t>
  </si>
  <si>
    <t>https://sigpeg.mrn.gouv.qc.ca/rapport/A089_insp_inactif_2019-10-28_Publique.pdf</t>
  </si>
  <si>
    <t>https://sigpeg.mrn.gouv.qc.ca/gpg/classes/ficheDescriptive?type=popup&amp;mode=fichePuits&amp;menu=puit&amp;table=GPG_ENTRE_PUITS&amp;cle=A089</t>
  </si>
  <si>
    <t>Oil Selections No 8</t>
  </si>
  <si>
    <t>https://sigpeg.mrn.gouv.qc.ca/gpg/classes/ficheDescriptive?type=popup&amp;mode=fichePuits&amp;menu=puit&amp;table=GPG_ENTRE_PUITS&amp;cle=A090</t>
  </si>
  <si>
    <t>Oil Selections No 33</t>
  </si>
  <si>
    <t>https://sigpeg.mrn.gouv.qc.ca/rapport/A103_insp_inactif_2019-08-16_Publique.pdf</t>
  </si>
  <si>
    <t>https://sigpeg.mrn.gouv.qc.ca/gpg/classes/ficheDescriptive?type=popup&amp;mode=fichePuits&amp;menu=puit&amp;table=GPG_ENTRE_PUITS&amp;cle=A103</t>
  </si>
  <si>
    <t>Québec Fuel No 4</t>
  </si>
  <si>
    <t>https://sigpeg.mrn.gouv.qc.ca/rapport/A107_insp_inactif_2019-10-08_Publique.pdf</t>
  </si>
  <si>
    <t>https://sigpeg.mrn.gouv.qc.ca/gpg/classes/ficheDescriptive?type=popup&amp;mode=fichePuits&amp;menu=puit&amp;table=GPG_ENTRE_PUITS&amp;cle=A107</t>
  </si>
  <si>
    <t>Saint-Élie-de-Caxton No 2</t>
  </si>
  <si>
    <t>Les Mines d'Huile et Pétrole Tremblay-Joubert</t>
  </si>
  <si>
    <t>https://sigpeg.mrn.gouv.qc.ca/rapport/A110_insp_inactif_2019-06-19_Publique.pdf</t>
  </si>
  <si>
    <t>https://sigpeg.mrn.gouv.qc.ca/gpg/classes/ficheDescriptive?type=popup&amp;mode=fichePuits&amp;menu=puit&amp;table=GPG_ENTRE_PUITS&amp;cle=A110</t>
  </si>
  <si>
    <t>Saint-John Petroleum co., Saint-Hubert No 1</t>
  </si>
  <si>
    <t>St. Johns Petroleum Co.</t>
  </si>
  <si>
    <t>https://sigpeg.mrn.gouv.qc.ca/rapport/A111_insp_inactif_2019-07-17_Publique.pdf</t>
  </si>
  <si>
    <t>https://sigpeg.mrn.gouv.qc.ca/gpg/classes/ficheDescriptive?type=popup&amp;mode=fichePuits&amp;menu=puit&amp;table=GPG_ENTRE_PUITS&amp;cle=A111</t>
  </si>
  <si>
    <t>Saint-Lawrence River No 1</t>
  </si>
  <si>
    <t>St. Lawrence River Oil Co.</t>
  </si>
  <si>
    <t>https://sigpeg.mrn.gouv.qc.ca/rapport/P_A112_inspection_2018-11-16_publique.pdf</t>
  </si>
  <si>
    <t>https://sigpeg.mrn.gouv.qc.ca/gpg/classes/ficheDescriptive?type=popup&amp;mode=fichePuits&amp;menu=puit&amp;table=GPG_ENTRE_PUITS&amp;cle=A112</t>
  </si>
  <si>
    <t>Sainte-Madeleine No 1</t>
  </si>
  <si>
    <t>https://sigpeg.mrn.gouv.qc.ca/rapport/P_A113_inspection_2018-11-16_publique.pdf</t>
  </si>
  <si>
    <t>https://sigpeg.mrn.gouv.qc.ca/gpg/classes/ficheDescriptive?type=popup&amp;mode=fichePuits&amp;menu=puit&amp;table=GPG_ENTRE_PUITS&amp;cle=A113</t>
  </si>
  <si>
    <t>Saint-Philippe No 1</t>
  </si>
  <si>
    <t>https://sigpeg.mrn.gouv.qc.ca/rapport/A114_insp_inactif_2019-09-10_Publique.pdf</t>
  </si>
  <si>
    <t>https://sigpeg.mrn.gouv.qc.ca/gpg/classes/ficheDescriptive?type=popup&amp;mode=fichePuits&amp;menu=puit&amp;table=GPG_ENTRE_PUITS&amp;cle=A114</t>
  </si>
  <si>
    <t>South Shore No 1</t>
  </si>
  <si>
    <t>South Shore Oil Lands Ltd.</t>
  </si>
  <si>
    <t>https://sigpeg.mrn.gouv.qc.ca/rapport/A121_insp_inactif_2019-11-04_Publique.pdf</t>
  </si>
  <si>
    <t>https://sigpeg.mrn.gouv.qc.ca/gpg/classes/ficheDescriptive?type=popup&amp;mode=fichePuits&amp;menu=puit&amp;table=GPG_ENTRE_PUITS&amp;cle=A121</t>
  </si>
  <si>
    <t>South Shore No 2</t>
  </si>
  <si>
    <t>https://sigpeg.mrn.gouv.qc.ca/rapport/A122_insp_inactif_2019-09-16_Publique.pdf</t>
  </si>
  <si>
    <t>https://sigpeg.mrn.gouv.qc.ca/gpg/classes/ficheDescriptive?type=popup&amp;mode=fichePuits&amp;menu=puit&amp;table=GPG_ENTRE_PUITS&amp;cle=A122</t>
  </si>
  <si>
    <t>Québec Natural Gas No 2, Saint-François-de-Sales</t>
  </si>
  <si>
    <t>Limestone, siltstone, dolomite</t>
  </si>
  <si>
    <t>https://sigpeg.mrn.gouv.qc.ca/rapport/A132_insp_inactif_2019-10-22_Publique.pdf</t>
  </si>
  <si>
    <t>https://sigpeg.mrn.gouv.qc.ca/gpg/classes/ficheDescriptive?type=popup&amp;mode=fichePuits&amp;menu=puit&amp;table=GPG_ENTRE_PUITS&amp;cle=A132</t>
  </si>
  <si>
    <t>Québec Natural Gas No 10, Saint-Vincent-de-Paul</t>
  </si>
  <si>
    <t>https://sigpeg.mrn.gouv.qc.ca/rapport/A134_insp_inactif_2019-07-11_Publique.pdf</t>
  </si>
  <si>
    <t>https://sigpeg.mrn.gouv.qc.ca/gpg/classes/ficheDescriptive?type=popup&amp;mode=fichePuits&amp;menu=puit&amp;table=GPG_ENTRE_PUITS&amp;cle=A134</t>
  </si>
  <si>
    <t>Québec Natural Gas No 11, Saint-Vincent-de-Paul</t>
  </si>
  <si>
    <t>https://sigpeg.mrn.gouv.qc.ca/rapport/A135_insp_inactif_2019-07-04_Publique.pdf</t>
  </si>
  <si>
    <t>https://sigpeg.mrn.gouv.qc.ca/gpg/classes/ficheDescriptive?type=popup&amp;mode=fichePuits&amp;menu=puit&amp;table=GPG_ENTRE_PUITS&amp;cle=A135</t>
  </si>
  <si>
    <t>Bald Mountain, Berthierville No 1</t>
  </si>
  <si>
    <t>https://sigpeg.mrn.gouv.qc.ca/rapport/A008_insp_inactif_2019-09-17_publique.pdf</t>
  </si>
  <si>
    <t>https://sigpeg.mrn.gouv.qc.ca/gpg/classes/ficheDescriptive?type=popup&amp;mode=fichePuits&amp;menu=puit&amp;table=GPG_ENTRE_PUITS&amp;cle=A008</t>
  </si>
  <si>
    <t>Cadbury &amp; Fry</t>
  </si>
  <si>
    <t>https://sigpeg.mrn.gouv.qc.ca/rapport/A019_insp_inactif_2019-07-23_Publique.pdf</t>
  </si>
  <si>
    <t>https://sigpeg.mrn.gouv.qc.ca/gpg/classes/ficheDescriptive?type=popup&amp;mode=fichePuits&amp;menu=puit&amp;table=GPG_ENTRE_PUITS&amp;cle=A019</t>
  </si>
  <si>
    <t>Canadian Seaboard, Saint-Grégoire No 1</t>
  </si>
  <si>
    <t>https://sigpeg.mrn.gouv.qc.ca/rapport/A025_insp_inactif_2019-09-09_Publique.pdf</t>
  </si>
  <si>
    <t>https://sigpeg.mrn.gouv.qc.ca/gpg/classes/ficheDescriptive?type=popup&amp;mode=fichePuits&amp;menu=puit&amp;table=GPG_ENTRE_PUITS&amp;cle=A025</t>
  </si>
  <si>
    <t>Caprive No 2, Trois-Rivières</t>
  </si>
  <si>
    <t>https://sigpeg.mrn.gouv.qc.ca/rapport/A029_insp_inactif_2019-05-27_Publique.pdf</t>
  </si>
  <si>
    <t>https://sigpeg.mrn.gouv.qc.ca/gpg/classes/ficheDescriptive?type=popup&amp;mode=fichePuits&amp;menu=puit&amp;table=GPG_ENTRE_PUITS&amp;cle=A029</t>
  </si>
  <si>
    <t>Caprive No 3, Trois-Rivières</t>
  </si>
  <si>
    <t>https://sigpeg.mrn.gouv.qc.ca/rapport/A030_insp_inactif_2019-05-27_Publique.pdf</t>
  </si>
  <si>
    <t>https://sigpeg.mrn.gouv.qc.ca/gpg/classes/ficheDescriptive?type=popup&amp;mode=fichePuits&amp;menu=puit&amp;table=GPG_ENTRE_PUITS&amp;cle=A030</t>
  </si>
  <si>
    <t>Goyette</t>
  </si>
  <si>
    <t>https://sigpeg.mrn.gouv.qc.ca/rapport/A052_insp_inactif_2019-10-22_Publique.pdf</t>
  </si>
  <si>
    <t>https://sigpeg.mrn.gouv.qc.ca/gpg/classes/ficheDescriptive?type=popup&amp;mode=fichePuits&amp;menu=puit&amp;table=GPG_ENTRE_PUITS&amp;cle=A052</t>
  </si>
  <si>
    <t>Lincoln No 1</t>
  </si>
  <si>
    <t>https://sigpeg.mrn.gouv.qc.ca/rapport/A053_insp_inactif_2019-10-22_Publique.pdf</t>
  </si>
  <si>
    <t>https://sigpeg.mrn.gouv.qc.ca/gpg/classes/ficheDescriptive?type=popup&amp;mode=fichePuits&amp;menu=puit&amp;table=GPG_ENTRE_PUITS&amp;cle=A053</t>
  </si>
  <si>
    <t>Huttes militaires de Longueuil</t>
  </si>
  <si>
    <t>Département de Milice et Défense du Canada</t>
  </si>
  <si>
    <t>https://sigpeg.mrn.gouv.qc.ca/rapport/A056_insp_inactif_2019-07-18_Publique.pdf</t>
  </si>
  <si>
    <t>https://sigpeg.mrn.gouv.qc.ca/gpg/classes/ficheDescriptive?type=popup&amp;mode=fichePuits&amp;menu=puit&amp;table=GPG_ENTRE_PUITS&amp;cle=A056</t>
  </si>
  <si>
    <t>Quonto International No 1, Mascouche</t>
  </si>
  <si>
    <t>https://sigpeg.mrn.gouv.qc.ca/rapport/A058_insp_inactif_2019-09-10_Publique.pdf</t>
  </si>
  <si>
    <t>https://sigpeg.mrn.gouv.qc.ca/gpg/classes/ficheDescriptive?type=popup&amp;mode=fichePuits&amp;menu=puit&amp;table=GPG_ENTRE_PUITS&amp;cle=A058</t>
  </si>
  <si>
    <t>Canso Intercity, Pointe-du-Lac No 1a</t>
  </si>
  <si>
    <t>Inter-City Propane Inc.</t>
  </si>
  <si>
    <t>https://sigpeg.mrn.gouv.qc.ca/rapport/A059_insp_inactif_2019-06-11_Publique.pdf</t>
  </si>
  <si>
    <t>https://sigpeg.mrn.gouv.qc.ca/gpg/classes/ficheDescriptive?type=popup&amp;mode=fichePuits&amp;menu=puit&amp;table=GPG_ENTRE_PUITS&amp;cle=A059</t>
  </si>
  <si>
    <t>Canso Saint-Maurice, Point-du-Lac No 1b</t>
  </si>
  <si>
    <t>https://sigpeg.mrn.gouv.qc.ca/rapport/A060_insp_inactif_2019-06-11_Publique.pdf</t>
  </si>
  <si>
    <t>https://sigpeg.mrn.gouv.qc.ca/gpg/classes/ficheDescriptive?type=popup&amp;mode=fichePuits&amp;menu=puit&amp;table=GPG_ENTRE_PUITS&amp;cle=A060</t>
  </si>
  <si>
    <t>Collège de Nicolet</t>
  </si>
  <si>
    <t>https://sigpeg.mrn.gouv.qc.ca/rapport/A083_insp_inactif_2019-09-16_Publique.pdf</t>
  </si>
  <si>
    <t>https://sigpeg.mrn.gouv.qc.ca/gpg/classes/ficheDescriptive?type=popup&amp;mode=fichePuits&amp;menu=puit&amp;table=GPG_ENTRE_PUITS&amp;cle=A083</t>
  </si>
  <si>
    <t>Oil Selections No 5</t>
  </si>
  <si>
    <t>https://sigpeg.mrn.gouv.qc.ca/rapport/A087_insp_inactif_2019-08-27_Publique.pdf</t>
  </si>
  <si>
    <t>https://sigpeg.mrn.gouv.qc.ca/gpg/classes/ficheDescriptive?type=popup&amp;mode=fichePuits&amp;menu=puit&amp;table=GPG_ENTRE_PUITS&amp;cle=A087</t>
  </si>
  <si>
    <t>Laduboro Bald Mountain Intercity No 1, Trois-Rivières</t>
  </si>
  <si>
    <t>https://sigpeg.mrn.gouv.qc.ca/rapport/A127_insp_inactif_2019-05-27_Publique.pdf</t>
  </si>
  <si>
    <t>https://sigpeg.mrn.gouv.qc.ca/gpg/classes/ficheDescriptive?type=popup&amp;mode=fichePuits&amp;menu=puit&amp;table=GPG_ENTRE_PUITS&amp;cle=A127</t>
  </si>
  <si>
    <t>https://sigpeg.mrn.gouv.qc.ca/rapport/A128_insp_inactif_2019-09-11_Publique.pdf</t>
  </si>
  <si>
    <t>https://sigpeg.mrn.gouv.qc.ca/gpg/classes/ficheDescriptive?type=popup&amp;mode=fichePuits&amp;menu=puit&amp;table=GPG_ENTRE_PUITS&amp;cle=A128</t>
  </si>
  <si>
    <t>Québec Natural Gas No 13, Saint-Vincent-de-Paul</t>
  </si>
  <si>
    <t>Québec Natural Gas No 14, Saint-Vincent-de-Paul</t>
  </si>
  <si>
    <t>Québec Natural Gas No 15, Saint-Vincent-de-Paul</t>
  </si>
  <si>
    <t>Québec Natural Gas No 16, Saint-Vincent-de-Paul</t>
  </si>
  <si>
    <t>https://sigpeg.mrn.gouv.qc.ca/rapport/A137_insp_inactif_2019-10-22_Publique.pdf</t>
  </si>
  <si>
    <t>https://sigpeg.mrn.gouv.qc.ca/gpg/classes/ficheDescriptive?type=popup&amp;mode=fichePuits&amp;menu=puit&amp;table=GPG_ENTRE_PUITS&amp;cle=A137</t>
  </si>
  <si>
    <t>https://sigpeg.mrn.gouv.qc.ca/rapport/A138_insp_inactif_2019-10-07_Publique.pdf</t>
  </si>
  <si>
    <t>https://sigpeg.mrn.gouv.qc.ca/gpg/classes/ficheDescriptive?type=popup&amp;mode=fichePuits&amp;menu=puit&amp;table=GPG_ENTRE_PUITS&amp;cle=A138</t>
  </si>
  <si>
    <t>Louvicourt No 7, L'Assomption</t>
  </si>
  <si>
    <t>https://sigpeg.mrn.gouv.qc.ca/rapport/A145_insp_inactif_2019-11-20_Publique.pdf</t>
  </si>
  <si>
    <t>https://sigpeg.mrn.gouv.qc.ca/gpg/classes/ficheDescriptive?type=popup&amp;mode=fichePuits&amp;menu=puit&amp;table=GPG_ENTRE_PUITS&amp;cle=A145</t>
  </si>
  <si>
    <t>Québec Natural Gas No 2, Saint-Gérard-Magella</t>
  </si>
  <si>
    <t>https://sigpeg.mrn.gouv.qc.ca/rapport/A147_insp_inactif_2019-10-18_Publique.pdf</t>
  </si>
  <si>
    <t>https://sigpeg.mrn.gouv.qc.ca/gpg/classes/ficheDescriptive?type=popup&amp;mode=fichePuits&amp;menu=puit&amp;table=GPG_ENTRE_PUITS&amp;cle=A147</t>
  </si>
  <si>
    <t>https://sigpeg.mrn.gouv.qc.ca/rapport/A149_insp_inactif_2019-07-11_Publique.pdf</t>
  </si>
  <si>
    <t>https://sigpeg.mrn.gouv.qc.ca/gpg/classes/ficheDescriptive?type=popup&amp;mode=fichePuits&amp;menu=puit&amp;table=GPG_ENTRE_PUITS&amp;cle=A149</t>
  </si>
  <si>
    <t>https://sigpeg.mrn.gouv.qc.ca/rapport/A150_insp_inactif_2019-07-11_Publique.pdf</t>
  </si>
  <si>
    <t>https://sigpeg.mrn.gouv.qc.ca/gpg/classes/ficheDescriptive?type=popup&amp;mode=fichePuits&amp;menu=puit&amp;table=GPG_ENTRE_PUITS&amp;cle=A150</t>
  </si>
  <si>
    <t>Canac B.P. Sisque, Brossard No 1</t>
  </si>
  <si>
    <t>Canac Exploration</t>
  </si>
  <si>
    <t>https://sigpeg.mrn.gouv.qc.ca/rapport/A157_insp_inactif_2019-07-16_Publique.pdf</t>
  </si>
  <si>
    <t>https://sigpeg.mrn.gouv.qc.ca/gpg/classes/ficheDescriptive?type=popup&amp;mode=fichePuits&amp;menu=puit&amp;table=GPG_ENTRE_PUITS&amp;cle=A157</t>
  </si>
  <si>
    <t>Sarep Laduboro, Saint-Ours No 1</t>
  </si>
  <si>
    <t>Société Acadienne De Recherches Pétrolières (SAREP)</t>
  </si>
  <si>
    <t>https://sigpeg.mrn.gouv.qc.ca/rapport/A162_insp_inactif_2019-09-17_Publique.pdf</t>
  </si>
  <si>
    <t>https://sigpeg.mrn.gouv.qc.ca/gpg/classes/ficheDescriptive?type=popup&amp;mode=fichePuits&amp;menu=puit&amp;table=GPG_ENTRE_PUITS&amp;cle=A162</t>
  </si>
  <si>
    <t>Shell, Saint-Armand ouest No 1</t>
  </si>
  <si>
    <t>https://sigpeg.mrn.gouv.qc.ca/rapport/A166_insp_inactif_2019-10-02_Publique.pdf</t>
  </si>
  <si>
    <t>https://sigpeg.mrn.gouv.qc.ca/gpg/classes/ficheDescriptive?type=popup&amp;mode=fichePuits&amp;menu=puit&amp;table=GPG_ENTRE_PUITS&amp;cle=A166</t>
  </si>
  <si>
    <t>SOQUIP et al., Saint-Flavien No 2</t>
  </si>
  <si>
    <t>SOQUIP et al., Saint-Flavien No 5</t>
  </si>
  <si>
    <t>https://sigpeg.mrn.gouv.qc.ca/gpg/classes/ficheDescriptive?type=popup&amp;mode=fichePuits&amp;menu=puit&amp;table=GPG_ENTRE_PUITS&amp;cle=A177</t>
  </si>
  <si>
    <t>SOQUIP et al., Saint-Hugues No 1</t>
  </si>
  <si>
    <t>https://sigpeg.mrn.gouv.qc.ca/gpg/classes/ficheDescriptive?type=popup&amp;mode=fichePuits&amp;menu=puit&amp;table=GPG_ENTRE_PUITS&amp;cle=A179</t>
  </si>
  <si>
    <t>https://sigpeg.mrn.gouv.qc.ca/gpg/classes/ficheDescriptive?type=popup&amp;mode=fichePuits&amp;menu=puit&amp;table=GPG_ENTRE_PUITS&amp;cle=A182</t>
  </si>
  <si>
    <t>SOQUIP et al., Saint-Flavien No 6</t>
  </si>
  <si>
    <t>Limestone, sandstone, mudstone, shale, dolomite</t>
  </si>
  <si>
    <t>https://sigpeg.mrn.gouv.qc.ca/gpg/classes/ficheDescriptive?type=popup&amp;mode=fichePuits&amp;menu=puit&amp;table=GPG_ENTRE_PUITS&amp;cle=A183</t>
  </si>
  <si>
    <t>SOQUIP, Saint-Janvier-de-Joly No 1</t>
  </si>
  <si>
    <t>https://sigpeg.mrn.gouv.qc.ca/rapport/P_A191_inspection_2018-11-09_publique.pdf</t>
  </si>
  <si>
    <t>https://sigpeg.mrn.gouv.qc.ca/gpg/classes/ficheDescriptive?type=popup&amp;mode=fichePuits&amp;menu=puit&amp;table=GPG_ENTRE_PUITS&amp;cle=A191</t>
  </si>
  <si>
    <t>SEE, Milton No 1</t>
  </si>
  <si>
    <t>Quartz</t>
  </si>
  <si>
    <t>Société d'Exploration de l'Estrie</t>
  </si>
  <si>
    <t>https://sigpeg.mrn.gouv.qc.ca/gpg/classes/ficheDescriptive?type=popup&amp;mode=fichePuits&amp;menu=puit&amp;table=GPG_ENTRE_PUITS&amp;cle=A201</t>
  </si>
  <si>
    <t>SNC Soligaz, Montréal-Est No 1</t>
  </si>
  <si>
    <t>Terratech, division de SNC Lavalin</t>
  </si>
  <si>
    <t>https://sigpeg.mrn.gouv.qc.ca/rapport/A204_insp_inactif_2019-11-14_Publique.pdf</t>
  </si>
  <si>
    <t>https://sigpeg.mrn.gouv.qc.ca/gpg/classes/ficheDescriptive?type=popup&amp;mode=fichePuits&amp;menu=puit&amp;table=GPG_ENTRE_PUITS&amp;cle=A204</t>
  </si>
  <si>
    <t>SNC Soligaz, Montréal-Est No 2</t>
  </si>
  <si>
    <t>https://sigpeg.mrn.gouv.qc.ca/rapport/A205_insp_inactif_2019-11-14_Publique.pdf</t>
  </si>
  <si>
    <t>https://sigpeg.mrn.gouv.qc.ca/gpg/classes/ficheDescriptive?type=popup&amp;mode=fichePuits&amp;menu=puit&amp;table=GPG_ENTRE_PUITS&amp;cle=A205</t>
  </si>
  <si>
    <t>SNC Soligaz, Montréal-Est No 3</t>
  </si>
  <si>
    <t>https://sigpeg.mrn.gouv.qc.ca/rapport/A206_insp_inactif_2019-11-14_Publique.pdf</t>
  </si>
  <si>
    <t>https://sigpeg.mrn.gouv.qc.ca/gpg/classes/ficheDescriptive?type=popup&amp;mode=fichePuits&amp;menu=puit&amp;table=GPG_ENTRE_PUITS&amp;cle=A206</t>
  </si>
  <si>
    <t>Ayers Well No 1</t>
  </si>
  <si>
    <t>Ayers Ltd.</t>
  </si>
  <si>
    <t>https://sigpeg.mrn.gouv.qc.ca/rapport/AZ03_insp_inactif_2019-09-12_Publique.pdf</t>
  </si>
  <si>
    <t>https://sigpeg.mrn.gouv.qc.ca/gpg/classes/ficheDescriptive?type=popup&amp;mode=fichePuits&amp;menu=puit&amp;table=GPG_ENTRE_PUITS&amp;cle=AZ03</t>
  </si>
  <si>
    <t>Bécancour No 11</t>
  </si>
  <si>
    <t>https://sigpeg.mrn.gouv.qc.ca/rapport/AZ04_insp_inactif_2019-11-14_Publique.pdf</t>
  </si>
  <si>
    <t>https://sigpeg.mrn.gouv.qc.ca/gpg/classes/ficheDescriptive?type=popup&amp;mode=fichePuits&amp;menu=puit&amp;table=GPG_ENTRE_PUITS&amp;cle=AZ04</t>
  </si>
  <si>
    <t>Bécancour No 12</t>
  </si>
  <si>
    <t>https://sigpeg.mrn.gouv.qc.ca/rapport/AZ05_insp_inactif_2019-09-09_Publique.pdf</t>
  </si>
  <si>
    <t>https://sigpeg.mrn.gouv.qc.ca/gpg/classes/ficheDescriptive?type=popup&amp;mode=fichePuits&amp;menu=puit&amp;table=GPG_ENTRE_PUITS&amp;cle=AZ05</t>
  </si>
  <si>
    <t>Bécancour No 13</t>
  </si>
  <si>
    <t>Mudstone, shale</t>
  </si>
  <si>
    <t>https://sigpeg.mrn.gouv.qc.ca/rapport/AZ06_insp_inactif_2019-09-09_Publique.pdf</t>
  </si>
  <si>
    <t>https://sigpeg.mrn.gouv.qc.ca/gpg/classes/ficheDescriptive?type=popup&amp;mode=fichePuits&amp;menu=puit&amp;table=GPG_ENTRE_PUITS&amp;cle=AZ06</t>
  </si>
  <si>
    <t>Bécancour No 4</t>
  </si>
  <si>
    <t>https://sigpeg.mrn.gouv.qc.ca/rapport/AZ07_insp_inactif_2019-09-17_Publique.pdf</t>
  </si>
  <si>
    <t>https://sigpeg.mrn.gouv.qc.ca/gpg/classes/ficheDescriptive?type=popup&amp;mode=fichePuits&amp;menu=puit&amp;table=GPG_ENTRE_PUITS&amp;cle=AZ07</t>
  </si>
  <si>
    <t>Bolta Plastic Well</t>
  </si>
  <si>
    <t>https://sigpeg.mrn.gouv.qc.ca/rapport/AZ09_insp_inactif_2019-10-29_Publique.pdf</t>
  </si>
  <si>
    <t>https://sigpeg.mrn.gouv.qc.ca/gpg/classes/ficheDescriptive?type=popup&amp;mode=fichePuits&amp;menu=puit&amp;table=GPG_ENTRE_PUITS&amp;cle=AZ09</t>
  </si>
  <si>
    <t>Imperial Lowlands Boucherville No 1</t>
  </si>
  <si>
    <t>https://sigpeg.mrn.gouv.qc.ca/rapport/AZ10_insp_inactif_2019-10-29_Publique.pdf</t>
  </si>
  <si>
    <t>https://sigpeg.mrn.gouv.qc.ca/gpg/classes/ficheDescriptive?type=popup&amp;mode=fichePuits&amp;menu=puit&amp;table=GPG_ENTRE_PUITS&amp;cle=AZ10</t>
  </si>
  <si>
    <t>Canadian Celanese No 1</t>
  </si>
  <si>
    <t>Canadian Celanese No 2</t>
  </si>
  <si>
    <t>Canadian Celanese Company</t>
  </si>
  <si>
    <t>https://sigpeg.mrn.gouv.qc.ca/rapport/AZ11_insp_inactif_2019-09-09_Publique.pdf</t>
  </si>
  <si>
    <t>https://sigpeg.mrn.gouv.qc.ca/gpg/classes/ficheDescriptive?type=popup&amp;mode=fichePuits&amp;menu=puit&amp;table=GPG_ENTRE_PUITS&amp;cle=AZ11</t>
  </si>
  <si>
    <t>https://sigpeg.mrn.gouv.qc.ca/rapport/AZ12_insp_inactif_2019-09-09_Publique.pdf</t>
  </si>
  <si>
    <t>https://sigpeg.mrn.gouv.qc.ca/gpg/classes/ficheDescriptive?type=popup&amp;mode=fichePuits&amp;menu=puit&amp;table=GPG_ENTRE_PUITS&amp;cle=AZ12</t>
  </si>
  <si>
    <t>Gauge Hole No 2 Saint-Scholastique</t>
  </si>
  <si>
    <t>International Airport Saint-Scholastique</t>
  </si>
  <si>
    <t>https://sigpeg.mrn.gouv.qc.ca/rapport/AZ14_insp_inactif_2019-09-12_Publique.pdf</t>
  </si>
  <si>
    <t>https://sigpeg.mrn.gouv.qc.ca/gpg/classes/ficheDescriptive?type=popup&amp;mode=fichePuits&amp;menu=puit&amp;table=GPG_ENTRE_PUITS&amp;cle=AZ14</t>
  </si>
  <si>
    <t>Gauge Hole 3B/70 Saint-Scholastique</t>
  </si>
  <si>
    <t>https://sigpeg.mrn.gouv.qc.ca/rapport/AZ15_insp_inactif_2019-11-07_Publique.pdf</t>
  </si>
  <si>
    <t>https://sigpeg.mrn.gouv.qc.ca/gpg/classes/ficheDescriptive?type=popup&amp;mode=fichePuits&amp;menu=puit&amp;table=GPG_ENTRE_PUITS&amp;cle=AZ15</t>
  </si>
  <si>
    <t>Glenview Aylmer No 13</t>
  </si>
  <si>
    <t>Outaouais</t>
  </si>
  <si>
    <t>https://sigpeg.mrn.gouv.qc.ca/rapport/AZ16_insp_inactif_2019-10-30_Publique.pdf</t>
  </si>
  <si>
    <t>https://sigpeg.mrn.gouv.qc.ca/gpg/classes/ficheDescriptive?type=popup&amp;mode=fichePuits&amp;menu=puit&amp;table=GPG_ENTRE_PUITS&amp;cle=AZ16</t>
  </si>
  <si>
    <t>Hull Foundry Well</t>
  </si>
  <si>
    <t>https://sigpeg.mrn.gouv.qc.ca/rapport/AZ21_insp_inactif_2019-10-30_Publique.pdf</t>
  </si>
  <si>
    <t>https://sigpeg.mrn.gouv.qc.ca/gpg/classes/ficheDescriptive?type=popup&amp;mode=fichePuits&amp;menu=puit&amp;table=GPG_ENTRE_PUITS&amp;cle=AZ21</t>
  </si>
  <si>
    <t>Huttes militaires de Longueuil No 321</t>
  </si>
  <si>
    <t>https://sigpeg.mrn.gouv.qc.ca/rapport/AZ22_insp_inactif_2019-07-18_Publique.pdf</t>
  </si>
  <si>
    <t>https://sigpeg.mrn.gouv.qc.ca/gpg/classes/ficheDescriptive?type=popup&amp;mode=fichePuits&amp;menu=puit&amp;table=GPG_ENTRE_PUITS&amp;cle=AZ22</t>
  </si>
  <si>
    <t>Imperial Lowlands Yamaska No 4 (Y-4)</t>
  </si>
  <si>
    <t>https://sigpeg.mrn.gouv.qc.ca/rapport/AZ23_insp_inactif_2019-09-24_Publique.pdf</t>
  </si>
  <si>
    <t>https://sigpeg.mrn.gouv.qc.ca/gpg/classes/ficheDescriptive?type=popup&amp;mode=fichePuits&amp;menu=puit&amp;table=GPG_ENTRE_PUITS&amp;cle=AZ23</t>
  </si>
  <si>
    <t>Montreal Cotton Valleyfield No 1</t>
  </si>
  <si>
    <t>https://sigpeg.mrn.gouv.qc.ca/rapport/AZ24_insp_inactif_2019-10-24_Publique.pdf</t>
  </si>
  <si>
    <t>https://sigpeg.mrn.gouv.qc.ca/gpg/classes/ficheDescriptive?type=popup&amp;mode=fichePuits&amp;menu=puit&amp;table=GPG_ENTRE_PUITS&amp;cle=AZ24</t>
  </si>
  <si>
    <t>Montreal Cotton Valleyfield No 3</t>
  </si>
  <si>
    <t>https://sigpeg.mrn.gouv.qc.ca/rapport/AZ25_insp_inactif_2019-10-24_Publique.pdf</t>
  </si>
  <si>
    <t>https://sigpeg.mrn.gouv.qc.ca/gpg/classes/ficheDescriptive?type=popup&amp;mode=fichePuits&amp;menu=puit&amp;table=GPG_ENTRE_PUITS&amp;cle=AZ25</t>
  </si>
  <si>
    <t>Montreal Cotton Valleyfield No 4</t>
  </si>
  <si>
    <t>https://sigpeg.mrn.gouv.qc.ca/rapport/AZ26_insp_inactif_2019-10-24_Publique.pdf</t>
  </si>
  <si>
    <t>https://sigpeg.mrn.gouv.qc.ca/gpg/classes/ficheDescriptive?type=popup&amp;mode=fichePuits&amp;menu=puit&amp;table=GPG_ENTRE_PUITS&amp;cle=AZ26</t>
  </si>
  <si>
    <t>Ottawa Country Club</t>
  </si>
  <si>
    <t>D.R. McLellan</t>
  </si>
  <si>
    <t>https://sigpeg.mrn.gouv.qc.ca/rapport/AZ28_insp_inactif_2019-10-30_Publique.pdf</t>
  </si>
  <si>
    <t>https://sigpeg.mrn.gouv.qc.ca/gpg/classes/ficheDescriptive?type=popup&amp;mode=fichePuits&amp;menu=puit&amp;table=GPG_ENTRE_PUITS&amp;cle=AZ28</t>
  </si>
  <si>
    <t>Imperial Lowlands Yamaska No 3 (Y-3)</t>
  </si>
  <si>
    <t>https://sigpeg.mrn.gouv.qc.ca/rapport/AZ29_insp_inactif_2019-07-23_Publique.pdf</t>
  </si>
  <si>
    <t>https://sigpeg.mrn.gouv.qc.ca/gpg/classes/ficheDescriptive?type=popup&amp;mode=fichePuits&amp;menu=puit&amp;table=GPG_ENTRE_PUITS&amp;cle=AZ29</t>
  </si>
  <si>
    <t>Imperial Lowlands Yamaska No 6 (Y-6)</t>
  </si>
  <si>
    <t>https://sigpeg.mrn.gouv.qc.ca/rapport/AZ40_insp_inactif_2019-09-19_Publique.pdf</t>
  </si>
  <si>
    <t>https://sigpeg.mrn.gouv.qc.ca/gpg/classes/ficheDescriptive?type=popup&amp;mode=fichePuits&amp;menu=puit&amp;table=GPG_ENTRE_PUITS&amp;cle=AZ40</t>
  </si>
  <si>
    <t>Imperial Lowlands Yamaska No 2 (Y-2)</t>
  </si>
  <si>
    <t>https://sigpeg.mrn.gouv.qc.ca/rapport/AZ41_insp_inactif_2019-07-23_Publique.pdf</t>
  </si>
  <si>
    <t>https://sigpeg.mrn.gouv.qc.ca/gpg/classes/ficheDescriptive?type=popup&amp;mode=fichePuits&amp;menu=puit&amp;table=GPG_ENTRE_PUITS&amp;cle=AZ41</t>
  </si>
  <si>
    <t>Farnham Militia Camp No 1</t>
  </si>
  <si>
    <t>https://sigpeg.mrn.gouv.qc.ca/rapport/AZ42_insp_inactif_2019-10-01_Publique.pdf</t>
  </si>
  <si>
    <t>https://sigpeg.mrn.gouv.qc.ca/gpg/classes/ficheDescriptive?type=popup&amp;mode=fichePuits&amp;menu=puit&amp;table=GPG_ENTRE_PUITS&amp;cle=AZ42</t>
  </si>
  <si>
    <t>Farnham Militia Camp No 2</t>
  </si>
  <si>
    <t>https://sigpeg.mrn.gouv.qc.ca/rapport/AZ43_insp_inactif_2019-10-01_Publique.pdf</t>
  </si>
  <si>
    <t>https://sigpeg.mrn.gouv.qc.ca/gpg/classes/ficheDescriptive?type=popup&amp;mode=fichePuits&amp;menu=puit&amp;table=GPG_ENTRE_PUITS&amp;cle=AZ43</t>
  </si>
  <si>
    <t>Dufresne Engineering No 1 Well</t>
  </si>
  <si>
    <t>Dufresne Engineering Company</t>
  </si>
  <si>
    <t>https://sigpeg.mrn.gouv.qc.ca/rapport/AZ45_insp_inactif_2019-10-23_Publique.pdf</t>
  </si>
  <si>
    <t>https://sigpeg.mrn.gouv.qc.ca/gpg/classes/ficheDescriptive?type=popup&amp;mode=fichePuits&amp;menu=puit&amp;table=GPG_ENTRE_PUITS&amp;cle=AZ45</t>
  </si>
  <si>
    <t>Imperial Shallow Test Hole N-1</t>
  </si>
  <si>
    <t>https://sigpeg.mrn.gouv.qc.ca/rapport/AZ49_insp_inactif_2019-08-20_Publique.pdf</t>
  </si>
  <si>
    <t>https://sigpeg.mrn.gouv.qc.ca/gpg/classes/ficheDescriptive?type=popup&amp;mode=fichePuits&amp;menu=puit&amp;table=GPG_ENTRE_PUITS&amp;cle=AZ49</t>
  </si>
  <si>
    <t>Imperial Shallow Test Hole N-2</t>
  </si>
  <si>
    <t>https://sigpeg.mrn.gouv.qc.ca/rapport/AZ50_insp_inactif_2019-08-20_Publique.pdf</t>
  </si>
  <si>
    <t>https://sigpeg.mrn.gouv.qc.ca/gpg/classes/ficheDescriptive?type=popup&amp;mode=fichePuits&amp;menu=puit&amp;table=GPG_ENTRE_PUITS&amp;cle=AZ50</t>
  </si>
  <si>
    <t>Imperial Lowlands Yamaska No 5 (Y-5)</t>
  </si>
  <si>
    <t>https://sigpeg.mrn.gouv.qc.ca/rapport/AZ52_insp_inactif_2019-11-11_Publique.pdf</t>
  </si>
  <si>
    <t>https://sigpeg.mrn.gouv.qc.ca/gpg/classes/ficheDescriptive?type=popup&amp;mode=fichePuits&amp;menu=puit&amp;table=GPG_ENTRE_PUITS&amp;cle=AZ52</t>
  </si>
  <si>
    <t>Convert Pointe-aux-Trembles</t>
  </si>
  <si>
    <t>E.H. Guilbault</t>
  </si>
  <si>
    <t>https://sigpeg.mrn.gouv.qc.ca/rapport/AZ54_insp_inactif_2019-08-20_Publique.pdf</t>
  </si>
  <si>
    <t>https://sigpeg.mrn.gouv.qc.ca/gpg/classes/ficheDescriptive?type=popup&amp;mode=fichePuits&amp;menu=puit&amp;table=GPG_ENTRE_PUITS&amp;cle=AZ54</t>
  </si>
  <si>
    <t>Neuville</t>
  </si>
  <si>
    <t>Les Puits du Québec Inc.</t>
  </si>
  <si>
    <t>https://sigpeg.mrn.gouv.qc.ca/gpg/classes/ficheDescriptive?type=popup&amp;mode=fichePuits&amp;menu=puit&amp;table=GPG_ENTRE_PUITS&amp;cle=AZ55</t>
  </si>
  <si>
    <t>Coopérative Granby Québec</t>
  </si>
  <si>
    <t>https://sigpeg.mrn.gouv.qc.ca/rapport/AZ57_insp_inactif_2019-10-29_Publique.pdf</t>
  </si>
  <si>
    <t>https://sigpeg.mrn.gouv.qc.ca/gpg/classes/ficheDescriptive?type=popup&amp;mode=fichePuits&amp;menu=puit&amp;table=GPG_ENTRE_PUITS&amp;cle=AZ57</t>
  </si>
  <si>
    <t>Gatineau Club</t>
  </si>
  <si>
    <t>https://sigpeg.mrn.gouv.qc.ca/rapport/AZ61_insp_inactif_2019-10-30_Publique.pdf</t>
  </si>
  <si>
    <t>https://sigpeg.mrn.gouv.qc.ca/gpg/classes/ficheDescriptive?type=popup&amp;mode=fichePuits&amp;menu=puit&amp;table=GPG_ENTRE_PUITS&amp;cle=AZ61</t>
  </si>
  <si>
    <t>Frères de l'Instruction Chrétienne No 1</t>
  </si>
  <si>
    <t>https://sigpeg.mrn.gouv.qc.ca/rapport/AZ62_insp_inactif_2019-06-11_Publique.pdf</t>
  </si>
  <si>
    <t>https://sigpeg.mrn.gouv.qc.ca/gpg/classes/ficheDescriptive?type=popup&amp;mode=fichePuits&amp;menu=puit&amp;table=GPG_ENTRE_PUITS&amp;cle=AZ62</t>
  </si>
  <si>
    <t>Bécancour No 58</t>
  </si>
  <si>
    <t>https://sigpeg.mrn.gouv.qc.ca/rapport/AZ64_insp_inactif_2019-07-18_Publique.pdf</t>
  </si>
  <si>
    <t>https://sigpeg.mrn.gouv.qc.ca/gpg/classes/ficheDescriptive?type=popup&amp;mode=fichePuits&amp;menu=puit&amp;table=GPG_ENTRE_PUITS&amp;cle=AZ64</t>
  </si>
  <si>
    <t>Les Puits du Québec, Neuville No 1</t>
  </si>
  <si>
    <t>https://sigpeg.mrn.gouv.qc.ca/rapport/AZ65_insp_inactif_2019-09-05_Publique.pdf</t>
  </si>
  <si>
    <t>https://sigpeg.mrn.gouv.qc.ca/gpg/classes/ficheDescriptive?type=popup&amp;mode=fichePuits&amp;menu=puit&amp;table=GPG_ENTRE_PUITS&amp;cle=AZ65</t>
  </si>
  <si>
    <t>Les Puits du Québec, Neuville No 2</t>
  </si>
  <si>
    <t>https://sigpeg.mrn.gouv.qc.ca/rapport/AZ66_insp_inactif_2019-09-05_Publique.pdf</t>
  </si>
  <si>
    <t>https://sigpeg.mrn.gouv.qc.ca/gpg/classes/ficheDescriptive?type=popup&amp;mode=fichePuits&amp;menu=puit&amp;table=GPG_ENTRE_PUITS&amp;cle=AZ66</t>
  </si>
  <si>
    <t>Bettez No 1</t>
  </si>
  <si>
    <t>Monsieur Thibodeau</t>
  </si>
  <si>
    <t>https://sigpeg.mrn.gouv.qc.ca/rapport/AZ67%20_insp_inactif_2019-09-11_Publique.pdf</t>
  </si>
  <si>
    <t>https://sigpeg.mrn.gouv.qc.ca/gpg/classes/ficheDescriptive?type=popup&amp;mode=fichePuits&amp;menu=puit&amp;table=GPG_ENTRE_PUITS&amp;cle=AZ67</t>
  </si>
  <si>
    <t>Saint-Louis-de-Blandford No 1</t>
  </si>
  <si>
    <t>https://sigpeg.mrn.gouv.qc.ca/rapport/AZ68_insp_inactif_2019-07-31_Publique.pdf</t>
  </si>
  <si>
    <t>https://sigpeg.mrn.gouv.qc.ca/gpg/classes/ficheDescriptive?type=popup&amp;mode=fichePuits&amp;menu=puit&amp;table=GPG_ENTRE_PUITS&amp;cle=AZ68</t>
  </si>
  <si>
    <t>Saint-Louis-de-Blandford No 2</t>
  </si>
  <si>
    <t>https://sigpeg.mrn.gouv.qc.ca/rapport/AZ69_insp_inactif_2019-07-31_Publique.pdf</t>
  </si>
  <si>
    <t>https://sigpeg.mrn.gouv.qc.ca/gpg/classes/ficheDescriptive?type=popup&amp;mode=fichePuits&amp;menu=puit&amp;table=GPG_ENTRE_PUITS&amp;cle=AZ69</t>
  </si>
  <si>
    <t>Bald Mountain New-Miller No 1, Berthierville</t>
  </si>
  <si>
    <t>https://sigpeg.mrn.gouv.qc.ca/rapport/P_B002_inspection_2018-10-30_publique.pdf</t>
  </si>
  <si>
    <t>https://sigpeg.mrn.gouv.qc.ca/gpg/classes/ficheDescriptive?type=popup&amp;mode=fichePuits&amp;menu=puit&amp;table=GPG_ENTRE_PUITS&amp;cle=B002</t>
  </si>
  <si>
    <t>Bald Mountain No 1, Sorel</t>
  </si>
  <si>
    <t>https://sigpeg.mrn.gouv.qc.ca/rapport/B024_insp_inactif_2019-11-11_Publique.pdf</t>
  </si>
  <si>
    <t>https://sigpeg.mrn.gouv.qc.ca/gpg/classes/ficheDescriptive?type=popup&amp;mode=fichePuits&amp;menu=puit&amp;table=GPG_ENTRE_PUITS&amp;cle=B024</t>
  </si>
  <si>
    <t>Bald Mountain New-Miller No 2, Sorel</t>
  </si>
  <si>
    <t>https://sigpeg.mrn.gouv.qc.ca/rapport/B025_insp_inactif_2019-08-28_Publique.pdf</t>
  </si>
  <si>
    <t>https://sigpeg.mrn.gouv.qc.ca/gpg/classes/ficheDescriptive?type=popup&amp;mode=fichePuits&amp;menu=puit&amp;table=GPG_ENTRE_PUITS&amp;cle=B025</t>
  </si>
  <si>
    <t>Bald Mountain New-Miller No 4, Sorel</t>
  </si>
  <si>
    <t>https://sigpeg.mrn.gouv.qc.ca/rapport/B027_insp_inactif_2019-08-27_Publique.pdf</t>
  </si>
  <si>
    <t>https://sigpeg.mrn.gouv.qc.ca/gpg/classes/ficheDescriptive?type=popup&amp;mode=fichePuits&amp;menu=puit&amp;table=GPG_ENTRE_PUITS&amp;cle=B027</t>
  </si>
  <si>
    <t>Bald Mountain Saint-Casimir No 1</t>
  </si>
  <si>
    <t>https://sigpeg.mrn.gouv.qc.ca/rapport/B028_insp_inactif_2019-09-05_Publique.pdf</t>
  </si>
  <si>
    <t>https://sigpeg.mrn.gouv.qc.ca/gpg/classes/ficheDescriptive?type=popup&amp;mode=fichePuits&amp;menu=puit&amp;table=GPG_ENTRE_PUITS&amp;cle=B028</t>
  </si>
  <si>
    <t>Bald Mountain New-Miller No 1, Saint-Ignace</t>
  </si>
  <si>
    <t>Siltstone, shale, clay, sand</t>
  </si>
  <si>
    <t>https://sigpeg.mrn.gouv.qc.ca/rapport/B029_insp_inactif_2019-08-13_Publique.pdf</t>
  </si>
  <si>
    <t>https://sigpeg.mrn.gouv.qc.ca/gpg/classes/ficheDescriptive?type=popup&amp;mode=fichePuits&amp;menu=puit&amp;table=GPG_ENTRE_PUITS&amp;cle=B029</t>
  </si>
  <si>
    <t>Canso Saint-Maurice, Louiseville No 1</t>
  </si>
  <si>
    <t>https://sigpeg.mrn.gouv.qc.ca/rapport/B031_insp_inactif_2019-06-12_Publique.pdf</t>
  </si>
  <si>
    <t>https://sigpeg.mrn.gouv.qc.ca/gpg/classes/ficheDescriptive?type=popup&amp;mode=fichePuits&amp;menu=puit&amp;table=GPG_ENTRE_PUITS&amp;cle=B031</t>
  </si>
  <si>
    <t>Laduboro Verchères Saint-Pierre No 10, Pointe-du-Lac</t>
  </si>
  <si>
    <t>https://sigpeg.mrn.gouv.qc.ca/rapport/B044_insp_inactif_2019-09-04_Publique.pdf</t>
  </si>
  <si>
    <t>https://sigpeg.mrn.gouv.qc.ca/gpg/classes/ficheDescriptive?type=popup&amp;mode=fichePuits&amp;menu=puit&amp;table=GPG_ENTRE_PUITS&amp;cle=B044</t>
  </si>
  <si>
    <t>Laduboro Verchères Saint-Pierre No 13, Pointe-du-Lac</t>
  </si>
  <si>
    <t>Limestone, clay, sand</t>
  </si>
  <si>
    <t>https://sigpeg.mrn.gouv.qc.ca/rapport/B049_insp_inactif_2019-10-30_Publique.pdf</t>
  </si>
  <si>
    <t>https://sigpeg.mrn.gouv.qc.ca/gpg/classes/ficheDescriptive?type=popup&amp;mode=fichePuits&amp;menu=puit&amp;table=GPG_ENTRE_PUITS&amp;cle=B049</t>
  </si>
  <si>
    <t>Eastern Canada Gas &amp; Oil No 8, Saint-Athanase</t>
  </si>
  <si>
    <t>Canadian Eastern Oil &amp; Gas Drilling Ltd.</t>
  </si>
  <si>
    <t>https://sigpeg.mrn.gouv.qc.ca/rapport/B062_insp_inactif_2019-10-10_Publique.pdf</t>
  </si>
  <si>
    <t>https://sigpeg.mrn.gouv.qc.ca/gpg/classes/ficheDescriptive?type=popup&amp;mode=fichePuits&amp;menu=puit&amp;table=GPG_ENTRE_PUITS&amp;cle=B062</t>
  </si>
  <si>
    <t>Canso Intercity, Pointe-du-Lac No 1</t>
  </si>
  <si>
    <t>https://sigpeg.mrn.gouv.qc.ca/rapport/B065_insp_inactif_2019-06-11_Publique.pdf</t>
  </si>
  <si>
    <t>https://sigpeg.mrn.gouv.qc.ca/gpg/classes/ficheDescriptive?type=popup&amp;mode=fichePuits&amp;menu=puit&amp;table=GPG_ENTRE_PUITS&amp;cle=B065</t>
  </si>
  <si>
    <t>Canso Intercity, Sainte-Anne No 3</t>
  </si>
  <si>
    <t>https://sigpeg.mrn.gouv.qc.ca/rapport/B069_insp_inactif_2019-06-05_Publique.pdf</t>
  </si>
  <si>
    <t>https://sigpeg.mrn.gouv.qc.ca/gpg/classes/ficheDescriptive?type=popup&amp;mode=fichePuits&amp;menu=puit&amp;table=GPG_ENTRE_PUITS&amp;cle=B069</t>
  </si>
  <si>
    <t>Canso Intercity, Trois-Rivières No 1</t>
  </si>
  <si>
    <t>https://sigpeg.mrn.gouv.qc.ca/rapport/B070_insp_inactif_2019-05-23_Publique.pdf</t>
  </si>
  <si>
    <t>https://sigpeg.mrn.gouv.qc.ca/gpg/classes/ficheDescriptive?type=popup&amp;mode=fichePuits&amp;menu=puit&amp;table=GPG_ENTRE_PUITS&amp;cle=B070</t>
  </si>
  <si>
    <t>New Miller Bald Mountain No 5, Sorel</t>
  </si>
  <si>
    <t>New Miller Copper Mines Ltd.</t>
  </si>
  <si>
    <t>https://sigpeg.mrn.gouv.qc.ca/rapport/B084_insp_inactif_2019-10-04_Publique.pdf</t>
  </si>
  <si>
    <t>https://sigpeg.mrn.gouv.qc.ca/gpg/classes/ficheDescriptive?type=popup&amp;mode=fichePuits&amp;menu=puit&amp;table=GPG_ENTRE_PUITS&amp;cle=B084</t>
  </si>
  <si>
    <t>New Miller Bald Mountain No 6, Sorel</t>
  </si>
  <si>
    <t>https://sigpeg.mrn.gouv.qc.ca/rapport/B085_insp_inactif_2019-11-11_Publique.pdf</t>
  </si>
  <si>
    <t>https://sigpeg.mrn.gouv.qc.ca/gpg/classes/ficheDescriptive?type=popup&amp;mode=fichePuits&amp;menu=puit&amp;table=GPG_ENTRE_PUITS&amp;cle=B085</t>
  </si>
  <si>
    <t>New Miller Bald Mountain No 8, Sorel</t>
  </si>
  <si>
    <t>https://sigpeg.mrn.gouv.qc.ca/rapport/B087_insp_inactif_2019-09-17_Publique.pdf</t>
  </si>
  <si>
    <t>https://sigpeg.mrn.gouv.qc.ca/gpg/classes/ficheDescriptive?type=popup&amp;mode=fichePuits&amp;menu=puit&amp;table=GPG_ENTRE_PUITS&amp;cle=B087</t>
  </si>
  <si>
    <t>North Shore Seaway No 1, Louiseville</t>
  </si>
  <si>
    <t>https://sigpeg.mrn.gouv.qc.ca/rapport/B088_insp_inactif_2019-09-13_Publique.pdf</t>
  </si>
  <si>
    <t>https://sigpeg.mrn.gouv.qc.ca/gpg/classes/ficheDescriptive?type=popup&amp;mode=fichePuits&amp;menu=puit&amp;table=GPG_ENTRE_PUITS&amp;cle=B088</t>
  </si>
  <si>
    <t>Oil Selections No 1</t>
  </si>
  <si>
    <t>https://sigpeg.mrn.gouv.qc.ca/rapport/B090_insp_inactif_2019-11-12_Publique.pdf</t>
  </si>
  <si>
    <t>https://sigpeg.mrn.gouv.qc.ca/gpg/classes/ficheDescriptive?type=popup&amp;mode=fichePuits&amp;menu=puit&amp;table=GPG_ENTRE_PUITS&amp;cle=B090</t>
  </si>
  <si>
    <t>Oil Selections No 3</t>
  </si>
  <si>
    <t>https://sigpeg.mrn.gouv.qc.ca/rapport/B091_insp_inactif_2019-11-12_Publique.pdf</t>
  </si>
  <si>
    <t>https://sigpeg.mrn.gouv.qc.ca/gpg/classes/ficheDescriptive?type=popup&amp;mode=fichePuits&amp;menu=puit&amp;table=GPG_ENTRE_PUITS&amp;cle=B091</t>
  </si>
  <si>
    <t>Parent</t>
  </si>
  <si>
    <t>Clay, sand, igneous rock</t>
  </si>
  <si>
    <t>https://sigpeg.mrn.gouv.qc.ca/rapport/B093_insp_inactif_2019-08-27_Publique.pdf</t>
  </si>
  <si>
    <t>https://sigpeg.mrn.gouv.qc.ca/gpg/classes/ficheDescriptive?type=popup&amp;mode=fichePuits&amp;menu=puit&amp;table=GPG_ENTRE_PUITS&amp;cle=B093</t>
  </si>
  <si>
    <t>Prospère, Contrecoeur No 1</t>
  </si>
  <si>
    <t>https://sigpeg.mrn.gouv.qc.ca/rapport/P_B094_inspection_2018-08-07_publique.pdf</t>
  </si>
  <si>
    <t>https://sigpeg.mrn.gouv.qc.ca/gpg/classes/ficheDescriptive?type=popup&amp;mode=fichePuits&amp;menu=puit&amp;table=GPG_ENTRE_PUITS&amp;cle=B094</t>
  </si>
  <si>
    <t>Prospère, Contrecoeur No 2</t>
  </si>
  <si>
    <t>https://sigpeg.mrn.gouv.qc.ca/rapport/P_B095_inspection_2018-08-14_publique.pdf</t>
  </si>
  <si>
    <t>https://sigpeg.mrn.gouv.qc.ca/gpg/classes/ficheDescriptive?type=popup&amp;mode=fichePuits&amp;menu=puit&amp;table=GPG_ENTRE_PUITS&amp;cle=B095</t>
  </si>
  <si>
    <t>Prospère, Contrecoeur No 3</t>
  </si>
  <si>
    <t>https://sigpeg.mrn.gouv.qc.ca/rapport/B096_insp_inactif_2019-08-19_Publique.pdf</t>
  </si>
  <si>
    <t>https://sigpeg.mrn.gouv.qc.ca/gpg/classes/ficheDescriptive?type=popup&amp;mode=fichePuits&amp;menu=puit&amp;table=GPG_ENTRE_PUITS&amp;cle=B096</t>
  </si>
  <si>
    <t>Prospère, Contrecoeur No 4</t>
  </si>
  <si>
    <t>https://sigpeg.mrn.gouv.qc.ca/rapport/B097_insp_inactif_2019-08-20_Publique.pdf</t>
  </si>
  <si>
    <t>https://sigpeg.mrn.gouv.qc.ca/gpg/classes/ficheDescriptive?type=popup&amp;mode=fichePuits&amp;menu=puit&amp;table=GPG_ENTRE_PUITS&amp;cle=B097</t>
  </si>
  <si>
    <t>Prospère, Contrecoeur No 5</t>
  </si>
  <si>
    <t>https://sigpeg.mrn.gouv.qc.ca/rapport/P_B098_inspection_2018-08-14_publique.pdf</t>
  </si>
  <si>
    <t>https://sigpeg.mrn.gouv.qc.ca/gpg/classes/ficheDescriptive?type=popup&amp;mode=fichePuits&amp;menu=puit&amp;table=GPG_ENTRE_PUITS&amp;cle=B098</t>
  </si>
  <si>
    <t>Prospère, Contrecoeur No 6</t>
  </si>
  <si>
    <t>https://sigpeg.mrn.gouv.qc.ca/rapport/P_B099_inspection_2018-08-16_publique.pdf</t>
  </si>
  <si>
    <t>https://sigpeg.mrn.gouv.qc.ca/gpg/classes/ficheDescriptive?type=popup&amp;mode=fichePuits&amp;menu=puit&amp;table=GPG_ENTRE_PUITS&amp;cle=B099</t>
  </si>
  <si>
    <t>Prospère, Contrecoeur No 7</t>
  </si>
  <si>
    <t>https://sigpeg.mrn.gouv.qc.ca/rapport/B100_insp_inactif_2019-10-03_Publique.pdf</t>
  </si>
  <si>
    <t>https://sigpeg.mrn.gouv.qc.ca/gpg/classes/ficheDescriptive?type=popup&amp;mode=fichePuits&amp;menu=puit&amp;table=GPG_ENTRE_PUITS&amp;cle=B100</t>
  </si>
  <si>
    <t>Prospère, Contrecoeur No 9</t>
  </si>
  <si>
    <t>https://sigpeg.mrn.gouv.qc.ca/rapport/B102_insp_inactif_2019-08-21_Publique.pdf</t>
  </si>
  <si>
    <t>https://sigpeg.mrn.gouv.qc.ca/gpg/classes/ficheDescriptive?type=popup&amp;mode=fichePuits&amp;menu=puit&amp;table=GPG_ENTRE_PUITS&amp;cle=B102</t>
  </si>
  <si>
    <t>Prospère, Contrecoeur No 10</t>
  </si>
  <si>
    <t>https://sigpeg.mrn.gouv.qc.ca/rapport/P_B103_inspection_2018-07-09_publique.pdf</t>
  </si>
  <si>
    <t>https://sigpeg.mrn.gouv.qc.ca/gpg/classes/ficheDescriptive?type=popup&amp;mode=fichePuits&amp;menu=puit&amp;table=GPG_ENTRE_PUITS&amp;cle=B103</t>
  </si>
  <si>
    <t>Prospère, Contrecoeur No 11</t>
  </si>
  <si>
    <t>https://sigpeg.mrn.gouv.qc.ca/rapport/P_B104_inspection_2018-08-14_publique.pdf</t>
  </si>
  <si>
    <t>https://sigpeg.mrn.gouv.qc.ca/gpg/classes/ficheDescriptive?type=popup&amp;mode=fichePuits&amp;menu=puit&amp;table=GPG_ENTRE_PUITS&amp;cle=B104</t>
  </si>
  <si>
    <t>Prospère, Saint-Ours No 1</t>
  </si>
  <si>
    <t>https://sigpeg.mrn.gouv.qc.ca/rapport/B105_insp_inactif_2019-11-18_Publique.pdf</t>
  </si>
  <si>
    <t>https://sigpeg.mrn.gouv.qc.ca/gpg/classes/ficheDescriptive?type=popup&amp;mode=fichePuits&amp;menu=puit&amp;table=GPG_ENTRE_PUITS&amp;cle=B105</t>
  </si>
  <si>
    <t>Prospère, Saint-Roch No 1</t>
  </si>
  <si>
    <t>https://sigpeg.mrn.gouv.qc.ca/rapport/B107_insp_inactif_2019-09-26_Publique.pdf</t>
  </si>
  <si>
    <t>https://sigpeg.mrn.gouv.qc.ca/gpg/classes/ficheDescriptive?type=popup&amp;mode=fichePuits&amp;menu=puit&amp;table=GPG_ENTRE_PUITS&amp;cle=B107</t>
  </si>
  <si>
    <t>Prospère, Saint-Sulpice No 1</t>
  </si>
  <si>
    <t>https://sigpeg.mrn.gouv.qc.ca/rapport/B108_insp_inactif_2019-10-04_Publique.pdf</t>
  </si>
  <si>
    <t>https://sigpeg.mrn.gouv.qc.ca/gpg/classes/ficheDescriptive?type=popup&amp;mode=fichePuits&amp;menu=puit&amp;table=GPG_ENTRE_PUITS&amp;cle=B108</t>
  </si>
  <si>
    <t>Prospère, Varennes No 1</t>
  </si>
  <si>
    <t>https://sigpeg.mrn.gouv.qc.ca/rapport/B109_insp_inactif_2019-08-22_Publique.pdf</t>
  </si>
  <si>
    <t>https://sigpeg.mrn.gouv.qc.ca/gpg/classes/ficheDescriptive?type=popup&amp;mode=fichePuits&amp;menu=puit&amp;table=GPG_ENTRE_PUITS&amp;cle=B109</t>
  </si>
  <si>
    <t>Prospère, Varennes No 1a</t>
  </si>
  <si>
    <t>https://sigpeg.mrn.gouv.qc.ca/rapport/B110_insp_inactif_2019-08-22_Publique.pdf</t>
  </si>
  <si>
    <t>https://sigpeg.mrn.gouv.qc.ca/gpg/classes/ficheDescriptive?type=popup&amp;mode=fichePuits&amp;menu=puit&amp;table=GPG_ENTRE_PUITS&amp;cle=B110</t>
  </si>
  <si>
    <t>Prospère, Varennes No 3</t>
  </si>
  <si>
    <t>https://sigpeg.mrn.gouv.qc.ca/rapport/B112_insp_inactif_2019-08-06_Publique.pdf</t>
  </si>
  <si>
    <t>https://sigpeg.mrn.gouv.qc.ca/gpg/classes/ficheDescriptive?type=popup&amp;mode=fichePuits&amp;menu=puit&amp;table=GPG_ENTRE_PUITS&amp;cle=B112</t>
  </si>
  <si>
    <t>Prospère, Varennes No 5</t>
  </si>
  <si>
    <t>https://sigpeg.mrn.gouv.qc.ca/rapport/B114_insp_inactif_2019-08-01_Publique.pdf</t>
  </si>
  <si>
    <t>https://sigpeg.mrn.gouv.qc.ca/gpg/classes/ficheDescriptive?type=popup&amp;mode=fichePuits&amp;menu=puit&amp;table=GPG_ENTRE_PUITS&amp;cle=B114</t>
  </si>
  <si>
    <t>Prospère, Varennes No 6</t>
  </si>
  <si>
    <t>https://sigpeg.mrn.gouv.qc.ca/rapport/B115_insp_inactif_2019-08-07_Publique.pdf</t>
  </si>
  <si>
    <t>https://sigpeg.mrn.gouv.qc.ca/gpg/classes/ficheDescriptive?type=popup&amp;mode=fichePuits&amp;menu=puit&amp;table=GPG_ENTRE_PUITS&amp;cle=B115</t>
  </si>
  <si>
    <t>Prospère, Varennes No 7</t>
  </si>
  <si>
    <t>https://sigpeg.mrn.gouv.qc.ca/rapport/P_B116_inspection_2018-07-24_publique.pdf</t>
  </si>
  <si>
    <t>https://sigpeg.mrn.gouv.qc.ca/gpg/classes/ficheDescriptive?type=popup&amp;mode=fichePuits&amp;menu=puit&amp;table=GPG_ENTRE_PUITS&amp;cle=B116</t>
  </si>
  <si>
    <t>Prospère, Varennes No 8</t>
  </si>
  <si>
    <t>https://sigpeg.mrn.gouv.qc.ca/rapport/P_B117_inspection_2018-07-27_publique.pdf</t>
  </si>
  <si>
    <t>https://sigpeg.mrn.gouv.qc.ca/gpg/classes/ficheDescriptive?type=popup&amp;mode=fichePuits&amp;menu=puit&amp;table=GPG_ENTRE_PUITS&amp;cle=B117</t>
  </si>
  <si>
    <t>Prospère, Varennes No 9</t>
  </si>
  <si>
    <t>https://sigpeg.mrn.gouv.qc.ca/rapport/B118_insp_inactif_2019-08-14_Publique.pdf</t>
  </si>
  <si>
    <t>https://sigpeg.mrn.gouv.qc.ca/gpg/classes/ficheDescriptive?type=popup&amp;mode=fichePuits&amp;menu=puit&amp;table=GPG_ENTRE_PUITS&amp;cle=B118</t>
  </si>
  <si>
    <t>Prospère, Varennes No 10</t>
  </si>
  <si>
    <t>https://sigpeg.mrn.gouv.qc.ca/rapport/B119_insp_inactif_2019-08-14_Publique.pdf</t>
  </si>
  <si>
    <t>https://sigpeg.mrn.gouv.qc.ca/gpg/classes/ficheDescriptive?type=popup&amp;mode=fichePuits&amp;menu=puit&amp;table=GPG_ENTRE_PUITS&amp;cle=B119</t>
  </si>
  <si>
    <t>Prospère, Varennes No 11</t>
  </si>
  <si>
    <t>Prospère, Varennes No 12</t>
  </si>
  <si>
    <t>https://sigpeg.mrn.gouv.qc.ca/rapport/P_B120_inspection_2018-09-05_publique.pdf</t>
  </si>
  <si>
    <t>https://sigpeg.mrn.gouv.qc.ca/gpg/classes/ficheDescriptive?type=popup&amp;mode=fichePuits&amp;menu=puit&amp;table=GPG_ENTRE_PUITS&amp;cle=B120</t>
  </si>
  <si>
    <t>Prospère, Varennes No 15</t>
  </si>
  <si>
    <t>Prospère, Varennes No 16</t>
  </si>
  <si>
    <t>Prospère, Varennes No 17</t>
  </si>
  <si>
    <t>https://sigpeg.mrn.gouv.qc.ca/rapport/B121_insp_inactif_2019-08-22_Publique.pdf</t>
  </si>
  <si>
    <t>https://sigpeg.mrn.gouv.qc.ca/gpg/classes/ficheDescriptive?type=popup&amp;mode=fichePuits&amp;menu=puit&amp;table=GPG_ENTRE_PUITS&amp;cle=B121</t>
  </si>
  <si>
    <t>Prospère, Varennes No 14</t>
  </si>
  <si>
    <t>https://sigpeg.mrn.gouv.qc.ca/rapport/B123_insp_inactif_2019-07-30_Publique.pdf</t>
  </si>
  <si>
    <t>https://sigpeg.mrn.gouv.qc.ca/gpg/classes/ficheDescriptive?type=popup&amp;mode=fichePuits&amp;menu=puit&amp;table=GPG_ENTRE_PUITS&amp;cle=B123</t>
  </si>
  <si>
    <t>https://sigpeg.mrn.gouv.qc.ca/rapport/B124_insp_inactif_2019-07-30_Publique.pdf</t>
  </si>
  <si>
    <t>https://sigpeg.mrn.gouv.qc.ca/gpg/classes/ficheDescriptive?type=popup&amp;mode=fichePuits&amp;menu=puit&amp;table=GPG_ENTRE_PUITS&amp;cle=B124</t>
  </si>
  <si>
    <t>https://sigpeg.mrn.gouv.qc.ca/rapport/B125_insp_inactif_2019-07-31_Publique.pdf</t>
  </si>
  <si>
    <t>https://sigpeg.mrn.gouv.qc.ca/gpg/classes/ficheDescriptive?type=popup&amp;mode=fichePuits&amp;menu=puit&amp;table=GPG_ENTRE_PUITS&amp;cle=B125</t>
  </si>
  <si>
    <t>https://sigpeg.mrn.gouv.qc.ca/rapport/B126_insp_inactif_2019-07-30_Publique.pdf</t>
  </si>
  <si>
    <t>https://sigpeg.mrn.gouv.qc.ca/gpg/classes/ficheDescriptive?type=popup&amp;mode=fichePuits&amp;menu=puit&amp;table=GPG_ENTRE_PUITS&amp;cle=B126</t>
  </si>
  <si>
    <t>Prospère, Verchères No 2</t>
  </si>
  <si>
    <t>https://sigpeg.mrn.gouv.qc.ca/rapport/P_B130_inspection_2018-07-30_publique.pdf</t>
  </si>
  <si>
    <t>https://sigpeg.mrn.gouv.qc.ca/gpg/classes/ficheDescriptive?type=popup&amp;mode=fichePuits&amp;menu=puit&amp;table=GPG_ENTRE_PUITS&amp;cle=B130</t>
  </si>
  <si>
    <t>Prospère, Verchères No 2a</t>
  </si>
  <si>
    <t>https://sigpeg.mrn.gouv.qc.ca/rapport/P_B131_inspection_2018-07-30_publique.pdf</t>
  </si>
  <si>
    <t>https://sigpeg.mrn.gouv.qc.ca/gpg/classes/ficheDescriptive?type=popup&amp;mode=fichePuits&amp;menu=puit&amp;table=GPG_ENTRE_PUITS&amp;cle=B131</t>
  </si>
  <si>
    <t>Prospère, Verchères No 2b</t>
  </si>
  <si>
    <t>https://sigpeg.mrn.gouv.qc.ca/rapport/P_B132_inspection_2018-07-30_publique.pdf</t>
  </si>
  <si>
    <t>https://sigpeg.mrn.gouv.qc.ca/gpg/classes/ficheDescriptive?type=popup&amp;mode=fichePuits&amp;menu=puit&amp;table=GPG_ENTRE_PUITS&amp;cle=B132</t>
  </si>
  <si>
    <t>Prospère, Verchères No 3</t>
  </si>
  <si>
    <t>https://sigpeg.mrn.gouv.qc.ca/rapport/B133_insp_inactif_2019-08_07_Publique.pdf</t>
  </si>
  <si>
    <t>https://sigpeg.mrn.gouv.qc.ca/gpg/classes/ficheDescriptive?type=popup&amp;mode=fichePuits&amp;menu=puit&amp;table=GPG_ENTRE_PUITS&amp;cle=B133</t>
  </si>
  <si>
    <t>Seaway Almega No 4, Saint-Maurice</t>
  </si>
  <si>
    <t>https://sigpeg.mrn.gouv.qc.ca/rapport/B154_insp_inactif_2019-07-10_Publique.pdf</t>
  </si>
  <si>
    <t>https://sigpeg.mrn.gouv.qc.ca/gpg/classes/ficheDescriptive?type=popup&amp;mode=fichePuits&amp;menu=puit&amp;table=GPG_ENTRE_PUITS&amp;cle=B154</t>
  </si>
  <si>
    <t>Seaway Almega No 7, Saint-Maurice</t>
  </si>
  <si>
    <t>https://sigpeg.mrn.gouv.qc.ca/rapport/B158_insp_inactif_2019-07-10_Publique.pdf</t>
  </si>
  <si>
    <t>https://sigpeg.mrn.gouv.qc.ca/gpg/classes/ficheDescriptive?type=popup&amp;mode=fichePuits&amp;menu=puit&amp;table=GPG_ENTRE_PUITS&amp;cle=B158</t>
  </si>
  <si>
    <t>Senneterre No 1, Repentigny</t>
  </si>
  <si>
    <t>https://sigpeg.mrn.gouv.qc.ca/rapport/B162_insp_inactif_2019-08-27_Publique.pdf</t>
  </si>
  <si>
    <t>https://sigpeg.mrn.gouv.qc.ca/gpg/classes/ficheDescriptive?type=popup&amp;mode=fichePuits&amp;menu=puit&amp;table=GPG_ENTRE_PUITS&amp;cle=B162</t>
  </si>
  <si>
    <t>Senneterre No 2, Repentigny</t>
  </si>
  <si>
    <t>https://sigpeg.mrn.gouv.qc.ca/rapport/B163_insp_inactif_2019-08-27_Publique.pdf</t>
  </si>
  <si>
    <t>https://sigpeg.mrn.gouv.qc.ca/gpg/classes/ficheDescriptive?type=popup&amp;mode=fichePuits&amp;menu=puit&amp;table=GPG_ENTRE_PUITS&amp;cle=B163</t>
  </si>
  <si>
    <t>Senneterre No 3, Saint-Sulpice</t>
  </si>
  <si>
    <t>https://sigpeg.mrn.gouv.qc.ca/rapport/B166_insp_inactif_2019-08-21_Publique.pdf</t>
  </si>
  <si>
    <t>https://sigpeg.mrn.gouv.qc.ca/gpg/classes/ficheDescriptive?type=popup&amp;mode=fichePuits&amp;menu=puit&amp;table=GPG_ENTRE_PUITS&amp;cle=B166</t>
  </si>
  <si>
    <t>Senneterre No 4, Saint-Sulpice</t>
  </si>
  <si>
    <t>https://sigpeg.mrn.gouv.qc.ca/rapport/B167_insp_inactif_2019-11-12_Publique.pdf</t>
  </si>
  <si>
    <t>https://sigpeg.mrn.gouv.qc.ca/gpg/classes/ficheDescriptive?type=popup&amp;mode=fichePuits&amp;menu=puit&amp;table=GPG_ENTRE_PUITS&amp;cle=B167</t>
  </si>
  <si>
    <t>Senneterre No 5, Saint-Sulpice</t>
  </si>
  <si>
    <t>https://sigpeg.mrn.gouv.qc.ca/rapport/B168_insp_inactif_2019-08-21_Publique.pdf</t>
  </si>
  <si>
    <t>https://sigpeg.mrn.gouv.qc.ca/gpg/classes/ficheDescriptive?type=popup&amp;mode=fichePuits&amp;menu=puit&amp;table=GPG_ENTRE_PUITS&amp;cle=B168</t>
  </si>
  <si>
    <t>Senneterre No 6, Saint-Sulpice</t>
  </si>
  <si>
    <t>https://sigpeg.mrn.gouv.qc.ca/gpg/classes/ficheDescriptive?type=popup&amp;mode=fichePuits&amp;menu=puit&amp;table=GPG_ENTRE_PUITS&amp;cle=B169</t>
  </si>
  <si>
    <t>Tamara No 1, Saint-Barnabé</t>
  </si>
  <si>
    <t>Tamara Mining Ltd.</t>
  </si>
  <si>
    <t>https://sigpeg.mrn.gouv.qc.ca/rapport/B170_insp_inactif_2019-05-23_Publique.pdf</t>
  </si>
  <si>
    <t>https://sigpeg.mrn.gouv.qc.ca/gpg/classes/ficheDescriptive?type=popup&amp;mode=fichePuits&amp;menu=puit&amp;table=GPG_ENTRE_PUITS&amp;cle=B170</t>
  </si>
  <si>
    <t>Vanguard No 1, Saint-Etienne</t>
  </si>
  <si>
    <t>Vanguard Explorations Ltd.</t>
  </si>
  <si>
    <t>https://sigpeg.mrn.gouv.qc.ca/rapport/B173_insp_inactif_2019-05-27_Publique.pdf</t>
  </si>
  <si>
    <t>https://sigpeg.mrn.gouv.qc.ca/gpg/classes/ficheDescriptive?type=popup&amp;mode=fichePuits&amp;menu=puit&amp;table=GPG_ENTRE_PUITS&amp;cle=B173</t>
  </si>
  <si>
    <t>Verchères Oil T-1, Saint-Barnabé</t>
  </si>
  <si>
    <t>https://sigpeg.mrn.gouv.qc.ca/rapport/B175_insp_inactif_2019-06-10_Publique.pdf</t>
  </si>
  <si>
    <t>https://sigpeg.mrn.gouv.qc.ca/gpg/classes/ficheDescriptive?type=popup&amp;mode=fichePuits&amp;menu=puit&amp;table=GPG_ENTRE_PUITS&amp;cle=B175</t>
  </si>
  <si>
    <t>Géo Demers Forage Trois-Rivières No 12</t>
  </si>
  <si>
    <t>https://sigpeg.mrn.gouv.qc.ca/rapport/BZ06_insp_inactif_2019-10-08_Publique.pdf</t>
  </si>
  <si>
    <t>https://sigpeg.mrn.gouv.qc.ca/gpg/classes/ficheDescriptive?type=popup&amp;mode=fichePuits&amp;menu=puit&amp;table=GPG_ENTRE_PUITS&amp;cle=BZ06</t>
  </si>
  <si>
    <t>CMG, Galt No 3 (84-04)</t>
  </si>
  <si>
    <t>https://sigpeg.mrn.gouv.qc.ca/rapport/P_C103_inspection_2018-11-02_publique.pdf</t>
  </si>
  <si>
    <t>https://sigpeg.mrn.gouv.qc.ca/gpg/classes/ficheDescriptive?type=popup&amp;mode=fichePuits&amp;menu=puit&amp;table=GPG_ENTRE_PUITS&amp;cle=C103</t>
  </si>
  <si>
    <t>CMG, Galt No 4 (84-07)</t>
  </si>
  <si>
    <t>https://sigpeg.mrn.gouv.qc.ca/rapport/P_C104_inspection_2018-11-08_publique.pdf</t>
  </si>
  <si>
    <t>https://sigpeg.mrn.gouv.qc.ca/gpg/classes/ficheDescriptive?type=popup&amp;mode=fichePuits&amp;menu=puit&amp;table=GPG_ENTRE_PUITS&amp;cle=C104</t>
  </si>
  <si>
    <t>CMG, Galt No 5 (84-08)</t>
  </si>
  <si>
    <t>https://sigpeg.mrn.gouv.qc.ca/rapport/P_C105_inspection_2018-11-04_publique.pdf</t>
  </si>
  <si>
    <t>https://sigpeg.mrn.gouv.qc.ca/gpg/classes/ficheDescriptive?type=popup&amp;mode=fichePuits&amp;menu=puit&amp;table=GPG_ENTRE_PUITS&amp;cle=C105</t>
  </si>
  <si>
    <t>Pétro Gaspé, Galt No 2</t>
  </si>
  <si>
    <t>https://sigpeg.mrn.gouv.qc.ca/gpg/classes/ficheDescriptive?type=popup&amp;mode=fichePuits&amp;menu=puit&amp;table=GPG_ENTRE_PUITS&amp;cle=C108</t>
  </si>
  <si>
    <t>CMG, Galt No 7 (PG-5)</t>
  </si>
  <si>
    <t>https://sigpeg.mrn.gouv.qc.ca/rapport/P_C111_inspection_2018-11-02_publique.pdf</t>
  </si>
  <si>
    <t>https://sigpeg.mrn.gouv.qc.ca/gpg/classes/ficheDescriptive?type=popup&amp;mode=fichePuits&amp;menu=puit&amp;table=GPG_ENTRE_PUITS&amp;cle=C111</t>
  </si>
  <si>
    <t>Gaspésie, Galt No 2</t>
  </si>
  <si>
    <t>Gaspésie, Société d'exploitations pétrolière</t>
  </si>
  <si>
    <t>https://sigpeg.mrn.gouv.qc.ca/gpg/classes/ficheDescriptive?type=popup&amp;mode=fichePuits&amp;menu=puit&amp;table=GPG_ENTRE_PUITS&amp;cle=C114</t>
  </si>
  <si>
    <t>Pétro Gaspé, Galt No 5</t>
  </si>
  <si>
    <t>https://sigpeg.mrn.gouv.qc.ca/rapport/P_C115_inspection_2018-07-28_publique.pdf</t>
  </si>
  <si>
    <t>https://sigpeg.mrn.gouv.qc.ca/gpg/classes/ficheDescriptive?type=popup&amp;mode=fichePuits&amp;menu=puit&amp;table=GPG_ENTRE_PUITS&amp;cle=C115</t>
  </si>
  <si>
    <t>Pétro Gaspé, Galt No 7</t>
  </si>
  <si>
    <t>https://sigpeg.mrn.gouv.qc.ca/rapport/P_C117_inspection_2018-07-28_publique.pdf</t>
  </si>
  <si>
    <t>https://sigpeg.mrn.gouv.qc.ca/gpg/classes/ficheDescriptive?type=popup&amp;mode=fichePuits&amp;menu=puit&amp;table=GPG_ENTRE_PUITS&amp;cle=C117</t>
  </si>
  <si>
    <t>83-02</t>
  </si>
  <si>
    <t>https://sigpeg.mrn.gouv.qc.ca/rapport/P_CS02_inspection_2018-08-29_publique.pdf</t>
  </si>
  <si>
    <t>https://sigpeg.mrn.gouv.qc.ca/gpg/classes/ficheDescriptive?type=popup&amp;mode=fichePuits&amp;menu=puit&amp;table=GPG_ENTRE_PUITS&amp;cle=CS02</t>
  </si>
  <si>
    <t>83-03 (1983FCS03)</t>
  </si>
  <si>
    <t>https://sigpeg.mrn.gouv.qc.ca/rapport/P_CS03_inspection_2018-10-31_publique.pdf</t>
  </si>
  <si>
    <t>https://sigpeg.mrn.gouv.qc.ca/gpg/classes/ficheDescriptive?type=popup&amp;mode=fichePuits&amp;menu=puit&amp;table=GPG_ENTRE_PUITS&amp;cle=CS03</t>
  </si>
  <si>
    <t>84-03</t>
  </si>
  <si>
    <t>https://sigpeg.mrn.gouv.qc.ca/rapport/P_CS11_inspection_2018-07-29_publique.pdf</t>
  </si>
  <si>
    <t>https://sigpeg.mrn.gouv.qc.ca/gpg/classes/ficheDescriptive?type=popup&amp;mode=fichePuits&amp;menu=puit&amp;table=GPG_ENTRE_PUITS&amp;cle=CS11</t>
  </si>
  <si>
    <t>84-05</t>
  </si>
  <si>
    <t>https://sigpeg.mrn.gouv.qc.ca/rapport/P_CS13_inspection_2018-08-29_publique.pdf</t>
  </si>
  <si>
    <t>https://sigpeg.mrn.gouv.qc.ca/gpg/classes/ficheDescriptive?type=popup&amp;mode=fichePuits&amp;menu=puit&amp;table=GPG_ENTRE_PUITS&amp;cle=CS13</t>
  </si>
  <si>
    <t>84-06</t>
  </si>
  <si>
    <t>https://sigpeg.mrn.gouv.qc.ca/rapport/P_CS14_inspection_2018-08-29_publique.pdf</t>
  </si>
  <si>
    <t>https://sigpeg.mrn.gouv.qc.ca/gpg/classes/ficheDescriptive?type=popup&amp;mode=fichePuits&amp;menu=puit&amp;table=GPG_ENTRE_PUITS&amp;cle=CS14</t>
  </si>
  <si>
    <t>84-09</t>
  </si>
  <si>
    <t>https://sigpeg.mrn.gouv.qc.ca/rapport/P_CS17_inspection_2018-11-01_publique.pdf</t>
  </si>
  <si>
    <t>https://sigpeg.mrn.gouv.qc.ca/gpg/classes/ficheDescriptive?type=popup&amp;mode=fichePuits&amp;menu=puit&amp;table=GPG_ENTRE_PUITS&amp;cle=CS17</t>
  </si>
  <si>
    <t>84-11</t>
  </si>
  <si>
    <t>https://sigpeg.mrn.gouv.qc.ca/rapport/P_CS19_inspection_2018-07-29_publique.pdf</t>
  </si>
  <si>
    <t>https://sigpeg.mrn.gouv.qc.ca/gpg/classes/ficheDescriptive?type=popup&amp;mode=fichePuits&amp;menu=puit&amp;table=GPG_ENTRE_PUITS&amp;cle=CS19</t>
  </si>
  <si>
    <t>84-12</t>
  </si>
  <si>
    <t>https://sigpeg.mrn.gouv.qc.ca/rapport/P_CS20_inspection_2018-11-01_publique.pdf</t>
  </si>
  <si>
    <t>https://sigpeg.mrn.gouv.qc.ca/gpg/classes/ficheDescriptive?type=popup&amp;mode=fichePuits&amp;menu=puit&amp;table=GPG_ENTRE_PUITS&amp;cle=CS20</t>
  </si>
  <si>
    <t>84-14</t>
  </si>
  <si>
    <t>https://sigpeg.mrn.gouv.qc.ca/rapport/P_CS22_inspection_2018-11-01_publique.pdf</t>
  </si>
  <si>
    <t>https://sigpeg.mrn.gouv.qc.ca/gpg/classes/ficheDescriptive?type=popup&amp;mode=fichePuits&amp;menu=puit&amp;table=GPG_ENTRE_PUITS&amp;cle=CS22</t>
  </si>
  <si>
    <t>84-15</t>
  </si>
  <si>
    <t>84-16</t>
  </si>
  <si>
    <t>https://sigpeg.mrn.gouv.qc.ca/rapport/P_CS23_inspection_2018-11-02_publique.pdf</t>
  </si>
  <si>
    <t>https://sigpeg.mrn.gouv.qc.ca/gpg/classes/ficheDescriptive?type=popup&amp;mode=fichePuits&amp;menu=puit&amp;table=GPG_ENTRE_PUITS&amp;cle=CS23</t>
  </si>
  <si>
    <t>https://sigpeg.mrn.gouv.qc.ca/rapport/P_CS24_inspection_2018-11-02_publique.pdf</t>
  </si>
  <si>
    <t>https://sigpeg.mrn.gouv.qc.ca/gpg/classes/ficheDescriptive?type=popup&amp;mode=fichePuits&amp;menu=puit&amp;table=GPG_ENTRE_PUITS&amp;cle=CS24</t>
  </si>
  <si>
    <t>85-03</t>
  </si>
  <si>
    <t>https://sigpeg.mrn.gouv.qc.ca/rapport/P_CS27_inspection_2018-07-30_publique.pdf</t>
  </si>
  <si>
    <t>https://sigpeg.mrn.gouv.qc.ca/gpg/classes/ficheDescriptive?type=popup&amp;mode=fichePuits&amp;menu=puit&amp;table=GPG_ENTRE_PUITS&amp;cle=CS27</t>
  </si>
  <si>
    <t>85-07</t>
  </si>
  <si>
    <t>https://sigpeg.mrn.gouv.qc.ca/rapport/P_CS31_inspection_2018-11-01_publique.pdf</t>
  </si>
  <si>
    <t>https://sigpeg.mrn.gouv.qc.ca/gpg/classes/ficheDescriptive?type=popup&amp;mode=fichePuits&amp;menu=puit&amp;table=GPG_ENTRE_PUITS&amp;cle=CS31</t>
  </si>
  <si>
    <t>85-08 (1985FCS32)</t>
  </si>
  <si>
    <t>https://sigpeg.mrn.gouv.qc.ca/rapport/P_CS32_inspection_2018-07-29_publique.pdf</t>
  </si>
  <si>
    <t>https://sigpeg.mrn.gouv.qc.ca/gpg/classes/ficheDescriptive?type=popup&amp;mode=fichePuits&amp;menu=puit&amp;table=GPG_ENTRE_PUITS&amp;cle=CS32</t>
  </si>
  <si>
    <t>85-09 (1985FCS33)</t>
  </si>
  <si>
    <t>https://sigpeg.mrn.gouv.qc.ca/rapport/P_CS33_inspection_2018-07-29_publique.pdf</t>
  </si>
  <si>
    <t>https://sigpeg.mrn.gouv.qc.ca/gpg/classes/ficheDescriptive?type=popup&amp;mode=fichePuits&amp;menu=puit&amp;table=GPG_ENTRE_PUITS&amp;cle=CS33</t>
  </si>
  <si>
    <t>MB-1</t>
  </si>
  <si>
    <t>https://sigpeg.mrn.gouv.qc.ca/rapport/CS44_insp_inactif_2019-09-10_Publique.pdf</t>
  </si>
  <si>
    <t>https://sigpeg.mrn.gouv.qc.ca/gpg/classes/ficheDescriptive?type=popup&amp;mode=fichePuits&amp;menu=puit&amp;table=GPG_ENTRE_PUITS&amp;cle=CS44</t>
  </si>
  <si>
    <t>Lowlands Gamache, Princeton Lake No 1</t>
  </si>
  <si>
    <t>https://sigpeg.mrn.gouv.qc.ca/gpg/classes/ficheDescriptive?type=popup&amp;mode=fichePuits&amp;menu=puit&amp;table=GPG_ENTRE_PUITS&amp;cle=D002</t>
  </si>
  <si>
    <t>Lowlands Gamache, Oil River No 1</t>
  </si>
  <si>
    <t>https://sigpeg.mrn.gouv.qc.ca/rapport/P_D004_inspection_2018-07-28_publique.pdf</t>
  </si>
  <si>
    <t>https://sigpeg.mrn.gouv.qc.ca/gpg/classes/ficheDescriptive?type=popup&amp;mode=fichePuits&amp;menu=puit&amp;table=GPG_ENTRE_PUITS&amp;cle=D004</t>
  </si>
  <si>
    <t>New Associated, Jupiter Anticosti No 1</t>
  </si>
  <si>
    <t>New Associated Developments Ltd.</t>
  </si>
  <si>
    <t>https://sigpeg.mrn.gouv.qc.ca/rapport/P_D006_inspection_2018-07-22_publique.pdf</t>
  </si>
  <si>
    <t>https://sigpeg.mrn.gouv.qc.ca/gpg/classes/ficheDescriptive?type=popup&amp;mode=fichePuits&amp;menu=puit&amp;table=GPG_ENTRE_PUITS&amp;cle=D006</t>
  </si>
  <si>
    <t>ARCO, Anticosti No 1</t>
  </si>
  <si>
    <t>Limestone, sandstone, shale, mudstone, dolomite, granodiorite</t>
  </si>
  <si>
    <t>Atlantic Richfield Company Canada Ltd.</t>
  </si>
  <si>
    <t>https://sigpeg.mrn.gouv.qc.ca/rapport/P_D007_inspection_2018-07-25_publique.pdf</t>
  </si>
  <si>
    <t>https://sigpeg.mrn.gouv.qc.ca/gpg/classes/ficheDescriptive?type=popup&amp;mode=fichePuits&amp;menu=puit&amp;table=GPG_ENTRE_PUITS&amp;cle=D007</t>
  </si>
  <si>
    <t>Consolidated, Anticosti Brick No 1</t>
  </si>
  <si>
    <t>Société d'Exploration Consolidated Ltée</t>
  </si>
  <si>
    <t>https://sigpeg.mrn.gouv.qc.ca/rapport/P_D011_inspection_2018-07-25_publique.pdf</t>
  </si>
  <si>
    <t>https://sigpeg.mrn.gouv.qc.ca/gpg/classes/ficheDescriptive?type=popup&amp;mode=fichePuits&amp;menu=puit&amp;table=GPG_ENTRE_PUITS&amp;cle=D011</t>
  </si>
  <si>
    <t>Cayouette No 1</t>
  </si>
  <si>
    <t>Georges Cayouette</t>
  </si>
  <si>
    <t>https://sigpeg.mrn.gouv.qc.ca/rapport/E001_insp_inactif_2019-08-21_Publique.pdf</t>
  </si>
  <si>
    <t>https://sigpeg.mrn.gouv.qc.ca/gpg/classes/ficheDescriptive?type=popup&amp;mode=fichePuits&amp;menu=puit&amp;table=GPG_ENTRE_PUITS&amp;cle=E001</t>
  </si>
  <si>
    <t>Cayouette No 2</t>
  </si>
  <si>
    <t>https://sigpeg.mrn.gouv.qc.ca/rapport/E002_insp_inactif_2019-08-21_Publique.pdf</t>
  </si>
  <si>
    <t>https://sigpeg.mrn.gouv.qc.ca/gpg/classes/ficheDescriptive?type=popup&amp;mode=fichePuits&amp;menu=puit&amp;table=GPG_ENTRE_PUITS&amp;cle=E002</t>
  </si>
  <si>
    <t>Chambord No 2</t>
  </si>
  <si>
    <t>https://sigpeg.mrn.gouv.qc.ca/rapport/E004_insp_inactif_2019-08-21_Publique.pdf</t>
  </si>
  <si>
    <t>https://sigpeg.mrn.gouv.qc.ca/gpg/classes/ficheDescriptive?type=popup&amp;mode=fichePuits&amp;menu=puit&amp;table=GPG_ENTRE_PUITS&amp;cle=E004</t>
  </si>
  <si>
    <t>Racine No 3</t>
  </si>
  <si>
    <t>Granite, paragneiss</t>
  </si>
  <si>
    <t>https://sigpeg.mrn.gouv.qc.ca/rapport/E005_insp_inactif_2019-08-22_Publique.pdf</t>
  </si>
  <si>
    <t>https://sigpeg.mrn.gouv.qc.ca/gpg/classes/ficheDescriptive?type=popup&amp;mode=fichePuits&amp;menu=puit&amp;table=GPG_ENTRE_PUITS&amp;cle=E005</t>
  </si>
  <si>
    <t>B &amp; S No 1, Chambord</t>
  </si>
  <si>
    <t>Limestone, clay, sand, gravel, granite</t>
  </si>
  <si>
    <t>Boissonneault &amp; Simard, Société d'Exploration</t>
  </si>
  <si>
    <t>https://sigpeg.mrn.gouv.qc.ca/rapport/E009_insp_inactif_2019-08-20_Publique.pdf</t>
  </si>
  <si>
    <t>https://sigpeg.mrn.gouv.qc.ca/gpg/classes/ficheDescriptive?type=popup&amp;mode=fichePuits&amp;menu=puit&amp;table=GPG_ENTRE_PUITS&amp;cle=E009</t>
  </si>
  <si>
    <t>B &amp; S No 2, Chambord</t>
  </si>
  <si>
    <t>https://sigpeg.mrn.gouv.qc.ca/rapport/E010_insp_inactif_2019-08-20_Publiquee.pdf</t>
  </si>
  <si>
    <t>https://sigpeg.mrn.gouv.qc.ca/gpg/classes/ficheDescriptive?type=popup&amp;mode=fichePuits&amp;menu=puit&amp;table=GPG_ENTRE_PUITS&amp;cle=E010</t>
  </si>
  <si>
    <t>Sept-Iles</t>
  </si>
  <si>
    <t>https://sigpeg.mrn.gouv.qc.ca/gpg/classes/ficheDescriptive?type=popup&amp;mode=fichePuits&amp;menu=puit&amp;table=GPG_ENTRE_PUITS&amp;cle=EZ01</t>
  </si>
  <si>
    <t>Kamouraska No 1</t>
  </si>
  <si>
    <t>Ministère des Richesses naturelles</t>
  </si>
  <si>
    <t>https://sigpeg.mrn.gouv.qc.ca/rapport/F000_insp_inactif_2019-09-12_Publique.pdf</t>
  </si>
  <si>
    <t>https://sigpeg.mrn.gouv.qc.ca/gpg/classes/ficheDescriptive?type=popup&amp;mode=fichePuits&amp;menu=puit&amp;table=GPG_ENTRE_PUITS&amp;cle=F000</t>
  </si>
  <si>
    <t>SOQUIP, Parke No 1</t>
  </si>
  <si>
    <t>https://sigpeg.mrn.gouv.qc.ca/gpg/classes/ficheDescriptive?type=popup&amp;mode=fichePuits&amp;menu=puit&amp;table=GPG_ENTRE_PUITS&amp;cle=F002</t>
  </si>
  <si>
    <t>Sarep H.Q., Brion Island No 1</t>
  </si>
  <si>
    <t>https://sigpeg.mrn.gouv.qc.ca/rapport/G001_insp_inactif_2019-09-27_Publique.pdf</t>
  </si>
  <si>
    <t>https://sigpeg.mrn.gouv.qc.ca/gpg/classes/ficheDescriptive?type=popup&amp;mode=fichePuits&amp;menu=puit&amp;table=GPG_ENTRE_PUITS&amp;cle=G001</t>
  </si>
  <si>
    <t>Shell SOQUIP Amoco, Bradelle L-49</t>
  </si>
  <si>
    <t>https://sigpeg.mrn.gouv.qc.ca/gpg/classes/ficheDescriptive?type=popup&amp;mode=fichePuits&amp;menu=puit&amp;table=GPG_ENTRE_PUITS&amp;cle=G002</t>
  </si>
  <si>
    <t>Hydro-Québec Gulf No 1</t>
  </si>
  <si>
    <t>https://sigpeg.mrn.gouv.qc.ca/gpg/classes/ficheDescriptive?type=popup&amp;mode=fichePuits&amp;menu=puit&amp;table=GPG_ENTRE_PUITS&amp;cle=GZ01</t>
  </si>
  <si>
    <t>Hydro-Québec Gulf No 2</t>
  </si>
  <si>
    <t>Siltstone, clay, sand</t>
  </si>
  <si>
    <t>https://sigpeg.mrn.gouv.qc.ca/gpg/classes/ficheDescriptive?type=popup&amp;mode=fichePuits&amp;menu=puit&amp;table=GPG_ENTRE_PUITS&amp;cle=GZ02</t>
  </si>
  <si>
    <t>CZ007</t>
  </si>
  <si>
    <t>CZ009</t>
  </si>
  <si>
    <t>CZ011</t>
  </si>
  <si>
    <t>CZ012</t>
  </si>
  <si>
    <t>CZ013</t>
  </si>
  <si>
    <t>CZ014</t>
  </si>
  <si>
    <t>CZ015</t>
  </si>
  <si>
    <t>CZ018</t>
  </si>
  <si>
    <t>D021</t>
  </si>
  <si>
    <t>DZ002</t>
  </si>
  <si>
    <t>DZ003</t>
  </si>
  <si>
    <t>DZ005</t>
  </si>
  <si>
    <t>DZ006</t>
  </si>
  <si>
    <t>DZ007</t>
  </si>
  <si>
    <t>DZ008</t>
  </si>
  <si>
    <t>DZ009</t>
  </si>
  <si>
    <t>DZ010</t>
  </si>
  <si>
    <t>DZ011</t>
  </si>
  <si>
    <t>DZ012</t>
  </si>
  <si>
    <t>DZ015</t>
  </si>
  <si>
    <t>DZ017</t>
  </si>
  <si>
    <t>DZ018</t>
  </si>
  <si>
    <t>DZ019</t>
  </si>
  <si>
    <t>DZ020</t>
  </si>
  <si>
    <t>FZ002</t>
  </si>
  <si>
    <t>FZ003</t>
  </si>
  <si>
    <t>CZ006</t>
  </si>
  <si>
    <t>CZ008</t>
  </si>
  <si>
    <t>CZ010</t>
  </si>
  <si>
    <t>DZ001</t>
  </si>
  <si>
    <t>Squatex Saint-Moïse</t>
  </si>
  <si>
    <t>SQX #03</t>
  </si>
  <si>
    <t>SQX #06</t>
  </si>
  <si>
    <t>Pétrolia, Sondage No 2, High-Cliff</t>
  </si>
  <si>
    <t>SQX #P</t>
  </si>
  <si>
    <t>SQX #05</t>
  </si>
  <si>
    <t>SQX #10</t>
  </si>
  <si>
    <t>La Rédemption</t>
  </si>
  <si>
    <t>Du Portage</t>
  </si>
  <si>
    <t>Squatex, Massé No 1</t>
  </si>
  <si>
    <t>Squatex, Sayabec No 1</t>
  </si>
  <si>
    <t>Pétrolia, La Vérendrye</t>
  </si>
  <si>
    <t>Corridor/Pétrolia, Anticosti, Saumon No. 1</t>
  </si>
  <si>
    <t>Pétrolia, Sondage No 4, Princeton Lake</t>
  </si>
  <si>
    <t>Pétrolia, Sondage No 1, Oil River</t>
  </si>
  <si>
    <t>Hydrocarbures Anticosti SEC, Ste-Marie No 1</t>
  </si>
  <si>
    <t>Hydrocarbures Anticosti SEC, Caribou No 1</t>
  </si>
  <si>
    <t>Hydrocarbures Anticosti SEC, Canard No 1</t>
  </si>
  <si>
    <t>Hydrocarbures Anticosti SEC, Cerf-Sau No 1</t>
  </si>
  <si>
    <t>Hydrocarbures Anticosti SEC, Martin-La-Mer No 1</t>
  </si>
  <si>
    <t>Hydrocarbures Anticosti SEC, Lac Martin</t>
  </si>
  <si>
    <t>Hydrocarbures Anticosti SEC, Bell No 1</t>
  </si>
  <si>
    <t>Hydrocarbures Anticosti SEC, Chicotte No 1</t>
  </si>
  <si>
    <t>Hydrocarbures Anticosti SEC, Jupiter-South No 1</t>
  </si>
  <si>
    <t>Hydrocarbures Anticosti SEC, NACP West No 1</t>
  </si>
  <si>
    <t>Hydrocarbures Anticosti SEC, Roliff-Graben No 1</t>
  </si>
  <si>
    <t>Hydrocarbures Anticosti SEC, Canard No 2</t>
  </si>
  <si>
    <t>Hydrocarbures Anticosti SEC, La loutre No 1</t>
  </si>
  <si>
    <t>SQX #02</t>
  </si>
  <si>
    <t>SQX #07</t>
  </si>
  <si>
    <t>Laduboro Bald Mountain-Intercity No 2, Trois-Rivières</t>
  </si>
  <si>
    <t>CZ005</t>
  </si>
  <si>
    <t>Pétrolia, La Vérendrye 2013</t>
  </si>
  <si>
    <t>FZ001</t>
  </si>
  <si>
    <t>Saint-Jean-de-Brébeuf</t>
  </si>
  <si>
    <t>FZ004</t>
  </si>
  <si>
    <t>SQX #08</t>
  </si>
  <si>
    <t>https://sigpeg.mrn.gouv.qc.ca/gpg/classes/ficheDescriptive?type=popup&amp;mode=fichePuits&amp;menu=puit&amp;table=GPG_ENTRE_PUITS&amp;cle=CZ007</t>
  </si>
  <si>
    <t>https://sigpeg.mrn.gouv.qc.ca/gpg/classes/ficheDescriptive?type=popup&amp;mode=fichePuits&amp;menu=puit&amp;table=GPG_ENTRE_PUITS&amp;cle=CZ009</t>
  </si>
  <si>
    <t>https://sigpeg.mrn.gouv.qc.ca/gpg/classes/ficheDescriptive?type=popup&amp;mode=fichePuits&amp;menu=puit&amp;table=GPG_ENTRE_PUITS&amp;cle=CZ011</t>
  </si>
  <si>
    <t>https://sigpeg.mrn.gouv.qc.ca/gpg/classes/ficheDescriptive?type=popup&amp;mode=fichePuits&amp;menu=puit&amp;table=GPG_ENTRE_PUITS&amp;cle=CZ012</t>
  </si>
  <si>
    <t>https://sigpeg.mrn.gouv.qc.ca/gpg/classes/ficheDescriptive?type=popup&amp;mode=fichePuits&amp;menu=puit&amp;table=GPG_ENTRE_PUITS&amp;cle=CZ013</t>
  </si>
  <si>
    <t>https://sigpeg.mrn.gouv.qc.ca/gpg/classes/ficheDescriptive?type=popup&amp;mode=fichePuits&amp;menu=puit&amp;table=GPG_ENTRE_PUITS&amp;cle=CZ014</t>
  </si>
  <si>
    <t>https://sigpeg.mrn.gouv.qc.ca/gpg/classes/ficheDescriptive?type=popup&amp;mode=fichePuits&amp;menu=puit&amp;table=GPG_ENTRE_PUITS&amp;cle=CZ015</t>
  </si>
  <si>
    <t>https://sigpeg.mrn.gouv.qc.ca/gpg/classes/ficheDescriptive?type=popup&amp;mode=fichePuits&amp;menu=puit&amp;table=GPG_ENTRE_PUITS&amp;cle=CZ018</t>
  </si>
  <si>
    <t>https://sigpeg.mrn.gouv.qc.ca/gpg/classes/ficheDescriptive?type=popup&amp;mode=fichePuits&amp;menu=puit&amp;table=GPG_ENTRE_PUITS&amp;cle=D021</t>
  </si>
  <si>
    <t>https://sigpeg.mrn.gouv.qc.ca/gpg/classes/ficheDescriptive?type=popup&amp;mode=fichePuits&amp;menu=puit&amp;table=GPG_ENTRE_PUITS&amp;cle=DZ002</t>
  </si>
  <si>
    <t>https://sigpeg.mrn.gouv.qc.ca/gpg/classes/ficheDescriptive?type=popup&amp;mode=fichePuits&amp;menu=puit&amp;table=GPG_ENTRE_PUITS&amp;cle=DZ003</t>
  </si>
  <si>
    <t>Limestone, mudstone, claystone</t>
  </si>
  <si>
    <t>https://sigpeg.mrn.gouv.qc.ca/gpg/classes/ficheDescriptive?type=popup&amp;mode=fichePuits&amp;menu=puit&amp;table=GPG_ENTRE_PUITS&amp;cle=DZ005</t>
  </si>
  <si>
    <t>https://sigpeg.mrn.gouv.qc.ca/gpg/classes/ficheDescriptive?type=popup&amp;mode=fichePuits&amp;menu=puit&amp;table=GPG_ENTRE_PUITS&amp;cle=DZ006</t>
  </si>
  <si>
    <t>https://sigpeg.mrn.gouv.qc.ca/gpg/classes/ficheDescriptive?type=popup&amp;mode=fichePuits&amp;menu=puit&amp;table=GPG_ENTRE_PUITS&amp;cle=DZ007</t>
  </si>
  <si>
    <t>https://sigpeg.mrn.gouv.qc.ca/gpg/classes/ficheDescriptive?type=popup&amp;mode=fichePuits&amp;menu=puit&amp;table=GPG_ENTRE_PUITS&amp;cle=DZ008</t>
  </si>
  <si>
    <t>https://sigpeg.mrn.gouv.qc.ca/gpg/classes/ficheDescriptive?type=popup&amp;mode=fichePuits&amp;menu=puit&amp;table=GPG_ENTRE_PUITS&amp;cle=DZ009</t>
  </si>
  <si>
    <t>https://sigpeg.mrn.gouv.qc.ca/gpg/classes/ficheDescriptive?type=popup&amp;mode=fichePuits&amp;menu=puit&amp;table=GPG_ENTRE_PUITS&amp;cle=DZ010</t>
  </si>
  <si>
    <t>https://sigpeg.mrn.gouv.qc.ca/gpg/classes/ficheDescriptive?type=popup&amp;mode=fichePuits&amp;menu=puit&amp;table=GPG_ENTRE_PUITS&amp;cle=DZ011</t>
  </si>
  <si>
    <t>https://sigpeg.mrn.gouv.qc.ca/gpg/classes/ficheDescriptive?type=popup&amp;mode=fichePuits&amp;menu=puit&amp;table=GPG_ENTRE_PUITS&amp;cle=DZ012</t>
  </si>
  <si>
    <t>https://sigpeg.mrn.gouv.qc.ca/gpg/classes/ficheDescriptive?type=popup&amp;mode=fichePuits&amp;menu=puit&amp;table=GPG_ENTRE_PUITS&amp;cle=DZ015</t>
  </si>
  <si>
    <t>https://sigpeg.mrn.gouv.qc.ca/gpg/classes/ficheDescriptive?type=popup&amp;mode=fichePuits&amp;menu=puit&amp;table=GPG_ENTRE_PUITS&amp;cle=DZ017</t>
  </si>
  <si>
    <t>https://sigpeg.mrn.gouv.qc.ca/gpg/classes/ficheDescriptive?type=popup&amp;mode=fichePuits&amp;menu=puit&amp;table=GPG_ENTRE_PUITS&amp;cle=DZ018</t>
  </si>
  <si>
    <t>https://sigpeg.mrn.gouv.qc.ca/gpg/classes/ficheDescriptive?type=popup&amp;mode=fichePuits&amp;menu=puit&amp;table=GPG_ENTRE_PUITS&amp;cle=DZ019</t>
  </si>
  <si>
    <t>https://sigpeg.mrn.gouv.qc.ca/gpg/classes/ficheDescriptive?type=popup&amp;mode=fichePuits&amp;menu=puit&amp;table=GPG_ENTRE_PUITS&amp;cle=DZ020</t>
  </si>
  <si>
    <t>https://sigpeg.mrn.gouv.qc.ca/gpg/classes/ficheDescriptive?type=popup&amp;mode=fichePuits&amp;menu=puit&amp;table=GPG_ENTRE_PUITS&amp;cle=FZ002</t>
  </si>
  <si>
    <t>https://sigpeg.mrn.gouv.qc.ca/gpg/classes/ficheDescriptive?type=popup&amp;mode=fichePuits&amp;menu=puit&amp;table=GPG_ENTRE_PUITS&amp;cle=FZ003</t>
  </si>
  <si>
    <t>https://sigpeg.mrn.gouv.qc.ca/gpg/classes/ficheDescriptive?type=popup&amp;mode=fichePuits&amp;menu=puit&amp;table=GPG_ENTRE_PUITS&amp;cle=CZ006</t>
  </si>
  <si>
    <t>https://sigpeg.mrn.gouv.qc.ca/gpg/classes/ficheDescriptive?type=popup&amp;mode=fichePuits&amp;menu=puit&amp;table=GPG_ENTRE_PUITS&amp;cle=CZ008</t>
  </si>
  <si>
    <t>https://sigpeg.mrn.gouv.qc.ca/gpg/classes/ficheDescriptive?type=popup&amp;mode=fichePuits&amp;menu=puit&amp;table=GPG_ENTRE_PUITS&amp;cle=CZ010</t>
  </si>
  <si>
    <t>https://sigpeg.mrn.gouv.qc.ca/gpg/classes/ficheDescriptive?type=popup&amp;mode=fichePuits&amp;menu=puit&amp;table=GPG_ENTRE_PUITS&amp;cle=DZ001</t>
  </si>
  <si>
    <t>https://sigpeg.mrn.gouv.qc.ca/gpg/classes/ficheDescriptive?type=popup&amp;mode=fichePuits&amp;menu=puit&amp;table=GPG_ENTRE_PUITS&amp;cle=FZ004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</si>
</sst>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0" fontId="1" fillId="0" borderId="0" xfId="1" applyFill="1"/>
    <xf numFmtId="164" fontId="1" fillId="0" borderId="0" xfId="1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sigpeg.mrn.gouv.qc.ca/gpg/classes/ficheDescriptive?type=popup&amp;mode=fichePuits&amp;menu=puit&amp;table=GPG_ENTRE_PUITS&amp;cle=A093" TargetMode="External"/><Relationship Id="rId170" Type="http://schemas.openxmlformats.org/officeDocument/2006/relationships/hyperlink" Target="https://sigpeg.mrn.gouv.qc.ca/gpg/classes/ficheDescriptive?type=popup&amp;mode=fichePuits&amp;menu=puit&amp;table=GPG_ENTRE_PUITS&amp;cle=C076" TargetMode="External"/><Relationship Id="rId268" Type="http://schemas.openxmlformats.org/officeDocument/2006/relationships/hyperlink" Target="https://sigpeg.mrn.gouv.qc.ca/rapport/P_A035_inspection_2018-09-18_publique.pdf" TargetMode="External"/><Relationship Id="rId475" Type="http://schemas.openxmlformats.org/officeDocument/2006/relationships/hyperlink" Target="https://sigpeg.mrn.gouv.qc.ca/rapport/B018_insp_inactif_2019-09-25_Publique.pdf" TargetMode="External"/><Relationship Id="rId682" Type="http://schemas.openxmlformats.org/officeDocument/2006/relationships/hyperlink" Target="https://sigpeg.mrn.gouv.qc.ca/gpg/classes/ficheDescriptive?type=popup&amp;mode=fichePuits&amp;menu=puit&amp;table=GPG_ENTRE_PUITS&amp;cle=B205" TargetMode="External"/><Relationship Id="rId128" Type="http://schemas.openxmlformats.org/officeDocument/2006/relationships/hyperlink" Target="https://sigpeg.mrn.gouv.qc.ca/gpg/classes/ficheDescriptive?type=popup&amp;mode=fichePuits&amp;menu=puit&amp;table=GPG_ENTRE_PUITS&amp;cle=B141" TargetMode="External"/><Relationship Id="rId335" Type="http://schemas.openxmlformats.org/officeDocument/2006/relationships/hyperlink" Target="https://sigpeg.mrn.gouv.qc.ca/gpg/classes/ficheDescriptive?type=popup&amp;mode=fichePuits&amp;menu=puit&amp;table=GPG_ENTRE_PUITS&amp;cle=A104" TargetMode="External"/><Relationship Id="rId542" Type="http://schemas.openxmlformats.org/officeDocument/2006/relationships/hyperlink" Target="https://sigpeg.mrn.gouv.qc.ca/rapport/B072_insp_inactif_2019-07-25_Publique.pdf" TargetMode="External"/><Relationship Id="rId987" Type="http://schemas.openxmlformats.org/officeDocument/2006/relationships/hyperlink" Target="https://sigpeg.mrn.gouv.qc.ca/gpg/classes/ficheDescriptive?type=popup&amp;mode=fichePuits&amp;menu=puit&amp;table=GPG_ENTRE_PUITS&amp;cle=CS41" TargetMode="External"/><Relationship Id="rId1172" Type="http://schemas.openxmlformats.org/officeDocument/2006/relationships/hyperlink" Target="https://sigpeg.mrn.gouv.qc.ca/gpg/classes/ficheDescriptive?type=popup&amp;mode=fichePuits&amp;menu=puit&amp;table=GPG_ENTRE_PUITS&amp;cle=AZ22" TargetMode="External"/><Relationship Id="rId402" Type="http://schemas.openxmlformats.org/officeDocument/2006/relationships/hyperlink" Target="https://sigpeg.mrn.gouv.qc.ca/gpg/classes/ficheDescriptive?type=popup&amp;mode=fichePuits&amp;menu=puit&amp;table=GPG_ENTRE_PUITS&amp;cle=A143" TargetMode="External"/><Relationship Id="rId847" Type="http://schemas.openxmlformats.org/officeDocument/2006/relationships/hyperlink" Target="https://sigpeg.mrn.gouv.qc.ca/gpg/classes/ficheDescriptive?type=popup&amp;mode=fichePuits&amp;menu=puit&amp;table=GPG_ENTRE_PUITS&amp;cle=C023" TargetMode="External"/><Relationship Id="rId1032" Type="http://schemas.openxmlformats.org/officeDocument/2006/relationships/hyperlink" Target="https://sigpeg.mrn.gouv.qc.ca/rapport/A076_insp_inactif_2019-10-10_Publique.pdf" TargetMode="External"/><Relationship Id="rId707" Type="http://schemas.openxmlformats.org/officeDocument/2006/relationships/hyperlink" Target="https://sigpeg.mrn.gouv.qc.ca/gpg/classes/ficheDescriptive?type=popup&amp;mode=fichePuits&amp;menu=puit&amp;table=GPG_ENTRE_PUITS&amp;cle=B234" TargetMode="External"/><Relationship Id="rId914" Type="http://schemas.openxmlformats.org/officeDocument/2006/relationships/hyperlink" Target="https://sigpeg.mrn.gouv.qc.ca/gpg/classes/ficheDescriptive?type=popup&amp;mode=fichePuits&amp;menu=puit&amp;table=GPG_ENTRE_PUITS&amp;cle=C084" TargetMode="External"/><Relationship Id="rId1337" Type="http://schemas.openxmlformats.org/officeDocument/2006/relationships/hyperlink" Target="https://sigpeg.mrn.gouv.qc.ca/gpg/classes/ficheDescriptive?type=popup&amp;mode=fichePuits&amp;menu=puit&amp;table=GPG_ENTRE_PUITS&amp;cle=B125" TargetMode="External"/><Relationship Id="rId43" Type="http://schemas.openxmlformats.org/officeDocument/2006/relationships/hyperlink" Target="https://sigpeg.mrn.gouv.qc.ca/rapport/A161_insp_inactif_2019-06-12_Publique.pdf" TargetMode="External"/><Relationship Id="rId1404" Type="http://schemas.openxmlformats.org/officeDocument/2006/relationships/hyperlink" Target="https://sigpeg.mrn.gouv.qc.ca/gpg/classes/ficheDescriptive?type=popup&amp;mode=fichePuits&amp;menu=puit&amp;table=GPG_ENTRE_PUITS&amp;cle=D004" TargetMode="External"/><Relationship Id="rId192" Type="http://schemas.openxmlformats.org/officeDocument/2006/relationships/hyperlink" Target="https://sigpeg.mrn.gouv.qc.ca/rapport/P_A084_inspection_2018-07-12_publique.pdf" TargetMode="External"/><Relationship Id="rId497" Type="http://schemas.openxmlformats.org/officeDocument/2006/relationships/hyperlink" Target="https://sigpeg.mrn.gouv.qc.ca/rapport/P_B064_inspection_2018-09-07_publique.pdf" TargetMode="External"/><Relationship Id="rId357" Type="http://schemas.openxmlformats.org/officeDocument/2006/relationships/hyperlink" Target="https://sigpeg.mrn.gouv.qc.ca/rapport/P_A160_inspection_2018-08-15_publique.pdf" TargetMode="External"/><Relationship Id="rId1194" Type="http://schemas.openxmlformats.org/officeDocument/2006/relationships/hyperlink" Target="https://sigpeg.mrn.gouv.qc.ca/rapport/AZ68_insp_inactif_2019-07-31_Publique.pdf" TargetMode="External"/><Relationship Id="rId217" Type="http://schemas.openxmlformats.org/officeDocument/2006/relationships/hyperlink" Target="https://sigpeg.mrn.gouv.qc.ca/rapport/P_A213_inspection_2018-09-19_publique.pdf" TargetMode="External"/><Relationship Id="rId564" Type="http://schemas.openxmlformats.org/officeDocument/2006/relationships/hyperlink" Target="https://sigpeg.mrn.gouv.qc.ca/rapport/B106_insp_inactif_2019-09-26_Publique.pdf" TargetMode="External"/><Relationship Id="rId771" Type="http://schemas.openxmlformats.org/officeDocument/2006/relationships/hyperlink" Target="https://sigpeg.mrn.gouv.qc.ca/gpg/classes/ficheDescriptive?type=popup&amp;mode=fichePuits&amp;menu=puit&amp;table=GPG_ENTRE_PUITS&amp;cle=BZ01" TargetMode="External"/><Relationship Id="rId869" Type="http://schemas.openxmlformats.org/officeDocument/2006/relationships/hyperlink" Target="https://sigpeg.mrn.gouv.qc.ca/gpg/classes/ficheDescriptive?type=popup&amp;mode=fichePuits&amp;menu=puit&amp;table=GPG_ENTRE_PUITS&amp;cle=C061" TargetMode="External"/><Relationship Id="rId424" Type="http://schemas.openxmlformats.org/officeDocument/2006/relationships/hyperlink" Target="https://sigpeg.mrn.gouv.qc.ca/gpg/classes/ficheDescriptive?type=popup&amp;mode=fichePuits&amp;menu=puit&amp;table=GPG_ENTRE_PUITS&amp;cle=A186" TargetMode="External"/><Relationship Id="rId631" Type="http://schemas.openxmlformats.org/officeDocument/2006/relationships/hyperlink" Target="https://sigpeg.mrn.gouv.qc.ca/gpg/classes/ficheDescriptive?type=popup&amp;mode=fichePuits&amp;menu=puit&amp;table=GPG_ENTRE_PUITS&amp;cle=B152" TargetMode="External"/><Relationship Id="rId729" Type="http://schemas.openxmlformats.org/officeDocument/2006/relationships/hyperlink" Target="https://sigpeg.mrn.gouv.qc.ca/gpg/classes/ficheDescriptive?type=popup&amp;mode=fichePuits&amp;menu=puit&amp;table=GPG_ENTRE_PUITS&amp;cle=B268" TargetMode="External"/><Relationship Id="rId1054" Type="http://schemas.openxmlformats.org/officeDocument/2006/relationships/hyperlink" Target="https://sigpeg.mrn.gouv.qc.ca/gpg/classes/ficheDescriptive?type=popup&amp;mode=fichePuits&amp;menu=puit&amp;table=GPG_ENTRE_PUITS&amp;cle=A032" TargetMode="External"/><Relationship Id="rId1261" Type="http://schemas.openxmlformats.org/officeDocument/2006/relationships/hyperlink" Target="https://sigpeg.mrn.gouv.qc.ca/gpg/classes/ficheDescriptive?type=popup&amp;mode=fichePuits&amp;menu=puit&amp;table=GPG_ENTRE_PUITS&amp;cle=B085" TargetMode="External"/><Relationship Id="rId1359" Type="http://schemas.openxmlformats.org/officeDocument/2006/relationships/hyperlink" Target="https://sigpeg.mrn.gouv.qc.ca/gpg/classes/ficheDescriptive?type=popup&amp;mode=fichePuits&amp;menu=puit&amp;table=GPG_ENTRE_PUITS&amp;cle=C111" TargetMode="External"/><Relationship Id="rId936" Type="http://schemas.openxmlformats.org/officeDocument/2006/relationships/hyperlink" Target="https://sigpeg.mrn.gouv.qc.ca/rapport/P_CS04_inspection_2018-11-04_publique.pdf" TargetMode="External"/><Relationship Id="rId1121" Type="http://schemas.openxmlformats.org/officeDocument/2006/relationships/hyperlink" Target="https://sigpeg.mrn.gouv.qc.ca/rapport/AZ22_insp_inactif_2019-07-18_Publique.pdf" TargetMode="External"/><Relationship Id="rId1219" Type="http://schemas.openxmlformats.org/officeDocument/2006/relationships/hyperlink" Target="https://sigpeg.mrn.gouv.qc.ca/rapport/B096_insp_inactif_2019-08-19_Publique.pdf" TargetMode="External"/><Relationship Id="rId65" Type="http://schemas.openxmlformats.org/officeDocument/2006/relationships/hyperlink" Target="https://sigpeg.mrn.gouv.qc.ca/rapport/B198_insp_inactif_2019-06-06_Publique.pdf" TargetMode="External"/><Relationship Id="rId1426" Type="http://schemas.openxmlformats.org/officeDocument/2006/relationships/hyperlink" Target="https://sigpeg.mrn.gouv.qc.ca/gpg/classes/ficheDescriptive?type=popup&amp;mode=fichePuits&amp;menu=puit&amp;table=GPG_ENTRE_PUITS&amp;cle=CZ012" TargetMode="External"/><Relationship Id="rId281" Type="http://schemas.openxmlformats.org/officeDocument/2006/relationships/hyperlink" Target="https://sigpeg.mrn.gouv.qc.ca/rapport/A070_insp_inactif_2019-08-22_Publique.pdf" TargetMode="External"/><Relationship Id="rId141" Type="http://schemas.openxmlformats.org/officeDocument/2006/relationships/hyperlink" Target="https://sigpeg.mrn.gouv.qc.ca/gpg/classes/ficheDescriptive?type=popup&amp;mode=fichePuits&amp;menu=puit&amp;table=GPG_ENTRE_PUITS&amp;cle=BZ12" TargetMode="External"/><Relationship Id="rId379" Type="http://schemas.openxmlformats.org/officeDocument/2006/relationships/hyperlink" Target="https://sigpeg.mrn.gouv.qc.ca/rapport/A223_insp_inactif_2019-07-10_Publique.pdf" TargetMode="External"/><Relationship Id="rId586" Type="http://schemas.openxmlformats.org/officeDocument/2006/relationships/hyperlink" Target="https://sigpeg.mrn.gouv.qc.ca/rapport/B152_insp_inactif_2019-07-10_Publique.pdf" TargetMode="External"/><Relationship Id="rId793" Type="http://schemas.openxmlformats.org/officeDocument/2006/relationships/hyperlink" Target="https://sigpeg.mrn.gouv.qc.ca/rapport/C013_insp_inactif_2019-07-09_Publiquie.pdf" TargetMode="External"/><Relationship Id="rId7" Type="http://schemas.openxmlformats.org/officeDocument/2006/relationships/hyperlink" Target="http://sigpeg.mrn.gouv.qc.ca/rapport/A071_insp_inactif_2019-11-14_Publique.pdf" TargetMode="External"/><Relationship Id="rId239" Type="http://schemas.openxmlformats.org/officeDocument/2006/relationships/hyperlink" Target="https://sigpeg.mrn.gouv.qc.ca/gpg/classes/ficheDescriptive?type=popup&amp;mode=fichePuits&amp;menu=puit&amp;table=GPG_ENTRE_PUITS&amp;cle=A005" TargetMode="External"/><Relationship Id="rId446" Type="http://schemas.openxmlformats.org/officeDocument/2006/relationships/hyperlink" Target="https://sigpeg.mrn.gouv.qc.ca/gpg/classes/ficheDescriptive?type=popup&amp;mode=fichePuits&amp;menu=puit&amp;table=GPG_ENTRE_PUITS&amp;cle=A224" TargetMode="External"/><Relationship Id="rId653" Type="http://schemas.openxmlformats.org/officeDocument/2006/relationships/hyperlink" Target="https://sigpeg.mrn.gouv.qc.ca/gpg/classes/ficheDescriptive?type=popup&amp;mode=fichePuits&amp;menu=puit&amp;table=GPG_ENTRE_PUITS&amp;cle=B189" TargetMode="External"/><Relationship Id="rId1076" Type="http://schemas.openxmlformats.org/officeDocument/2006/relationships/hyperlink" Target="https://sigpeg.mrn.gouv.qc.ca/gpg/classes/ficheDescriptive?type=popup&amp;mode=fichePuits&amp;menu=puit&amp;table=GPG_ENTRE_PUITS&amp;cle=A122" TargetMode="External"/><Relationship Id="rId1283" Type="http://schemas.openxmlformats.org/officeDocument/2006/relationships/hyperlink" Target="https://sigpeg.mrn.gouv.qc.ca/rapport/B114_insp_inactif_2019-08-01_Publique.pdf" TargetMode="External"/><Relationship Id="rId306" Type="http://schemas.openxmlformats.org/officeDocument/2006/relationships/hyperlink" Target="https://sigpeg.mrn.gouv.qc.ca/gpg/classes/ficheDescriptive?type=popup&amp;mode=fichePuits&amp;menu=puit&amp;table=GPG_ENTRE_PUITS&amp;cle=A054" TargetMode="External"/><Relationship Id="rId860" Type="http://schemas.openxmlformats.org/officeDocument/2006/relationships/hyperlink" Target="https://sigpeg.mrn.gouv.qc.ca/gpg/classes/ficheDescriptive?type=popup&amp;mode=fichePuits&amp;menu=puit&amp;table=GPG_ENTRE_PUITS&amp;cle=C037" TargetMode="External"/><Relationship Id="rId958" Type="http://schemas.openxmlformats.org/officeDocument/2006/relationships/hyperlink" Target="https://sigpeg.mrn.gouv.qc.ca/rapport/D012_insp_inactif_2019-07-05_Publique.pdf" TargetMode="External"/><Relationship Id="rId1143" Type="http://schemas.openxmlformats.org/officeDocument/2006/relationships/hyperlink" Target="https://sigpeg.mrn.gouv.qc.ca/gpg/classes/ficheDescriptive?type=popup&amp;mode=fichePuits&amp;menu=puit&amp;table=GPG_ENTRE_PUITS&amp;cle=A145" TargetMode="External"/><Relationship Id="rId87" Type="http://schemas.openxmlformats.org/officeDocument/2006/relationships/hyperlink" Target="https://sigpeg.mrn.gouv.qc.ca/rapport/C041_insp_inactif_2019-07-09_Publique.pdf" TargetMode="External"/><Relationship Id="rId513" Type="http://schemas.openxmlformats.org/officeDocument/2006/relationships/hyperlink" Target="https://sigpeg.mrn.gouv.qc.ca/gpg/classes/ficheDescriptive?type=popup&amp;mode=fichePuits&amp;menu=puit&amp;table=GPG_ENTRE_PUITS&amp;cle=B016" TargetMode="External"/><Relationship Id="rId720" Type="http://schemas.openxmlformats.org/officeDocument/2006/relationships/hyperlink" Target="https://sigpeg.mrn.gouv.qc.ca/gpg/classes/ficheDescriptive?type=popup&amp;mode=fichePuits&amp;menu=puit&amp;table=GPG_ENTRE_PUITS&amp;cle=B247" TargetMode="External"/><Relationship Id="rId818" Type="http://schemas.openxmlformats.org/officeDocument/2006/relationships/hyperlink" Target="https://sigpeg.mrn.gouv.qc.ca/rapport/C048_insp_inactif_2019-09-05_Publique.pdf" TargetMode="External"/><Relationship Id="rId1350" Type="http://schemas.openxmlformats.org/officeDocument/2006/relationships/hyperlink" Target="https://sigpeg.mrn.gouv.qc.ca/gpg/classes/ficheDescriptive?type=popup&amp;mode=fichePuits&amp;menu=puit&amp;table=GPG_ENTRE_PUITS&amp;cle=B169" TargetMode="External"/><Relationship Id="rId1448" Type="http://schemas.openxmlformats.org/officeDocument/2006/relationships/hyperlink" Target="https://sigpeg.mrn.gouv.qc.ca/gpg/classes/ficheDescriptive?type=popup&amp;mode=fichePuits&amp;menu=puit&amp;table=GPG_ENTRE_PUITS&amp;cle=FZ003" TargetMode="External"/><Relationship Id="rId1003" Type="http://schemas.openxmlformats.org/officeDocument/2006/relationships/hyperlink" Target="https://sigpeg.mrn.gouv.qc.ca/gpg/classes/ficheDescriptive?type=popup&amp;mode=fichePuits&amp;menu=puit&amp;table=GPG_ENTRE_PUITS&amp;cle=D017" TargetMode="External"/><Relationship Id="rId1210" Type="http://schemas.openxmlformats.org/officeDocument/2006/relationships/hyperlink" Target="https://sigpeg.mrn.gouv.qc.ca/rapport/B084_insp_inactif_2019-10-04_Publique.pdf" TargetMode="External"/><Relationship Id="rId1308" Type="http://schemas.openxmlformats.org/officeDocument/2006/relationships/hyperlink" Target="https://sigpeg.mrn.gouv.qc.ca/rapport/B175_insp_inactif_2019-06-10_Publique.pdf" TargetMode="External"/><Relationship Id="rId14" Type="http://schemas.openxmlformats.org/officeDocument/2006/relationships/hyperlink" Target="https://sigpeg.mrn.gouv.qc.ca/gpg/classes/ficheDescriptive?type=popup&amp;mode=fichePuits&amp;menu=puit&amp;table=GPG_ENTRE_PUITS&amp;cle=A105" TargetMode="External"/><Relationship Id="rId163" Type="http://schemas.openxmlformats.org/officeDocument/2006/relationships/hyperlink" Target="https://sigpeg.mrn.gouv.qc.ca/gpg/classes/ficheDescriptive?type=popup&amp;mode=fichePuits&amp;menu=puit&amp;table=GPG_ENTRE_PUITS&amp;cle=C057" TargetMode="External"/><Relationship Id="rId370" Type="http://schemas.openxmlformats.org/officeDocument/2006/relationships/hyperlink" Target="https://sigpeg.mrn.gouv.qc.ca/rapport/P_A187_inspection_2018-10-03_publique.pdf" TargetMode="External"/><Relationship Id="rId230" Type="http://schemas.openxmlformats.org/officeDocument/2006/relationships/hyperlink" Target="https://sigpeg.mrn.gouv.qc.ca/rapport/B217_insp_inactif_2019-07-15_Publique.pdf" TargetMode="External"/><Relationship Id="rId468" Type="http://schemas.openxmlformats.org/officeDocument/2006/relationships/hyperlink" Target="https://sigpeg.mrn.gouv.qc.ca/rapport/B010_insp_inactif_2019-09-29_Publique.pdf" TargetMode="External"/><Relationship Id="rId675" Type="http://schemas.openxmlformats.org/officeDocument/2006/relationships/hyperlink" Target="https://sigpeg.mrn.gouv.qc.ca/gpg/classes/ficheDescriptive?type=popup&amp;mode=fichePuits&amp;menu=puit&amp;table=GPG_ENTRE_PUITS&amp;cle=B197" TargetMode="External"/><Relationship Id="rId882" Type="http://schemas.openxmlformats.org/officeDocument/2006/relationships/hyperlink" Target="https://sigpeg.mrn.gouv.qc.ca/rapport/C082_insp_inactif_2019-06-26_Publique.pdf" TargetMode="External"/><Relationship Id="rId1098" Type="http://schemas.openxmlformats.org/officeDocument/2006/relationships/hyperlink" Target="https://sigpeg.mrn.gouv.qc.ca/rapport/A145_insp_inactif_2019-11-20_Publique.pdf" TargetMode="External"/><Relationship Id="rId328" Type="http://schemas.openxmlformats.org/officeDocument/2006/relationships/hyperlink" Target="https://sigpeg.mrn.gouv.qc.ca/gpg/classes/ficheDescriptive?type=popup&amp;mode=fichePuits&amp;menu=puit&amp;table=GPG_ENTRE_PUITS&amp;cle=A092" TargetMode="External"/><Relationship Id="rId535" Type="http://schemas.openxmlformats.org/officeDocument/2006/relationships/hyperlink" Target="https://sigpeg.mrn.gouv.qc.ca/gpg/classes/ficheDescriptive?type=popup&amp;mode=fichePuits&amp;menu=puit&amp;table=GPG_ENTRE_PUITS&amp;cle=B061" TargetMode="External"/><Relationship Id="rId742" Type="http://schemas.openxmlformats.org/officeDocument/2006/relationships/hyperlink" Target="https://sigpeg.mrn.gouv.qc.ca/rapport/B270_insp_inactif_2019-10-01_Publique.pdf" TargetMode="External"/><Relationship Id="rId1165" Type="http://schemas.openxmlformats.org/officeDocument/2006/relationships/hyperlink" Target="https://sigpeg.mrn.gouv.qc.ca/gpg/classes/ficheDescriptive?type=popup&amp;mode=fichePuits&amp;menu=puit&amp;table=GPG_ENTRE_PUITS&amp;cle=AZ10" TargetMode="External"/><Relationship Id="rId1372" Type="http://schemas.openxmlformats.org/officeDocument/2006/relationships/hyperlink" Target="https://sigpeg.mrn.gouv.qc.ca/rapport/P_CS23_inspection_2018-11-02_publique.pdf" TargetMode="External"/><Relationship Id="rId602" Type="http://schemas.openxmlformats.org/officeDocument/2006/relationships/hyperlink" Target="https://sigpeg.mrn.gouv.qc.ca/rapport/B184_insp_inactif_2019-11-05_Publique.pdf" TargetMode="External"/><Relationship Id="rId1025" Type="http://schemas.openxmlformats.org/officeDocument/2006/relationships/hyperlink" Target="https://sigpeg.mrn.gouv.qc.ca/rapport/A034_insp_inactif_2019-06-26_Publique.pdf" TargetMode="External"/><Relationship Id="rId1232" Type="http://schemas.openxmlformats.org/officeDocument/2006/relationships/hyperlink" Target="https://sigpeg.mrn.gouv.qc.ca/gpg/classes/ficheDescriptive?type=popup&amp;mode=fichePuits&amp;menu=puit&amp;table=GPG_ENTRE_PUITS&amp;cle=AZ45" TargetMode="External"/><Relationship Id="rId907" Type="http://schemas.openxmlformats.org/officeDocument/2006/relationships/hyperlink" Target="https://sigpeg.mrn.gouv.qc.ca/gpg/classes/ficheDescriptive?type=popup&amp;mode=fichePuits&amp;menu=puit&amp;table=GPG_ENTRE_PUITS&amp;cle=C077" TargetMode="External"/><Relationship Id="rId36" Type="http://schemas.openxmlformats.org/officeDocument/2006/relationships/hyperlink" Target="https://sigpeg.mrn.gouv.qc.ca/rapport/A100_insp_inactif_2019-07-16_Publique.pdf" TargetMode="External"/><Relationship Id="rId185" Type="http://schemas.openxmlformats.org/officeDocument/2006/relationships/hyperlink" Target="https://sigpeg.mrn.gouv.qc.ca/gpg/classes/ficheDescriptive?type=popup&amp;mode=fichePuits&amp;menu=puit&amp;table=GPG_ENTRE_PUITS&amp;cle=D020" TargetMode="External"/><Relationship Id="rId392" Type="http://schemas.openxmlformats.org/officeDocument/2006/relationships/hyperlink" Target="https://sigpeg.mrn.gouv.qc.ca/rapport/AZ63_insp_inactif_2019-06-10_Publique.pdf" TargetMode="External"/><Relationship Id="rId697" Type="http://schemas.openxmlformats.org/officeDocument/2006/relationships/hyperlink" Target="https://sigpeg.mrn.gouv.qc.ca/gpg/classes/ficheDescriptive?type=popup&amp;mode=fichePuits&amp;menu=puit&amp;table=GPG_ENTRE_PUITS&amp;cle=B224" TargetMode="External"/><Relationship Id="rId252" Type="http://schemas.openxmlformats.org/officeDocument/2006/relationships/hyperlink" Target="https://sigpeg.mrn.gouv.qc.ca/gpg/classes/ficheDescriptive?type=popup&amp;mode=fichePuits&amp;menu=puit&amp;table=GPG_ENTRE_PUITS&amp;cle=A022" TargetMode="External"/><Relationship Id="rId1187" Type="http://schemas.openxmlformats.org/officeDocument/2006/relationships/hyperlink" Target="https://sigpeg.mrn.gouv.qc.ca/rapport/AZ54_insp_inactif_2019-08-20_Publique.pdf" TargetMode="External"/><Relationship Id="rId112" Type="http://schemas.openxmlformats.org/officeDocument/2006/relationships/hyperlink" Target="https://sigpeg.mrn.gouv.qc.ca/rapport/P_CS21_inspection_2018-11-01_publique.pdf" TargetMode="External"/><Relationship Id="rId557" Type="http://schemas.openxmlformats.org/officeDocument/2006/relationships/hyperlink" Target="https://sigpeg.mrn.gouv.qc.ca/gpg/classes/ficheDescriptive?type=popup&amp;mode=fichePuits&amp;menu=puit&amp;table=GPG_ENTRE_PUITS&amp;cle=B078" TargetMode="External"/><Relationship Id="rId764" Type="http://schemas.openxmlformats.org/officeDocument/2006/relationships/hyperlink" Target="https://sigpeg.mrn.gouv.qc.ca/gpg/classes/ficheDescriptive?type=popup&amp;mode=fichePuits&amp;menu=puit&amp;table=GPG_ENTRE_PUITS&amp;cle=B271" TargetMode="External"/><Relationship Id="rId971" Type="http://schemas.openxmlformats.org/officeDocument/2006/relationships/hyperlink" Target="https://sigpeg.mrn.gouv.qc.ca/rapport/F003_insp_inactif_2019-09-09_Publique.pdf" TargetMode="External"/><Relationship Id="rId1394" Type="http://schemas.openxmlformats.org/officeDocument/2006/relationships/hyperlink" Target="https://sigpeg.mrn.gouv.qc.ca/gpg/classes/ficheDescriptive?type=popup&amp;mode=fichePuits&amp;menu=puit&amp;table=GPG_ENTRE_PUITS&amp;cle=CS20" TargetMode="External"/><Relationship Id="rId417" Type="http://schemas.openxmlformats.org/officeDocument/2006/relationships/hyperlink" Target="https://sigpeg.mrn.gouv.qc.ca/gpg/classes/ficheDescriptive?type=popup&amp;mode=fichePuits&amp;menu=puit&amp;table=GPG_ENTRE_PUITS&amp;cle=A171" TargetMode="External"/><Relationship Id="rId624" Type="http://schemas.openxmlformats.org/officeDocument/2006/relationships/hyperlink" Target="https://sigpeg.mrn.gouv.qc.ca/gpg/classes/ficheDescriptive?type=popup&amp;mode=fichePuits&amp;menu=puit&amp;table=GPG_ENTRE_PUITS&amp;cle=B143" TargetMode="External"/><Relationship Id="rId831" Type="http://schemas.openxmlformats.org/officeDocument/2006/relationships/hyperlink" Target="https://sigpeg.mrn.gouv.qc.ca/gpg/classes/ficheDescriptive?type=popup&amp;mode=fichePuits&amp;menu=puit&amp;table=GPG_ENTRE_PUITS&amp;cle=C003" TargetMode="External"/><Relationship Id="rId1047" Type="http://schemas.openxmlformats.org/officeDocument/2006/relationships/hyperlink" Target="https://sigpeg.mrn.gouv.qc.ca/rapport/A134_insp_inactif_2019-07-11_Publique.pdf" TargetMode="External"/><Relationship Id="rId1254" Type="http://schemas.openxmlformats.org/officeDocument/2006/relationships/hyperlink" Target="https://sigpeg.mrn.gouv.qc.ca/gpg/classes/ficheDescriptive?type=popup&amp;mode=fichePuits&amp;menu=puit&amp;table=GPG_ENTRE_PUITS&amp;cle=B044" TargetMode="External"/><Relationship Id="rId929" Type="http://schemas.openxmlformats.org/officeDocument/2006/relationships/hyperlink" Target="https://sigpeg.mrn.gouv.qc.ca/gpg/classes/ficheDescriptive?type=popup&amp;mode=fichePuits&amp;menu=puit&amp;table=GPG_ENTRE_PUITS&amp;cle=C119" TargetMode="External"/><Relationship Id="rId1114" Type="http://schemas.openxmlformats.org/officeDocument/2006/relationships/hyperlink" Target="https://sigpeg.mrn.gouv.qc.ca/rapport/AZ10_insp_inactif_2019-10-29_Publique.pdf" TargetMode="External"/><Relationship Id="rId1321" Type="http://schemas.openxmlformats.org/officeDocument/2006/relationships/hyperlink" Target="https://sigpeg.mrn.gouv.qc.ca/gpg/classes/ficheDescriptive?type=popup&amp;mode=fichePuits&amp;menu=puit&amp;table=GPG_ENTRE_PUITS&amp;cle=B105" TargetMode="External"/><Relationship Id="rId58" Type="http://schemas.openxmlformats.org/officeDocument/2006/relationships/hyperlink" Target="https://sigpeg.mrn.gouv.qc.ca/rapport/B060_insp_inactif_2019-07-18_Publique.pdf" TargetMode="External"/><Relationship Id="rId1419" Type="http://schemas.openxmlformats.org/officeDocument/2006/relationships/hyperlink" Target="https://sigpeg.mrn.gouv.qc.ca/gpg/classes/ficheDescriptive?type=popup&amp;mode=fichePuits&amp;menu=puit&amp;table=GPG_ENTRE_PUITS&amp;cle=GZ01" TargetMode="External"/><Relationship Id="rId274" Type="http://schemas.openxmlformats.org/officeDocument/2006/relationships/hyperlink" Target="https://sigpeg.mrn.gouv.qc.ca/rapport/A054_insp_inactif_2019-08-21_Publique.pdf" TargetMode="External"/><Relationship Id="rId481" Type="http://schemas.openxmlformats.org/officeDocument/2006/relationships/hyperlink" Target="https://sigpeg.mrn.gouv.qc.ca/rapport/P_B033_inspection_2018-07-19_publique.pdf" TargetMode="External"/><Relationship Id="rId134" Type="http://schemas.openxmlformats.org/officeDocument/2006/relationships/hyperlink" Target="https://sigpeg.mrn.gouv.qc.ca/gpg/classes/ficheDescriptive?type=popup&amp;mode=fichePuits&amp;menu=puit&amp;table=GPG_ENTRE_PUITS&amp;cle=B211" TargetMode="External"/><Relationship Id="rId579" Type="http://schemas.openxmlformats.org/officeDocument/2006/relationships/hyperlink" Target="https://sigpeg.mrn.gouv.qc.ca/rapport/B143_insp_inactif_2019-09-25_Publique.pdf" TargetMode="External"/><Relationship Id="rId786" Type="http://schemas.openxmlformats.org/officeDocument/2006/relationships/hyperlink" Target="https://sigpeg.mrn.gouv.qc.ca/rapport/P_C002_inspection_2018-10-23_publique.pdf" TargetMode="External"/><Relationship Id="rId993" Type="http://schemas.openxmlformats.org/officeDocument/2006/relationships/hyperlink" Target="https://sigpeg.mrn.gouv.qc.ca/gpg/classes/ficheDescriptive?type=popup&amp;mode=fichePuits&amp;menu=puit&amp;table=GPG_ENTRE_PUITS&amp;cle=CS50" TargetMode="External"/><Relationship Id="rId341" Type="http://schemas.openxmlformats.org/officeDocument/2006/relationships/hyperlink" Target="https://sigpeg.mrn.gouv.qc.ca/gpg/classes/ficheDescriptive?type=popup&amp;mode=fichePuits&amp;menu=puit&amp;table=GPG_ENTRE_PUITS&amp;cle=A117" TargetMode="External"/><Relationship Id="rId439" Type="http://schemas.openxmlformats.org/officeDocument/2006/relationships/hyperlink" Target="https://sigpeg.mrn.gouv.qc.ca/gpg/classes/ficheDescriptive?type=popup&amp;mode=fichePuits&amp;menu=puit&amp;table=GPG_ENTRE_PUITS&amp;cle=A213" TargetMode="External"/><Relationship Id="rId646" Type="http://schemas.openxmlformats.org/officeDocument/2006/relationships/hyperlink" Target="https://sigpeg.mrn.gouv.qc.ca/gpg/classes/ficheDescriptive?type=popup&amp;mode=fichePuits&amp;menu=puit&amp;table=GPG_ENTRE_PUITS&amp;cle=B182" TargetMode="External"/><Relationship Id="rId1069" Type="http://schemas.openxmlformats.org/officeDocument/2006/relationships/hyperlink" Target="https://sigpeg.mrn.gouv.qc.ca/gpg/classes/ficheDescriptive?type=popup&amp;mode=fichePuits&amp;menu=puit&amp;table=GPG_ENTRE_PUITS&amp;cle=A107" TargetMode="External"/><Relationship Id="rId1276" Type="http://schemas.openxmlformats.org/officeDocument/2006/relationships/hyperlink" Target="https://sigpeg.mrn.gouv.qc.ca/rapport/P_B104_inspection_2018-08-14_publique.pdf" TargetMode="External"/><Relationship Id="rId201" Type="http://schemas.openxmlformats.org/officeDocument/2006/relationships/hyperlink" Target="https://sigpeg.mrn.gouv.qc.ca/rapport/P_A108_inspection_2018-08-31_publique.pdf" TargetMode="External"/><Relationship Id="rId506" Type="http://schemas.openxmlformats.org/officeDocument/2006/relationships/hyperlink" Target="https://sigpeg.mrn.gouv.qc.ca/gpg/classes/ficheDescriptive?type=popup&amp;mode=fichePuits&amp;menu=puit&amp;table=GPG_ENTRE_PUITS&amp;cle=B008" TargetMode="External"/><Relationship Id="rId853" Type="http://schemas.openxmlformats.org/officeDocument/2006/relationships/hyperlink" Target="https://sigpeg.mrn.gouv.qc.ca/gpg/classes/ficheDescriptive?type=popup&amp;mode=fichePuits&amp;menu=puit&amp;table=GPG_ENTRE_PUITS&amp;cle=C030" TargetMode="External"/><Relationship Id="rId1136" Type="http://schemas.openxmlformats.org/officeDocument/2006/relationships/hyperlink" Target="https://sigpeg.mrn.gouv.qc.ca/gpg/classes/ficheDescriptive?type=popup&amp;mode=fichePuits&amp;menu=puit&amp;table=GPG_ENTRE_PUITS&amp;cle=A060" TargetMode="External"/><Relationship Id="rId713" Type="http://schemas.openxmlformats.org/officeDocument/2006/relationships/hyperlink" Target="https://sigpeg.mrn.gouv.qc.ca/gpg/classes/ficheDescriptive?type=popup&amp;mode=fichePuits&amp;menu=puit&amp;table=GPG_ENTRE_PUITS&amp;cle=B240" TargetMode="External"/><Relationship Id="rId920" Type="http://schemas.openxmlformats.org/officeDocument/2006/relationships/hyperlink" Target="https://sigpeg.mrn.gouv.qc.ca/gpg/classes/ficheDescriptive?type=popup&amp;mode=fichePuits&amp;menu=puit&amp;table=GPG_ENTRE_PUITS&amp;cle=C093" TargetMode="External"/><Relationship Id="rId1343" Type="http://schemas.openxmlformats.org/officeDocument/2006/relationships/hyperlink" Target="https://sigpeg.mrn.gouv.qc.ca/gpg/classes/ficheDescriptive?type=popup&amp;mode=fichePuits&amp;menu=puit&amp;table=GPG_ENTRE_PUITS&amp;cle=B154" TargetMode="External"/><Relationship Id="rId1203" Type="http://schemas.openxmlformats.org/officeDocument/2006/relationships/hyperlink" Target="https://sigpeg.mrn.gouv.qc.ca/rapport/B031_insp_inactif_2019-06-12_Publique.pdf" TargetMode="External"/><Relationship Id="rId1410" Type="http://schemas.openxmlformats.org/officeDocument/2006/relationships/hyperlink" Target="https://sigpeg.mrn.gouv.qc.ca/gpg/classes/ficheDescriptive?type=popup&amp;mode=fichePuits&amp;menu=puit&amp;table=GPG_ENTRE_PUITS&amp;cle=E004" TargetMode="External"/><Relationship Id="rId296" Type="http://schemas.openxmlformats.org/officeDocument/2006/relationships/hyperlink" Target="https://sigpeg.mrn.gouv.qc.ca/gpg/classes/ficheDescriptive?type=popup&amp;mode=fichePuits&amp;menu=puit&amp;table=GPG_ENTRE_PUITS&amp;cle=A031" TargetMode="External"/><Relationship Id="rId156" Type="http://schemas.openxmlformats.org/officeDocument/2006/relationships/hyperlink" Target="https://sigpeg.mrn.gouv.qc.ca/gpg/classes/ficheDescriptive?type=popup&amp;mode=fichePuits&amp;menu=puit&amp;table=GPG_ENTRE_PUITS&amp;cle=C044" TargetMode="External"/><Relationship Id="rId363" Type="http://schemas.openxmlformats.org/officeDocument/2006/relationships/hyperlink" Target="https://sigpeg.mrn.gouv.qc.ca/rapport/P_A171_inspection_2018-10-12_publique.pdf" TargetMode="External"/><Relationship Id="rId570" Type="http://schemas.openxmlformats.org/officeDocument/2006/relationships/hyperlink" Target="https://sigpeg.mrn.gouv.qc.ca/rapport/B134_insp_inactif_2019-09-05_Publique.pdf" TargetMode="External"/><Relationship Id="rId223" Type="http://schemas.openxmlformats.org/officeDocument/2006/relationships/hyperlink" Target="https://sigpeg.mrn.gouv.qc.ca/rapport/B185_insp_inactif_2019-11-05_Publique.pdf" TargetMode="External"/><Relationship Id="rId430" Type="http://schemas.openxmlformats.org/officeDocument/2006/relationships/hyperlink" Target="https://sigpeg.mrn.gouv.qc.ca/gpg/classes/ficheDescriptive?type=popup&amp;mode=fichePuits&amp;menu=puit&amp;table=GPG_ENTRE_PUITS&amp;cle=A195" TargetMode="External"/><Relationship Id="rId668" Type="http://schemas.openxmlformats.org/officeDocument/2006/relationships/hyperlink" Target="https://sigpeg.mrn.gouv.qc.ca/gpg/classes/ficheDescriptive?type=popup&amp;mode=fichePuits&amp;menu=puit&amp;table=GPG_ENTRE_PUITS&amp;cle=B190" TargetMode="External"/><Relationship Id="rId875" Type="http://schemas.openxmlformats.org/officeDocument/2006/relationships/hyperlink" Target="https://sigpeg.mrn.gouv.qc.ca/rapport/P_C068_inspection_2018-08-25_publique.pdf" TargetMode="External"/><Relationship Id="rId1060" Type="http://schemas.openxmlformats.org/officeDocument/2006/relationships/hyperlink" Target="https://sigpeg.mrn.gouv.qc.ca/gpg/classes/ficheDescriptive?type=popup&amp;mode=fichePuits&amp;menu=puit&amp;table=GPG_ENTRE_PUITS&amp;cle=A064" TargetMode="External"/><Relationship Id="rId1298" Type="http://schemas.openxmlformats.org/officeDocument/2006/relationships/hyperlink" Target="https://sigpeg.mrn.gouv.qc.ca/rapport/B154_insp_inactif_2019-07-10_Publique.pdf" TargetMode="External"/><Relationship Id="rId528" Type="http://schemas.openxmlformats.org/officeDocument/2006/relationships/hyperlink" Target="https://sigpeg.mrn.gouv.qc.ca/gpg/classes/ficheDescriptive?type=popup&amp;mode=fichePuits&amp;menu=puit&amp;table=GPG_ENTRE_PUITS&amp;cle=B048" TargetMode="External"/><Relationship Id="rId735" Type="http://schemas.openxmlformats.org/officeDocument/2006/relationships/hyperlink" Target="https://sigpeg.mrn.gouv.qc.ca/rapport/B254_insp_inactif_2019-10-01_Publique.pdf" TargetMode="External"/><Relationship Id="rId942" Type="http://schemas.openxmlformats.org/officeDocument/2006/relationships/hyperlink" Target="https://sigpeg.mrn.gouv.qc.ca/rapport/P_CS35_inspection_2018-08-29_publique.pdf" TargetMode="External"/><Relationship Id="rId1158" Type="http://schemas.openxmlformats.org/officeDocument/2006/relationships/hyperlink" Target="https://sigpeg.mrn.gouv.qc.ca/gpg/classes/ficheDescriptive?type=popup&amp;mode=fichePuits&amp;menu=puit&amp;table=GPG_ENTRE_PUITS&amp;cle=A206" TargetMode="External"/><Relationship Id="rId1365" Type="http://schemas.openxmlformats.org/officeDocument/2006/relationships/hyperlink" Target="https://sigpeg.mrn.gouv.qc.ca/gpg/classes/ficheDescriptive?type=popup&amp;mode=fichePuits&amp;menu=puit&amp;table=GPG_ENTRE_PUITS&amp;cle=CS11" TargetMode="External"/><Relationship Id="rId1018" Type="http://schemas.openxmlformats.org/officeDocument/2006/relationships/hyperlink" Target="https://sigpeg.mrn.gouv.qc.ca/gpg/classes/ficheDescriptive?type=popup&amp;mode=fichePuits&amp;menu=puit&amp;table=GPG_ENTRE_PUITS&amp;cle=GZ05" TargetMode="External"/><Relationship Id="rId1225" Type="http://schemas.openxmlformats.org/officeDocument/2006/relationships/hyperlink" Target="https://sigpeg.mrn.gouv.qc.ca/rapport/P_B103_inspection_2018-07-09_publique.pdf" TargetMode="External"/><Relationship Id="rId1432" Type="http://schemas.openxmlformats.org/officeDocument/2006/relationships/hyperlink" Target="https://sigpeg.mrn.gouv.qc.ca/gpg/classes/ficheDescriptive?type=popup&amp;mode=fichePuits&amp;menu=puit&amp;table=GPG_ENTRE_PUITS&amp;cle=DZ002" TargetMode="External"/><Relationship Id="rId71" Type="http://schemas.openxmlformats.org/officeDocument/2006/relationships/hyperlink" Target="https://sigpeg.mrn.gouv.qc.ca/rapport/B267A_insp_inactif_2019-09-06_Publique.pdf" TargetMode="External"/><Relationship Id="rId802" Type="http://schemas.openxmlformats.org/officeDocument/2006/relationships/hyperlink" Target="https://sigpeg.mrn.gouv.qc.ca/rapport/P_C022_inspection_2018-08-24_publique.pdf" TargetMode="External"/><Relationship Id="rId29" Type="http://schemas.openxmlformats.org/officeDocument/2006/relationships/hyperlink" Target="https://sigpeg.mrn.gouv.qc.ca/gpg/classes/ficheDescriptive?type=popup&amp;mode=fichePuits&amp;menu=puit&amp;table=GPG_ENTRE_PUITS&amp;cle=A172" TargetMode="External"/><Relationship Id="rId178" Type="http://schemas.openxmlformats.org/officeDocument/2006/relationships/hyperlink" Target="https://sigpeg.mrn.gouv.qc.ca/gpg/classes/ficheDescriptive?type=popup&amp;mode=fichePuits&amp;menu=puit&amp;table=GPG_ENTRE_PUITS&amp;cle=CS05" TargetMode="External"/><Relationship Id="rId385" Type="http://schemas.openxmlformats.org/officeDocument/2006/relationships/hyperlink" Target="https://sigpeg.mrn.gouv.qc.ca/rapport/P_A245_inspection_2018-10-10_publique.pdf" TargetMode="External"/><Relationship Id="rId592" Type="http://schemas.openxmlformats.org/officeDocument/2006/relationships/hyperlink" Target="https://sigpeg.mrn.gouv.qc.ca/rapport/P_B161_inspection_2018-07-16_publique.pdf" TargetMode="External"/><Relationship Id="rId245" Type="http://schemas.openxmlformats.org/officeDocument/2006/relationships/hyperlink" Target="https://sigpeg.mrn.gouv.qc.ca/gpg/classes/ficheDescriptive?type=popup&amp;mode=fichePuits&amp;menu=puit&amp;table=GPG_ENTRE_PUITS&amp;cle=A012" TargetMode="External"/><Relationship Id="rId452" Type="http://schemas.openxmlformats.org/officeDocument/2006/relationships/hyperlink" Target="https://sigpeg.mrn.gouv.qc.ca/gpg/classes/ficheDescriptive?type=popup&amp;mode=fichePuits&amp;menu=puit&amp;table=GPG_ENTRE_PUITS&amp;cle=A256" TargetMode="External"/><Relationship Id="rId897" Type="http://schemas.openxmlformats.org/officeDocument/2006/relationships/hyperlink" Target="https://sigpeg.mrn.gouv.qc.ca/rapport/C120_insp_inactif_2019-09-17_Publique.pdf" TargetMode="External"/><Relationship Id="rId1082" Type="http://schemas.openxmlformats.org/officeDocument/2006/relationships/hyperlink" Target="https://sigpeg.mrn.gouv.qc.ca/rapport/A019_insp_inactif_2019-07-23_Publique.pdf" TargetMode="External"/><Relationship Id="rId105" Type="http://schemas.openxmlformats.org/officeDocument/2006/relationships/hyperlink" Target="https://sigpeg.mrn.gouv.qc.ca/rapport/P_C109_inspection_2018-11-02_publique.pdf" TargetMode="External"/><Relationship Id="rId312" Type="http://schemas.openxmlformats.org/officeDocument/2006/relationships/hyperlink" Target="https://sigpeg.mrn.gouv.qc.ca/gpg/classes/ficheDescriptive?type=popup&amp;mode=fichePuits&amp;menu=puit&amp;table=GPG_ENTRE_PUITS&amp;cle=A069" TargetMode="External"/><Relationship Id="rId757" Type="http://schemas.openxmlformats.org/officeDocument/2006/relationships/hyperlink" Target="https://sigpeg.mrn.gouv.qc.ca/rapport/P_BZ09_inspection_2018-10-15_publique.pdf" TargetMode="External"/><Relationship Id="rId964" Type="http://schemas.openxmlformats.org/officeDocument/2006/relationships/hyperlink" Target="https://sigpeg.mrn.gouv.qc.ca/rapport/D018_insp_inactif_2019-07-04_Publique.pdf" TargetMode="External"/><Relationship Id="rId1387" Type="http://schemas.openxmlformats.org/officeDocument/2006/relationships/hyperlink" Target="https://sigpeg.mrn.gouv.qc.ca/rapport/E009_insp_inactif_2019-08-20_Publique.pdf" TargetMode="External"/><Relationship Id="rId93" Type="http://schemas.openxmlformats.org/officeDocument/2006/relationships/hyperlink" Target="https://sigpeg.mrn.gouv.qc.ca/rapport/C054_insp_inactif_2019-08-28_Publique.pdf" TargetMode="External"/><Relationship Id="rId617" Type="http://schemas.openxmlformats.org/officeDocument/2006/relationships/hyperlink" Target="https://sigpeg.mrn.gouv.qc.ca/gpg/classes/ficheDescriptive?type=popup&amp;mode=fichePuits&amp;menu=puit&amp;table=GPG_ENTRE_PUITS&amp;cle=B135" TargetMode="External"/><Relationship Id="rId824" Type="http://schemas.openxmlformats.org/officeDocument/2006/relationships/hyperlink" Target="https://sigpeg.mrn.gouv.qc.ca/rapport/P_C061_inspection_2018-08-26_publique.pdf" TargetMode="External"/><Relationship Id="rId1247" Type="http://schemas.openxmlformats.org/officeDocument/2006/relationships/hyperlink" Target="https://sigpeg.mrn.gouv.qc.ca/gpg/classes/ficheDescriptive?type=popup&amp;mode=fichePuits&amp;menu=puit&amp;table=GPG_ENTRE_PUITS&amp;cle=B002" TargetMode="External"/><Relationship Id="rId1107" Type="http://schemas.openxmlformats.org/officeDocument/2006/relationships/hyperlink" Target="https://sigpeg.mrn.gouv.qc.ca/rapport/A206_insp_inactif_2019-11-14_Publique.pdf" TargetMode="External"/><Relationship Id="rId1314" Type="http://schemas.openxmlformats.org/officeDocument/2006/relationships/hyperlink" Target="https://sigpeg.mrn.gouv.qc.ca/rapport/P_C115_inspection_2018-07-28_publique.pdf" TargetMode="External"/><Relationship Id="rId20" Type="http://schemas.openxmlformats.org/officeDocument/2006/relationships/hyperlink" Target="https://sigpeg.mrn.gouv.qc.ca/gpg/classes/ficheDescriptive?type=popup&amp;mode=fichePuits&amp;menu=puit&amp;table=GPG_ENTRE_PUITS&amp;cle=A071" TargetMode="External"/><Relationship Id="rId267" Type="http://schemas.openxmlformats.org/officeDocument/2006/relationships/hyperlink" Target="https://sigpeg.mrn.gouv.qc.ca/rapport/A033_insp_inactif_2019-10-07_Publique.pdf" TargetMode="External"/><Relationship Id="rId474" Type="http://schemas.openxmlformats.org/officeDocument/2006/relationships/hyperlink" Target="https://sigpeg.mrn.gouv.qc.ca/rapport/B017_insp_inactif_2019-09-30_Publique.pdf" TargetMode="External"/><Relationship Id="rId127" Type="http://schemas.openxmlformats.org/officeDocument/2006/relationships/hyperlink" Target="https://sigpeg.mrn.gouv.qc.ca/gpg/classes/ficheDescriptive?type=popup&amp;mode=fichePuits&amp;menu=puit&amp;table=GPG_ENTRE_PUITS&amp;cle=B083" TargetMode="External"/><Relationship Id="rId681" Type="http://schemas.openxmlformats.org/officeDocument/2006/relationships/hyperlink" Target="https://sigpeg.mrn.gouv.qc.ca/gpg/classes/ficheDescriptive?type=popup&amp;mode=fichePuits&amp;menu=puit&amp;table=GPG_ENTRE_PUITS&amp;cle=B204" TargetMode="External"/><Relationship Id="rId779" Type="http://schemas.openxmlformats.org/officeDocument/2006/relationships/hyperlink" Target="https://sigpeg.mrn.gouv.qc.ca/gpg/classes/ficheDescriptive?type=popup&amp;mode=fichePuits&amp;menu=puit&amp;table=GPG_ENTRE_PUITS&amp;cle=BZ10" TargetMode="External"/><Relationship Id="rId986" Type="http://schemas.openxmlformats.org/officeDocument/2006/relationships/hyperlink" Target="https://sigpeg.mrn.gouv.qc.ca/gpg/classes/ficheDescriptive?type=popup&amp;mode=fichePuits&amp;menu=puit&amp;table=GPG_ENTRE_PUITS&amp;cle=CS40" TargetMode="External"/><Relationship Id="rId334" Type="http://schemas.openxmlformats.org/officeDocument/2006/relationships/hyperlink" Target="https://sigpeg.mrn.gouv.qc.ca/gpg/classes/ficheDescriptive?type=popup&amp;mode=fichePuits&amp;menu=puit&amp;table=GPG_ENTRE_PUITS&amp;cle=A101" TargetMode="External"/><Relationship Id="rId541" Type="http://schemas.openxmlformats.org/officeDocument/2006/relationships/hyperlink" Target="https://sigpeg.mrn.gouv.qc.ca/rapport/P_B071_inspection_2018-11-08_publique.pdf" TargetMode="External"/><Relationship Id="rId639" Type="http://schemas.openxmlformats.org/officeDocument/2006/relationships/hyperlink" Target="https://sigpeg.mrn.gouv.qc.ca/gpg/classes/ficheDescriptive?type=popup&amp;mode=fichePuits&amp;menu=puit&amp;table=GPG_ENTRE_PUITS&amp;cle=B171" TargetMode="External"/><Relationship Id="rId1171" Type="http://schemas.openxmlformats.org/officeDocument/2006/relationships/hyperlink" Target="https://sigpeg.mrn.gouv.qc.ca/gpg/classes/ficheDescriptive?type=popup&amp;mode=fichePuits&amp;menu=puit&amp;table=GPG_ENTRE_PUITS&amp;cle=AZ21" TargetMode="External"/><Relationship Id="rId1269" Type="http://schemas.openxmlformats.org/officeDocument/2006/relationships/hyperlink" Target="https://sigpeg.mrn.gouv.qc.ca/gpg/classes/ficheDescriptive?type=popup&amp;mode=fichePuits&amp;menu=puit&amp;table=GPG_ENTRE_PUITS&amp;cle=B096" TargetMode="External"/><Relationship Id="rId401" Type="http://schemas.openxmlformats.org/officeDocument/2006/relationships/hyperlink" Target="https://sigpeg.mrn.gouv.qc.ca/gpg/classes/ficheDescriptive?type=popup&amp;mode=fichePuits&amp;menu=puit&amp;table=GPG_ENTRE_PUITS&amp;cle=A142" TargetMode="External"/><Relationship Id="rId846" Type="http://schemas.openxmlformats.org/officeDocument/2006/relationships/hyperlink" Target="https://sigpeg.mrn.gouv.qc.ca/gpg/classes/ficheDescriptive?type=popup&amp;mode=fichePuits&amp;menu=puit&amp;table=GPG_ENTRE_PUITS&amp;cle=C022" TargetMode="External"/><Relationship Id="rId1031" Type="http://schemas.openxmlformats.org/officeDocument/2006/relationships/hyperlink" Target="https://sigpeg.mrn.gouv.qc.ca/rapport/A067_insp_inactif_2019-06-03_Publique.pdf" TargetMode="External"/><Relationship Id="rId1129" Type="http://schemas.openxmlformats.org/officeDocument/2006/relationships/hyperlink" Target="https://sigpeg.mrn.gouv.qc.ca/gpg/classes/ficheDescriptive?type=popup&amp;mode=fichePuits&amp;menu=puit&amp;table=GPG_ENTRE_PUITS&amp;cle=A029" TargetMode="External"/><Relationship Id="rId706" Type="http://schemas.openxmlformats.org/officeDocument/2006/relationships/hyperlink" Target="https://sigpeg.mrn.gouv.qc.ca/gpg/classes/ficheDescriptive?type=popup&amp;mode=fichePuits&amp;menu=puit&amp;table=GPG_ENTRE_PUITS&amp;cle=B233" TargetMode="External"/><Relationship Id="rId913" Type="http://schemas.openxmlformats.org/officeDocument/2006/relationships/hyperlink" Target="https://sigpeg.mrn.gouv.qc.ca/gpg/classes/ficheDescriptive?type=popup&amp;mode=fichePuits&amp;menu=puit&amp;table=GPG_ENTRE_PUITS&amp;cle=C083" TargetMode="External"/><Relationship Id="rId1336" Type="http://schemas.openxmlformats.org/officeDocument/2006/relationships/hyperlink" Target="https://sigpeg.mrn.gouv.qc.ca/gpg/classes/ficheDescriptive?type=popup&amp;mode=fichePuits&amp;menu=puit&amp;table=GPG_ENTRE_PUITS&amp;cle=B124" TargetMode="External"/><Relationship Id="rId42" Type="http://schemas.openxmlformats.org/officeDocument/2006/relationships/hyperlink" Target="https://sigpeg.mrn.gouv.qc.ca/rapport/A155_insp_inactif_2019-07-10_Publique.pdf" TargetMode="External"/><Relationship Id="rId1403" Type="http://schemas.openxmlformats.org/officeDocument/2006/relationships/hyperlink" Target="https://sigpeg.mrn.gouv.qc.ca/gpg/classes/ficheDescriptive?type=popup&amp;mode=fichePuits&amp;menu=puit&amp;table=GPG_ENTRE_PUITS&amp;cle=D002" TargetMode="External"/><Relationship Id="rId191" Type="http://schemas.openxmlformats.org/officeDocument/2006/relationships/hyperlink" Target="https://sigpeg.mrn.gouv.qc.ca/rapport/A082_insp_inactif_2019-11-19_Publique.pdf" TargetMode="External"/><Relationship Id="rId289" Type="http://schemas.openxmlformats.org/officeDocument/2006/relationships/hyperlink" Target="https://sigpeg.mrn.gouv.qc.ca/rapport/A092_insp_inactif_2019-11-21_Publique.pdf" TargetMode="External"/><Relationship Id="rId496" Type="http://schemas.openxmlformats.org/officeDocument/2006/relationships/hyperlink" Target="https://sigpeg.mrn.gouv.qc.ca/rapport/B063_insp_inactif_2019-05-08_Publique.pdf" TargetMode="External"/><Relationship Id="rId149" Type="http://schemas.openxmlformats.org/officeDocument/2006/relationships/hyperlink" Target="https://sigpeg.mrn.gouv.qc.ca/gpg/classes/ficheDescriptive?type=popup&amp;mode=fichePuits&amp;menu=puit&amp;table=GPG_ENTRE_PUITS&amp;cle=C027" TargetMode="External"/><Relationship Id="rId356" Type="http://schemas.openxmlformats.org/officeDocument/2006/relationships/hyperlink" Target="https://sigpeg.mrn.gouv.qc.ca/rapport/P_A159_inspection_2018-08-30_publique.pdf" TargetMode="External"/><Relationship Id="rId563" Type="http://schemas.openxmlformats.org/officeDocument/2006/relationships/hyperlink" Target="https://sigpeg.mrn.gouv.qc.ca/rapport/B101_insp_inactif_2019-11-19_Publique.pdf" TargetMode="External"/><Relationship Id="rId770" Type="http://schemas.openxmlformats.org/officeDocument/2006/relationships/hyperlink" Target="https://sigpeg.mrn.gouv.qc.ca/gpg/classes/ficheDescriptive?type=popup&amp;mode=fichePuits&amp;menu=puit&amp;table=GPG_ENTRE_PUITS&amp;cle=B305" TargetMode="External"/><Relationship Id="rId1193" Type="http://schemas.openxmlformats.org/officeDocument/2006/relationships/hyperlink" Target="https://sigpeg.mrn.gouv.qc.ca/rapport/AZ66_insp_inactif_2019-09-05_Publique.pdf" TargetMode="External"/><Relationship Id="rId216" Type="http://schemas.openxmlformats.org/officeDocument/2006/relationships/hyperlink" Target="https://sigpeg.mrn.gouv.qc.ca/rapport/P_A212_inspection_2018-09-19_publique.pdf" TargetMode="External"/><Relationship Id="rId423" Type="http://schemas.openxmlformats.org/officeDocument/2006/relationships/hyperlink" Target="https://sigpeg.mrn.gouv.qc.ca/gpg/classes/ficheDescriptive?type=popup&amp;mode=fichePuits&amp;menu=puit&amp;table=GPG_ENTRE_PUITS&amp;cle=A185" TargetMode="External"/><Relationship Id="rId868" Type="http://schemas.openxmlformats.org/officeDocument/2006/relationships/hyperlink" Target="https://sigpeg.mrn.gouv.qc.ca/gpg/classes/ficheDescriptive?type=popup&amp;mode=fichePuits&amp;menu=puit&amp;table=GPG_ENTRE_PUITS&amp;cle=C060" TargetMode="External"/><Relationship Id="rId1053" Type="http://schemas.openxmlformats.org/officeDocument/2006/relationships/hyperlink" Target="https://sigpeg.mrn.gouv.qc.ca/gpg/classes/ficheDescriptive?type=popup&amp;mode=fichePuits&amp;menu=puit&amp;table=GPG_ENTRE_PUITS&amp;cle=A027" TargetMode="External"/><Relationship Id="rId1260" Type="http://schemas.openxmlformats.org/officeDocument/2006/relationships/hyperlink" Target="https://sigpeg.mrn.gouv.qc.ca/gpg/classes/ficheDescriptive?type=popup&amp;mode=fichePuits&amp;menu=puit&amp;table=GPG_ENTRE_PUITS&amp;cle=B084" TargetMode="External"/><Relationship Id="rId630" Type="http://schemas.openxmlformats.org/officeDocument/2006/relationships/hyperlink" Target="https://sigpeg.mrn.gouv.qc.ca/gpg/classes/ficheDescriptive?type=popup&amp;mode=fichePuits&amp;menu=puit&amp;table=GPG_ENTRE_PUITS&amp;cle=B151" TargetMode="External"/><Relationship Id="rId728" Type="http://schemas.openxmlformats.org/officeDocument/2006/relationships/hyperlink" Target="https://sigpeg.mrn.gouv.qc.ca/gpg/classes/ficheDescriptive?type=popup&amp;mode=fichePuits&amp;menu=puit&amp;table=GPG_ENTRE_PUITS&amp;cle=B258" TargetMode="External"/><Relationship Id="rId935" Type="http://schemas.openxmlformats.org/officeDocument/2006/relationships/hyperlink" Target="https://sigpeg.mrn.gouv.qc.ca/gpg/classes/ficheDescriptive?type=popup&amp;mode=fichePuits&amp;menu=puit&amp;table=GPG_ENTRE_PUITS&amp;cle=C144" TargetMode="External"/><Relationship Id="rId1358" Type="http://schemas.openxmlformats.org/officeDocument/2006/relationships/hyperlink" Target="https://sigpeg.mrn.gouv.qc.ca/gpg/classes/ficheDescriptive?type=popup&amp;mode=fichePuits&amp;menu=puit&amp;table=GPG_ENTRE_PUITS&amp;cle=C108" TargetMode="External"/><Relationship Id="rId64" Type="http://schemas.openxmlformats.org/officeDocument/2006/relationships/hyperlink" Target="https://sigpeg.mrn.gouv.qc.ca/rapport/B157_insp_inactif_2019-07-05_Publique.pdf" TargetMode="External"/><Relationship Id="rId1120" Type="http://schemas.openxmlformats.org/officeDocument/2006/relationships/hyperlink" Target="https://sigpeg.mrn.gouv.qc.ca/rapport/AZ21_insp_inactif_2019-10-30_Publique.pdf" TargetMode="External"/><Relationship Id="rId1218" Type="http://schemas.openxmlformats.org/officeDocument/2006/relationships/hyperlink" Target="https://sigpeg.mrn.gouv.qc.ca/rapport/P_B095_inspection_2018-08-14_publique.pdf" TargetMode="External"/><Relationship Id="rId1425" Type="http://schemas.openxmlformats.org/officeDocument/2006/relationships/hyperlink" Target="https://sigpeg.mrn.gouv.qc.ca/gpg/classes/ficheDescriptive?type=popup&amp;mode=fichePuits&amp;menu=puit&amp;table=GPG_ENTRE_PUITS&amp;cle=CZ011" TargetMode="External"/><Relationship Id="rId280" Type="http://schemas.openxmlformats.org/officeDocument/2006/relationships/hyperlink" Target="https://sigpeg.mrn.gouv.qc.ca/rapport/A069_insp_inactif_2019-07-24_Publique.pdf" TargetMode="External"/><Relationship Id="rId140" Type="http://schemas.openxmlformats.org/officeDocument/2006/relationships/hyperlink" Target="https://sigpeg.mrn.gouv.qc.ca/gpg/classes/ficheDescriptive?type=popup&amp;mode=fichePuits&amp;menu=puit&amp;table=GPG_ENTRE_PUITS&amp;cle=B275" TargetMode="External"/><Relationship Id="rId378" Type="http://schemas.openxmlformats.org/officeDocument/2006/relationships/hyperlink" Target="https://sigpeg.mrn.gouv.qc.ca/rapport/A222_insp_inactif_2019-07-15_Publique.pdf" TargetMode="External"/><Relationship Id="rId585" Type="http://schemas.openxmlformats.org/officeDocument/2006/relationships/hyperlink" Target="https://sigpeg.mrn.gouv.qc.ca/rapport/B151_insp_inactif_2019-07-10_Publique.pdf" TargetMode="External"/><Relationship Id="rId792" Type="http://schemas.openxmlformats.org/officeDocument/2006/relationships/hyperlink" Target="https://sigpeg.mrn.gouv.qc.ca/rapport/C012_insp_inactif_2019-07-16_Publique.pdf" TargetMode="External"/><Relationship Id="rId6" Type="http://schemas.openxmlformats.org/officeDocument/2006/relationships/hyperlink" Target="http://sigpeg.mrn.gouv.qc.ca/rapport/A066_insp_inactif_2019-09-17_Publique.pdf" TargetMode="External"/><Relationship Id="rId238" Type="http://schemas.openxmlformats.org/officeDocument/2006/relationships/hyperlink" Target="https://sigpeg.mrn.gouv.qc.ca/rapport/A271_insp_inactif_2019-04-23_Publiquee.pdf" TargetMode="External"/><Relationship Id="rId445" Type="http://schemas.openxmlformats.org/officeDocument/2006/relationships/hyperlink" Target="https://sigpeg.mrn.gouv.qc.ca/gpg/classes/ficheDescriptive?type=popup&amp;mode=fichePuits&amp;menu=puit&amp;table=GPG_ENTRE_PUITS&amp;cle=A223" TargetMode="External"/><Relationship Id="rId652" Type="http://schemas.openxmlformats.org/officeDocument/2006/relationships/hyperlink" Target="https://sigpeg.mrn.gouv.qc.ca/gpg/classes/ficheDescriptive?type=popup&amp;mode=fichePuits&amp;menu=puit&amp;table=GPG_ENTRE_PUITS&amp;cle=B188" TargetMode="External"/><Relationship Id="rId1075" Type="http://schemas.openxmlformats.org/officeDocument/2006/relationships/hyperlink" Target="https://sigpeg.mrn.gouv.qc.ca/gpg/classes/ficheDescriptive?type=popup&amp;mode=fichePuits&amp;menu=puit&amp;table=GPG_ENTRE_PUITS&amp;cle=A121" TargetMode="External"/><Relationship Id="rId1282" Type="http://schemas.openxmlformats.org/officeDocument/2006/relationships/hyperlink" Target="https://sigpeg.mrn.gouv.qc.ca/rapport/B112_insp_inactif_2019-08-06_Publique.pdf" TargetMode="External"/><Relationship Id="rId305" Type="http://schemas.openxmlformats.org/officeDocument/2006/relationships/hyperlink" Target="https://sigpeg.mrn.gouv.qc.ca/gpg/classes/ficheDescriptive?type=popup&amp;mode=fichePuits&amp;menu=puit&amp;table=GPG_ENTRE_PUITS&amp;cle=A050" TargetMode="External"/><Relationship Id="rId512" Type="http://schemas.openxmlformats.org/officeDocument/2006/relationships/hyperlink" Target="https://sigpeg.mrn.gouv.qc.ca/gpg/classes/ficheDescriptive?type=popup&amp;mode=fichePuits&amp;menu=puit&amp;table=GPG_ENTRE_PUITS&amp;cle=B015" TargetMode="External"/><Relationship Id="rId957" Type="http://schemas.openxmlformats.org/officeDocument/2006/relationships/hyperlink" Target="https://sigpeg.mrn.gouv.qc.ca/rapport/D010_insp_inactif_2019-07-03_Publique.pdf" TargetMode="External"/><Relationship Id="rId1142" Type="http://schemas.openxmlformats.org/officeDocument/2006/relationships/hyperlink" Target="https://sigpeg.mrn.gouv.qc.ca/gpg/classes/ficheDescriptive?type=popup&amp;mode=fichePuits&amp;menu=puit&amp;table=GPG_ENTRE_PUITS&amp;cle=A138" TargetMode="External"/><Relationship Id="rId86" Type="http://schemas.openxmlformats.org/officeDocument/2006/relationships/hyperlink" Target="https://sigpeg.mrn.gouv.qc.ca/rapport/C040_insp_inactif_2019-07-18_Publique.pdf" TargetMode="External"/><Relationship Id="rId817" Type="http://schemas.openxmlformats.org/officeDocument/2006/relationships/hyperlink" Target="https://sigpeg.mrn.gouv.qc.ca/rapport/C046_insp_inactif_2019-10-30_Publique.pdf" TargetMode="External"/><Relationship Id="rId1002" Type="http://schemas.openxmlformats.org/officeDocument/2006/relationships/hyperlink" Target="https://sigpeg.mrn.gouv.qc.ca/gpg/classes/ficheDescriptive?type=popup&amp;mode=fichePuits&amp;menu=puit&amp;table=GPG_ENTRE_PUITS&amp;cle=D016" TargetMode="External"/><Relationship Id="rId1447" Type="http://schemas.openxmlformats.org/officeDocument/2006/relationships/hyperlink" Target="https://sigpeg.mrn.gouv.qc.ca/gpg/classes/ficheDescriptive?type=popup&amp;mode=fichePuits&amp;menu=puit&amp;table=GPG_ENTRE_PUITS&amp;cle=FZ002" TargetMode="External"/><Relationship Id="rId1307" Type="http://schemas.openxmlformats.org/officeDocument/2006/relationships/hyperlink" Target="https://sigpeg.mrn.gouv.qc.ca/rapport/B173_insp_inactif_2019-05-27_Publique.pdf" TargetMode="External"/><Relationship Id="rId13" Type="http://schemas.openxmlformats.org/officeDocument/2006/relationships/hyperlink" Target="https://sigpeg.mrn.gouv.qc.ca/gpg/classes/ficheDescriptive?type=popup&amp;mode=fichePuits&amp;menu=puit&amp;table=GPG_ENTRE_PUITS&amp;cle=A100" TargetMode="External"/><Relationship Id="rId162" Type="http://schemas.openxmlformats.org/officeDocument/2006/relationships/hyperlink" Target="https://sigpeg.mrn.gouv.qc.ca/gpg/classes/ficheDescriptive?type=popup&amp;mode=fichePuits&amp;menu=puit&amp;table=GPG_ENTRE_PUITS&amp;cle=C056" TargetMode="External"/><Relationship Id="rId467" Type="http://schemas.openxmlformats.org/officeDocument/2006/relationships/hyperlink" Target="https://sigpeg.mrn.gouv.qc.ca/rapport/B009_insp_inactif_2019-09-29_Publique.pdf" TargetMode="External"/><Relationship Id="rId1097" Type="http://schemas.openxmlformats.org/officeDocument/2006/relationships/hyperlink" Target="https://sigpeg.mrn.gouv.qc.ca/rapport/A138_insp_inactif_2019-10-07_Publique.pdf" TargetMode="External"/><Relationship Id="rId674" Type="http://schemas.openxmlformats.org/officeDocument/2006/relationships/hyperlink" Target="https://sigpeg.mrn.gouv.qc.ca/gpg/classes/ficheDescriptive?type=popup&amp;mode=fichePuits&amp;menu=puit&amp;table=GPG_ENTRE_PUITS&amp;cle=B196" TargetMode="External"/><Relationship Id="rId881" Type="http://schemas.openxmlformats.org/officeDocument/2006/relationships/hyperlink" Target="https://sigpeg.mrn.gouv.qc.ca/rapport/C081_insp_inactif_2019-09-12_Publique.pdf" TargetMode="External"/><Relationship Id="rId979" Type="http://schemas.openxmlformats.org/officeDocument/2006/relationships/hyperlink" Target="https://sigpeg.mrn.gouv.qc.ca/gpg/classes/ficheDescriptive?type=popup&amp;mode=fichePuits&amp;menu=puit&amp;table=GPG_ENTRE_PUITS&amp;cle=CS28" TargetMode="External"/><Relationship Id="rId327" Type="http://schemas.openxmlformats.org/officeDocument/2006/relationships/hyperlink" Target="https://sigpeg.mrn.gouv.qc.ca/gpg/classes/ficheDescriptive?type=popup&amp;mode=fichePuits&amp;menu=puit&amp;table=GPG_ENTRE_PUITS&amp;cle=A091" TargetMode="External"/><Relationship Id="rId534" Type="http://schemas.openxmlformats.org/officeDocument/2006/relationships/hyperlink" Target="https://sigpeg.mrn.gouv.qc.ca/gpg/classes/ficheDescriptive?type=popup&amp;mode=fichePuits&amp;menu=puit&amp;table=GPG_ENTRE_PUITS&amp;cle=B058" TargetMode="External"/><Relationship Id="rId741" Type="http://schemas.openxmlformats.org/officeDocument/2006/relationships/hyperlink" Target="https://sigpeg.mrn.gouv.qc.ca/rapport/B269_insp_inactif_2019-06-17_Publique.pdf" TargetMode="External"/><Relationship Id="rId839" Type="http://schemas.openxmlformats.org/officeDocument/2006/relationships/hyperlink" Target="https://sigpeg.mrn.gouv.qc.ca/gpg/classes/ficheDescriptive?type=popup&amp;mode=fichePuits&amp;menu=puit&amp;table=GPG_ENTRE_PUITS&amp;cle=C015" TargetMode="External"/><Relationship Id="rId1164" Type="http://schemas.openxmlformats.org/officeDocument/2006/relationships/hyperlink" Target="https://sigpeg.mrn.gouv.qc.ca/gpg/classes/ficheDescriptive?type=popup&amp;mode=fichePuits&amp;menu=puit&amp;table=GPG_ENTRE_PUITS&amp;cle=AZ09" TargetMode="External"/><Relationship Id="rId1371" Type="http://schemas.openxmlformats.org/officeDocument/2006/relationships/hyperlink" Target="https://sigpeg.mrn.gouv.qc.ca/rapport/P_CS22_inspection_2018-11-01_publique.pdf" TargetMode="External"/><Relationship Id="rId601" Type="http://schemas.openxmlformats.org/officeDocument/2006/relationships/hyperlink" Target="https://sigpeg.mrn.gouv.qc.ca/rapport/B183_insp_inactif_2019-11-06_Publique.pdf" TargetMode="External"/><Relationship Id="rId1024" Type="http://schemas.openxmlformats.org/officeDocument/2006/relationships/hyperlink" Target="https://sigpeg.mrn.gouv.qc.ca/rapport/A032_insp_inactif_2019-07-17_Publique.pdf" TargetMode="External"/><Relationship Id="rId1231" Type="http://schemas.openxmlformats.org/officeDocument/2006/relationships/hyperlink" Target="https://sigpeg.mrn.gouv.qc.ca/gpg/classes/ficheDescriptive?type=popup&amp;mode=fichePuits&amp;menu=puit&amp;table=GPG_ENTRE_PUITS&amp;cle=AZ43" TargetMode="External"/><Relationship Id="rId906" Type="http://schemas.openxmlformats.org/officeDocument/2006/relationships/hyperlink" Target="https://sigpeg.mrn.gouv.qc.ca/gpg/classes/ficheDescriptive?type=popup&amp;mode=fichePuits&amp;menu=puit&amp;table=GPG_ENTRE_PUITS&amp;cle=C075" TargetMode="External"/><Relationship Id="rId1329" Type="http://schemas.openxmlformats.org/officeDocument/2006/relationships/hyperlink" Target="https://sigpeg.mrn.gouv.qc.ca/gpg/classes/ficheDescriptive?type=popup&amp;mode=fichePuits&amp;menu=puit&amp;table=GPG_ENTRE_PUITS&amp;cle=B116" TargetMode="External"/><Relationship Id="rId35" Type="http://schemas.openxmlformats.org/officeDocument/2006/relationships/hyperlink" Target="https://sigpeg.mrn.gouv.qc.ca/gpg/classes/ficheDescriptive?type=popup&amp;mode=fichePuits&amp;menu=puit&amp;table=GPG_ENTRE_PUITS&amp;cle=A216" TargetMode="External"/><Relationship Id="rId184" Type="http://schemas.openxmlformats.org/officeDocument/2006/relationships/hyperlink" Target="https://sigpeg.mrn.gouv.qc.ca/gpg/classes/ficheDescriptive?type=popup&amp;mode=fichePuits&amp;menu=puit&amp;table=GPG_ENTRE_PUITS&amp;cle=CS42" TargetMode="External"/><Relationship Id="rId391" Type="http://schemas.openxmlformats.org/officeDocument/2006/relationships/hyperlink" Target="https://sigpeg.mrn.gouv.qc.ca/rapport/AZ60_insp_inactif_2019-11-12_Publique.pdf" TargetMode="External"/><Relationship Id="rId251" Type="http://schemas.openxmlformats.org/officeDocument/2006/relationships/hyperlink" Target="https://sigpeg.mrn.gouv.qc.ca/gpg/classes/ficheDescriptive?type=popup&amp;mode=fichePuits&amp;menu=puit&amp;table=GPG_ENTRE_PUITS&amp;cle=A021" TargetMode="External"/><Relationship Id="rId489" Type="http://schemas.openxmlformats.org/officeDocument/2006/relationships/hyperlink" Target="https://sigpeg.mrn.gouv.qc.ca/rapport/P_B050_inspection_2018-07-25_publique.pdf" TargetMode="External"/><Relationship Id="rId696" Type="http://schemas.openxmlformats.org/officeDocument/2006/relationships/hyperlink" Target="https://sigpeg.mrn.gouv.qc.ca/gpg/classes/ficheDescriptive?type=popup&amp;mode=fichePuits&amp;menu=puit&amp;table=GPG_ENTRE_PUITS&amp;cle=B223" TargetMode="External"/><Relationship Id="rId349" Type="http://schemas.openxmlformats.org/officeDocument/2006/relationships/hyperlink" Target="https://sigpeg.mrn.gouv.qc.ca/rapport/A142_insp_inactif_2019-08-14_Publique.pdf" TargetMode="External"/><Relationship Id="rId556" Type="http://schemas.openxmlformats.org/officeDocument/2006/relationships/hyperlink" Target="https://sigpeg.mrn.gouv.qc.ca/gpg/classes/ficheDescriptive?type=popup&amp;mode=fichePuits&amp;menu=puit&amp;table=GPG_ENTRE_PUITS&amp;cle=B077" TargetMode="External"/><Relationship Id="rId763" Type="http://schemas.openxmlformats.org/officeDocument/2006/relationships/hyperlink" Target="https://sigpeg.mrn.gouv.qc.ca/rapport/BZ19_insp_inactif_2019-07-16_Publique.pdf" TargetMode="External"/><Relationship Id="rId1186" Type="http://schemas.openxmlformats.org/officeDocument/2006/relationships/hyperlink" Target="https://sigpeg.mrn.gouv.qc.ca/rapport/AZ52_insp_inactif_2019-11-11_Publique.pdf" TargetMode="External"/><Relationship Id="rId1393" Type="http://schemas.openxmlformats.org/officeDocument/2006/relationships/hyperlink" Target="https://sigpeg.mrn.gouv.qc.ca/gpg/classes/ficheDescriptive?type=popup&amp;mode=fichePuits&amp;menu=puit&amp;table=GPG_ENTRE_PUITS&amp;cle=CS19" TargetMode="External"/><Relationship Id="rId111" Type="http://schemas.openxmlformats.org/officeDocument/2006/relationships/hyperlink" Target="https://sigpeg.mrn.gouv.qc.ca/rapport/P_CS08_inspection_2018-11-02_publique.pdf" TargetMode="External"/><Relationship Id="rId209" Type="http://schemas.openxmlformats.org/officeDocument/2006/relationships/hyperlink" Target="https://sigpeg.mrn.gouv.qc.ca/rapport/A151_insp_inactif_2019-11-20_Publique.pdf" TargetMode="External"/><Relationship Id="rId416" Type="http://schemas.openxmlformats.org/officeDocument/2006/relationships/hyperlink" Target="https://sigpeg.mrn.gouv.qc.ca/gpg/classes/ficheDescriptive?type=popup&amp;mode=fichePuits&amp;menu=puit&amp;table=GPG_ENTRE_PUITS&amp;cle=A170" TargetMode="External"/><Relationship Id="rId970" Type="http://schemas.openxmlformats.org/officeDocument/2006/relationships/hyperlink" Target="https://sigpeg.mrn.gouv.qc.ca/rapport/F001_insp_inactif_2019-09-12_Publique.pdf" TargetMode="External"/><Relationship Id="rId1046" Type="http://schemas.openxmlformats.org/officeDocument/2006/relationships/hyperlink" Target="https://sigpeg.mrn.gouv.qc.ca/rapport/A132_insp_inactif_2019-10-22_Publique.pdf" TargetMode="External"/><Relationship Id="rId1253" Type="http://schemas.openxmlformats.org/officeDocument/2006/relationships/hyperlink" Target="https://sigpeg.mrn.gouv.qc.ca/gpg/classes/ficheDescriptive?type=popup&amp;mode=fichePuits&amp;menu=puit&amp;table=GPG_ENTRE_PUITS&amp;cle=B031" TargetMode="External"/><Relationship Id="rId623" Type="http://schemas.openxmlformats.org/officeDocument/2006/relationships/hyperlink" Target="https://sigpeg.mrn.gouv.qc.ca/gpg/classes/ficheDescriptive?type=popup&amp;mode=fichePuits&amp;menu=puit&amp;table=GPG_ENTRE_PUITS&amp;cle=B142" TargetMode="External"/><Relationship Id="rId830" Type="http://schemas.openxmlformats.org/officeDocument/2006/relationships/hyperlink" Target="https://sigpeg.mrn.gouv.qc.ca/gpg/classes/ficheDescriptive?type=popup&amp;mode=fichePuits&amp;menu=puit&amp;table=GPG_ENTRE_PUITS&amp;cle=C002" TargetMode="External"/><Relationship Id="rId928" Type="http://schemas.openxmlformats.org/officeDocument/2006/relationships/hyperlink" Target="https://sigpeg.mrn.gouv.qc.ca/gpg/classes/ficheDescriptive?type=popup&amp;mode=fichePuits&amp;menu=puit&amp;table=GPG_ENTRE_PUITS&amp;cle=C118" TargetMode="External"/><Relationship Id="rId57" Type="http://schemas.openxmlformats.org/officeDocument/2006/relationships/hyperlink" Target="https://sigpeg.mrn.gouv.qc.ca/rapport/B046_insp_inactif_2019-09-20_Publique.pdf" TargetMode="External"/><Relationship Id="rId1113" Type="http://schemas.openxmlformats.org/officeDocument/2006/relationships/hyperlink" Target="https://sigpeg.mrn.gouv.qc.ca/rapport/AZ09_insp_inactif_2019-10-29_Publique.pdf" TargetMode="External"/><Relationship Id="rId1320" Type="http://schemas.openxmlformats.org/officeDocument/2006/relationships/hyperlink" Target="https://sigpeg.mrn.gouv.qc.ca/gpg/classes/ficheDescriptive?type=popup&amp;mode=fichePuits&amp;menu=puit&amp;table=GPG_ENTRE_PUITS&amp;cle=B104" TargetMode="External"/><Relationship Id="rId1418" Type="http://schemas.openxmlformats.org/officeDocument/2006/relationships/hyperlink" Target="https://sigpeg.mrn.gouv.qc.ca/gpg/classes/ficheDescriptive?type=popup&amp;mode=fichePuits&amp;menu=puit&amp;table=GPG_ENTRE_PUITS&amp;cle=G002" TargetMode="External"/><Relationship Id="rId273" Type="http://schemas.openxmlformats.org/officeDocument/2006/relationships/hyperlink" Target="https://sigpeg.mrn.gouv.qc.ca/rapport/A051_insp_inactif_2019-08-01_Publique.pdf" TargetMode="External"/><Relationship Id="rId480" Type="http://schemas.openxmlformats.org/officeDocument/2006/relationships/hyperlink" Target="https://sigpeg.mrn.gouv.qc.ca/rapport/B032_insp_inactif_2019-05-27_Publique.pdf" TargetMode="External"/><Relationship Id="rId133" Type="http://schemas.openxmlformats.org/officeDocument/2006/relationships/hyperlink" Target="https://sigpeg.mrn.gouv.qc.ca/gpg/classes/ficheDescriptive?type=popup&amp;mode=fichePuits&amp;menu=puit&amp;table=GPG_ENTRE_PUITS&amp;cle=B207" TargetMode="External"/><Relationship Id="rId340" Type="http://schemas.openxmlformats.org/officeDocument/2006/relationships/hyperlink" Target="https://sigpeg.mrn.gouv.qc.ca/gpg/classes/ficheDescriptive?type=popup&amp;mode=fichePuits&amp;menu=puit&amp;table=GPG_ENTRE_PUITS&amp;cle=A116" TargetMode="External"/><Relationship Id="rId578" Type="http://schemas.openxmlformats.org/officeDocument/2006/relationships/hyperlink" Target="https://sigpeg.mrn.gouv.qc.ca/rapport/B142_insp_inactif_2019-09-18_Publique.pdf" TargetMode="External"/><Relationship Id="rId785" Type="http://schemas.openxmlformats.org/officeDocument/2006/relationships/hyperlink" Target="https://sigpeg.mrn.gouv.qc.ca/rapport/C001_insp_inactif_2019-08-21_Publique.pdf" TargetMode="External"/><Relationship Id="rId992" Type="http://schemas.openxmlformats.org/officeDocument/2006/relationships/hyperlink" Target="https://sigpeg.mrn.gouv.qc.ca/gpg/classes/ficheDescriptive?type=popup&amp;mode=fichePuits&amp;menu=puit&amp;table=GPG_ENTRE_PUITS&amp;cle=CS49" TargetMode="External"/><Relationship Id="rId200" Type="http://schemas.openxmlformats.org/officeDocument/2006/relationships/hyperlink" Target="https://sigpeg.mrn.gouv.qc.ca/rapport/A101_insp_inactif_2019-06-18_Publique.pdf" TargetMode="External"/><Relationship Id="rId438" Type="http://schemas.openxmlformats.org/officeDocument/2006/relationships/hyperlink" Target="https://sigpeg.mrn.gouv.qc.ca/gpg/classes/ficheDescriptive?type=popup&amp;mode=fichePuits&amp;menu=puit&amp;table=GPG_ENTRE_PUITS&amp;cle=A212" TargetMode="External"/><Relationship Id="rId645" Type="http://schemas.openxmlformats.org/officeDocument/2006/relationships/hyperlink" Target="https://sigpeg.mrn.gouv.qc.ca/gpg/classes/ficheDescriptive?type=popup&amp;mode=fichePuits&amp;menu=puit&amp;table=GPG_ENTRE_PUITS&amp;cle=B181" TargetMode="External"/><Relationship Id="rId852" Type="http://schemas.openxmlformats.org/officeDocument/2006/relationships/hyperlink" Target="https://sigpeg.mrn.gouv.qc.ca/gpg/classes/ficheDescriptive?type=popup&amp;mode=fichePuits&amp;menu=puit&amp;table=GPG_ENTRE_PUITS&amp;cle=C029" TargetMode="External"/><Relationship Id="rId1068" Type="http://schemas.openxmlformats.org/officeDocument/2006/relationships/hyperlink" Target="https://sigpeg.mrn.gouv.qc.ca/gpg/classes/ficheDescriptive?type=popup&amp;mode=fichePuits&amp;menu=puit&amp;table=GPG_ENTRE_PUITS&amp;cle=A103" TargetMode="External"/><Relationship Id="rId1275" Type="http://schemas.openxmlformats.org/officeDocument/2006/relationships/hyperlink" Target="https://sigpeg.mrn.gouv.qc.ca/gpg/classes/ficheDescriptive?type=popup&amp;mode=fichePuits&amp;menu=puit&amp;table=GPG_ENTRE_PUITS&amp;cle=B103" TargetMode="External"/><Relationship Id="rId505" Type="http://schemas.openxmlformats.org/officeDocument/2006/relationships/hyperlink" Target="https://sigpeg.mrn.gouv.qc.ca/gpg/classes/ficheDescriptive?type=popup&amp;mode=fichePuits&amp;menu=puit&amp;table=GPG_ENTRE_PUITS&amp;cle=B007" TargetMode="External"/><Relationship Id="rId712" Type="http://schemas.openxmlformats.org/officeDocument/2006/relationships/hyperlink" Target="https://sigpeg.mrn.gouv.qc.ca/gpg/classes/ficheDescriptive?type=popup&amp;mode=fichePuits&amp;menu=puit&amp;table=GPG_ENTRE_PUITS&amp;cle=B239" TargetMode="External"/><Relationship Id="rId1135" Type="http://schemas.openxmlformats.org/officeDocument/2006/relationships/hyperlink" Target="https://sigpeg.mrn.gouv.qc.ca/gpg/classes/ficheDescriptive?type=popup&amp;mode=fichePuits&amp;menu=puit&amp;table=GPG_ENTRE_PUITS&amp;cle=A059" TargetMode="External"/><Relationship Id="rId1342" Type="http://schemas.openxmlformats.org/officeDocument/2006/relationships/hyperlink" Target="https://sigpeg.mrn.gouv.qc.ca/gpg/classes/ficheDescriptive?type=popup&amp;mode=fichePuits&amp;menu=puit&amp;table=GPG_ENTRE_PUITS&amp;cle=B133" TargetMode="External"/><Relationship Id="rId79" Type="http://schemas.openxmlformats.org/officeDocument/2006/relationships/hyperlink" Target="https://sigpeg.mrn.gouv.qc.ca/rapport/C006_insp_inactif_2019-09-05_Publique.pdf" TargetMode="External"/><Relationship Id="rId1202" Type="http://schemas.openxmlformats.org/officeDocument/2006/relationships/hyperlink" Target="https://sigpeg.mrn.gouv.qc.ca/rapport/B029_insp_inactif_2019-08-13_Publique.pdf" TargetMode="External"/><Relationship Id="rId295" Type="http://schemas.openxmlformats.org/officeDocument/2006/relationships/hyperlink" Target="https://sigpeg.mrn.gouv.qc.ca/gpg/classes/ficheDescriptive?type=popup&amp;mode=fichePuits&amp;menu=puit&amp;table=GPG_ENTRE_PUITS&amp;cle=A028" TargetMode="External"/><Relationship Id="rId155" Type="http://schemas.openxmlformats.org/officeDocument/2006/relationships/hyperlink" Target="https://sigpeg.mrn.gouv.qc.ca/gpg/classes/ficheDescriptive?type=popup&amp;mode=fichePuits&amp;menu=puit&amp;table=GPG_ENTRE_PUITS&amp;cle=C042" TargetMode="External"/><Relationship Id="rId362" Type="http://schemas.openxmlformats.org/officeDocument/2006/relationships/hyperlink" Target="https://sigpeg.mrn.gouv.qc.ca/rapport/A170_insp_inactif_2018-10-03_Publique.pdf" TargetMode="External"/><Relationship Id="rId1297" Type="http://schemas.openxmlformats.org/officeDocument/2006/relationships/hyperlink" Target="https://sigpeg.mrn.gouv.qc.ca/rapport/P_B132_inspection_2018-07-30_publique.pdf" TargetMode="External"/><Relationship Id="rId222" Type="http://schemas.openxmlformats.org/officeDocument/2006/relationships/hyperlink" Target="https://sigpeg.mrn.gouv.qc.ca/rapport/B180_insp_inactif_2019-10-08_Publique.pdf" TargetMode="External"/><Relationship Id="rId667" Type="http://schemas.openxmlformats.org/officeDocument/2006/relationships/hyperlink" Target="https://sigpeg.mrn.gouv.qc.ca/rapport/B219_insp_inactif_2019-10-13_Publique.pdf" TargetMode="External"/><Relationship Id="rId874" Type="http://schemas.openxmlformats.org/officeDocument/2006/relationships/hyperlink" Target="https://sigpeg.mrn.gouv.qc.ca/rapport/P_C067_inspection_2018-08-22_publique.pdf" TargetMode="External"/><Relationship Id="rId527" Type="http://schemas.openxmlformats.org/officeDocument/2006/relationships/hyperlink" Target="https://sigpeg.mrn.gouv.qc.ca/gpg/classes/ficheDescriptive?type=popup&amp;mode=fichePuits&amp;menu=puit&amp;table=GPG_ENTRE_PUITS&amp;cle=B047" TargetMode="External"/><Relationship Id="rId734" Type="http://schemas.openxmlformats.org/officeDocument/2006/relationships/hyperlink" Target="https://sigpeg.mrn.gouv.qc.ca/rapport/B251_insp_inactif_2019-10-23_Publique.pdf" TargetMode="External"/><Relationship Id="rId941" Type="http://schemas.openxmlformats.org/officeDocument/2006/relationships/hyperlink" Target="https://sigpeg.mrn.gouv.qc.ca/rapport/Rap_2017-10-07_CS30_P2.pdf" TargetMode="External"/><Relationship Id="rId1157" Type="http://schemas.openxmlformats.org/officeDocument/2006/relationships/hyperlink" Target="https://sigpeg.mrn.gouv.qc.ca/gpg/classes/ficheDescriptive?type=popup&amp;mode=fichePuits&amp;menu=puit&amp;table=GPG_ENTRE_PUITS&amp;cle=A205" TargetMode="External"/><Relationship Id="rId1364" Type="http://schemas.openxmlformats.org/officeDocument/2006/relationships/hyperlink" Target="https://sigpeg.mrn.gouv.qc.ca/gpg/classes/ficheDescriptive?type=popup&amp;mode=fichePuits&amp;menu=puit&amp;table=GPG_ENTRE_PUITS&amp;cle=CS03" TargetMode="External"/><Relationship Id="rId70" Type="http://schemas.openxmlformats.org/officeDocument/2006/relationships/hyperlink" Target="https://sigpeg.mrn.gouv.qc.ca/rapport/B267_insp_inactif_2019-09-06_Publique.pdf" TargetMode="External"/><Relationship Id="rId801" Type="http://schemas.openxmlformats.org/officeDocument/2006/relationships/hyperlink" Target="https://sigpeg.mrn.gouv.qc.ca/rapport/C021_insp_inactif_2019-07-31_Publique.pdf" TargetMode="External"/><Relationship Id="rId1017" Type="http://schemas.openxmlformats.org/officeDocument/2006/relationships/hyperlink" Target="https://sigpeg.mrn.gouv.qc.ca/gpg/classes/ficheDescriptive?type=popup&amp;mode=fichePuits&amp;menu=puit&amp;table=GPG_ENTRE_PUITS&amp;cle=GZ04" TargetMode="External"/><Relationship Id="rId1224" Type="http://schemas.openxmlformats.org/officeDocument/2006/relationships/hyperlink" Target="https://sigpeg.mrn.gouv.qc.ca/rapport/B102_insp_inactif_2019-08-21_Publique.pdf" TargetMode="External"/><Relationship Id="rId1431" Type="http://schemas.openxmlformats.org/officeDocument/2006/relationships/hyperlink" Target="https://sigpeg.mrn.gouv.qc.ca/gpg/classes/ficheDescriptive?type=popup&amp;mode=fichePuits&amp;menu=puit&amp;table=GPG_ENTRE_PUITS&amp;cle=D021" TargetMode="External"/><Relationship Id="rId1" Type="http://schemas.openxmlformats.org/officeDocument/2006/relationships/hyperlink" Target="http://sigpeg.mrn.gouv.qc.ca/rapport/P_A004_inspection_2018-11-01_publique.pdf" TargetMode="External"/><Relationship Id="rId233" Type="http://schemas.openxmlformats.org/officeDocument/2006/relationships/hyperlink" Target="https://sigpeg.mrn.gouv.qc.ca/rapport/A039_insp_inactif_2019-11-04_Publique.pdf" TargetMode="External"/><Relationship Id="rId440" Type="http://schemas.openxmlformats.org/officeDocument/2006/relationships/hyperlink" Target="https://sigpeg.mrn.gouv.qc.ca/gpg/classes/ficheDescriptive?type=popup&amp;mode=fichePuits&amp;menu=puit&amp;table=GPG_ENTRE_PUITS&amp;cle=A217" TargetMode="External"/><Relationship Id="rId678" Type="http://schemas.openxmlformats.org/officeDocument/2006/relationships/hyperlink" Target="https://sigpeg.mrn.gouv.qc.ca/gpg/classes/ficheDescriptive?type=popup&amp;mode=fichePuits&amp;menu=puit&amp;table=GPG_ENTRE_PUITS&amp;cle=B201" TargetMode="External"/><Relationship Id="rId885" Type="http://schemas.openxmlformats.org/officeDocument/2006/relationships/hyperlink" Target="https://sigpeg.mrn.gouv.qc.ca/rapport/P_C085_inspection_2018-08-21_publique.pdf" TargetMode="External"/><Relationship Id="rId1070" Type="http://schemas.openxmlformats.org/officeDocument/2006/relationships/hyperlink" Target="https://sigpeg.mrn.gouv.qc.ca/gpg/classes/ficheDescriptive?type=popup&amp;mode=fichePuits&amp;menu=puit&amp;table=GPG_ENTRE_PUITS&amp;cle=A110" TargetMode="External"/><Relationship Id="rId28" Type="http://schemas.openxmlformats.org/officeDocument/2006/relationships/hyperlink" Target="https://sigpeg.mrn.gouv.qc.ca/gpg/classes/ficheDescriptive?type=popup&amp;mode=fichePuits&amp;menu=puit&amp;table=GPG_ENTRE_PUITS&amp;cle=A168" TargetMode="External"/><Relationship Id="rId300" Type="http://schemas.openxmlformats.org/officeDocument/2006/relationships/hyperlink" Target="https://sigpeg.mrn.gouv.qc.ca/gpg/classes/ficheDescriptive?type=popup&amp;mode=fichePuits&amp;menu=puit&amp;table=GPG_ENTRE_PUITS&amp;cle=A037" TargetMode="External"/><Relationship Id="rId538" Type="http://schemas.openxmlformats.org/officeDocument/2006/relationships/hyperlink" Target="https://sigpeg.mrn.gouv.qc.ca/gpg/classes/ficheDescriptive?type=popup&amp;mode=fichePuits&amp;menu=puit&amp;table=GPG_ENTRE_PUITS&amp;cle=B066" TargetMode="External"/><Relationship Id="rId745" Type="http://schemas.openxmlformats.org/officeDocument/2006/relationships/hyperlink" Target="https://sigpeg.mrn.gouv.qc.ca/rapport/P_B274_inspection_2018-10-09_publique.pdf" TargetMode="External"/><Relationship Id="rId952" Type="http://schemas.openxmlformats.org/officeDocument/2006/relationships/hyperlink" Target="https://sigpeg.mrn.gouv.qc.ca/rapport/CS49_insp_inactif_2019-08-20_Publique.pdf" TargetMode="External"/><Relationship Id="rId1168" Type="http://schemas.openxmlformats.org/officeDocument/2006/relationships/hyperlink" Target="https://sigpeg.mrn.gouv.qc.ca/gpg/classes/ficheDescriptive?type=popup&amp;mode=fichePuits&amp;menu=puit&amp;table=GPG_ENTRE_PUITS&amp;cle=AZ14" TargetMode="External"/><Relationship Id="rId1375" Type="http://schemas.openxmlformats.org/officeDocument/2006/relationships/hyperlink" Target="https://sigpeg.mrn.gouv.qc.ca/rapport/P_CS31_inspection_2018-11-01_publique.pdf" TargetMode="External"/><Relationship Id="rId81" Type="http://schemas.openxmlformats.org/officeDocument/2006/relationships/hyperlink" Target="https://sigpeg.mrn.gouv.qc.ca/rapport/P_C008_inspection_2018-10-30_publique.pdf" TargetMode="External"/><Relationship Id="rId177" Type="http://schemas.openxmlformats.org/officeDocument/2006/relationships/hyperlink" Target="https://sigpeg.mrn.gouv.qc.ca/gpg/classes/ficheDescriptive?type=popup&amp;mode=fichePuits&amp;menu=puit&amp;table=GPG_ENTRE_PUITS&amp;cle=CS01" TargetMode="External"/><Relationship Id="rId384" Type="http://schemas.openxmlformats.org/officeDocument/2006/relationships/hyperlink" Target="https://sigpeg.mrn.gouv.qc.ca/rapport/A236_insp_inactif_2019-07-10_Publique.pdf" TargetMode="External"/><Relationship Id="rId591" Type="http://schemas.openxmlformats.org/officeDocument/2006/relationships/hyperlink" Target="https://sigpeg.mrn.gouv.qc.ca/rapport/B160_insp_inactif_2019-08-27_Publique.pdf" TargetMode="External"/><Relationship Id="rId605" Type="http://schemas.openxmlformats.org/officeDocument/2006/relationships/hyperlink" Target="https://sigpeg.mrn.gouv.qc.ca/gpg/classes/ficheDescriptive?type=popup&amp;mode=fichePuits&amp;menu=puit&amp;table=GPG_ENTRE_PUITS&amp;cle=B082" TargetMode="External"/><Relationship Id="rId812" Type="http://schemas.openxmlformats.org/officeDocument/2006/relationships/hyperlink" Target="https://sigpeg.mrn.gouv.qc.ca/rapport/P_C033_inspection_2018-11-06_publique.pdf" TargetMode="External"/><Relationship Id="rId1028" Type="http://schemas.openxmlformats.org/officeDocument/2006/relationships/hyperlink" Target="https://sigpeg.mrn.gouv.qc.ca/rapport/A044_insp_inactif_2019-10-10_Publique.pdf" TargetMode="External"/><Relationship Id="rId1235" Type="http://schemas.openxmlformats.org/officeDocument/2006/relationships/hyperlink" Target="https://sigpeg.mrn.gouv.qc.ca/gpg/classes/ficheDescriptive?type=popup&amp;mode=fichePuits&amp;menu=puit&amp;table=GPG_ENTRE_PUITS&amp;cle=AZ52" TargetMode="External"/><Relationship Id="rId1442" Type="http://schemas.openxmlformats.org/officeDocument/2006/relationships/hyperlink" Target="https://sigpeg.mrn.gouv.qc.ca/gpg/classes/ficheDescriptive?type=popup&amp;mode=fichePuits&amp;menu=puit&amp;table=GPG_ENTRE_PUITS&amp;cle=DZ015" TargetMode="External"/><Relationship Id="rId244" Type="http://schemas.openxmlformats.org/officeDocument/2006/relationships/hyperlink" Target="https://sigpeg.mrn.gouv.qc.ca/gpg/classes/ficheDescriptive?type=popup&amp;mode=fichePuits&amp;menu=puit&amp;table=GPG_ENTRE_PUITS&amp;cle=A011" TargetMode="External"/><Relationship Id="rId689" Type="http://schemas.openxmlformats.org/officeDocument/2006/relationships/hyperlink" Target="https://sigpeg.mrn.gouv.qc.ca/gpg/classes/ficheDescriptive?type=popup&amp;mode=fichePuits&amp;menu=puit&amp;table=GPG_ENTRE_PUITS&amp;cle=B214" TargetMode="External"/><Relationship Id="rId896" Type="http://schemas.openxmlformats.org/officeDocument/2006/relationships/hyperlink" Target="https://sigpeg.mrn.gouv.qc.ca/rapport/P_C119_inspection_2018-07-13_publique.pdf" TargetMode="External"/><Relationship Id="rId1081" Type="http://schemas.openxmlformats.org/officeDocument/2006/relationships/hyperlink" Target="https://sigpeg.mrn.gouv.qc.ca/rapport/A008_insp_inactif_2019-09-17_publique.pdf" TargetMode="External"/><Relationship Id="rId1302" Type="http://schemas.openxmlformats.org/officeDocument/2006/relationships/hyperlink" Target="https://sigpeg.mrn.gouv.qc.ca/rapport/B163_insp_inactif_2019-08-27_Publique.pdf" TargetMode="External"/><Relationship Id="rId39" Type="http://schemas.openxmlformats.org/officeDocument/2006/relationships/hyperlink" Target="https://sigpeg.mrn.gouv.qc.ca/rapport/A119_insp_inactif_2019-05-08_Publique.pdf" TargetMode="External"/><Relationship Id="rId451" Type="http://schemas.openxmlformats.org/officeDocument/2006/relationships/hyperlink" Target="https://sigpeg.mrn.gouv.qc.ca/gpg/classes/ficheDescriptive?type=popup&amp;mode=fichePuits&amp;menu=puit&amp;table=GPG_ENTRE_PUITS&amp;cle=A245" TargetMode="External"/><Relationship Id="rId549" Type="http://schemas.openxmlformats.org/officeDocument/2006/relationships/hyperlink" Target="https://sigpeg.mrn.gouv.qc.ca/rapport/P_B080_inspection_2018-10-25_publique.pdf" TargetMode="External"/><Relationship Id="rId756" Type="http://schemas.openxmlformats.org/officeDocument/2006/relationships/hyperlink" Target="https://sigpeg.mrn.gouv.qc.ca/rapport/BZ08_insp_inactif_2019-10-08_Publique.pdf" TargetMode="External"/><Relationship Id="rId1179" Type="http://schemas.openxmlformats.org/officeDocument/2006/relationships/hyperlink" Target="https://sigpeg.mrn.gouv.qc.ca/rapport/AZ40_insp_inactif_2019-09-19_Publique.pdf" TargetMode="External"/><Relationship Id="rId1386" Type="http://schemas.openxmlformats.org/officeDocument/2006/relationships/hyperlink" Target="https://sigpeg.mrn.gouv.qc.ca/rapport/E005_insp_inactif_2019-08-22_Publique.pdf" TargetMode="External"/><Relationship Id="rId104" Type="http://schemas.openxmlformats.org/officeDocument/2006/relationships/hyperlink" Target="https://sigpeg.mrn.gouv.qc.ca/rapport/Rap_2017-10-07_C106_P2.pdf" TargetMode="External"/><Relationship Id="rId188" Type="http://schemas.openxmlformats.org/officeDocument/2006/relationships/hyperlink" Target="https://sigpeg.mrn.gouv.qc.ca/rapport/A020_insp_inactif_2019-11-28_Publique.pdf" TargetMode="External"/><Relationship Id="rId311" Type="http://schemas.openxmlformats.org/officeDocument/2006/relationships/hyperlink" Target="https://sigpeg.mrn.gouv.qc.ca/gpg/classes/ficheDescriptive?type=popup&amp;mode=fichePuits&amp;menu=puit&amp;table=GPG_ENTRE_PUITS&amp;cle=A068" TargetMode="External"/><Relationship Id="rId395" Type="http://schemas.openxmlformats.org/officeDocument/2006/relationships/hyperlink" Target="https://sigpeg.mrn.gouv.qc.ca/gpg/classes/ficheDescriptive?type=popup&amp;mode=fichePuits&amp;menu=puit&amp;table=GPG_ENTRE_PUITS&amp;cle=A125" TargetMode="External"/><Relationship Id="rId409" Type="http://schemas.openxmlformats.org/officeDocument/2006/relationships/hyperlink" Target="https://sigpeg.mrn.gouv.qc.ca/gpg/classes/ficheDescriptive?type=popup&amp;mode=fichePuits&amp;menu=puit&amp;table=GPG_ENTRE_PUITS&amp;cle=A156" TargetMode="External"/><Relationship Id="rId963" Type="http://schemas.openxmlformats.org/officeDocument/2006/relationships/hyperlink" Target="https://sigpeg.mrn.gouv.qc.ca/rapport/D017_insp_inactif_2019-06-30_Publique.pdf" TargetMode="External"/><Relationship Id="rId1039" Type="http://schemas.openxmlformats.org/officeDocument/2006/relationships/hyperlink" Target="https://sigpeg.mrn.gouv.qc.ca/rapport/A110_insp_inactif_2019-06-19_Publique.pdf" TargetMode="External"/><Relationship Id="rId1246" Type="http://schemas.openxmlformats.org/officeDocument/2006/relationships/hyperlink" Target="https://sigpeg.mrn.gouv.qc.ca/gpg/classes/ficheDescriptive?type=popup&amp;mode=fichePuits&amp;menu=puit&amp;table=GPG_ENTRE_PUITS&amp;cle=AZ69" TargetMode="External"/><Relationship Id="rId92" Type="http://schemas.openxmlformats.org/officeDocument/2006/relationships/hyperlink" Target="https://sigpeg.mrn.gouv.qc.ca/rapport/C050_insp_inactif_2019-08-15_Publique.pdf" TargetMode="External"/><Relationship Id="rId616" Type="http://schemas.openxmlformats.org/officeDocument/2006/relationships/hyperlink" Target="https://sigpeg.mrn.gouv.qc.ca/gpg/classes/ficheDescriptive?type=popup&amp;mode=fichePuits&amp;menu=puit&amp;table=GPG_ENTRE_PUITS&amp;cle=B134" TargetMode="External"/><Relationship Id="rId823" Type="http://schemas.openxmlformats.org/officeDocument/2006/relationships/hyperlink" Target="https://sigpeg.mrn.gouv.qc.ca/rapport/C060_insp_inactif_2019-09-11_Publique.pdf" TargetMode="External"/><Relationship Id="rId1453" Type="http://schemas.openxmlformats.org/officeDocument/2006/relationships/hyperlink" Target="https://sigpeg.mrn.gouv.qc.ca/gpg/classes/ficheDescriptive?type=popup&amp;mode=fichePuits&amp;menu=puit&amp;table=GPG_ENTRE_PUITS&amp;cle=FZ004" TargetMode="External"/><Relationship Id="rId255" Type="http://schemas.openxmlformats.org/officeDocument/2006/relationships/hyperlink" Target="https://sigpeg.mrn.gouv.qc.ca/rapport/P_A007_inspection_2018-11-07_publique.pdf" TargetMode="External"/><Relationship Id="rId462" Type="http://schemas.openxmlformats.org/officeDocument/2006/relationships/hyperlink" Target="https://sigpeg.mrn.gouv.qc.ca/rapport/B004_insp_inactif_2019-09-28_Publique.pdf" TargetMode="External"/><Relationship Id="rId1092" Type="http://schemas.openxmlformats.org/officeDocument/2006/relationships/hyperlink" Target="https://sigpeg.mrn.gouv.qc.ca/rapport/A083_insp_inactif_2019-09-16_Publique.pdf" TargetMode="External"/><Relationship Id="rId1106" Type="http://schemas.openxmlformats.org/officeDocument/2006/relationships/hyperlink" Target="https://sigpeg.mrn.gouv.qc.ca/rapport/A205_insp_inactif_2019-11-14_Publique.pdf" TargetMode="External"/><Relationship Id="rId1313" Type="http://schemas.openxmlformats.org/officeDocument/2006/relationships/hyperlink" Target="https://sigpeg.mrn.gouv.qc.ca/rapport/P_C111_inspection_2018-11-02_publique.pdf" TargetMode="External"/><Relationship Id="rId1397" Type="http://schemas.openxmlformats.org/officeDocument/2006/relationships/hyperlink" Target="https://sigpeg.mrn.gouv.qc.ca/gpg/classes/ficheDescriptive?type=popup&amp;mode=fichePuits&amp;menu=puit&amp;table=GPG_ENTRE_PUITS&amp;cle=CS24" TargetMode="External"/><Relationship Id="rId115" Type="http://schemas.openxmlformats.org/officeDocument/2006/relationships/hyperlink" Target="https://sigpeg.mrn.gouv.qc.ca/rapport/CS42_insp_inactif_2019-09-17_Publique.pdf" TargetMode="External"/><Relationship Id="rId322" Type="http://schemas.openxmlformats.org/officeDocument/2006/relationships/hyperlink" Target="https://sigpeg.mrn.gouv.qc.ca/gpg/classes/ficheDescriptive?type=popup&amp;mode=fichePuits&amp;menu=puit&amp;table=GPG_ENTRE_PUITS&amp;cle=A082" TargetMode="External"/><Relationship Id="rId767" Type="http://schemas.openxmlformats.org/officeDocument/2006/relationships/hyperlink" Target="https://sigpeg.mrn.gouv.qc.ca/gpg/classes/ficheDescriptive?type=popup&amp;mode=fichePuits&amp;menu=puit&amp;table=GPG_ENTRE_PUITS&amp;cle=B276" TargetMode="External"/><Relationship Id="rId974" Type="http://schemas.openxmlformats.org/officeDocument/2006/relationships/hyperlink" Target="https://sigpeg.mrn.gouv.qc.ca/rapport/FZ005_insp_inactif_2019-09-18_Publique.pdf" TargetMode="External"/><Relationship Id="rId199" Type="http://schemas.openxmlformats.org/officeDocument/2006/relationships/hyperlink" Target="https://sigpeg.mrn.gouv.qc.ca/rapport/A099_insp_inactif_2019-06-19_Publique.pdf" TargetMode="External"/><Relationship Id="rId627" Type="http://schemas.openxmlformats.org/officeDocument/2006/relationships/hyperlink" Target="https://sigpeg.mrn.gouv.qc.ca/gpg/classes/ficheDescriptive?type=popup&amp;mode=fichePuits&amp;menu=puit&amp;table=GPG_ENTRE_PUITS&amp;cle=B148" TargetMode="External"/><Relationship Id="rId834" Type="http://schemas.openxmlformats.org/officeDocument/2006/relationships/hyperlink" Target="https://sigpeg.mrn.gouv.qc.ca/gpg/classes/ficheDescriptive?type=popup&amp;mode=fichePuits&amp;menu=puit&amp;table=GPG_ENTRE_PUITS&amp;cle=C010" TargetMode="External"/><Relationship Id="rId1257" Type="http://schemas.openxmlformats.org/officeDocument/2006/relationships/hyperlink" Target="https://sigpeg.mrn.gouv.qc.ca/gpg/classes/ficheDescriptive?type=popup&amp;mode=fichePuits&amp;menu=puit&amp;table=GPG_ENTRE_PUITS&amp;cle=B065" TargetMode="External"/><Relationship Id="rId266" Type="http://schemas.openxmlformats.org/officeDocument/2006/relationships/hyperlink" Target="https://sigpeg.mrn.gouv.qc.ca/rapport/A031_insp_inactif_2019-08-20_Publique.pdf" TargetMode="External"/><Relationship Id="rId473" Type="http://schemas.openxmlformats.org/officeDocument/2006/relationships/hyperlink" Target="https://sigpeg.mrn.gouv.qc.ca/rapport/B016_insp_inactif_2019-09-30_Publique.pdf" TargetMode="External"/><Relationship Id="rId680" Type="http://schemas.openxmlformats.org/officeDocument/2006/relationships/hyperlink" Target="https://sigpeg.mrn.gouv.qc.ca/gpg/classes/ficheDescriptive?type=popup&amp;mode=fichePuits&amp;menu=puit&amp;table=GPG_ENTRE_PUITS&amp;cle=B203" TargetMode="External"/><Relationship Id="rId901" Type="http://schemas.openxmlformats.org/officeDocument/2006/relationships/hyperlink" Target="https://sigpeg.mrn.gouv.qc.ca/rapport/C132_insp_inactif_2019-09-11_Publique.pdf" TargetMode="External"/><Relationship Id="rId1117" Type="http://schemas.openxmlformats.org/officeDocument/2006/relationships/hyperlink" Target="https://sigpeg.mrn.gouv.qc.ca/rapport/AZ14_insp_inactif_2019-09-12_Publique.pdf" TargetMode="External"/><Relationship Id="rId1324" Type="http://schemas.openxmlformats.org/officeDocument/2006/relationships/hyperlink" Target="https://sigpeg.mrn.gouv.qc.ca/gpg/classes/ficheDescriptive?type=popup&amp;mode=fichePuits&amp;menu=puit&amp;table=GPG_ENTRE_PUITS&amp;cle=B109" TargetMode="External"/><Relationship Id="rId30" Type="http://schemas.openxmlformats.org/officeDocument/2006/relationships/hyperlink" Target="https://sigpeg.mrn.gouv.qc.ca/gpg/classes/ficheDescriptive?type=popup&amp;mode=fichePuits&amp;menu=puit&amp;table=GPG_ENTRE_PUITS&amp;cle=A175" TargetMode="External"/><Relationship Id="rId126" Type="http://schemas.openxmlformats.org/officeDocument/2006/relationships/hyperlink" Target="https://sigpeg.mrn.gouv.qc.ca/gpg/classes/ficheDescriptive?type=popup&amp;mode=fichePuits&amp;menu=puit&amp;table=GPG_ENTRE_PUITS&amp;cle=B073" TargetMode="External"/><Relationship Id="rId333" Type="http://schemas.openxmlformats.org/officeDocument/2006/relationships/hyperlink" Target="https://sigpeg.mrn.gouv.qc.ca/gpg/classes/ficheDescriptive?type=popup&amp;mode=fichePuits&amp;menu=puit&amp;table=GPG_ENTRE_PUITS&amp;cle=A099" TargetMode="External"/><Relationship Id="rId540" Type="http://schemas.openxmlformats.org/officeDocument/2006/relationships/hyperlink" Target="https://sigpeg.mrn.gouv.qc.ca/rapport/P_B068_inspection_2018-10-29_publique.pdf" TargetMode="External"/><Relationship Id="rId778" Type="http://schemas.openxmlformats.org/officeDocument/2006/relationships/hyperlink" Target="https://sigpeg.mrn.gouv.qc.ca/gpg/classes/ficheDescriptive?type=popup&amp;mode=fichePuits&amp;menu=puit&amp;table=GPG_ENTRE_PUITS&amp;cle=BZ09" TargetMode="External"/><Relationship Id="rId985" Type="http://schemas.openxmlformats.org/officeDocument/2006/relationships/hyperlink" Target="https://sigpeg.mrn.gouv.qc.ca/gpg/classes/ficheDescriptive?type=popup&amp;mode=fichePuits&amp;menu=puit&amp;table=GPG_ENTRE_PUITS&amp;cle=CS39" TargetMode="External"/><Relationship Id="rId1170" Type="http://schemas.openxmlformats.org/officeDocument/2006/relationships/hyperlink" Target="https://sigpeg.mrn.gouv.qc.ca/gpg/classes/ficheDescriptive?type=popup&amp;mode=fichePuits&amp;menu=puit&amp;table=GPG_ENTRE_PUITS&amp;cle=AZ16" TargetMode="External"/><Relationship Id="rId638" Type="http://schemas.openxmlformats.org/officeDocument/2006/relationships/hyperlink" Target="https://sigpeg.mrn.gouv.qc.ca/gpg/classes/ficheDescriptive?type=popup&amp;mode=fichePuits&amp;menu=puit&amp;table=GPG_ENTRE_PUITS&amp;cle=B164" TargetMode="External"/><Relationship Id="rId845" Type="http://schemas.openxmlformats.org/officeDocument/2006/relationships/hyperlink" Target="https://sigpeg.mrn.gouv.qc.ca/gpg/classes/ficheDescriptive?type=popup&amp;mode=fichePuits&amp;menu=puit&amp;table=GPG_ENTRE_PUITS&amp;cle=C021" TargetMode="External"/><Relationship Id="rId1030" Type="http://schemas.openxmlformats.org/officeDocument/2006/relationships/hyperlink" Target="https://sigpeg.mrn.gouv.qc.ca/rapport/A064_insp_inactif_2019-07-31_Publique.pdf" TargetMode="External"/><Relationship Id="rId1268" Type="http://schemas.openxmlformats.org/officeDocument/2006/relationships/hyperlink" Target="https://sigpeg.mrn.gouv.qc.ca/gpg/classes/ficheDescriptive?type=popup&amp;mode=fichePuits&amp;menu=puit&amp;table=GPG_ENTRE_PUITS&amp;cle=B095" TargetMode="External"/><Relationship Id="rId277" Type="http://schemas.openxmlformats.org/officeDocument/2006/relationships/hyperlink" Target="https://sigpeg.mrn.gouv.qc.ca/rapport/A063_insp_inactif_2019-06-27_Publique.pdf" TargetMode="External"/><Relationship Id="rId400" Type="http://schemas.openxmlformats.org/officeDocument/2006/relationships/hyperlink" Target="https://sigpeg.mrn.gouv.qc.ca/gpg/classes/ficheDescriptive?type=popup&amp;mode=fichePuits&amp;menu=puit&amp;table=GPG_ENTRE_PUITS&amp;cle=A141" TargetMode="External"/><Relationship Id="rId484" Type="http://schemas.openxmlformats.org/officeDocument/2006/relationships/hyperlink" Target="https://sigpeg.mrn.gouv.qc.ca/rapport/B042_insp_inactif_2019-05-28_Publique.pdf" TargetMode="External"/><Relationship Id="rId705" Type="http://schemas.openxmlformats.org/officeDocument/2006/relationships/hyperlink" Target="https://sigpeg.mrn.gouv.qc.ca/gpg/classes/ficheDescriptive?type=popup&amp;mode=fichePuits&amp;menu=puit&amp;table=GPG_ENTRE_PUITS&amp;cle=B232" TargetMode="External"/><Relationship Id="rId1128" Type="http://schemas.openxmlformats.org/officeDocument/2006/relationships/hyperlink" Target="https://sigpeg.mrn.gouv.qc.ca/gpg/classes/ficheDescriptive?type=popup&amp;mode=fichePuits&amp;menu=puit&amp;table=GPG_ENTRE_PUITS&amp;cle=A025" TargetMode="External"/><Relationship Id="rId1335" Type="http://schemas.openxmlformats.org/officeDocument/2006/relationships/hyperlink" Target="https://sigpeg.mrn.gouv.qc.ca/gpg/classes/ficheDescriptive?type=popup&amp;mode=fichePuits&amp;menu=puit&amp;table=GPG_ENTRE_PUITS&amp;cle=B123" TargetMode="External"/><Relationship Id="rId137" Type="http://schemas.openxmlformats.org/officeDocument/2006/relationships/hyperlink" Target="https://sigpeg.mrn.gouv.qc.ca/gpg/classes/ficheDescriptive?type=popup&amp;mode=fichePuits&amp;menu=puit&amp;table=GPG_ENTRE_PUITS&amp;cle=B267" TargetMode="External"/><Relationship Id="rId344" Type="http://schemas.openxmlformats.org/officeDocument/2006/relationships/hyperlink" Target="https://sigpeg.mrn.gouv.qc.ca/rapport/A123_insp_inactif_2019-08-01_Publique.pdf" TargetMode="External"/><Relationship Id="rId691" Type="http://schemas.openxmlformats.org/officeDocument/2006/relationships/hyperlink" Target="https://sigpeg.mrn.gouv.qc.ca/gpg/classes/ficheDescriptive?type=popup&amp;mode=fichePuits&amp;menu=puit&amp;table=GPG_ENTRE_PUITS&amp;cle=B217" TargetMode="External"/><Relationship Id="rId789" Type="http://schemas.openxmlformats.org/officeDocument/2006/relationships/hyperlink" Target="https://sigpeg.mrn.gouv.qc.ca/rapport/C010_insp_inactif_2019-07-15_Publique.pdf" TargetMode="External"/><Relationship Id="rId912" Type="http://schemas.openxmlformats.org/officeDocument/2006/relationships/hyperlink" Target="https://sigpeg.mrn.gouv.qc.ca/gpg/classes/ficheDescriptive?type=popup&amp;mode=fichePuits&amp;menu=puit&amp;table=GPG_ENTRE_PUITS&amp;cle=C082" TargetMode="External"/><Relationship Id="rId996" Type="http://schemas.openxmlformats.org/officeDocument/2006/relationships/hyperlink" Target="https://sigpeg.mrn.gouv.qc.ca/gpg/classes/ficheDescriptive?type=popup&amp;mode=fichePuits&amp;menu=puit&amp;table=GPG_ENTRE_PUITS&amp;cle=D005" TargetMode="External"/><Relationship Id="rId41" Type="http://schemas.openxmlformats.org/officeDocument/2006/relationships/hyperlink" Target="https://sigpeg.mrn.gouv.qc.ca/rapport/A133_insp_inactif_2019-05-08_Publique.pdf" TargetMode="External"/><Relationship Id="rId551" Type="http://schemas.openxmlformats.org/officeDocument/2006/relationships/hyperlink" Target="https://sigpeg.mrn.gouv.qc.ca/gpg/classes/ficheDescriptive?type=popup&amp;mode=fichePuits&amp;menu=puit&amp;table=GPG_ENTRE_PUITS&amp;cle=B071" TargetMode="External"/><Relationship Id="rId649" Type="http://schemas.openxmlformats.org/officeDocument/2006/relationships/hyperlink" Target="https://sigpeg.mrn.gouv.qc.ca/gpg/classes/ficheDescriptive?type=popup&amp;mode=fichePuits&amp;menu=puit&amp;table=GPG_ENTRE_PUITS&amp;cle=B185" TargetMode="External"/><Relationship Id="rId856" Type="http://schemas.openxmlformats.org/officeDocument/2006/relationships/hyperlink" Target="https://sigpeg.mrn.gouv.qc.ca/gpg/classes/ficheDescriptive?type=popup&amp;mode=fichePuits&amp;menu=puit&amp;table=GPG_ENTRE_PUITS&amp;cle=C033" TargetMode="External"/><Relationship Id="rId1181" Type="http://schemas.openxmlformats.org/officeDocument/2006/relationships/hyperlink" Target="https://sigpeg.mrn.gouv.qc.ca/rapport/AZ42_insp_inactif_2019-10-01_Publique.pdf" TargetMode="External"/><Relationship Id="rId1279" Type="http://schemas.openxmlformats.org/officeDocument/2006/relationships/hyperlink" Target="https://sigpeg.mrn.gouv.qc.ca/rapport/B108_insp_inactif_2019-10-04_Publique.pdf" TargetMode="External"/><Relationship Id="rId1402" Type="http://schemas.openxmlformats.org/officeDocument/2006/relationships/hyperlink" Target="https://sigpeg.mrn.gouv.qc.ca/gpg/classes/ficheDescriptive?type=popup&amp;mode=fichePuits&amp;menu=puit&amp;table=GPG_ENTRE_PUITS&amp;cle=CS44" TargetMode="External"/><Relationship Id="rId190" Type="http://schemas.openxmlformats.org/officeDocument/2006/relationships/hyperlink" Target="https://sigpeg.mrn.gouv.qc.ca/rapport/A022_insp_inactif_2019-11-20_Publique.pdf" TargetMode="External"/><Relationship Id="rId204" Type="http://schemas.openxmlformats.org/officeDocument/2006/relationships/hyperlink" Target="https://sigpeg.mrn.gouv.qc.ca/rapport/A116_insp_inactif_2019-11-21_Publique.pdf" TargetMode="External"/><Relationship Id="rId288" Type="http://schemas.openxmlformats.org/officeDocument/2006/relationships/hyperlink" Target="https://sigpeg.mrn.gouv.qc.ca/rapport/A088_insp_inactif_2019-10-28_Publique.pdf" TargetMode="External"/><Relationship Id="rId411" Type="http://schemas.openxmlformats.org/officeDocument/2006/relationships/hyperlink" Target="https://sigpeg.mrn.gouv.qc.ca/gpg/classes/ficheDescriptive?type=popup&amp;mode=fichePuits&amp;menu=puit&amp;table=GPG_ENTRE_PUITS&amp;cle=A160" TargetMode="External"/><Relationship Id="rId509" Type="http://schemas.openxmlformats.org/officeDocument/2006/relationships/hyperlink" Target="https://sigpeg.mrn.gouv.qc.ca/gpg/classes/ficheDescriptive?type=popup&amp;mode=fichePuits&amp;menu=puit&amp;table=GPG_ENTRE_PUITS&amp;cle=B011" TargetMode="External"/><Relationship Id="rId1041" Type="http://schemas.openxmlformats.org/officeDocument/2006/relationships/hyperlink" Target="https://sigpeg.mrn.gouv.qc.ca/rapport/P_A112_inspection_2018-11-16_publique.pdf" TargetMode="External"/><Relationship Id="rId1139" Type="http://schemas.openxmlformats.org/officeDocument/2006/relationships/hyperlink" Target="https://sigpeg.mrn.gouv.qc.ca/gpg/classes/ficheDescriptive?type=popup&amp;mode=fichePuits&amp;menu=puit&amp;table=GPG_ENTRE_PUITS&amp;cle=A127" TargetMode="External"/><Relationship Id="rId1346" Type="http://schemas.openxmlformats.org/officeDocument/2006/relationships/hyperlink" Target="https://sigpeg.mrn.gouv.qc.ca/gpg/classes/ficheDescriptive?type=popup&amp;mode=fichePuits&amp;menu=puit&amp;table=GPG_ENTRE_PUITS&amp;cle=B163" TargetMode="External"/><Relationship Id="rId495" Type="http://schemas.openxmlformats.org/officeDocument/2006/relationships/hyperlink" Target="https://sigpeg.mrn.gouv.qc.ca/rapport/P_B061_inspection_2018-09-19_publique.pdf" TargetMode="External"/><Relationship Id="rId716" Type="http://schemas.openxmlformats.org/officeDocument/2006/relationships/hyperlink" Target="https://sigpeg.mrn.gouv.qc.ca/gpg/classes/ficheDescriptive?type=popup&amp;mode=fichePuits&amp;menu=puit&amp;table=GPG_ENTRE_PUITS&amp;cle=B243" TargetMode="External"/><Relationship Id="rId923" Type="http://schemas.openxmlformats.org/officeDocument/2006/relationships/hyperlink" Target="https://sigpeg.mrn.gouv.qc.ca/gpg/classes/ficheDescriptive?type=popup&amp;mode=fichePuits&amp;menu=puit&amp;table=GPG_ENTRE_PUITS&amp;cle=C097" TargetMode="External"/><Relationship Id="rId52" Type="http://schemas.openxmlformats.org/officeDocument/2006/relationships/hyperlink" Target="https://sigpeg.mrn.gouv.qc.ca/rapport/AZ01_insp_inactif_2019-11-13_Publique.pdf" TargetMode="External"/><Relationship Id="rId148" Type="http://schemas.openxmlformats.org/officeDocument/2006/relationships/hyperlink" Target="https://sigpeg.mrn.gouv.qc.ca/gpg/classes/ficheDescriptive?type=popup&amp;mode=fichePuits&amp;menu=puit&amp;table=GPG_ENTRE_PUITS&amp;cle=C008" TargetMode="External"/><Relationship Id="rId355" Type="http://schemas.openxmlformats.org/officeDocument/2006/relationships/hyperlink" Target="https://sigpeg.mrn.gouv.qc.ca/rapport/A156_insp_inactif_2019-07-15_Publique.pdf" TargetMode="External"/><Relationship Id="rId562" Type="http://schemas.openxmlformats.org/officeDocument/2006/relationships/hyperlink" Target="https://sigpeg.mrn.gouv.qc.ca/rapport/B092_insp_inactif_2019-11-12_Publique.pdf" TargetMode="External"/><Relationship Id="rId1192" Type="http://schemas.openxmlformats.org/officeDocument/2006/relationships/hyperlink" Target="https://sigpeg.mrn.gouv.qc.ca/rapport/AZ65_insp_inactif_2019-09-05_Publique.pdf" TargetMode="External"/><Relationship Id="rId1206" Type="http://schemas.openxmlformats.org/officeDocument/2006/relationships/hyperlink" Target="https://sigpeg.mrn.gouv.qc.ca/rapport/B062_insp_inactif_2019-10-10_Publique.pdf" TargetMode="External"/><Relationship Id="rId1413" Type="http://schemas.openxmlformats.org/officeDocument/2006/relationships/hyperlink" Target="https://sigpeg.mrn.gouv.qc.ca/gpg/classes/ficheDescriptive?type=popup&amp;mode=fichePuits&amp;menu=puit&amp;table=GPG_ENTRE_PUITS&amp;cle=E010" TargetMode="External"/><Relationship Id="rId215" Type="http://schemas.openxmlformats.org/officeDocument/2006/relationships/hyperlink" Target="https://sigpeg.mrn.gouv.qc.ca/rapport/P_A211_inspection_2018-09-19_publique.pdf" TargetMode="External"/><Relationship Id="rId422" Type="http://schemas.openxmlformats.org/officeDocument/2006/relationships/hyperlink" Target="https://sigpeg.mrn.gouv.qc.ca/gpg/classes/ficheDescriptive?type=popup&amp;mode=fichePuits&amp;menu=puit&amp;table=GPG_ENTRE_PUITS&amp;cle=A184" TargetMode="External"/><Relationship Id="rId867" Type="http://schemas.openxmlformats.org/officeDocument/2006/relationships/hyperlink" Target="https://sigpeg.mrn.gouv.qc.ca/gpg/classes/ficheDescriptive?type=popup&amp;mode=fichePuits&amp;menu=puit&amp;table=GPG_ENTRE_PUITS&amp;cle=C059" TargetMode="External"/><Relationship Id="rId1052" Type="http://schemas.openxmlformats.org/officeDocument/2006/relationships/hyperlink" Target="https://sigpeg.mrn.gouv.qc.ca/gpg/classes/ficheDescriptive?type=popup&amp;mode=fichePuits&amp;menu=puit&amp;table=GPG_ENTRE_PUITS&amp;cle=A024" TargetMode="External"/><Relationship Id="rId299" Type="http://schemas.openxmlformats.org/officeDocument/2006/relationships/hyperlink" Target="https://sigpeg.mrn.gouv.qc.ca/gpg/classes/ficheDescriptive?type=popup&amp;mode=fichePuits&amp;menu=puit&amp;table=GPG_ENTRE_PUITS&amp;cle=A036" TargetMode="External"/><Relationship Id="rId727" Type="http://schemas.openxmlformats.org/officeDocument/2006/relationships/hyperlink" Target="https://sigpeg.mrn.gouv.qc.ca/gpg/classes/ficheDescriptive?type=popup&amp;mode=fichePuits&amp;menu=puit&amp;table=GPG_ENTRE_PUITS&amp;cle=B256" TargetMode="External"/><Relationship Id="rId934" Type="http://schemas.openxmlformats.org/officeDocument/2006/relationships/hyperlink" Target="https://sigpeg.mrn.gouv.qc.ca/gpg/classes/ficheDescriptive?type=popup&amp;mode=fichePuits&amp;menu=puit&amp;table=GPG_ENTRE_PUITS&amp;cle=C132" TargetMode="External"/><Relationship Id="rId1357" Type="http://schemas.openxmlformats.org/officeDocument/2006/relationships/hyperlink" Target="https://sigpeg.mrn.gouv.qc.ca/gpg/classes/ficheDescriptive?type=popup&amp;mode=fichePuits&amp;menu=puit&amp;table=GPG_ENTRE_PUITS&amp;cle=C105" TargetMode="External"/><Relationship Id="rId63" Type="http://schemas.openxmlformats.org/officeDocument/2006/relationships/hyperlink" Target="https://sigpeg.mrn.gouv.qc.ca/rapport/B147_insp_inactif_2019-07-25_Publique.pdf" TargetMode="External"/><Relationship Id="rId159" Type="http://schemas.openxmlformats.org/officeDocument/2006/relationships/hyperlink" Target="https://sigpeg.mrn.gouv.qc.ca/gpg/classes/ficheDescriptive?type=popup&amp;mode=fichePuits&amp;menu=puit&amp;table=GPG_ENTRE_PUITS&amp;cle=C050" TargetMode="External"/><Relationship Id="rId366" Type="http://schemas.openxmlformats.org/officeDocument/2006/relationships/hyperlink" Target="https://sigpeg.mrn.gouv.qc.ca/rapport/P_A180_inspection_2018-10-12_publique.pdf" TargetMode="External"/><Relationship Id="rId573" Type="http://schemas.openxmlformats.org/officeDocument/2006/relationships/hyperlink" Target="https://sigpeg.mrn.gouv.qc.ca/rapport/B136_insp_inactif_2019-11-18_Publique.pdf" TargetMode="External"/><Relationship Id="rId780" Type="http://schemas.openxmlformats.org/officeDocument/2006/relationships/hyperlink" Target="https://sigpeg.mrn.gouv.qc.ca/gpg/classes/ficheDescriptive?type=popup&amp;mode=fichePuits&amp;menu=puit&amp;table=GPG_ENTRE_PUITS&amp;cle=BZ11" TargetMode="External"/><Relationship Id="rId1217" Type="http://schemas.openxmlformats.org/officeDocument/2006/relationships/hyperlink" Target="https://sigpeg.mrn.gouv.qc.ca/rapport/P_B094_inspection_2018-08-07_publique.pdf" TargetMode="External"/><Relationship Id="rId1424" Type="http://schemas.openxmlformats.org/officeDocument/2006/relationships/hyperlink" Target="https://sigpeg.mrn.gouv.qc.ca/gpg/classes/ficheDescriptive?type=popup&amp;mode=fichePuits&amp;menu=puit&amp;table=GPG_ENTRE_PUITS&amp;cle=CZ009" TargetMode="External"/><Relationship Id="rId226" Type="http://schemas.openxmlformats.org/officeDocument/2006/relationships/hyperlink" Target="https://sigpeg.mrn.gouv.qc.ca/rapport/B191_insp_inactif_2019-10-22_Publique.pdf" TargetMode="External"/><Relationship Id="rId433" Type="http://schemas.openxmlformats.org/officeDocument/2006/relationships/hyperlink" Target="https://sigpeg.mrn.gouv.qc.ca/gpg/classes/ficheDescriptive?type=popup&amp;mode=fichePuits&amp;menu=puit&amp;table=GPG_ENTRE_PUITS&amp;cle=A207" TargetMode="External"/><Relationship Id="rId878" Type="http://schemas.openxmlformats.org/officeDocument/2006/relationships/hyperlink" Target="https://sigpeg.mrn.gouv.qc.ca/rapport/C078_insp_inactif_2019-10-19_Publique.pdf" TargetMode="External"/><Relationship Id="rId1063" Type="http://schemas.openxmlformats.org/officeDocument/2006/relationships/hyperlink" Target="https://sigpeg.mrn.gouv.qc.ca/gpg/classes/ficheDescriptive?type=popup&amp;mode=fichePuits&amp;menu=puit&amp;table=GPG_ENTRE_PUITS&amp;cle=A078" TargetMode="External"/><Relationship Id="rId1270" Type="http://schemas.openxmlformats.org/officeDocument/2006/relationships/hyperlink" Target="https://sigpeg.mrn.gouv.qc.ca/gpg/classes/ficheDescriptive?type=popup&amp;mode=fichePuits&amp;menu=puit&amp;table=GPG_ENTRE_PUITS&amp;cle=B097" TargetMode="External"/><Relationship Id="rId640" Type="http://schemas.openxmlformats.org/officeDocument/2006/relationships/hyperlink" Target="https://sigpeg.mrn.gouv.qc.ca/gpg/classes/ficheDescriptive?type=popup&amp;mode=fichePuits&amp;menu=puit&amp;table=GPG_ENTRE_PUITS&amp;cle=B172" TargetMode="External"/><Relationship Id="rId738" Type="http://schemas.openxmlformats.org/officeDocument/2006/relationships/hyperlink" Target="https://sigpeg.mrn.gouv.qc.ca/rapport/B258_insp_inactif_2019-08-19_Publique.pdf" TargetMode="External"/><Relationship Id="rId945" Type="http://schemas.openxmlformats.org/officeDocument/2006/relationships/hyperlink" Target="https://sigpeg.mrn.gouv.qc.ca/rapport/P_CS39_inspection_2018-08-30_publique.pdf" TargetMode="External"/><Relationship Id="rId1368" Type="http://schemas.openxmlformats.org/officeDocument/2006/relationships/hyperlink" Target="https://sigpeg.mrn.gouv.qc.ca/rapport/P_CS17_inspection_2018-11-01_publique.pdf" TargetMode="External"/><Relationship Id="rId74" Type="http://schemas.openxmlformats.org/officeDocument/2006/relationships/hyperlink" Target="https://sigpeg.mrn.gouv.qc.ca/rapport/BZ12_insp_inactif_2019-08-19_Publique.pdf" TargetMode="External"/><Relationship Id="rId377" Type="http://schemas.openxmlformats.org/officeDocument/2006/relationships/hyperlink" Target="https://sigpeg.mrn.gouv.qc.ca/rapport/A207_insp_inactif_2019-06-17_Publique.pdf" TargetMode="External"/><Relationship Id="rId500" Type="http://schemas.openxmlformats.org/officeDocument/2006/relationships/hyperlink" Target="https://sigpeg.mrn.gouv.qc.ca/gpg/classes/ficheDescriptive?type=popup&amp;mode=fichePuits&amp;menu=puit&amp;table=GPG_ENTRE_PUITS&amp;cle=B001B" TargetMode="External"/><Relationship Id="rId584" Type="http://schemas.openxmlformats.org/officeDocument/2006/relationships/hyperlink" Target="https://sigpeg.mrn.gouv.qc.ca/rapport/B150_insp_inactif_2019-05-16_Publique.pdf" TargetMode="External"/><Relationship Id="rId805" Type="http://schemas.openxmlformats.org/officeDocument/2006/relationships/hyperlink" Target="https://sigpeg.mrn.gouv.qc.ca/rapport/C025_insp_inactif_2019-07-25_Publique.pdf" TargetMode="External"/><Relationship Id="rId1130" Type="http://schemas.openxmlformats.org/officeDocument/2006/relationships/hyperlink" Target="https://sigpeg.mrn.gouv.qc.ca/gpg/classes/ficheDescriptive?type=popup&amp;mode=fichePuits&amp;menu=puit&amp;table=GPG_ENTRE_PUITS&amp;cle=A030" TargetMode="External"/><Relationship Id="rId1228" Type="http://schemas.openxmlformats.org/officeDocument/2006/relationships/hyperlink" Target="https://sigpeg.mrn.gouv.qc.ca/gpg/classes/ficheDescriptive?type=popup&amp;mode=fichePuits&amp;menu=puit&amp;table=GPG_ENTRE_PUITS&amp;cle=AZ40" TargetMode="External"/><Relationship Id="rId1435" Type="http://schemas.openxmlformats.org/officeDocument/2006/relationships/hyperlink" Target="https://sigpeg.mrn.gouv.qc.ca/gpg/classes/ficheDescriptive?type=popup&amp;mode=fichePuits&amp;menu=puit&amp;table=GPG_ENTRE_PUITS&amp;cle=DZ006" TargetMode="External"/><Relationship Id="rId5" Type="http://schemas.openxmlformats.org/officeDocument/2006/relationships/hyperlink" Target="http://sigpeg.mrn.gouv.qc.ca/rapport/A055_insp_inactif_2019-08-01_Publique.pdf" TargetMode="External"/><Relationship Id="rId237" Type="http://schemas.openxmlformats.org/officeDocument/2006/relationships/hyperlink" Target="https://sigpeg.mrn.gouv.qc.ca/rapport/A120_insp_inactif_2019-10-08_Publique.pdf" TargetMode="External"/><Relationship Id="rId791" Type="http://schemas.openxmlformats.org/officeDocument/2006/relationships/hyperlink" Target="https://sigpeg.mrn.gouv.qc.ca/rapport/P_C011_inspection_2018-10-31_publique.pdf" TargetMode="External"/><Relationship Id="rId889" Type="http://schemas.openxmlformats.org/officeDocument/2006/relationships/hyperlink" Target="https://sigpeg.mrn.gouv.qc.ca/rapport/P_C093_inspection_2018-09-27_publique.pdf" TargetMode="External"/><Relationship Id="rId1074" Type="http://schemas.openxmlformats.org/officeDocument/2006/relationships/hyperlink" Target="https://sigpeg.mrn.gouv.qc.ca/gpg/classes/ficheDescriptive?type=popup&amp;mode=fichePuits&amp;menu=puit&amp;table=GPG_ENTRE_PUITS&amp;cle=A114" TargetMode="External"/><Relationship Id="rId444" Type="http://schemas.openxmlformats.org/officeDocument/2006/relationships/hyperlink" Target="https://sigpeg.mrn.gouv.qc.ca/gpg/classes/ficheDescriptive?type=popup&amp;mode=fichePuits&amp;menu=puit&amp;table=GPG_ENTRE_PUITS&amp;cle=A222" TargetMode="External"/><Relationship Id="rId651" Type="http://schemas.openxmlformats.org/officeDocument/2006/relationships/hyperlink" Target="https://sigpeg.mrn.gouv.qc.ca/gpg/classes/ficheDescriptive?type=popup&amp;mode=fichePuits&amp;menu=puit&amp;table=GPG_ENTRE_PUITS&amp;cle=B187" TargetMode="External"/><Relationship Id="rId749" Type="http://schemas.openxmlformats.org/officeDocument/2006/relationships/hyperlink" Target="https://sigpeg.mrn.gouv.qc.ca/rapport/P_B305_inspection_2018-10-23_publique.pdf" TargetMode="External"/><Relationship Id="rId1281" Type="http://schemas.openxmlformats.org/officeDocument/2006/relationships/hyperlink" Target="https://sigpeg.mrn.gouv.qc.ca/rapport/B110_insp_inactif_2019-08-22_Publique.pdf" TargetMode="External"/><Relationship Id="rId1379" Type="http://schemas.openxmlformats.org/officeDocument/2006/relationships/hyperlink" Target="https://sigpeg.mrn.gouv.qc.ca/rapport/P_D004_inspection_2018-07-28_publique.pdf" TargetMode="External"/><Relationship Id="rId290" Type="http://schemas.openxmlformats.org/officeDocument/2006/relationships/hyperlink" Target="https://sigpeg.mrn.gouv.qc.ca/rapport/A104_insp_inactif_2019-09-24_Publique.pdf" TargetMode="External"/><Relationship Id="rId304" Type="http://schemas.openxmlformats.org/officeDocument/2006/relationships/hyperlink" Target="https://sigpeg.mrn.gouv.qc.ca/gpg/classes/ficheDescriptive?type=popup&amp;mode=fichePuits&amp;menu=puit&amp;table=GPG_ENTRE_PUITS&amp;cle=A047" TargetMode="External"/><Relationship Id="rId388" Type="http://schemas.openxmlformats.org/officeDocument/2006/relationships/hyperlink" Target="https://sigpeg.mrn.gouv.qc.ca/rapport/A287_insp_inactif_2019-06-12_Publique.pdf" TargetMode="External"/><Relationship Id="rId511" Type="http://schemas.openxmlformats.org/officeDocument/2006/relationships/hyperlink" Target="https://sigpeg.mrn.gouv.qc.ca/gpg/classes/ficheDescriptive?type=popup&amp;mode=fichePuits&amp;menu=puit&amp;table=GPG_ENTRE_PUITS&amp;cle=B013" TargetMode="External"/><Relationship Id="rId609" Type="http://schemas.openxmlformats.org/officeDocument/2006/relationships/hyperlink" Target="https://sigpeg.mrn.gouv.qc.ca/gpg/classes/ficheDescriptive?type=popup&amp;mode=fichePuits&amp;menu=puit&amp;table=GPG_ENTRE_PUITS&amp;cle=B106" TargetMode="External"/><Relationship Id="rId956" Type="http://schemas.openxmlformats.org/officeDocument/2006/relationships/hyperlink" Target="https://sigpeg.mrn.gouv.qc.ca/rapport/P_D005_inspection_2018-07-28_publique.pdf" TargetMode="External"/><Relationship Id="rId1141" Type="http://schemas.openxmlformats.org/officeDocument/2006/relationships/hyperlink" Target="https://sigpeg.mrn.gouv.qc.ca/gpg/classes/ficheDescriptive?type=popup&amp;mode=fichePuits&amp;menu=puit&amp;table=GPG_ENTRE_PUITS&amp;cle=A137" TargetMode="External"/><Relationship Id="rId1239" Type="http://schemas.openxmlformats.org/officeDocument/2006/relationships/hyperlink" Target="https://sigpeg.mrn.gouv.qc.ca/gpg/classes/ficheDescriptive?type=popup&amp;mode=fichePuits&amp;menu=puit&amp;table=GPG_ENTRE_PUITS&amp;cle=AZ61" TargetMode="External"/><Relationship Id="rId85" Type="http://schemas.openxmlformats.org/officeDocument/2006/relationships/hyperlink" Target="https://sigpeg.mrn.gouv.qc.ca/rapport/C039_insp_inactif_2019-07-10_Publique.pdf" TargetMode="External"/><Relationship Id="rId150" Type="http://schemas.openxmlformats.org/officeDocument/2006/relationships/hyperlink" Target="https://sigpeg.mrn.gouv.qc.ca/gpg/classes/ficheDescriptive?type=popup&amp;mode=fichePuits&amp;menu=puit&amp;table=GPG_ENTRE_PUITS&amp;cle=C036" TargetMode="External"/><Relationship Id="rId595" Type="http://schemas.openxmlformats.org/officeDocument/2006/relationships/hyperlink" Target="https://sigpeg.mrn.gouv.qc.ca/rapport/P_B172_inspection_2018-09-28_publique.pdf" TargetMode="External"/><Relationship Id="rId816" Type="http://schemas.openxmlformats.org/officeDocument/2006/relationships/hyperlink" Target="https://sigpeg.mrn.gouv.qc.ca/rapport/C043_insp_inactif_2019-08-22_Publique.pdf" TargetMode="External"/><Relationship Id="rId1001" Type="http://schemas.openxmlformats.org/officeDocument/2006/relationships/hyperlink" Target="https://sigpeg.mrn.gouv.qc.ca/gpg/classes/ficheDescriptive?type=popup&amp;mode=fichePuits&amp;menu=puit&amp;table=GPG_ENTRE_PUITS&amp;cle=D015" TargetMode="External"/><Relationship Id="rId1446" Type="http://schemas.openxmlformats.org/officeDocument/2006/relationships/hyperlink" Target="https://sigpeg.mrn.gouv.qc.ca/gpg/classes/ficheDescriptive?type=popup&amp;mode=fichePuits&amp;menu=puit&amp;table=GPG_ENTRE_PUITS&amp;cle=DZ020" TargetMode="External"/><Relationship Id="rId248" Type="http://schemas.openxmlformats.org/officeDocument/2006/relationships/hyperlink" Target="https://sigpeg.mrn.gouv.qc.ca/gpg/classes/ficheDescriptive?type=popup&amp;mode=fichePuits&amp;menu=puit&amp;table=GPG_ENTRE_PUITS&amp;cle=A016" TargetMode="External"/><Relationship Id="rId455" Type="http://schemas.openxmlformats.org/officeDocument/2006/relationships/hyperlink" Target="https://sigpeg.mrn.gouv.qc.ca/gpg/classes/ficheDescriptive?type=popup&amp;mode=fichePuits&amp;menu=puit&amp;table=GPG_ENTRE_PUITS&amp;cle=A287" TargetMode="External"/><Relationship Id="rId662" Type="http://schemas.openxmlformats.org/officeDocument/2006/relationships/hyperlink" Target="https://sigpeg.mrn.gouv.qc.ca/rapport/P_B208_inspection_2018-10-10_publique.pdf" TargetMode="External"/><Relationship Id="rId1085" Type="http://schemas.openxmlformats.org/officeDocument/2006/relationships/hyperlink" Target="https://sigpeg.mrn.gouv.qc.ca/rapport/A030_insp_inactif_2019-05-27_Publique.pdf" TargetMode="External"/><Relationship Id="rId1292" Type="http://schemas.openxmlformats.org/officeDocument/2006/relationships/hyperlink" Target="https://sigpeg.mrn.gouv.qc.ca/rapport/B124_insp_inactif_2019-07-30_Publique.pdf" TargetMode="External"/><Relationship Id="rId1306" Type="http://schemas.openxmlformats.org/officeDocument/2006/relationships/hyperlink" Target="https://sigpeg.mrn.gouv.qc.ca/rapport/B170_insp_inactif_2019-05-23_Publique.pdf" TargetMode="External"/><Relationship Id="rId12" Type="http://schemas.openxmlformats.org/officeDocument/2006/relationships/hyperlink" Target="https://sigpeg.mrn.gouv.qc.ca/gpg/classes/ficheDescriptive?type=popup&amp;mode=fichePuits&amp;menu=puit&amp;table=GPG_ENTRE_PUITS&amp;cle=A066" TargetMode="External"/><Relationship Id="rId108" Type="http://schemas.openxmlformats.org/officeDocument/2006/relationships/hyperlink" Target="https://sigpeg.mrn.gouv.qc.ca/rapport/CS01_insp_inactif_2019-10-17_Publique.pdf" TargetMode="External"/><Relationship Id="rId315" Type="http://schemas.openxmlformats.org/officeDocument/2006/relationships/hyperlink" Target="https://sigpeg.mrn.gouv.qc.ca/gpg/classes/ficheDescriptive?type=popup&amp;mode=fichePuits&amp;menu=puit&amp;table=GPG_ENTRE_PUITS&amp;cle=A070" TargetMode="External"/><Relationship Id="rId522" Type="http://schemas.openxmlformats.org/officeDocument/2006/relationships/hyperlink" Target="https://sigpeg.mrn.gouv.qc.ca/gpg/classes/ficheDescriptive?type=popup&amp;mode=fichePuits&amp;menu=puit&amp;table=GPG_ENTRE_PUITS&amp;cle=B040" TargetMode="External"/><Relationship Id="rId967" Type="http://schemas.openxmlformats.org/officeDocument/2006/relationships/hyperlink" Target="https://sigpeg.mrn.gouv.qc.ca/rapport/E006_insp_inactif_2019-08-22_Publique.pdf" TargetMode="External"/><Relationship Id="rId1152" Type="http://schemas.openxmlformats.org/officeDocument/2006/relationships/hyperlink" Target="https://sigpeg.mrn.gouv.qc.ca/gpg/classes/ficheDescriptive?type=popup&amp;mode=fichePuits&amp;menu=puit&amp;table=GPG_ENTRE_PUITS&amp;cle=A182" TargetMode="External"/><Relationship Id="rId96" Type="http://schemas.openxmlformats.org/officeDocument/2006/relationships/hyperlink" Target="https://sigpeg.mrn.gouv.qc.ca/rapport/C057_insp_inactif_2019-07-23_Publique.pdf" TargetMode="External"/><Relationship Id="rId161" Type="http://schemas.openxmlformats.org/officeDocument/2006/relationships/hyperlink" Target="https://sigpeg.mrn.gouv.qc.ca/gpg/classes/ficheDescriptive?type=popup&amp;mode=fichePuits&amp;menu=puit&amp;table=GPG_ENTRE_PUITS&amp;cle=C055" TargetMode="External"/><Relationship Id="rId399" Type="http://schemas.openxmlformats.org/officeDocument/2006/relationships/hyperlink" Target="https://sigpeg.mrn.gouv.qc.ca/gpg/classes/ficheDescriptive?type=popup&amp;mode=fichePuits&amp;menu=puit&amp;table=GPG_ENTRE_PUITS&amp;cle=A140" TargetMode="External"/><Relationship Id="rId827" Type="http://schemas.openxmlformats.org/officeDocument/2006/relationships/hyperlink" Target="https://sigpeg.mrn.gouv.qc.ca/rapport/C064_insp_inactif_2019-08-28_Publique.pdf" TargetMode="External"/><Relationship Id="rId1012" Type="http://schemas.openxmlformats.org/officeDocument/2006/relationships/hyperlink" Target="https://sigpeg.mrn.gouv.qc.ca/gpg/classes/ficheDescriptive?type=popup&amp;mode=fichePuits&amp;menu=puit&amp;table=GPG_ENTRE_PUITS&amp;cle=F004" TargetMode="External"/><Relationship Id="rId259" Type="http://schemas.openxmlformats.org/officeDocument/2006/relationships/hyperlink" Target="https://sigpeg.mrn.gouv.qc.ca/rapport/A012_insp_inactif_2019-09-13_Publique.pdf" TargetMode="External"/><Relationship Id="rId466" Type="http://schemas.openxmlformats.org/officeDocument/2006/relationships/hyperlink" Target="https://sigpeg.mrn.gouv.qc.ca/rapport/B008_insp_inactif_2019-09-29_Publique.pdf" TargetMode="External"/><Relationship Id="rId673" Type="http://schemas.openxmlformats.org/officeDocument/2006/relationships/hyperlink" Target="https://sigpeg.mrn.gouv.qc.ca/gpg/classes/ficheDescriptive?type=popup&amp;mode=fichePuits&amp;menu=puit&amp;table=GPG_ENTRE_PUITS&amp;cle=B195" TargetMode="External"/><Relationship Id="rId880" Type="http://schemas.openxmlformats.org/officeDocument/2006/relationships/hyperlink" Target="https://sigpeg.mrn.gouv.qc.ca/rapport/C080_insp_inactif_2019-07-17_Publique.pdf" TargetMode="External"/><Relationship Id="rId1096" Type="http://schemas.openxmlformats.org/officeDocument/2006/relationships/hyperlink" Target="https://sigpeg.mrn.gouv.qc.ca/rapport/A137_insp_inactif_2019-10-22_Publique.pdf" TargetMode="External"/><Relationship Id="rId1317" Type="http://schemas.openxmlformats.org/officeDocument/2006/relationships/hyperlink" Target="https://sigpeg.mrn.gouv.qc.ca/rapport/P_CS03_inspection_2018-10-31_publique.pdf" TargetMode="External"/><Relationship Id="rId23" Type="http://schemas.openxmlformats.org/officeDocument/2006/relationships/hyperlink" Target="https://sigpeg.mrn.gouv.qc.ca/gpg/classes/ficheDescriptive?type=popup&amp;mode=fichePuits&amp;menu=puit&amp;table=GPG_ENTRE_PUITS&amp;cle=A102" TargetMode="External"/><Relationship Id="rId119" Type="http://schemas.openxmlformats.org/officeDocument/2006/relationships/hyperlink" Target="https://sigpeg.mrn.gouv.qc.ca/gpg/classes/ficheDescriptive?type=popup&amp;mode=fichePuits&amp;menu=puit&amp;table=GPG_ENTRE_PUITS&amp;cle=B001C" TargetMode="External"/><Relationship Id="rId326" Type="http://schemas.openxmlformats.org/officeDocument/2006/relationships/hyperlink" Target="https://sigpeg.mrn.gouv.qc.ca/gpg/classes/ficheDescriptive?type=popup&amp;mode=fichePuits&amp;menu=puit&amp;table=GPG_ENTRE_PUITS&amp;cle=A088" TargetMode="External"/><Relationship Id="rId533" Type="http://schemas.openxmlformats.org/officeDocument/2006/relationships/hyperlink" Target="https://sigpeg.mrn.gouv.qc.ca/gpg/classes/ficheDescriptive?type=popup&amp;mode=fichePuits&amp;menu=puit&amp;table=GPG_ENTRE_PUITS&amp;cle=B056" TargetMode="External"/><Relationship Id="rId978" Type="http://schemas.openxmlformats.org/officeDocument/2006/relationships/hyperlink" Target="https://sigpeg.mrn.gouv.qc.ca/gpg/classes/ficheDescriptive?type=popup&amp;mode=fichePuits&amp;menu=puit&amp;table=GPG_ENTRE_PUITS&amp;cle=CS25" TargetMode="External"/><Relationship Id="rId1163" Type="http://schemas.openxmlformats.org/officeDocument/2006/relationships/hyperlink" Target="https://sigpeg.mrn.gouv.qc.ca/gpg/classes/ficheDescriptive?type=popup&amp;mode=fichePuits&amp;menu=puit&amp;table=GPG_ENTRE_PUITS&amp;cle=AZ07" TargetMode="External"/><Relationship Id="rId1370" Type="http://schemas.openxmlformats.org/officeDocument/2006/relationships/hyperlink" Target="https://sigpeg.mrn.gouv.qc.ca/rapport/P_CS20_inspection_2018-11-01_publique.pdf" TargetMode="External"/><Relationship Id="rId740" Type="http://schemas.openxmlformats.org/officeDocument/2006/relationships/hyperlink" Target="https://sigpeg.mrn.gouv.qc.ca/rapport/P_B268A_inspection_2018-09-07_publique.pdf" TargetMode="External"/><Relationship Id="rId838" Type="http://schemas.openxmlformats.org/officeDocument/2006/relationships/hyperlink" Target="https://sigpeg.mrn.gouv.qc.ca/gpg/classes/ficheDescriptive?type=popup&amp;mode=fichePuits&amp;menu=puit&amp;table=GPG_ENTRE_PUITS&amp;cle=C014" TargetMode="External"/><Relationship Id="rId1023" Type="http://schemas.openxmlformats.org/officeDocument/2006/relationships/hyperlink" Target="https://sigpeg.mrn.gouv.qc.ca/rapport/A027_insp_inactif_2019-07-04_Publique.pdf" TargetMode="External"/><Relationship Id="rId172" Type="http://schemas.openxmlformats.org/officeDocument/2006/relationships/hyperlink" Target="https://sigpeg.mrn.gouv.qc.ca/gpg/classes/ficheDescriptive?type=popup&amp;mode=fichePuits&amp;menu=puit&amp;table=GPG_ENTRE_PUITS&amp;cle=C106" TargetMode="External"/><Relationship Id="rId477" Type="http://schemas.openxmlformats.org/officeDocument/2006/relationships/hyperlink" Target="https://sigpeg.mrn.gouv.qc.ca/rapport/B022_insp_inactif_2019-07-04_Publique.pdf" TargetMode="External"/><Relationship Id="rId600" Type="http://schemas.openxmlformats.org/officeDocument/2006/relationships/hyperlink" Target="https://sigpeg.mrn.gouv.qc.ca/rapport/B182_insp_inactif_2019-10-08_Publique.pdf" TargetMode="External"/><Relationship Id="rId684" Type="http://schemas.openxmlformats.org/officeDocument/2006/relationships/hyperlink" Target="https://sigpeg.mrn.gouv.qc.ca/gpg/classes/ficheDescriptive?type=popup&amp;mode=fichePuits&amp;menu=puit&amp;table=GPG_ENTRE_PUITS&amp;cle=B208" TargetMode="External"/><Relationship Id="rId1230" Type="http://schemas.openxmlformats.org/officeDocument/2006/relationships/hyperlink" Target="https://sigpeg.mrn.gouv.qc.ca/gpg/classes/ficheDescriptive?type=popup&amp;mode=fichePuits&amp;menu=puit&amp;table=GPG_ENTRE_PUITS&amp;cle=AZ42" TargetMode="External"/><Relationship Id="rId1328" Type="http://schemas.openxmlformats.org/officeDocument/2006/relationships/hyperlink" Target="https://sigpeg.mrn.gouv.qc.ca/gpg/classes/ficheDescriptive?type=popup&amp;mode=fichePuits&amp;menu=puit&amp;table=GPG_ENTRE_PUITS&amp;cle=B115" TargetMode="External"/><Relationship Id="rId337" Type="http://schemas.openxmlformats.org/officeDocument/2006/relationships/hyperlink" Target="https://sigpeg.mrn.gouv.qc.ca/gpg/classes/ficheDescriptive?type=popup&amp;mode=fichePuits&amp;menu=puit&amp;table=GPG_ENTRE_PUITS&amp;cle=A108" TargetMode="External"/><Relationship Id="rId891" Type="http://schemas.openxmlformats.org/officeDocument/2006/relationships/hyperlink" Target="https://sigpeg.mrn.gouv.qc.ca/rapport/P_C096_inspection_2018-09-26_publique.pdf" TargetMode="External"/><Relationship Id="rId905" Type="http://schemas.openxmlformats.org/officeDocument/2006/relationships/hyperlink" Target="https://sigpeg.mrn.gouv.qc.ca/gpg/classes/ficheDescriptive?type=popup&amp;mode=fichePuits&amp;menu=puit&amp;table=GPG_ENTRE_PUITS&amp;cle=C069" TargetMode="External"/><Relationship Id="rId989" Type="http://schemas.openxmlformats.org/officeDocument/2006/relationships/hyperlink" Target="https://sigpeg.mrn.gouv.qc.ca/gpg/classes/ficheDescriptive?type=popup&amp;mode=fichePuits&amp;menu=puit&amp;table=GPG_ENTRE_PUITS&amp;cle=CS45" TargetMode="External"/><Relationship Id="rId34" Type="http://schemas.openxmlformats.org/officeDocument/2006/relationships/hyperlink" Target="https://sigpeg.mrn.gouv.qc.ca/gpg/classes/ficheDescriptive?type=popup&amp;mode=fichePuits&amp;menu=puit&amp;table=GPG_ENTRE_PUITS&amp;cle=A214" TargetMode="External"/><Relationship Id="rId544" Type="http://schemas.openxmlformats.org/officeDocument/2006/relationships/hyperlink" Target="https://sigpeg.mrn.gouv.qc.ca/rapport/P_B075_inspection_2018-09-07_publique.pdf" TargetMode="External"/><Relationship Id="rId751" Type="http://schemas.openxmlformats.org/officeDocument/2006/relationships/hyperlink" Target="https://sigpeg.mrn.gouv.qc.ca/rapport/BZ02_insp_inactif_2019-10-08_Publique.pdf" TargetMode="External"/><Relationship Id="rId849" Type="http://schemas.openxmlformats.org/officeDocument/2006/relationships/hyperlink" Target="https://sigpeg.mrn.gouv.qc.ca/gpg/classes/ficheDescriptive?type=popup&amp;mode=fichePuits&amp;menu=puit&amp;table=GPG_ENTRE_PUITS&amp;cle=C025" TargetMode="External"/><Relationship Id="rId1174" Type="http://schemas.openxmlformats.org/officeDocument/2006/relationships/hyperlink" Target="https://sigpeg.mrn.gouv.qc.ca/gpg/classes/ficheDescriptive?type=popup&amp;mode=fichePuits&amp;menu=puit&amp;table=GPG_ENTRE_PUITS&amp;cle=AZ24" TargetMode="External"/><Relationship Id="rId1381" Type="http://schemas.openxmlformats.org/officeDocument/2006/relationships/hyperlink" Target="https://sigpeg.mrn.gouv.qc.ca/rapport/P_D007_inspection_2018-07-25_publique.pdf" TargetMode="External"/><Relationship Id="rId183" Type="http://schemas.openxmlformats.org/officeDocument/2006/relationships/hyperlink" Target="https://sigpeg.mrn.gouv.qc.ca/gpg/classes/ficheDescriptive?type=popup&amp;mode=fichePuits&amp;menu=puit&amp;table=GPG_ENTRE_PUITS&amp;cle=CS34" TargetMode="External"/><Relationship Id="rId390" Type="http://schemas.openxmlformats.org/officeDocument/2006/relationships/hyperlink" Target="https://sigpeg.mrn.gouv.qc.ca/rapport/AZ51_insp_inactif_2019-08-15_Publique.pdf" TargetMode="External"/><Relationship Id="rId404" Type="http://schemas.openxmlformats.org/officeDocument/2006/relationships/hyperlink" Target="https://sigpeg.mrn.gouv.qc.ca/gpg/classes/ficheDescriptive?type=popup&amp;mode=fichePuits&amp;menu=puit&amp;table=GPG_ENTRE_PUITS&amp;cle=A146" TargetMode="External"/><Relationship Id="rId611" Type="http://schemas.openxmlformats.org/officeDocument/2006/relationships/hyperlink" Target="https://sigpeg.mrn.gouv.qc.ca/gpg/classes/ficheDescriptive?type=popup&amp;mode=fichePuits&amp;menu=puit&amp;table=GPG_ENTRE_PUITS&amp;cle=B113" TargetMode="External"/><Relationship Id="rId1034" Type="http://schemas.openxmlformats.org/officeDocument/2006/relationships/hyperlink" Target="https://sigpeg.mrn.gouv.qc.ca/rapport/A080_insp_inactif_2019-10-03_Publique.pdf" TargetMode="External"/><Relationship Id="rId1241" Type="http://schemas.openxmlformats.org/officeDocument/2006/relationships/hyperlink" Target="https://sigpeg.mrn.gouv.qc.ca/gpg/classes/ficheDescriptive?type=popup&amp;mode=fichePuits&amp;menu=puit&amp;table=GPG_ENTRE_PUITS&amp;cle=AZ64" TargetMode="External"/><Relationship Id="rId1339" Type="http://schemas.openxmlformats.org/officeDocument/2006/relationships/hyperlink" Target="https://sigpeg.mrn.gouv.qc.ca/gpg/classes/ficheDescriptive?type=popup&amp;mode=fichePuits&amp;menu=puit&amp;table=GPG_ENTRE_PUITS&amp;cle=B130" TargetMode="External"/><Relationship Id="rId250" Type="http://schemas.openxmlformats.org/officeDocument/2006/relationships/hyperlink" Target="https://sigpeg.mrn.gouv.qc.ca/gpg/classes/ficheDescriptive?type=popup&amp;mode=fichePuits&amp;menu=puit&amp;table=GPG_ENTRE_PUITS&amp;cle=A020" TargetMode="External"/><Relationship Id="rId488" Type="http://schemas.openxmlformats.org/officeDocument/2006/relationships/hyperlink" Target="https://sigpeg.mrn.gouv.qc.ca/rapport/P_B048_inspection_2018-10-24_publique.pdf" TargetMode="External"/><Relationship Id="rId695" Type="http://schemas.openxmlformats.org/officeDocument/2006/relationships/hyperlink" Target="https://sigpeg.mrn.gouv.qc.ca/gpg/classes/ficheDescriptive?type=popup&amp;mode=fichePuits&amp;menu=puit&amp;table=GPG_ENTRE_PUITS&amp;cle=B222" TargetMode="External"/><Relationship Id="rId709" Type="http://schemas.openxmlformats.org/officeDocument/2006/relationships/hyperlink" Target="https://sigpeg.mrn.gouv.qc.ca/gpg/classes/ficheDescriptive?type=popup&amp;mode=fichePuits&amp;menu=puit&amp;table=GPG_ENTRE_PUITS&amp;cle=B236" TargetMode="External"/><Relationship Id="rId916" Type="http://schemas.openxmlformats.org/officeDocument/2006/relationships/hyperlink" Target="https://sigpeg.mrn.gouv.qc.ca/gpg/classes/ficheDescriptive?type=popup&amp;mode=fichePuits&amp;menu=puit&amp;table=GPG_ENTRE_PUITS&amp;cle=C086" TargetMode="External"/><Relationship Id="rId1101" Type="http://schemas.openxmlformats.org/officeDocument/2006/relationships/hyperlink" Target="https://sigpeg.mrn.gouv.qc.ca/rapport/A150_insp_inactif_2019-07-11_Publique.pdf" TargetMode="External"/><Relationship Id="rId45" Type="http://schemas.openxmlformats.org/officeDocument/2006/relationships/hyperlink" Target="https://sigpeg.mrn.gouv.qc.ca/rapport/P_A172_inspection_2018-10-01_publique.pdf" TargetMode="External"/><Relationship Id="rId110" Type="http://schemas.openxmlformats.org/officeDocument/2006/relationships/hyperlink" Target="https://sigpeg.mrn.gouv.qc.ca/rapport/P_CS07_inspection_2018-11-02_publique.pdf" TargetMode="External"/><Relationship Id="rId348" Type="http://schemas.openxmlformats.org/officeDocument/2006/relationships/hyperlink" Target="https://sigpeg.mrn.gouv.qc.ca/rapport/A141_insp_inactif_2019-09-09_Publique.pdf" TargetMode="External"/><Relationship Id="rId555" Type="http://schemas.openxmlformats.org/officeDocument/2006/relationships/hyperlink" Target="https://sigpeg.mrn.gouv.qc.ca/gpg/classes/ficheDescriptive?type=popup&amp;mode=fichePuits&amp;menu=puit&amp;table=GPG_ENTRE_PUITS&amp;cle=B076" TargetMode="External"/><Relationship Id="rId762" Type="http://schemas.openxmlformats.org/officeDocument/2006/relationships/hyperlink" Target="https://sigpeg.mrn.gouv.qc.ca/rapport/BZ16_insp_inactif_2019-08-20_Publique.pdf" TargetMode="External"/><Relationship Id="rId1185" Type="http://schemas.openxmlformats.org/officeDocument/2006/relationships/hyperlink" Target="https://sigpeg.mrn.gouv.qc.ca/rapport/AZ50_insp_inactif_2019-08-20_Publique.pdf" TargetMode="External"/><Relationship Id="rId1392" Type="http://schemas.openxmlformats.org/officeDocument/2006/relationships/hyperlink" Target="https://sigpeg.mrn.gouv.qc.ca/gpg/classes/ficheDescriptive?type=popup&amp;mode=fichePuits&amp;menu=puit&amp;table=GPG_ENTRE_PUITS&amp;cle=CS17" TargetMode="External"/><Relationship Id="rId1406" Type="http://schemas.openxmlformats.org/officeDocument/2006/relationships/hyperlink" Target="https://sigpeg.mrn.gouv.qc.ca/gpg/classes/ficheDescriptive?type=popup&amp;mode=fichePuits&amp;menu=puit&amp;table=GPG_ENTRE_PUITS&amp;cle=D007" TargetMode="External"/><Relationship Id="rId194" Type="http://schemas.openxmlformats.org/officeDocument/2006/relationships/hyperlink" Target="https://sigpeg.mrn.gouv.qc.ca/rapport/A091_insp_inactif_2019-07-15_Publique.pdf" TargetMode="External"/><Relationship Id="rId208" Type="http://schemas.openxmlformats.org/officeDocument/2006/relationships/hyperlink" Target="https://sigpeg.mrn.gouv.qc.ca/rapport/A144_insp_inactif_2019-07-16_Publique.pdf" TargetMode="External"/><Relationship Id="rId415" Type="http://schemas.openxmlformats.org/officeDocument/2006/relationships/hyperlink" Target="https://sigpeg.mrn.gouv.qc.ca/gpg/classes/ficheDescriptive?type=popup&amp;mode=fichePuits&amp;menu=puit&amp;table=GPG_ENTRE_PUITS&amp;cle=A169" TargetMode="External"/><Relationship Id="rId622" Type="http://schemas.openxmlformats.org/officeDocument/2006/relationships/hyperlink" Target="https://sigpeg.mrn.gouv.qc.ca/gpg/classes/ficheDescriptive?type=popup&amp;mode=fichePuits&amp;menu=puit&amp;table=GPG_ENTRE_PUITS&amp;cle=B140" TargetMode="External"/><Relationship Id="rId1045" Type="http://schemas.openxmlformats.org/officeDocument/2006/relationships/hyperlink" Target="https://sigpeg.mrn.gouv.qc.ca/rapport/A122_insp_inactif_2019-09-16_Publique.pdf" TargetMode="External"/><Relationship Id="rId1252" Type="http://schemas.openxmlformats.org/officeDocument/2006/relationships/hyperlink" Target="https://sigpeg.mrn.gouv.qc.ca/gpg/classes/ficheDescriptive?type=popup&amp;mode=fichePuits&amp;menu=puit&amp;table=GPG_ENTRE_PUITS&amp;cle=B029" TargetMode="External"/><Relationship Id="rId261" Type="http://schemas.openxmlformats.org/officeDocument/2006/relationships/hyperlink" Target="https://sigpeg.mrn.gouv.qc.ca/rapport/A015_insp_inactif_2019-07-16_Publique.pdf" TargetMode="External"/><Relationship Id="rId499" Type="http://schemas.openxmlformats.org/officeDocument/2006/relationships/hyperlink" Target="https://sigpeg.mrn.gouv.qc.ca/rapport/P_B067_inspection_2018-08-31_publique.pdf" TargetMode="External"/><Relationship Id="rId927" Type="http://schemas.openxmlformats.org/officeDocument/2006/relationships/hyperlink" Target="https://sigpeg.mrn.gouv.qc.ca/gpg/classes/ficheDescriptive?type=popup&amp;mode=fichePuits&amp;menu=puit&amp;table=GPG_ENTRE_PUITS&amp;cle=C116" TargetMode="External"/><Relationship Id="rId1112" Type="http://schemas.openxmlformats.org/officeDocument/2006/relationships/hyperlink" Target="https://sigpeg.mrn.gouv.qc.ca/rapport/AZ07_insp_inactif_2019-09-17_Publique.pdf" TargetMode="External"/><Relationship Id="rId56" Type="http://schemas.openxmlformats.org/officeDocument/2006/relationships/hyperlink" Target="https://sigpeg.mrn.gouv.qc.ca/rapport/B021_insp_inactif_2019-07-16_Publique.pdf" TargetMode="External"/><Relationship Id="rId359" Type="http://schemas.openxmlformats.org/officeDocument/2006/relationships/hyperlink" Target="https://sigpeg.mrn.gouv.qc.ca/rapport/P_A165_inspection_2018-10-27_publique.pdf" TargetMode="External"/><Relationship Id="rId566" Type="http://schemas.openxmlformats.org/officeDocument/2006/relationships/hyperlink" Target="https://sigpeg.mrn.gouv.qc.ca/rapport/B113_insp_inactif_2019-09-27_Publique.pdf" TargetMode="External"/><Relationship Id="rId773" Type="http://schemas.openxmlformats.org/officeDocument/2006/relationships/hyperlink" Target="https://sigpeg.mrn.gouv.qc.ca/gpg/classes/ficheDescriptive?type=popup&amp;mode=fichePuits&amp;menu=puit&amp;table=GPG_ENTRE_PUITS&amp;cle=BZ03" TargetMode="External"/><Relationship Id="rId1196" Type="http://schemas.openxmlformats.org/officeDocument/2006/relationships/hyperlink" Target="https://sigpeg.mrn.gouv.qc.ca/rapport/AZ69_insp_inactif_2019-07-31_Publique.pdf" TargetMode="External"/><Relationship Id="rId1417" Type="http://schemas.openxmlformats.org/officeDocument/2006/relationships/hyperlink" Target="https://sigpeg.mrn.gouv.qc.ca/gpg/classes/ficheDescriptive?type=popup&amp;mode=fichePuits&amp;menu=puit&amp;table=GPG_ENTRE_PUITS&amp;cle=G001" TargetMode="External"/><Relationship Id="rId121" Type="http://schemas.openxmlformats.org/officeDocument/2006/relationships/hyperlink" Target="https://sigpeg.mrn.gouv.qc.ca/gpg/classes/ficheDescriptive?type=popup&amp;mode=fichePuits&amp;menu=puit&amp;table=GPG_ENTRE_PUITS&amp;cle=B020" TargetMode="External"/><Relationship Id="rId219" Type="http://schemas.openxmlformats.org/officeDocument/2006/relationships/hyperlink" Target="https://sigpeg.mrn.gouv.qc.ca/rapport/P_A218_inspection_2018-09-19_publique.pdf" TargetMode="External"/><Relationship Id="rId426" Type="http://schemas.openxmlformats.org/officeDocument/2006/relationships/hyperlink" Target="https://sigpeg.mrn.gouv.qc.ca/gpg/classes/ficheDescriptive?type=popup&amp;mode=fichePuits&amp;menu=puit&amp;table=GPG_ENTRE_PUITS&amp;cle=A188" TargetMode="External"/><Relationship Id="rId633" Type="http://schemas.openxmlformats.org/officeDocument/2006/relationships/hyperlink" Target="https://sigpeg.mrn.gouv.qc.ca/gpg/classes/ficheDescriptive?type=popup&amp;mode=fichePuits&amp;menu=puit&amp;table=GPG_ENTRE_PUITS&amp;cle=B155" TargetMode="External"/><Relationship Id="rId980" Type="http://schemas.openxmlformats.org/officeDocument/2006/relationships/hyperlink" Target="https://sigpeg.mrn.gouv.qc.ca/gpg/classes/ficheDescriptive?type=popup&amp;mode=fichePuits&amp;menu=puit&amp;table=GPG_ENTRE_PUITS&amp;cle=CS29" TargetMode="External"/><Relationship Id="rId1056" Type="http://schemas.openxmlformats.org/officeDocument/2006/relationships/hyperlink" Target="https://sigpeg.mrn.gouv.qc.ca/gpg/classes/ficheDescriptive?type=popup&amp;mode=fichePuits&amp;menu=puit&amp;table=GPG_ENTRE_PUITS&amp;cle=A038" TargetMode="External"/><Relationship Id="rId1263" Type="http://schemas.openxmlformats.org/officeDocument/2006/relationships/hyperlink" Target="https://sigpeg.mrn.gouv.qc.ca/gpg/classes/ficheDescriptive?type=popup&amp;mode=fichePuits&amp;menu=puit&amp;table=GPG_ENTRE_PUITS&amp;cle=B088" TargetMode="External"/><Relationship Id="rId840" Type="http://schemas.openxmlformats.org/officeDocument/2006/relationships/hyperlink" Target="https://sigpeg.mrn.gouv.qc.ca/gpg/classes/ficheDescriptive?type=popup&amp;mode=fichePuits&amp;menu=puit&amp;table=GPG_ENTRE_PUITS&amp;cle=C016" TargetMode="External"/><Relationship Id="rId938" Type="http://schemas.openxmlformats.org/officeDocument/2006/relationships/hyperlink" Target="https://sigpeg.mrn.gouv.qc.ca/rapport/P_CS25_inspection_2018-07-30_publique.pdf" TargetMode="External"/><Relationship Id="rId67" Type="http://schemas.openxmlformats.org/officeDocument/2006/relationships/hyperlink" Target="https://sigpeg.mrn.gouv.qc.ca/rapport/B216_insp_inactif_2019-07-16_Publique.pdf" TargetMode="External"/><Relationship Id="rId272" Type="http://schemas.openxmlformats.org/officeDocument/2006/relationships/hyperlink" Target="https://sigpeg.mrn.gouv.qc.ca/rapport/P_A050_inspection_2018-11-15_publique.pdf" TargetMode="External"/><Relationship Id="rId577" Type="http://schemas.openxmlformats.org/officeDocument/2006/relationships/hyperlink" Target="https://sigpeg.mrn.gouv.qc.ca/rapport/B140_insp_inactif_2019-09-11_Publique.pdf" TargetMode="External"/><Relationship Id="rId700" Type="http://schemas.openxmlformats.org/officeDocument/2006/relationships/hyperlink" Target="https://sigpeg.mrn.gouv.qc.ca/gpg/classes/ficheDescriptive?type=popup&amp;mode=fichePuits&amp;menu=puit&amp;table=GPG_ENTRE_PUITS&amp;cle=B227" TargetMode="External"/><Relationship Id="rId1123" Type="http://schemas.openxmlformats.org/officeDocument/2006/relationships/hyperlink" Target="https://sigpeg.mrn.gouv.qc.ca/rapport/AZ24_insp_inactif_2019-10-24_Publique.pdf" TargetMode="External"/><Relationship Id="rId1330" Type="http://schemas.openxmlformats.org/officeDocument/2006/relationships/hyperlink" Target="https://sigpeg.mrn.gouv.qc.ca/gpg/classes/ficheDescriptive?type=popup&amp;mode=fichePuits&amp;menu=puit&amp;table=GPG_ENTRE_PUITS&amp;cle=B117" TargetMode="External"/><Relationship Id="rId1428" Type="http://schemas.openxmlformats.org/officeDocument/2006/relationships/hyperlink" Target="https://sigpeg.mrn.gouv.qc.ca/gpg/classes/ficheDescriptive?type=popup&amp;mode=fichePuits&amp;menu=puit&amp;table=GPG_ENTRE_PUITS&amp;cle=CZ014" TargetMode="External"/><Relationship Id="rId132" Type="http://schemas.openxmlformats.org/officeDocument/2006/relationships/hyperlink" Target="https://sigpeg.mrn.gouv.qc.ca/gpg/classes/ficheDescriptive?type=popup&amp;mode=fichePuits&amp;menu=puit&amp;table=GPG_ENTRE_PUITS&amp;cle=B198" TargetMode="External"/><Relationship Id="rId784" Type="http://schemas.openxmlformats.org/officeDocument/2006/relationships/hyperlink" Target="https://sigpeg.mrn.gouv.qc.ca/gpg/classes/ficheDescriptive?type=popup&amp;mode=fichePuits&amp;menu=puit&amp;table=GPG_ENTRE_PUITS&amp;cle=BZ19" TargetMode="External"/><Relationship Id="rId991" Type="http://schemas.openxmlformats.org/officeDocument/2006/relationships/hyperlink" Target="https://sigpeg.mrn.gouv.qc.ca/gpg/classes/ficheDescriptive?type=popup&amp;mode=fichePuits&amp;menu=puit&amp;table=GPG_ENTRE_PUITS&amp;cle=CS48" TargetMode="External"/><Relationship Id="rId1067" Type="http://schemas.openxmlformats.org/officeDocument/2006/relationships/hyperlink" Target="https://sigpeg.mrn.gouv.qc.ca/gpg/classes/ficheDescriptive?type=popup&amp;mode=fichePuits&amp;menu=puit&amp;table=GPG_ENTRE_PUITS&amp;cle=A090" TargetMode="External"/><Relationship Id="rId437" Type="http://schemas.openxmlformats.org/officeDocument/2006/relationships/hyperlink" Target="https://sigpeg.mrn.gouv.qc.ca/gpg/classes/ficheDescriptive?type=popup&amp;mode=fichePuits&amp;menu=puit&amp;table=GPG_ENTRE_PUITS&amp;cle=A211" TargetMode="External"/><Relationship Id="rId644" Type="http://schemas.openxmlformats.org/officeDocument/2006/relationships/hyperlink" Target="https://sigpeg.mrn.gouv.qc.ca/gpg/classes/ficheDescriptive?type=popup&amp;mode=fichePuits&amp;menu=puit&amp;table=GPG_ENTRE_PUITS&amp;cle=B180" TargetMode="External"/><Relationship Id="rId851" Type="http://schemas.openxmlformats.org/officeDocument/2006/relationships/hyperlink" Target="https://sigpeg.mrn.gouv.qc.ca/gpg/classes/ficheDescriptive?type=popup&amp;mode=fichePuits&amp;menu=puit&amp;table=GPG_ENTRE_PUITS&amp;cle=C028" TargetMode="External"/><Relationship Id="rId1274" Type="http://schemas.openxmlformats.org/officeDocument/2006/relationships/hyperlink" Target="https://sigpeg.mrn.gouv.qc.ca/gpg/classes/ficheDescriptive?type=popup&amp;mode=fichePuits&amp;menu=puit&amp;table=GPG_ENTRE_PUITS&amp;cle=B102" TargetMode="External"/><Relationship Id="rId283" Type="http://schemas.openxmlformats.org/officeDocument/2006/relationships/hyperlink" Target="https://sigpeg.mrn.gouv.qc.ca/rapport/A073_insp_inactif_2019-11-04_Publique.pdf" TargetMode="External"/><Relationship Id="rId490" Type="http://schemas.openxmlformats.org/officeDocument/2006/relationships/hyperlink" Target="https://sigpeg.mrn.gouv.qc.ca/rapport/P_B052_inspection_2018-07-26_publique.pdf" TargetMode="External"/><Relationship Id="rId504" Type="http://schemas.openxmlformats.org/officeDocument/2006/relationships/hyperlink" Target="https://sigpeg.mrn.gouv.qc.ca/gpg/classes/ficheDescriptive?type=popup&amp;mode=fichePuits&amp;menu=puit&amp;table=GPG_ENTRE_PUITS&amp;cle=B006" TargetMode="External"/><Relationship Id="rId711" Type="http://schemas.openxmlformats.org/officeDocument/2006/relationships/hyperlink" Target="https://sigpeg.mrn.gouv.qc.ca/gpg/classes/ficheDescriptive?type=popup&amp;mode=fichePuits&amp;menu=puit&amp;table=GPG_ENTRE_PUITS&amp;cle=B238" TargetMode="External"/><Relationship Id="rId949" Type="http://schemas.openxmlformats.org/officeDocument/2006/relationships/hyperlink" Target="https://sigpeg.mrn.gouv.qc.ca/rapport/CS45_insp_inactif_2019-08-21_Publique.pdf" TargetMode="External"/><Relationship Id="rId1134" Type="http://schemas.openxmlformats.org/officeDocument/2006/relationships/hyperlink" Target="https://sigpeg.mrn.gouv.qc.ca/gpg/classes/ficheDescriptive?type=popup&amp;mode=fichePuits&amp;menu=puit&amp;table=GPG_ENTRE_PUITS&amp;cle=A058" TargetMode="External"/><Relationship Id="rId1341" Type="http://schemas.openxmlformats.org/officeDocument/2006/relationships/hyperlink" Target="https://sigpeg.mrn.gouv.qc.ca/gpg/classes/ficheDescriptive?type=popup&amp;mode=fichePuits&amp;menu=puit&amp;table=GPG_ENTRE_PUITS&amp;cle=B132" TargetMode="External"/><Relationship Id="rId78" Type="http://schemas.openxmlformats.org/officeDocument/2006/relationships/hyperlink" Target="https://sigpeg.mrn.gouv.qc.ca/rapport/BZ20_insp_inactif_2019-08-21_Publique.pdf" TargetMode="External"/><Relationship Id="rId143" Type="http://schemas.openxmlformats.org/officeDocument/2006/relationships/hyperlink" Target="https://sigpeg.mrn.gouv.qc.ca/gpg/classes/ficheDescriptive?type=popup&amp;mode=fichePuits&amp;menu=puit&amp;table=GPG_ENTRE_PUITS&amp;cle=BZ18" TargetMode="External"/><Relationship Id="rId350" Type="http://schemas.openxmlformats.org/officeDocument/2006/relationships/hyperlink" Target="https://sigpeg.mrn.gouv.qc.ca/rapport/A143_insp_inactif_2019-06-06_Publique.pdf" TargetMode="External"/><Relationship Id="rId588" Type="http://schemas.openxmlformats.org/officeDocument/2006/relationships/hyperlink" Target="https://sigpeg.mrn.gouv.qc.ca/rapport/B155_insp_inactif_2019-07-05_Publique.pdf" TargetMode="External"/><Relationship Id="rId795" Type="http://schemas.openxmlformats.org/officeDocument/2006/relationships/hyperlink" Target="https://sigpeg.mrn.gouv.qc.ca/rapport/C015_insp_inactif_2019-08-27_Publique.pdf" TargetMode="External"/><Relationship Id="rId809" Type="http://schemas.openxmlformats.org/officeDocument/2006/relationships/hyperlink" Target="https://sigpeg.mrn.gouv.qc.ca/rapport/P_C030_inspection_2018-07-31_publique.pdf" TargetMode="External"/><Relationship Id="rId1201" Type="http://schemas.openxmlformats.org/officeDocument/2006/relationships/hyperlink" Target="https://sigpeg.mrn.gouv.qc.ca/rapport/B028_insp_inactif_2019-09-05_Publique.pdf" TargetMode="External"/><Relationship Id="rId1439" Type="http://schemas.openxmlformats.org/officeDocument/2006/relationships/hyperlink" Target="https://sigpeg.mrn.gouv.qc.ca/gpg/classes/ficheDescriptive?type=popup&amp;mode=fichePuits&amp;menu=puit&amp;table=GPG_ENTRE_PUITS&amp;cle=DZ010" TargetMode="External"/><Relationship Id="rId9" Type="http://schemas.openxmlformats.org/officeDocument/2006/relationships/hyperlink" Target="http://sigpeg.mrn.gouv.qc.ca/rapport/A097_insp_inactif_2019-06-19_Publique.pdf" TargetMode="External"/><Relationship Id="rId210" Type="http://schemas.openxmlformats.org/officeDocument/2006/relationships/hyperlink" Target="https://sigpeg.mrn.gouv.qc.ca/rapport/P_A181_inspection_2018-10-30_publique.pdf" TargetMode="External"/><Relationship Id="rId448" Type="http://schemas.openxmlformats.org/officeDocument/2006/relationships/hyperlink" Target="https://sigpeg.mrn.gouv.qc.ca/gpg/classes/ficheDescriptive?type=popup&amp;mode=fichePuits&amp;menu=puit&amp;table=GPG_ENTRE_PUITS&amp;cle=A233" TargetMode="External"/><Relationship Id="rId655" Type="http://schemas.openxmlformats.org/officeDocument/2006/relationships/hyperlink" Target="https://sigpeg.mrn.gouv.qc.ca/rapport/B192_insp_inactif_2019-11-06_Publique.pdf" TargetMode="External"/><Relationship Id="rId862" Type="http://schemas.openxmlformats.org/officeDocument/2006/relationships/hyperlink" Target="https://sigpeg.mrn.gouv.qc.ca/gpg/classes/ficheDescriptive?type=popup&amp;mode=fichePuits&amp;menu=puit&amp;table=GPG_ENTRE_PUITS&amp;cle=C048" TargetMode="External"/><Relationship Id="rId1078" Type="http://schemas.openxmlformats.org/officeDocument/2006/relationships/hyperlink" Target="https://sigpeg.mrn.gouv.qc.ca/gpg/classes/ficheDescriptive?type=popup&amp;mode=fichePuits&amp;menu=puit&amp;table=GPG_ENTRE_PUITS&amp;cle=A134" TargetMode="External"/><Relationship Id="rId1285" Type="http://schemas.openxmlformats.org/officeDocument/2006/relationships/hyperlink" Target="https://sigpeg.mrn.gouv.qc.ca/rapport/P_B116_inspection_2018-07-24_publique.pdf" TargetMode="External"/><Relationship Id="rId294" Type="http://schemas.openxmlformats.org/officeDocument/2006/relationships/hyperlink" Target="https://sigpeg.mrn.gouv.qc.ca/gpg/classes/ficheDescriptive?type=popup&amp;mode=fichePuits&amp;menu=puit&amp;table=GPG_ENTRE_PUITS&amp;cle=A026" TargetMode="External"/><Relationship Id="rId308" Type="http://schemas.openxmlformats.org/officeDocument/2006/relationships/hyperlink" Target="https://sigpeg.mrn.gouv.qc.ca/gpg/classes/ficheDescriptive?type=popup&amp;mode=fichePuits&amp;menu=puit&amp;table=GPG_ENTRE_PUITS&amp;cle=A062" TargetMode="External"/><Relationship Id="rId515" Type="http://schemas.openxmlformats.org/officeDocument/2006/relationships/hyperlink" Target="https://sigpeg.mrn.gouv.qc.ca/gpg/classes/ficheDescriptive?type=popup&amp;mode=fichePuits&amp;menu=puit&amp;table=GPG_ENTRE_PUITS&amp;cle=B019" TargetMode="External"/><Relationship Id="rId722" Type="http://schemas.openxmlformats.org/officeDocument/2006/relationships/hyperlink" Target="https://sigpeg.mrn.gouv.qc.ca/gpg/classes/ficheDescriptive?type=popup&amp;mode=fichePuits&amp;menu=puit&amp;table=GPG_ENTRE_PUITS&amp;cle=B249" TargetMode="External"/><Relationship Id="rId1145" Type="http://schemas.openxmlformats.org/officeDocument/2006/relationships/hyperlink" Target="https://sigpeg.mrn.gouv.qc.ca/gpg/classes/ficheDescriptive?type=popup&amp;mode=fichePuits&amp;menu=puit&amp;table=GPG_ENTRE_PUITS&amp;cle=A149" TargetMode="External"/><Relationship Id="rId1352" Type="http://schemas.openxmlformats.org/officeDocument/2006/relationships/hyperlink" Target="https://sigpeg.mrn.gouv.qc.ca/gpg/classes/ficheDescriptive?type=popup&amp;mode=fichePuits&amp;menu=puit&amp;table=GPG_ENTRE_PUITS&amp;cle=B173" TargetMode="External"/><Relationship Id="rId89" Type="http://schemas.openxmlformats.org/officeDocument/2006/relationships/hyperlink" Target="https://sigpeg.mrn.gouv.qc.ca/rapport/C044_insp_inactif_2019-07-16_Publique.pdf" TargetMode="External"/><Relationship Id="rId154" Type="http://schemas.openxmlformats.org/officeDocument/2006/relationships/hyperlink" Target="https://sigpeg.mrn.gouv.qc.ca/gpg/classes/ficheDescriptive?type=popup&amp;mode=fichePuits&amp;menu=puit&amp;table=GPG_ENTRE_PUITS&amp;cle=C041" TargetMode="External"/><Relationship Id="rId361" Type="http://schemas.openxmlformats.org/officeDocument/2006/relationships/hyperlink" Target="https://sigpeg.mrn.gouv.qc.ca/rapport/P_A169_inspection_2018-10-12_publique.pdf" TargetMode="External"/><Relationship Id="rId599" Type="http://schemas.openxmlformats.org/officeDocument/2006/relationships/hyperlink" Target="https://sigpeg.mrn.gouv.qc.ca/rapport/B181_insp_inactif_2019-11-07_Publique.pdf" TargetMode="External"/><Relationship Id="rId1005" Type="http://schemas.openxmlformats.org/officeDocument/2006/relationships/hyperlink" Target="https://sigpeg.mrn.gouv.qc.ca/gpg/classes/ficheDescriptive?type=popup&amp;mode=fichePuits&amp;menu=puit&amp;table=GPG_ENTRE_PUITS&amp;cle=D019" TargetMode="External"/><Relationship Id="rId1212" Type="http://schemas.openxmlformats.org/officeDocument/2006/relationships/hyperlink" Target="https://sigpeg.mrn.gouv.qc.ca/rapport/B087_insp_inactif_2019-09-17_Publique.pdf" TargetMode="External"/><Relationship Id="rId459" Type="http://schemas.openxmlformats.org/officeDocument/2006/relationships/hyperlink" Target="https://sigpeg.mrn.gouv.qc.ca/gpg/classes/ficheDescriptive?type=popup&amp;mode=fichePuits&amp;menu=puit&amp;table=GPG_ENTRE_PUITS&amp;cle=AZ63" TargetMode="External"/><Relationship Id="rId666" Type="http://schemas.openxmlformats.org/officeDocument/2006/relationships/hyperlink" Target="https://sigpeg.mrn.gouv.qc.ca/rapport/B213_insp_inactif_2019-09-03_Publique.pdf" TargetMode="External"/><Relationship Id="rId873" Type="http://schemas.openxmlformats.org/officeDocument/2006/relationships/hyperlink" Target="https://sigpeg.mrn.gouv.qc.ca/gpg/classes/ficheDescriptive?type=popup&amp;mode=fichePuits&amp;menu=puit&amp;table=GPG_ENTRE_PUITS&amp;cle=C066" TargetMode="External"/><Relationship Id="rId1089" Type="http://schemas.openxmlformats.org/officeDocument/2006/relationships/hyperlink" Target="https://sigpeg.mrn.gouv.qc.ca/rapport/A058_insp_inactif_2019-09-10_Publique.pdf" TargetMode="External"/><Relationship Id="rId1296" Type="http://schemas.openxmlformats.org/officeDocument/2006/relationships/hyperlink" Target="https://sigpeg.mrn.gouv.qc.ca/rapport/P_B131_inspection_2018-07-30_publique.pdf" TargetMode="External"/><Relationship Id="rId16" Type="http://schemas.openxmlformats.org/officeDocument/2006/relationships/hyperlink" Target="https://sigpeg.mrn.gouv.qc.ca/gpg/classes/ficheDescriptive?type=popup&amp;mode=fichePuits&amp;menu=puit&amp;table=GPG_ENTRE_PUITS&amp;cle=A119" TargetMode="External"/><Relationship Id="rId221" Type="http://schemas.openxmlformats.org/officeDocument/2006/relationships/hyperlink" Target="https://sigpeg.mrn.gouv.qc.ca/rapport/P_A220_inspection_2018-09-19_publique.pdf" TargetMode="External"/><Relationship Id="rId319" Type="http://schemas.openxmlformats.org/officeDocument/2006/relationships/hyperlink" Target="https://sigpeg.mrn.gouv.qc.ca/gpg/classes/ficheDescriptive?type=popup&amp;mode=fichePuits&amp;menu=puit&amp;table=GPG_ENTRE_PUITS&amp;cle=A075" TargetMode="External"/><Relationship Id="rId526" Type="http://schemas.openxmlformats.org/officeDocument/2006/relationships/hyperlink" Target="https://sigpeg.mrn.gouv.qc.ca/gpg/classes/ficheDescriptive?type=popup&amp;mode=fichePuits&amp;menu=puit&amp;table=GPG_ENTRE_PUITS&amp;cle=B045" TargetMode="External"/><Relationship Id="rId1156" Type="http://schemas.openxmlformats.org/officeDocument/2006/relationships/hyperlink" Target="https://sigpeg.mrn.gouv.qc.ca/gpg/classes/ficheDescriptive?type=popup&amp;mode=fichePuits&amp;menu=puit&amp;table=GPG_ENTRE_PUITS&amp;cle=A204" TargetMode="External"/><Relationship Id="rId1363" Type="http://schemas.openxmlformats.org/officeDocument/2006/relationships/hyperlink" Target="https://sigpeg.mrn.gouv.qc.ca/gpg/classes/ficheDescriptive?type=popup&amp;mode=fichePuits&amp;menu=puit&amp;table=GPG_ENTRE_PUITS&amp;cle=CS02" TargetMode="External"/><Relationship Id="rId733" Type="http://schemas.openxmlformats.org/officeDocument/2006/relationships/hyperlink" Target="https://sigpeg.mrn.gouv.qc.ca/rapport/B250_insp_inactif_2019-07-11_Publique.pdf" TargetMode="External"/><Relationship Id="rId940" Type="http://schemas.openxmlformats.org/officeDocument/2006/relationships/hyperlink" Target="https://sigpeg.mrn.gouv.qc.ca/rapport/P_CS29_inspection_2018-11-08_publique.pdf" TargetMode="External"/><Relationship Id="rId1016" Type="http://schemas.openxmlformats.org/officeDocument/2006/relationships/hyperlink" Target="https://sigpeg.mrn.gouv.qc.ca/gpg/classes/ficheDescriptive?type=popup&amp;mode=fichePuits&amp;menu=puit&amp;table=GPG_ENTRE_PUITS&amp;cle=GZ03" TargetMode="External"/><Relationship Id="rId165" Type="http://schemas.openxmlformats.org/officeDocument/2006/relationships/hyperlink" Target="https://sigpeg.mrn.gouv.qc.ca/gpg/classes/ficheDescriptive?type=popup&amp;mode=fichePuits&amp;menu=puit&amp;table=GPG_ENTRE_PUITS&amp;cle=C065" TargetMode="External"/><Relationship Id="rId372" Type="http://schemas.openxmlformats.org/officeDocument/2006/relationships/hyperlink" Target="https://sigpeg.mrn.gouv.qc.ca/rapport/P_A192_inspection_2018-10-08_publique.pdf" TargetMode="External"/><Relationship Id="rId677" Type="http://schemas.openxmlformats.org/officeDocument/2006/relationships/hyperlink" Target="https://sigpeg.mrn.gouv.qc.ca/gpg/classes/ficheDescriptive?type=popup&amp;mode=fichePuits&amp;menu=puit&amp;table=GPG_ENTRE_PUITS&amp;cle=B200" TargetMode="External"/><Relationship Id="rId800" Type="http://schemas.openxmlformats.org/officeDocument/2006/relationships/hyperlink" Target="https://sigpeg.mrn.gouv.qc.ca/rapport/C019_insp_inactif_2019-07-30_Publique.pdf" TargetMode="External"/><Relationship Id="rId1223" Type="http://schemas.openxmlformats.org/officeDocument/2006/relationships/hyperlink" Target="https://sigpeg.mrn.gouv.qc.ca/rapport/B100_insp_inactif_2019-10-03_Publique.pdf" TargetMode="External"/><Relationship Id="rId1430" Type="http://schemas.openxmlformats.org/officeDocument/2006/relationships/hyperlink" Target="https://sigpeg.mrn.gouv.qc.ca/gpg/classes/ficheDescriptive?type=popup&amp;mode=fichePuits&amp;menu=puit&amp;table=GPG_ENTRE_PUITS&amp;cle=CZ018" TargetMode="External"/><Relationship Id="rId232" Type="http://schemas.openxmlformats.org/officeDocument/2006/relationships/hyperlink" Target="https://sigpeg.mrn.gouv.qc.ca/rapport/A036_insp_inactif_2019-09-24_Publique.pdf" TargetMode="External"/><Relationship Id="rId884" Type="http://schemas.openxmlformats.org/officeDocument/2006/relationships/hyperlink" Target="https://sigpeg.mrn.gouv.qc.ca/rapport/C084_insp_inactif_2019-06-28_Publique.pdf" TargetMode="External"/><Relationship Id="rId27" Type="http://schemas.openxmlformats.org/officeDocument/2006/relationships/hyperlink" Target="https://sigpeg.mrn.gouv.qc.ca/gpg/classes/ficheDescriptive?type=popup&amp;mode=fichePuits&amp;menu=puit&amp;table=GPG_ENTRE_PUITS&amp;cle=A161" TargetMode="External"/><Relationship Id="rId537" Type="http://schemas.openxmlformats.org/officeDocument/2006/relationships/hyperlink" Target="https://sigpeg.mrn.gouv.qc.ca/gpg/classes/ficheDescriptive?type=popup&amp;mode=fichePuits&amp;menu=puit&amp;table=GPG_ENTRE_PUITS&amp;cle=B064" TargetMode="External"/><Relationship Id="rId744" Type="http://schemas.openxmlformats.org/officeDocument/2006/relationships/hyperlink" Target="https://sigpeg.mrn.gouv.qc.ca/rapport/P_B273_inspection_2018-10-09_publique.pdf" TargetMode="External"/><Relationship Id="rId951" Type="http://schemas.openxmlformats.org/officeDocument/2006/relationships/hyperlink" Target="https://sigpeg.mrn.gouv.qc.ca/rapport/P_CS48_inspection_2018-08-28_publique.pdf" TargetMode="External"/><Relationship Id="rId1167" Type="http://schemas.openxmlformats.org/officeDocument/2006/relationships/hyperlink" Target="https://sigpeg.mrn.gouv.qc.ca/gpg/classes/ficheDescriptive?type=popup&amp;mode=fichePuits&amp;menu=puit&amp;table=GPG_ENTRE_PUITS&amp;cle=AZ12" TargetMode="External"/><Relationship Id="rId1374" Type="http://schemas.openxmlformats.org/officeDocument/2006/relationships/hyperlink" Target="https://sigpeg.mrn.gouv.qc.ca/rapport/P_CS27_inspection_2018-07-30_publique.pdf" TargetMode="External"/><Relationship Id="rId80" Type="http://schemas.openxmlformats.org/officeDocument/2006/relationships/hyperlink" Target="https://sigpeg.mrn.gouv.qc.ca/rapport/P_C007_inspection_2018-10-30_publique.pdf" TargetMode="External"/><Relationship Id="rId176" Type="http://schemas.openxmlformats.org/officeDocument/2006/relationships/hyperlink" Target="https://sigpeg.mrn.gouv.qc.ca/gpg/classes/ficheDescriptive?type=popup&amp;mode=fichePuits&amp;menu=puit&amp;table=GPG_ENTRE_PUITS&amp;cle=C136" TargetMode="External"/><Relationship Id="rId383" Type="http://schemas.openxmlformats.org/officeDocument/2006/relationships/hyperlink" Target="https://sigpeg.mrn.gouv.qc.ca/rapport/A234_insp_inactif_2019-10-23_Publique.pdf" TargetMode="External"/><Relationship Id="rId590" Type="http://schemas.openxmlformats.org/officeDocument/2006/relationships/hyperlink" Target="https://sigpeg.mrn.gouv.qc.ca/rapport/B159_insp_inactif_2019-07-10_Publique.pdf" TargetMode="External"/><Relationship Id="rId604" Type="http://schemas.openxmlformats.org/officeDocument/2006/relationships/hyperlink" Target="https://sigpeg.mrn.gouv.qc.ca/rapport/B189_insp_inactif_2019-10-18_Publique.pdf" TargetMode="External"/><Relationship Id="rId811" Type="http://schemas.openxmlformats.org/officeDocument/2006/relationships/hyperlink" Target="https://sigpeg.mrn.gouv.qc.ca/rapport/C032_insp_inactif_2019-08-07_Publique.pdf" TargetMode="External"/><Relationship Id="rId1027" Type="http://schemas.openxmlformats.org/officeDocument/2006/relationships/hyperlink" Target="https://sigpeg.mrn.gouv.qc.ca/rapport/P_A043_inspection_2018-11-18_publique.pdf" TargetMode="External"/><Relationship Id="rId1234" Type="http://schemas.openxmlformats.org/officeDocument/2006/relationships/hyperlink" Target="https://sigpeg.mrn.gouv.qc.ca/gpg/classes/ficheDescriptive?type=popup&amp;mode=fichePuits&amp;menu=puit&amp;table=GPG_ENTRE_PUITS&amp;cle=AZ50" TargetMode="External"/><Relationship Id="rId1441" Type="http://schemas.openxmlformats.org/officeDocument/2006/relationships/hyperlink" Target="https://sigpeg.mrn.gouv.qc.ca/gpg/classes/ficheDescriptive?type=popup&amp;mode=fichePuits&amp;menu=puit&amp;table=GPG_ENTRE_PUITS&amp;cle=DZ012" TargetMode="External"/><Relationship Id="rId243" Type="http://schemas.openxmlformats.org/officeDocument/2006/relationships/hyperlink" Target="https://sigpeg.mrn.gouv.qc.ca/gpg/classes/ficheDescriptive?type=popup&amp;mode=fichePuits&amp;menu=puit&amp;table=GPG_ENTRE_PUITS&amp;cle=A010" TargetMode="External"/><Relationship Id="rId450" Type="http://schemas.openxmlformats.org/officeDocument/2006/relationships/hyperlink" Target="https://sigpeg.mrn.gouv.qc.ca/gpg/classes/ficheDescriptive?type=popup&amp;mode=fichePuits&amp;menu=puit&amp;table=GPG_ENTRE_PUITS&amp;cle=A236" TargetMode="External"/><Relationship Id="rId688" Type="http://schemas.openxmlformats.org/officeDocument/2006/relationships/hyperlink" Target="https://sigpeg.mrn.gouv.qc.ca/gpg/classes/ficheDescriptive?type=popup&amp;mode=fichePuits&amp;menu=puit&amp;table=GPG_ENTRE_PUITS&amp;cle=B213" TargetMode="External"/><Relationship Id="rId895" Type="http://schemas.openxmlformats.org/officeDocument/2006/relationships/hyperlink" Target="https://sigpeg.mrn.gouv.qc.ca/rapport/C118_insp_inactif_2019-07-26_Publique.pdf" TargetMode="External"/><Relationship Id="rId909" Type="http://schemas.openxmlformats.org/officeDocument/2006/relationships/hyperlink" Target="https://sigpeg.mrn.gouv.qc.ca/gpg/classes/ficheDescriptive?type=popup&amp;mode=fichePuits&amp;menu=puit&amp;table=GPG_ENTRE_PUITS&amp;cle=C079" TargetMode="External"/><Relationship Id="rId1080" Type="http://schemas.openxmlformats.org/officeDocument/2006/relationships/hyperlink" Target="https://sigpeg.mrn.gouv.qc.ca/rapport/P_A191_inspection_2018-11-09_publique.pdf" TargetMode="External"/><Relationship Id="rId1301" Type="http://schemas.openxmlformats.org/officeDocument/2006/relationships/hyperlink" Target="https://sigpeg.mrn.gouv.qc.ca/rapport/B162_insp_inactif_2019-08-27_Publique.pdf" TargetMode="External"/><Relationship Id="rId38" Type="http://schemas.openxmlformats.org/officeDocument/2006/relationships/hyperlink" Target="https://sigpeg.mrn.gouv.qc.ca/rapport/A105_insp_inactif_2019-09-16_Publique.pdf" TargetMode="External"/><Relationship Id="rId103" Type="http://schemas.openxmlformats.org/officeDocument/2006/relationships/hyperlink" Target="https://sigpeg.mrn.gouv.qc.ca/rapport/P_C102_inspection_2018-10-31_publique.pdf" TargetMode="External"/><Relationship Id="rId310" Type="http://schemas.openxmlformats.org/officeDocument/2006/relationships/hyperlink" Target="https://sigpeg.mrn.gouv.qc.ca/gpg/classes/ficheDescriptive?type=popup&amp;mode=fichePuits&amp;menu=puit&amp;table=GPG_ENTRE_PUITS&amp;cle=A065" TargetMode="External"/><Relationship Id="rId548" Type="http://schemas.openxmlformats.org/officeDocument/2006/relationships/hyperlink" Target="https://sigpeg.mrn.gouv.qc.ca/rapport/P_B079_inspection_2018-10-10_publique.pdf" TargetMode="External"/><Relationship Id="rId755" Type="http://schemas.openxmlformats.org/officeDocument/2006/relationships/hyperlink" Target="https://sigpeg.mrn.gouv.qc.ca/rapport/BZ07_insp_inactif_2019-10-08_Publique.pdf" TargetMode="External"/><Relationship Id="rId962" Type="http://schemas.openxmlformats.org/officeDocument/2006/relationships/hyperlink" Target="https://sigpeg.mrn.gouv.qc.ca/rapport/D016_insp_inactif_2019-06-29_Publique.pdf" TargetMode="External"/><Relationship Id="rId1178" Type="http://schemas.openxmlformats.org/officeDocument/2006/relationships/hyperlink" Target="https://sigpeg.mrn.gouv.qc.ca/rapport/AZ29_insp_inactif_2019-07-23_Publique.pdf" TargetMode="External"/><Relationship Id="rId1385" Type="http://schemas.openxmlformats.org/officeDocument/2006/relationships/hyperlink" Target="https://sigpeg.mrn.gouv.qc.ca/rapport/E004_insp_inactif_2019-08-21_Publique.pdf" TargetMode="External"/><Relationship Id="rId91" Type="http://schemas.openxmlformats.org/officeDocument/2006/relationships/hyperlink" Target="https://sigpeg.mrn.gouv.qc.ca/rapport/C047_insp_inactif_2019-07-18_Publique%20(2).pdf" TargetMode="External"/><Relationship Id="rId187" Type="http://schemas.openxmlformats.org/officeDocument/2006/relationships/hyperlink" Target="https://sigpeg.mrn.gouv.qc.ca/rapport/P_B165_inspection_2018-07-18_publique.pdf" TargetMode="External"/><Relationship Id="rId394" Type="http://schemas.openxmlformats.org/officeDocument/2006/relationships/hyperlink" Target="https://sigpeg.mrn.gouv.qc.ca/gpg/classes/ficheDescriptive?type=popup&amp;mode=fichePuits&amp;menu=puit&amp;table=GPG_ENTRE_PUITS&amp;cle=A124" TargetMode="External"/><Relationship Id="rId408" Type="http://schemas.openxmlformats.org/officeDocument/2006/relationships/hyperlink" Target="https://sigpeg.mrn.gouv.qc.ca/gpg/classes/ficheDescriptive?type=popup&amp;mode=fichePuits&amp;menu=puit&amp;table=GPG_ENTRE_PUITS&amp;cle=A154" TargetMode="External"/><Relationship Id="rId615" Type="http://schemas.openxmlformats.org/officeDocument/2006/relationships/hyperlink" Target="https://sigpeg.mrn.gouv.qc.ca/gpg/classes/ficheDescriptive?type=popup&amp;mode=fichePuits&amp;menu=puit&amp;table=GPG_ENTRE_PUITS&amp;cle=B129" TargetMode="External"/><Relationship Id="rId822" Type="http://schemas.openxmlformats.org/officeDocument/2006/relationships/hyperlink" Target="https://sigpeg.mrn.gouv.qc.ca/rapport/P_C053_inspection_2018-08-26_publique.pdf" TargetMode="External"/><Relationship Id="rId1038" Type="http://schemas.openxmlformats.org/officeDocument/2006/relationships/hyperlink" Target="https://sigpeg.mrn.gouv.qc.ca/rapport/A107_insp_inactif_2019-10-08_Publique.pdf" TargetMode="External"/><Relationship Id="rId1245" Type="http://schemas.openxmlformats.org/officeDocument/2006/relationships/hyperlink" Target="https://sigpeg.mrn.gouv.qc.ca/gpg/classes/ficheDescriptive?type=popup&amp;mode=fichePuits&amp;menu=puit&amp;table=GPG_ENTRE_PUITS&amp;cle=AZ68" TargetMode="External"/><Relationship Id="rId1452" Type="http://schemas.openxmlformats.org/officeDocument/2006/relationships/hyperlink" Target="https://sigpeg.mrn.gouv.qc.ca/gpg/classes/ficheDescriptive?type=popup&amp;mode=fichePuits&amp;menu=puit&amp;table=GPG_ENTRE_PUITS&amp;cle=DZ001" TargetMode="External"/><Relationship Id="rId254" Type="http://schemas.openxmlformats.org/officeDocument/2006/relationships/hyperlink" Target="https://sigpeg.mrn.gouv.qc.ca/rapport/P_A006_inspection_2018-11-01_publique.pdf" TargetMode="External"/><Relationship Id="rId699" Type="http://schemas.openxmlformats.org/officeDocument/2006/relationships/hyperlink" Target="https://sigpeg.mrn.gouv.qc.ca/gpg/classes/ficheDescriptive?type=popup&amp;mode=fichePuits&amp;menu=puit&amp;table=GPG_ENTRE_PUITS&amp;cle=B226" TargetMode="External"/><Relationship Id="rId1091" Type="http://schemas.openxmlformats.org/officeDocument/2006/relationships/hyperlink" Target="https://sigpeg.mrn.gouv.qc.ca/rapport/A060_insp_inactif_2019-06-11_Publique.pdf" TargetMode="External"/><Relationship Id="rId1105" Type="http://schemas.openxmlformats.org/officeDocument/2006/relationships/hyperlink" Target="https://sigpeg.mrn.gouv.qc.ca/rapport/A204_insp_inactif_2019-11-14_Publique.pdf" TargetMode="External"/><Relationship Id="rId1312" Type="http://schemas.openxmlformats.org/officeDocument/2006/relationships/hyperlink" Target="https://sigpeg.mrn.gouv.qc.ca/rapport/P_C105_inspection_2018-11-04_publique.pdf" TargetMode="External"/><Relationship Id="rId49" Type="http://schemas.openxmlformats.org/officeDocument/2006/relationships/hyperlink" Target="https://sigpeg.mrn.gouv.qc.ca/rapport/A214_insp_inactif_2019-09-12_Publique.pdf" TargetMode="External"/><Relationship Id="rId114" Type="http://schemas.openxmlformats.org/officeDocument/2006/relationships/hyperlink" Target="https://sigpeg.mrn.gouv.qc.ca/rapport/CS34_insp_inactif_2019-08-15_Publique.pdf" TargetMode="External"/><Relationship Id="rId461" Type="http://schemas.openxmlformats.org/officeDocument/2006/relationships/hyperlink" Target="https://sigpeg.mrn.gouv.qc.ca/rapport/B003_insp_inactif_2019-09-28_Publique.pdf" TargetMode="External"/><Relationship Id="rId559" Type="http://schemas.openxmlformats.org/officeDocument/2006/relationships/hyperlink" Target="https://sigpeg.mrn.gouv.qc.ca/gpg/classes/ficheDescriptive?type=popup&amp;mode=fichePuits&amp;menu=puit&amp;table=GPG_ENTRE_PUITS&amp;cle=B080" TargetMode="External"/><Relationship Id="rId766" Type="http://schemas.openxmlformats.org/officeDocument/2006/relationships/hyperlink" Target="https://sigpeg.mrn.gouv.qc.ca/gpg/classes/ficheDescriptive?type=popup&amp;mode=fichePuits&amp;menu=puit&amp;table=GPG_ENTRE_PUITS&amp;cle=B274" TargetMode="External"/><Relationship Id="rId1189" Type="http://schemas.openxmlformats.org/officeDocument/2006/relationships/hyperlink" Target="https://sigpeg.mrn.gouv.qc.ca/rapport/AZ61_insp_inactif_2019-10-30_Publique.pdf" TargetMode="External"/><Relationship Id="rId1396" Type="http://schemas.openxmlformats.org/officeDocument/2006/relationships/hyperlink" Target="https://sigpeg.mrn.gouv.qc.ca/gpg/classes/ficheDescriptive?type=popup&amp;mode=fichePuits&amp;menu=puit&amp;table=GPG_ENTRE_PUITS&amp;cle=CS23" TargetMode="External"/><Relationship Id="rId198" Type="http://schemas.openxmlformats.org/officeDocument/2006/relationships/hyperlink" Target="https://sigpeg.mrn.gouv.qc.ca/rapport/A098_insp_inactif_2019-06-19_Publique.pdf" TargetMode="External"/><Relationship Id="rId321" Type="http://schemas.openxmlformats.org/officeDocument/2006/relationships/hyperlink" Target="https://sigpeg.mrn.gouv.qc.ca/gpg/classes/ficheDescriptive?type=popup&amp;mode=fichePuits&amp;menu=puit&amp;table=GPG_ENTRE_PUITS&amp;cle=A079" TargetMode="External"/><Relationship Id="rId419" Type="http://schemas.openxmlformats.org/officeDocument/2006/relationships/hyperlink" Target="https://sigpeg.mrn.gouv.qc.ca/gpg/classes/ficheDescriptive?type=popup&amp;mode=fichePuits&amp;menu=puit&amp;table=GPG_ENTRE_PUITS&amp;cle=A176" TargetMode="External"/><Relationship Id="rId626" Type="http://schemas.openxmlformats.org/officeDocument/2006/relationships/hyperlink" Target="https://sigpeg.mrn.gouv.qc.ca/gpg/classes/ficheDescriptive?type=popup&amp;mode=fichePuits&amp;menu=puit&amp;table=GPG_ENTRE_PUITS&amp;cle=B146" TargetMode="External"/><Relationship Id="rId973" Type="http://schemas.openxmlformats.org/officeDocument/2006/relationships/hyperlink" Target="https://sigpeg.mrn.gouv.qc.ca/rapport/P_F005_inspection_2018-09-25_publique.pdf" TargetMode="External"/><Relationship Id="rId1049" Type="http://schemas.openxmlformats.org/officeDocument/2006/relationships/hyperlink" Target="https://sigpeg.mrn.gouv.qc.ca/gpg/classes/ficheDescriptive?type=popup&amp;mode=fichePuits&amp;menu=puit&amp;table=GPG_ENTRE_PUITS&amp;cle=A002" TargetMode="External"/><Relationship Id="rId1256" Type="http://schemas.openxmlformats.org/officeDocument/2006/relationships/hyperlink" Target="https://sigpeg.mrn.gouv.qc.ca/gpg/classes/ficheDescriptive?type=popup&amp;mode=fichePuits&amp;menu=puit&amp;table=GPG_ENTRE_PUITS&amp;cle=B062" TargetMode="External"/><Relationship Id="rId833" Type="http://schemas.openxmlformats.org/officeDocument/2006/relationships/hyperlink" Target="https://sigpeg.mrn.gouv.qc.ca/gpg/classes/ficheDescriptive?type=popup&amp;mode=fichePuits&amp;menu=puit&amp;table=GPG_ENTRE_PUITS&amp;cle=C009" TargetMode="External"/><Relationship Id="rId1116" Type="http://schemas.openxmlformats.org/officeDocument/2006/relationships/hyperlink" Target="https://sigpeg.mrn.gouv.qc.ca/rapport/AZ12_insp_inactif_2019-09-09_Publique.pdf" TargetMode="External"/><Relationship Id="rId265" Type="http://schemas.openxmlformats.org/officeDocument/2006/relationships/hyperlink" Target="https://sigpeg.mrn.gouv.qc.ca/rapport/P_A028_inspection_2018-10-03_publique.pdf" TargetMode="External"/><Relationship Id="rId472" Type="http://schemas.openxmlformats.org/officeDocument/2006/relationships/hyperlink" Target="https://sigpeg.mrn.gouv.qc.ca/rapport/B015_insp_inactif_2019-09-30_Publique.pdf" TargetMode="External"/><Relationship Id="rId900" Type="http://schemas.openxmlformats.org/officeDocument/2006/relationships/hyperlink" Target="https://sigpeg.mrn.gouv.qc.ca/rapport/C128_insp_inactif_2018-09-25_Publique.pdf" TargetMode="External"/><Relationship Id="rId1323" Type="http://schemas.openxmlformats.org/officeDocument/2006/relationships/hyperlink" Target="https://sigpeg.mrn.gouv.qc.ca/gpg/classes/ficheDescriptive?type=popup&amp;mode=fichePuits&amp;menu=puit&amp;table=GPG_ENTRE_PUITS&amp;cle=B108" TargetMode="External"/><Relationship Id="rId125" Type="http://schemas.openxmlformats.org/officeDocument/2006/relationships/hyperlink" Target="https://sigpeg.mrn.gouv.qc.ca/gpg/classes/ficheDescriptive?type=popup&amp;mode=fichePuits&amp;menu=puit&amp;table=GPG_ENTRE_PUITS&amp;cle=B060" TargetMode="External"/><Relationship Id="rId332" Type="http://schemas.openxmlformats.org/officeDocument/2006/relationships/hyperlink" Target="https://sigpeg.mrn.gouv.qc.ca/gpg/classes/ficheDescriptive?type=popup&amp;mode=fichePuits&amp;menu=puit&amp;table=GPG_ENTRE_PUITS&amp;cle=A098" TargetMode="External"/><Relationship Id="rId777" Type="http://schemas.openxmlformats.org/officeDocument/2006/relationships/hyperlink" Target="https://sigpeg.mrn.gouv.qc.ca/gpg/classes/ficheDescriptive?type=popup&amp;mode=fichePuits&amp;menu=puit&amp;table=GPG_ENTRE_PUITS&amp;cle=BZ08" TargetMode="External"/><Relationship Id="rId984" Type="http://schemas.openxmlformats.org/officeDocument/2006/relationships/hyperlink" Target="https://sigpeg.mrn.gouv.qc.ca/gpg/classes/ficheDescriptive?type=popup&amp;mode=fichePuits&amp;menu=puit&amp;table=GPG_ENTRE_PUITS&amp;cle=CS38" TargetMode="External"/><Relationship Id="rId637" Type="http://schemas.openxmlformats.org/officeDocument/2006/relationships/hyperlink" Target="https://sigpeg.mrn.gouv.qc.ca/gpg/classes/ficheDescriptive?type=popup&amp;mode=fichePuits&amp;menu=puit&amp;table=GPG_ENTRE_PUITS&amp;cle=B161" TargetMode="External"/><Relationship Id="rId844" Type="http://schemas.openxmlformats.org/officeDocument/2006/relationships/hyperlink" Target="https://sigpeg.mrn.gouv.qc.ca/gpg/classes/ficheDescriptive?type=popup&amp;mode=fichePuits&amp;menu=puit&amp;table=GPG_ENTRE_PUITS&amp;cle=C020" TargetMode="External"/><Relationship Id="rId1267" Type="http://schemas.openxmlformats.org/officeDocument/2006/relationships/hyperlink" Target="https://sigpeg.mrn.gouv.qc.ca/gpg/classes/ficheDescriptive?type=popup&amp;mode=fichePuits&amp;menu=puit&amp;table=GPG_ENTRE_PUITS&amp;cle=B094" TargetMode="External"/><Relationship Id="rId276" Type="http://schemas.openxmlformats.org/officeDocument/2006/relationships/hyperlink" Target="https://sigpeg.mrn.gouv.qc.ca/rapport/A062_insp_inactif_2019-06-27_Publique.pdf" TargetMode="External"/><Relationship Id="rId483" Type="http://schemas.openxmlformats.org/officeDocument/2006/relationships/hyperlink" Target="https://sigpeg.mrn.gouv.qc.ca/rapport/P_B041_inspection_2018-10-25_publique.pdf" TargetMode="External"/><Relationship Id="rId690" Type="http://schemas.openxmlformats.org/officeDocument/2006/relationships/hyperlink" Target="https://sigpeg.mrn.gouv.qc.ca/gpg/classes/ficheDescriptive?type=popup&amp;mode=fichePuits&amp;menu=puit&amp;table=GPG_ENTRE_PUITS&amp;cle=B215" TargetMode="External"/><Relationship Id="rId704" Type="http://schemas.openxmlformats.org/officeDocument/2006/relationships/hyperlink" Target="https://sigpeg.mrn.gouv.qc.ca/gpg/classes/ficheDescriptive?type=popup&amp;mode=fichePuits&amp;menu=puit&amp;table=GPG_ENTRE_PUITS&amp;cle=B231" TargetMode="External"/><Relationship Id="rId911" Type="http://schemas.openxmlformats.org/officeDocument/2006/relationships/hyperlink" Target="https://sigpeg.mrn.gouv.qc.ca/gpg/classes/ficheDescriptive?type=popup&amp;mode=fichePuits&amp;menu=puit&amp;table=GPG_ENTRE_PUITS&amp;cle=C081" TargetMode="External"/><Relationship Id="rId1127" Type="http://schemas.openxmlformats.org/officeDocument/2006/relationships/hyperlink" Target="https://sigpeg.mrn.gouv.qc.ca/gpg/classes/ficheDescriptive?type=popup&amp;mode=fichePuits&amp;menu=puit&amp;table=GPG_ENTRE_PUITS&amp;cle=A019" TargetMode="External"/><Relationship Id="rId1334" Type="http://schemas.openxmlformats.org/officeDocument/2006/relationships/hyperlink" Target="https://sigpeg.mrn.gouv.qc.ca/gpg/classes/ficheDescriptive?type=popup&amp;mode=fichePuits&amp;menu=puit&amp;table=GPG_ENTRE_PUITS&amp;cle=B121" TargetMode="External"/><Relationship Id="rId40" Type="http://schemas.openxmlformats.org/officeDocument/2006/relationships/hyperlink" Target="https://sigpeg.mrn.gouv.qc.ca/rapport/P_A131_inspection_2018-10-29_publique.pdf" TargetMode="External"/><Relationship Id="rId136" Type="http://schemas.openxmlformats.org/officeDocument/2006/relationships/hyperlink" Target="https://sigpeg.mrn.gouv.qc.ca/gpg/classes/ficheDescriptive?type=popup&amp;mode=fichePuits&amp;menu=puit&amp;table=GPG_ENTRE_PUITS&amp;cle=B220" TargetMode="External"/><Relationship Id="rId343" Type="http://schemas.openxmlformats.org/officeDocument/2006/relationships/hyperlink" Target="https://sigpeg.mrn.gouv.qc.ca/gpg/classes/ficheDescriptive?type=popup&amp;mode=fichePuits&amp;menu=puit&amp;table=GPG_ENTRE_PUITS&amp;cle=A120" TargetMode="External"/><Relationship Id="rId550" Type="http://schemas.openxmlformats.org/officeDocument/2006/relationships/hyperlink" Target="https://sigpeg.mrn.gouv.qc.ca/gpg/classes/ficheDescriptive?type=popup&amp;mode=fichePuits&amp;menu=puit&amp;table=GPG_ENTRE_PUITS&amp;cle=B068" TargetMode="External"/><Relationship Id="rId788" Type="http://schemas.openxmlformats.org/officeDocument/2006/relationships/hyperlink" Target="https://sigpeg.mrn.gouv.qc.ca/rapport/P_C005_inspection_2018-10-30_publique.pdf" TargetMode="External"/><Relationship Id="rId995" Type="http://schemas.openxmlformats.org/officeDocument/2006/relationships/hyperlink" Target="https://sigpeg.mrn.gouv.qc.ca/gpg/classes/ficheDescriptive?type=popup&amp;mode=fichePuits&amp;menu=puit&amp;table=GPG_ENTRE_PUITS&amp;cle=D003" TargetMode="External"/><Relationship Id="rId1180" Type="http://schemas.openxmlformats.org/officeDocument/2006/relationships/hyperlink" Target="https://sigpeg.mrn.gouv.qc.ca/rapport/AZ41_insp_inactif_2019-07-23_Publique.pdf" TargetMode="External"/><Relationship Id="rId1401" Type="http://schemas.openxmlformats.org/officeDocument/2006/relationships/hyperlink" Target="https://sigpeg.mrn.gouv.qc.ca/gpg/classes/ficheDescriptive?type=popup&amp;mode=fichePuits&amp;menu=puit&amp;table=GPG_ENTRE_PUITS&amp;cle=CS33" TargetMode="External"/><Relationship Id="rId203" Type="http://schemas.openxmlformats.org/officeDocument/2006/relationships/hyperlink" Target="https://sigpeg.mrn.gouv.qc.ca/rapport/A115_insp_inactif_2019-11-21_Publique.pdf" TargetMode="External"/><Relationship Id="rId648" Type="http://schemas.openxmlformats.org/officeDocument/2006/relationships/hyperlink" Target="https://sigpeg.mrn.gouv.qc.ca/gpg/classes/ficheDescriptive?type=popup&amp;mode=fichePuits&amp;menu=puit&amp;table=GPG_ENTRE_PUITS&amp;cle=B184" TargetMode="External"/><Relationship Id="rId855" Type="http://schemas.openxmlformats.org/officeDocument/2006/relationships/hyperlink" Target="https://sigpeg.mrn.gouv.qc.ca/gpg/classes/ficheDescriptive?type=popup&amp;mode=fichePuits&amp;menu=puit&amp;table=GPG_ENTRE_PUITS&amp;cle=C032" TargetMode="External"/><Relationship Id="rId1040" Type="http://schemas.openxmlformats.org/officeDocument/2006/relationships/hyperlink" Target="https://sigpeg.mrn.gouv.qc.ca/rapport/A111_insp_inactif_2019-07-17_Publique.pdf" TargetMode="External"/><Relationship Id="rId1278" Type="http://schemas.openxmlformats.org/officeDocument/2006/relationships/hyperlink" Target="https://sigpeg.mrn.gouv.qc.ca/rapport/B107_insp_inactif_2019-09-26_Publique.pdf" TargetMode="External"/><Relationship Id="rId287" Type="http://schemas.openxmlformats.org/officeDocument/2006/relationships/hyperlink" Target="https://sigpeg.mrn.gouv.qc.ca/rapport/A086_insp_inactif_2019-11-13_Publique.pdf" TargetMode="External"/><Relationship Id="rId410" Type="http://schemas.openxmlformats.org/officeDocument/2006/relationships/hyperlink" Target="https://sigpeg.mrn.gouv.qc.ca/gpg/classes/ficheDescriptive?type=popup&amp;mode=fichePuits&amp;menu=puit&amp;table=GPG_ENTRE_PUITS&amp;cle=A159" TargetMode="External"/><Relationship Id="rId494" Type="http://schemas.openxmlformats.org/officeDocument/2006/relationships/hyperlink" Target="https://sigpeg.mrn.gouv.qc.ca/rapport/P_B058_inspection_2018-09-18_publique.pdf" TargetMode="External"/><Relationship Id="rId508" Type="http://schemas.openxmlformats.org/officeDocument/2006/relationships/hyperlink" Target="https://sigpeg.mrn.gouv.qc.ca/gpg/classes/ficheDescriptive?type=popup&amp;mode=fichePuits&amp;menu=puit&amp;table=GPG_ENTRE_PUITS&amp;cle=B009" TargetMode="External"/><Relationship Id="rId715" Type="http://schemas.openxmlformats.org/officeDocument/2006/relationships/hyperlink" Target="https://sigpeg.mrn.gouv.qc.ca/gpg/classes/ficheDescriptive?type=popup&amp;mode=fichePuits&amp;menu=puit&amp;table=GPG_ENTRE_PUITS&amp;cle=B242" TargetMode="External"/><Relationship Id="rId922" Type="http://schemas.openxmlformats.org/officeDocument/2006/relationships/hyperlink" Target="https://sigpeg.mrn.gouv.qc.ca/gpg/classes/ficheDescriptive?type=popup&amp;mode=fichePuits&amp;menu=puit&amp;table=GPG_ENTRE_PUITS&amp;cle=C096" TargetMode="External"/><Relationship Id="rId1138" Type="http://schemas.openxmlformats.org/officeDocument/2006/relationships/hyperlink" Target="https://sigpeg.mrn.gouv.qc.ca/gpg/classes/ficheDescriptive?type=popup&amp;mode=fichePuits&amp;menu=puit&amp;table=GPG_ENTRE_PUITS&amp;cle=A087" TargetMode="External"/><Relationship Id="rId1345" Type="http://schemas.openxmlformats.org/officeDocument/2006/relationships/hyperlink" Target="https://sigpeg.mrn.gouv.qc.ca/gpg/classes/ficheDescriptive?type=popup&amp;mode=fichePuits&amp;menu=puit&amp;table=GPG_ENTRE_PUITS&amp;cle=B162" TargetMode="External"/><Relationship Id="rId147" Type="http://schemas.openxmlformats.org/officeDocument/2006/relationships/hyperlink" Target="https://sigpeg.mrn.gouv.qc.ca/gpg/classes/ficheDescriptive?type=popup&amp;mode=fichePuits&amp;menu=puit&amp;table=GPG_ENTRE_PUITS&amp;cle=C007" TargetMode="External"/><Relationship Id="rId354" Type="http://schemas.openxmlformats.org/officeDocument/2006/relationships/hyperlink" Target="https://sigpeg.mrn.gouv.qc.ca/rapport/A154_insp_inactif_2019-10-23_Publique.pdf" TargetMode="External"/><Relationship Id="rId799" Type="http://schemas.openxmlformats.org/officeDocument/2006/relationships/hyperlink" Target="https://sigpeg.mrn.gouv.qc.ca/rapport/C020_insp_inactif_2019-08-01_Publique.pdf" TargetMode="External"/><Relationship Id="rId1191" Type="http://schemas.openxmlformats.org/officeDocument/2006/relationships/hyperlink" Target="https://sigpeg.mrn.gouv.qc.ca/rapport/AZ64_insp_inactif_2019-07-18_Publique.pdf" TargetMode="External"/><Relationship Id="rId1205" Type="http://schemas.openxmlformats.org/officeDocument/2006/relationships/hyperlink" Target="https://sigpeg.mrn.gouv.qc.ca/rapport/B049_insp_inactif_2019-10-30_Publique.pdf" TargetMode="External"/><Relationship Id="rId51" Type="http://schemas.openxmlformats.org/officeDocument/2006/relationships/hyperlink" Target="https://sigpeg.mrn.gouv.qc.ca/rapport/A229_insp_inactif_2019-07-09_Publique.pdf" TargetMode="External"/><Relationship Id="rId561" Type="http://schemas.openxmlformats.org/officeDocument/2006/relationships/hyperlink" Target="https://sigpeg.mrn.gouv.qc.ca/rapport/P_B089_inspection_2018-09-28_publique.pdf" TargetMode="External"/><Relationship Id="rId659" Type="http://schemas.openxmlformats.org/officeDocument/2006/relationships/hyperlink" Target="https://sigpeg.mrn.gouv.qc.ca/rapport/B197_insp_inactif_2019-11-05_Publique.pdf" TargetMode="External"/><Relationship Id="rId866" Type="http://schemas.openxmlformats.org/officeDocument/2006/relationships/hyperlink" Target="https://sigpeg.mrn.gouv.qc.ca/gpg/classes/ficheDescriptive?type=popup&amp;mode=fichePuits&amp;menu=puit&amp;table=GPG_ENTRE_PUITS&amp;cle=C053" TargetMode="External"/><Relationship Id="rId1289" Type="http://schemas.openxmlformats.org/officeDocument/2006/relationships/hyperlink" Target="https://sigpeg.mrn.gouv.qc.ca/rapport/P_B120_inspection_2018-09-05_publique.pdf" TargetMode="External"/><Relationship Id="rId1412" Type="http://schemas.openxmlformats.org/officeDocument/2006/relationships/hyperlink" Target="https://sigpeg.mrn.gouv.qc.ca/gpg/classes/ficheDescriptive?type=popup&amp;mode=fichePuits&amp;menu=puit&amp;table=GPG_ENTRE_PUITS&amp;cle=E009" TargetMode="External"/><Relationship Id="rId214" Type="http://schemas.openxmlformats.org/officeDocument/2006/relationships/hyperlink" Target="https://sigpeg.mrn.gouv.qc.ca/rapport/P_A210_inspection_2018-09-19_publique.pdf" TargetMode="External"/><Relationship Id="rId298" Type="http://schemas.openxmlformats.org/officeDocument/2006/relationships/hyperlink" Target="https://sigpeg.mrn.gouv.qc.ca/gpg/classes/ficheDescriptive?type=popup&amp;mode=fichePuits&amp;menu=puit&amp;table=GPG_ENTRE_PUITS&amp;cle=A035" TargetMode="External"/><Relationship Id="rId421" Type="http://schemas.openxmlformats.org/officeDocument/2006/relationships/hyperlink" Target="https://sigpeg.mrn.gouv.qc.ca/gpg/classes/ficheDescriptive?type=popup&amp;mode=fichePuits&amp;menu=puit&amp;table=GPG_ENTRE_PUITS&amp;cle=A181" TargetMode="External"/><Relationship Id="rId519" Type="http://schemas.openxmlformats.org/officeDocument/2006/relationships/hyperlink" Target="https://sigpeg.mrn.gouv.qc.ca/gpg/classes/ficheDescriptive?type=popup&amp;mode=fichePuits&amp;menu=puit&amp;table=GPG_ENTRE_PUITS&amp;cle=B030" TargetMode="External"/><Relationship Id="rId1051" Type="http://schemas.openxmlformats.org/officeDocument/2006/relationships/hyperlink" Target="https://sigpeg.mrn.gouv.qc.ca/gpg/classes/ficheDescriptive?type=popup&amp;mode=fichePuits&amp;menu=puit&amp;table=GPG_ENTRE_PUITS&amp;cle=A023" TargetMode="External"/><Relationship Id="rId1149" Type="http://schemas.openxmlformats.org/officeDocument/2006/relationships/hyperlink" Target="https://sigpeg.mrn.gouv.qc.ca/gpg/classes/ficheDescriptive?type=popup&amp;mode=fichePuits&amp;menu=puit&amp;table=GPG_ENTRE_PUITS&amp;cle=A166" TargetMode="External"/><Relationship Id="rId1356" Type="http://schemas.openxmlformats.org/officeDocument/2006/relationships/hyperlink" Target="https://sigpeg.mrn.gouv.qc.ca/gpg/classes/ficheDescriptive?type=popup&amp;mode=fichePuits&amp;menu=puit&amp;table=GPG_ENTRE_PUITS&amp;cle=C104" TargetMode="External"/><Relationship Id="rId158" Type="http://schemas.openxmlformats.org/officeDocument/2006/relationships/hyperlink" Target="https://sigpeg.mrn.gouv.qc.ca/gpg/classes/ficheDescriptive?type=popup&amp;mode=fichePuits&amp;menu=puit&amp;table=GPG_ENTRE_PUITS&amp;cle=C047" TargetMode="External"/><Relationship Id="rId726" Type="http://schemas.openxmlformats.org/officeDocument/2006/relationships/hyperlink" Target="https://sigpeg.mrn.gouv.qc.ca/gpg/classes/ficheDescriptive?type=popup&amp;mode=fichePuits&amp;menu=puit&amp;table=GPG_ENTRE_PUITS&amp;cle=B254" TargetMode="External"/><Relationship Id="rId933" Type="http://schemas.openxmlformats.org/officeDocument/2006/relationships/hyperlink" Target="https://sigpeg.mrn.gouv.qc.ca/gpg/classes/ficheDescriptive?type=popup&amp;mode=fichePuits&amp;menu=puit&amp;table=GPG_ENTRE_PUITS&amp;cle=C128" TargetMode="External"/><Relationship Id="rId1009" Type="http://schemas.openxmlformats.org/officeDocument/2006/relationships/hyperlink" Target="https://sigpeg.mrn.gouv.qc.ca/gpg/classes/ficheDescriptive?type=popup&amp;mode=fichePuits&amp;menu=puit&amp;table=GPG_ENTRE_PUITS&amp;cle=E012" TargetMode="External"/><Relationship Id="rId62" Type="http://schemas.openxmlformats.org/officeDocument/2006/relationships/hyperlink" Target="https://sigpeg.mrn.gouv.qc.ca/rapport/B141_insp_inactif_2019-06-18_Publique.pdf" TargetMode="External"/><Relationship Id="rId365" Type="http://schemas.openxmlformats.org/officeDocument/2006/relationships/hyperlink" Target="https://sigpeg.mrn.gouv.qc.ca/rapport/P_A174_inspection_2018-08-15_publique.pdf" TargetMode="External"/><Relationship Id="rId572" Type="http://schemas.openxmlformats.org/officeDocument/2006/relationships/hyperlink" Target="https://sigpeg.mrn.gouv.qc.ca/rapport/B135_insp_inactif_2019-11-19_Publique.pdf" TargetMode="External"/><Relationship Id="rId1216" Type="http://schemas.openxmlformats.org/officeDocument/2006/relationships/hyperlink" Target="https://sigpeg.mrn.gouv.qc.ca/rapport/B093_insp_inactif_2019-08-27_Publique.pdf" TargetMode="External"/><Relationship Id="rId1423" Type="http://schemas.openxmlformats.org/officeDocument/2006/relationships/hyperlink" Target="https://sigpeg.mrn.gouv.qc.ca/gpg/classes/ficheDescriptive?type=popup&amp;mode=fichePuits&amp;menu=puit&amp;table=GPG_ENTRE_PUITS&amp;cle=CZ007" TargetMode="External"/><Relationship Id="rId225" Type="http://schemas.openxmlformats.org/officeDocument/2006/relationships/hyperlink" Target="https://sigpeg.mrn.gouv.qc.ca/rapport/B188_insp_inactif_2019-07-09_Publique%20(2).pdf" TargetMode="External"/><Relationship Id="rId432" Type="http://schemas.openxmlformats.org/officeDocument/2006/relationships/hyperlink" Target="https://sigpeg.mrn.gouv.qc.ca/gpg/classes/ficheDescriptive?type=popup&amp;mode=fichePuits&amp;menu=puit&amp;table=GPG_ENTRE_PUITS&amp;cle=A203" TargetMode="External"/><Relationship Id="rId877" Type="http://schemas.openxmlformats.org/officeDocument/2006/relationships/hyperlink" Target="https://sigpeg.mrn.gouv.qc.ca/rapport/P_C077_inspection_2018-08-30_publique.pdf" TargetMode="External"/><Relationship Id="rId1062" Type="http://schemas.openxmlformats.org/officeDocument/2006/relationships/hyperlink" Target="https://sigpeg.mrn.gouv.qc.ca/gpg/classes/ficheDescriptive?type=popup&amp;mode=fichePuits&amp;menu=puit&amp;table=GPG_ENTRE_PUITS&amp;cle=A076" TargetMode="External"/><Relationship Id="rId737" Type="http://schemas.openxmlformats.org/officeDocument/2006/relationships/hyperlink" Target="https://sigpeg.mrn.gouv.qc.ca/rapport/B256_insp_inactif_2019-05-30_Publique.pdf" TargetMode="External"/><Relationship Id="rId944" Type="http://schemas.openxmlformats.org/officeDocument/2006/relationships/hyperlink" Target="https://sigpeg.mrn.gouv.qc.ca/rapport/P_CS38_inspection_2018-08-29_publique.pdf" TargetMode="External"/><Relationship Id="rId1367" Type="http://schemas.openxmlformats.org/officeDocument/2006/relationships/hyperlink" Target="https://sigpeg.mrn.gouv.qc.ca/rapport/P_CS14_inspection_2018-08-29_publique.pdf" TargetMode="External"/><Relationship Id="rId73" Type="http://schemas.openxmlformats.org/officeDocument/2006/relationships/hyperlink" Target="https://sigpeg.mrn.gouv.qc.ca/rapport/P_B275_inspection_2018-10-09_publique.pdf" TargetMode="External"/><Relationship Id="rId169" Type="http://schemas.openxmlformats.org/officeDocument/2006/relationships/hyperlink" Target="https://sigpeg.mrn.gouv.qc.ca/gpg/classes/ficheDescriptive?type=popup&amp;mode=fichePuits&amp;menu=puit&amp;table=GPG_ENTRE_PUITS&amp;cle=C074" TargetMode="External"/><Relationship Id="rId376" Type="http://schemas.openxmlformats.org/officeDocument/2006/relationships/hyperlink" Target="https://sigpeg.mrn.gouv.qc.ca/rapport/A203_insp_inactif_2019-09-25_Publique%20(2).pdf" TargetMode="External"/><Relationship Id="rId583" Type="http://schemas.openxmlformats.org/officeDocument/2006/relationships/hyperlink" Target="https://sigpeg.mrn.gouv.qc.ca/rapport/B149_insp_inactif_2019-05-16_Publique.pdf" TargetMode="External"/><Relationship Id="rId790" Type="http://schemas.openxmlformats.org/officeDocument/2006/relationships/hyperlink" Target="https://sigpeg.mrn.gouv.qc.ca/rapport/P_C009_inspection_2018-10-30_publique.pdf" TargetMode="External"/><Relationship Id="rId804" Type="http://schemas.openxmlformats.org/officeDocument/2006/relationships/hyperlink" Target="https://sigpeg.mrn.gouv.qc.ca/rapport/C024_insp_inactif_2019-07-08_Publique.pdf" TargetMode="External"/><Relationship Id="rId1227" Type="http://schemas.openxmlformats.org/officeDocument/2006/relationships/hyperlink" Target="https://sigpeg.mrn.gouv.qc.ca/gpg/classes/ficheDescriptive?type=popup&amp;mode=fichePuits&amp;menu=puit&amp;table=GPG_ENTRE_PUITS&amp;cle=AZ29" TargetMode="External"/><Relationship Id="rId1434" Type="http://schemas.openxmlformats.org/officeDocument/2006/relationships/hyperlink" Target="https://sigpeg.mrn.gouv.qc.ca/gpg/classes/ficheDescriptive?type=popup&amp;mode=fichePuits&amp;menu=puit&amp;table=GPG_ENTRE_PUITS&amp;cle=DZ005" TargetMode="External"/><Relationship Id="rId4" Type="http://schemas.openxmlformats.org/officeDocument/2006/relationships/hyperlink" Target="http://sigpeg.mrn.gouv.qc.ca/rapport/P_A041_inspection_2018-09-12_publique.pdf" TargetMode="External"/><Relationship Id="rId236" Type="http://schemas.openxmlformats.org/officeDocument/2006/relationships/hyperlink" Target="https://sigpeg.mrn.gouv.qc.ca/rapport/A077_insp_inactif_2019-11-04_Publique.pdf" TargetMode="External"/><Relationship Id="rId443" Type="http://schemas.openxmlformats.org/officeDocument/2006/relationships/hyperlink" Target="https://sigpeg.mrn.gouv.qc.ca/gpg/classes/ficheDescriptive?type=popup&amp;mode=fichePuits&amp;menu=puit&amp;table=GPG_ENTRE_PUITS&amp;cle=A220" TargetMode="External"/><Relationship Id="rId650" Type="http://schemas.openxmlformats.org/officeDocument/2006/relationships/hyperlink" Target="https://sigpeg.mrn.gouv.qc.ca/gpg/classes/ficheDescriptive?type=popup&amp;mode=fichePuits&amp;menu=puit&amp;table=GPG_ENTRE_PUITS&amp;cle=B186" TargetMode="External"/><Relationship Id="rId888" Type="http://schemas.openxmlformats.org/officeDocument/2006/relationships/hyperlink" Target="https://sigpeg.mrn.gouv.qc.ca/rapport/C090_insp_inactif_2019-09-17_Publique.pdf" TargetMode="External"/><Relationship Id="rId1073" Type="http://schemas.openxmlformats.org/officeDocument/2006/relationships/hyperlink" Target="https://sigpeg.mrn.gouv.qc.ca/gpg/classes/ficheDescriptive?type=popup&amp;mode=fichePuits&amp;menu=puit&amp;table=GPG_ENTRE_PUITS&amp;cle=A113" TargetMode="External"/><Relationship Id="rId1280" Type="http://schemas.openxmlformats.org/officeDocument/2006/relationships/hyperlink" Target="https://sigpeg.mrn.gouv.qc.ca/rapport/B109_insp_inactif_2019-08-22_Publique.pdf" TargetMode="External"/><Relationship Id="rId303" Type="http://schemas.openxmlformats.org/officeDocument/2006/relationships/hyperlink" Target="https://sigpeg.mrn.gouv.qc.ca/gpg/classes/ficheDescriptive?type=popup&amp;mode=fichePuits&amp;menu=puit&amp;table=GPG_ENTRE_PUITS&amp;cle=A045" TargetMode="External"/><Relationship Id="rId748" Type="http://schemas.openxmlformats.org/officeDocument/2006/relationships/hyperlink" Target="https://sigpeg.mrn.gouv.qc.ca/rapport/B304_insp_inactif_2019-05-30_Publique.pdf" TargetMode="External"/><Relationship Id="rId955" Type="http://schemas.openxmlformats.org/officeDocument/2006/relationships/hyperlink" Target="https://sigpeg.mrn.gouv.qc.ca/rapport/P_D003_inspection_2018-07-22_publique.pdf" TargetMode="External"/><Relationship Id="rId1140" Type="http://schemas.openxmlformats.org/officeDocument/2006/relationships/hyperlink" Target="https://sigpeg.mrn.gouv.qc.ca/gpg/classes/ficheDescriptive?type=popup&amp;mode=fichePuits&amp;menu=puit&amp;table=GPG_ENTRE_PUITS&amp;cle=A128" TargetMode="External"/><Relationship Id="rId1378" Type="http://schemas.openxmlformats.org/officeDocument/2006/relationships/hyperlink" Target="https://sigpeg.mrn.gouv.qc.ca/rapport/CS44_insp_inactif_2019-09-10_Publique.pdf" TargetMode="External"/><Relationship Id="rId84" Type="http://schemas.openxmlformats.org/officeDocument/2006/relationships/hyperlink" Target="https://sigpeg.mrn.gouv.qc.ca/rapport/C038_insp_inactif_2019-08-08_Publique.pdf" TargetMode="External"/><Relationship Id="rId387" Type="http://schemas.openxmlformats.org/officeDocument/2006/relationships/hyperlink" Target="https://sigpeg.mrn.gouv.qc.ca/rapport/P_A278_inspection_2018-10-29_publique.pdf" TargetMode="External"/><Relationship Id="rId510" Type="http://schemas.openxmlformats.org/officeDocument/2006/relationships/hyperlink" Target="https://sigpeg.mrn.gouv.qc.ca/gpg/classes/ficheDescriptive?type=popup&amp;mode=fichePuits&amp;menu=puit&amp;table=GPG_ENTRE_PUITS&amp;cle=B012" TargetMode="External"/><Relationship Id="rId594" Type="http://schemas.openxmlformats.org/officeDocument/2006/relationships/hyperlink" Target="https://sigpeg.mrn.gouv.qc.ca/rapport/P_B171_inspection_2018-09-28_publique.pdf" TargetMode="External"/><Relationship Id="rId608" Type="http://schemas.openxmlformats.org/officeDocument/2006/relationships/hyperlink" Target="https://sigpeg.mrn.gouv.qc.ca/gpg/classes/ficheDescriptive?type=popup&amp;mode=fichePuits&amp;menu=puit&amp;table=GPG_ENTRE_PUITS&amp;cle=B101" TargetMode="External"/><Relationship Id="rId815" Type="http://schemas.openxmlformats.org/officeDocument/2006/relationships/hyperlink" Target="https://sigpeg.mrn.gouv.qc.ca/rapport/C037_insp_inactif_2019-08-06_Publique.pdf" TargetMode="External"/><Relationship Id="rId1238" Type="http://schemas.openxmlformats.org/officeDocument/2006/relationships/hyperlink" Target="https://sigpeg.mrn.gouv.qc.ca/gpg/classes/ficheDescriptive?type=popup&amp;mode=fichePuits&amp;menu=puit&amp;table=GPG_ENTRE_PUITS&amp;cle=AZ57" TargetMode="External"/><Relationship Id="rId1445" Type="http://schemas.openxmlformats.org/officeDocument/2006/relationships/hyperlink" Target="https://sigpeg.mrn.gouv.qc.ca/gpg/classes/ficheDescriptive?type=popup&amp;mode=fichePuits&amp;menu=puit&amp;table=GPG_ENTRE_PUITS&amp;cle=DZ019" TargetMode="External"/><Relationship Id="rId247" Type="http://schemas.openxmlformats.org/officeDocument/2006/relationships/hyperlink" Target="https://sigpeg.mrn.gouv.qc.ca/gpg/classes/ficheDescriptive?type=popup&amp;mode=fichePuits&amp;menu=puit&amp;table=GPG_ENTRE_PUITS&amp;cle=A015" TargetMode="External"/><Relationship Id="rId899" Type="http://schemas.openxmlformats.org/officeDocument/2006/relationships/hyperlink" Target="https://sigpeg.mrn.gouv.qc.ca/rapport/C127_insp_inactif_2018-09-25_Publique.pdf" TargetMode="External"/><Relationship Id="rId1000" Type="http://schemas.openxmlformats.org/officeDocument/2006/relationships/hyperlink" Target="https://sigpeg.mrn.gouv.qc.ca/gpg/classes/ficheDescriptive?type=popup&amp;mode=fichePuits&amp;menu=puit&amp;table=GPG_ENTRE_PUITS&amp;cle=D014" TargetMode="External"/><Relationship Id="rId1084" Type="http://schemas.openxmlformats.org/officeDocument/2006/relationships/hyperlink" Target="https://sigpeg.mrn.gouv.qc.ca/rapport/A029_insp_inactif_2019-05-27_Publique.pdf" TargetMode="External"/><Relationship Id="rId1305" Type="http://schemas.openxmlformats.org/officeDocument/2006/relationships/hyperlink" Target="https://sigpeg.mrn.gouv.qc.ca/rapport/B168_insp_inactif_2019-08-21_Publique.pdf" TargetMode="External"/><Relationship Id="rId107" Type="http://schemas.openxmlformats.org/officeDocument/2006/relationships/hyperlink" Target="https://sigpeg.mrn.gouv.qc.ca/rapport/C136_insp_inactif_2019-09-18_Publique.pdf" TargetMode="External"/><Relationship Id="rId454" Type="http://schemas.openxmlformats.org/officeDocument/2006/relationships/hyperlink" Target="https://sigpeg.mrn.gouv.qc.ca/gpg/classes/ficheDescriptive?type=popup&amp;mode=fichePuits&amp;menu=puit&amp;table=GPG_ENTRE_PUITS&amp;cle=A278" TargetMode="External"/><Relationship Id="rId661" Type="http://schemas.openxmlformats.org/officeDocument/2006/relationships/hyperlink" Target="https://sigpeg.mrn.gouv.qc.ca/rapport/B204_insp_inactif_2019-10-28_Publique.pdf" TargetMode="External"/><Relationship Id="rId759" Type="http://schemas.openxmlformats.org/officeDocument/2006/relationships/hyperlink" Target="https://sigpeg.mrn.gouv.qc.ca/rapport/P_BZ11_inspection_2018-10-15_publique.pdf" TargetMode="External"/><Relationship Id="rId966" Type="http://schemas.openxmlformats.org/officeDocument/2006/relationships/hyperlink" Target="https://sigpeg.mrn.gouv.qc.ca/rapport/E003_insp_inactif_2019-08-20_Publique.pdf" TargetMode="External"/><Relationship Id="rId1291" Type="http://schemas.openxmlformats.org/officeDocument/2006/relationships/hyperlink" Target="https://sigpeg.mrn.gouv.qc.ca/rapport/B123_insp_inactif_2019-07-30_Publique.pdf" TargetMode="External"/><Relationship Id="rId1389" Type="http://schemas.openxmlformats.org/officeDocument/2006/relationships/hyperlink" Target="https://sigpeg.mrn.gouv.qc.ca/rapport/F000_insp_inactif_2019-09-12_Publique.pdf" TargetMode="External"/><Relationship Id="rId11" Type="http://schemas.openxmlformats.org/officeDocument/2006/relationships/hyperlink" Target="https://sigpeg.mrn.gouv.qc.ca/gpg/classes/ficheDescriptive?type=popup&amp;mode=fichePuits&amp;menu=puit&amp;table=GPG_ENTRE_PUITS&amp;cle=A004" TargetMode="External"/><Relationship Id="rId314" Type="http://schemas.openxmlformats.org/officeDocument/2006/relationships/hyperlink" Target="https://sigpeg.mrn.gouv.qc.ca/gpg/classes/ficheDescriptive?type=popup&amp;mode=fichePuits&amp;menu=puit&amp;table=GPG_ENTRE_PUITS&amp;cle=A051" TargetMode="External"/><Relationship Id="rId398" Type="http://schemas.openxmlformats.org/officeDocument/2006/relationships/hyperlink" Target="https://sigpeg.mrn.gouv.qc.ca/gpg/classes/ficheDescriptive?type=popup&amp;mode=fichePuits&amp;menu=puit&amp;table=GPG_ENTRE_PUITS&amp;cle=A139" TargetMode="External"/><Relationship Id="rId521" Type="http://schemas.openxmlformats.org/officeDocument/2006/relationships/hyperlink" Target="https://sigpeg.mrn.gouv.qc.ca/gpg/classes/ficheDescriptive?type=popup&amp;mode=fichePuits&amp;menu=puit&amp;table=GPG_ENTRE_PUITS&amp;cle=B033" TargetMode="External"/><Relationship Id="rId619" Type="http://schemas.openxmlformats.org/officeDocument/2006/relationships/hyperlink" Target="https://sigpeg.mrn.gouv.qc.ca/gpg/classes/ficheDescriptive?type=popup&amp;mode=fichePuits&amp;menu=puit&amp;table=GPG_ENTRE_PUITS&amp;cle=B137" TargetMode="External"/><Relationship Id="rId1151" Type="http://schemas.openxmlformats.org/officeDocument/2006/relationships/hyperlink" Target="https://sigpeg.mrn.gouv.qc.ca/gpg/classes/ficheDescriptive?type=popup&amp;mode=fichePuits&amp;menu=puit&amp;table=GPG_ENTRE_PUITS&amp;cle=A179" TargetMode="External"/><Relationship Id="rId1249" Type="http://schemas.openxmlformats.org/officeDocument/2006/relationships/hyperlink" Target="https://sigpeg.mrn.gouv.qc.ca/gpg/classes/ficheDescriptive?type=popup&amp;mode=fichePuits&amp;menu=puit&amp;table=GPG_ENTRE_PUITS&amp;cle=B025" TargetMode="External"/><Relationship Id="rId95" Type="http://schemas.openxmlformats.org/officeDocument/2006/relationships/hyperlink" Target="https://sigpeg.mrn.gouv.qc.ca/rapport/C056_insp_inactif_2019-07-23_Publique.pdf" TargetMode="External"/><Relationship Id="rId160" Type="http://schemas.openxmlformats.org/officeDocument/2006/relationships/hyperlink" Target="https://sigpeg.mrn.gouv.qc.ca/gpg/classes/ficheDescriptive?type=popup&amp;mode=fichePuits&amp;menu=puit&amp;table=GPG_ENTRE_PUITS&amp;cle=C054" TargetMode="External"/><Relationship Id="rId826" Type="http://schemas.openxmlformats.org/officeDocument/2006/relationships/hyperlink" Target="https://sigpeg.mrn.gouv.qc.ca/rapport/P_C063_inspection_2018-10-30_publique.pdf" TargetMode="External"/><Relationship Id="rId1011" Type="http://schemas.openxmlformats.org/officeDocument/2006/relationships/hyperlink" Target="https://sigpeg.mrn.gouv.qc.ca/gpg/classes/ficheDescriptive?type=popup&amp;mode=fichePuits&amp;menu=puit&amp;table=GPG_ENTRE_PUITS&amp;cle=F003" TargetMode="External"/><Relationship Id="rId1109" Type="http://schemas.openxmlformats.org/officeDocument/2006/relationships/hyperlink" Target="https://sigpeg.mrn.gouv.qc.ca/rapport/AZ04_insp_inactif_2019-11-14_Publique.pdf" TargetMode="External"/><Relationship Id="rId258" Type="http://schemas.openxmlformats.org/officeDocument/2006/relationships/hyperlink" Target="https://sigpeg.mrn.gouv.qc.ca/rapport/A011_insp_inactif_2019-05-07_Publique.pdf" TargetMode="External"/><Relationship Id="rId465" Type="http://schemas.openxmlformats.org/officeDocument/2006/relationships/hyperlink" Target="https://sigpeg.mrn.gouv.qc.ca/rapport/B007_insp_inactif_2019-09-28_Publique.pdf" TargetMode="External"/><Relationship Id="rId672" Type="http://schemas.openxmlformats.org/officeDocument/2006/relationships/hyperlink" Target="https://sigpeg.mrn.gouv.qc.ca/gpg/classes/ficheDescriptive?type=popup&amp;mode=fichePuits&amp;menu=puit&amp;table=GPG_ENTRE_PUITS&amp;cle=B194" TargetMode="External"/><Relationship Id="rId1095" Type="http://schemas.openxmlformats.org/officeDocument/2006/relationships/hyperlink" Target="https://sigpeg.mrn.gouv.qc.ca/rapport/A128_insp_inactif_2019-09-11_Publique.pdf" TargetMode="External"/><Relationship Id="rId1316" Type="http://schemas.openxmlformats.org/officeDocument/2006/relationships/hyperlink" Target="https://sigpeg.mrn.gouv.qc.ca/rapport/P_CS02_inspection_2018-08-29_publique.pdf" TargetMode="External"/><Relationship Id="rId22" Type="http://schemas.openxmlformats.org/officeDocument/2006/relationships/hyperlink" Target="https://sigpeg.mrn.gouv.qc.ca/gpg/classes/ficheDescriptive?type=popup&amp;mode=fichePuits&amp;menu=puit&amp;table=GPG_ENTRE_PUITS&amp;cle=A097" TargetMode="External"/><Relationship Id="rId118" Type="http://schemas.openxmlformats.org/officeDocument/2006/relationships/hyperlink" Target="https://sigpeg.mrn.gouv.qc.ca/gpg/classes/ficheDescriptive?type=popup&amp;mode=fichePuits&amp;menu=puit&amp;table=GPG_ENTRE_PUITS&amp;cle=AZ01" TargetMode="External"/><Relationship Id="rId325" Type="http://schemas.openxmlformats.org/officeDocument/2006/relationships/hyperlink" Target="https://sigpeg.mrn.gouv.qc.ca/gpg/classes/ficheDescriptive?type=popup&amp;mode=fichePuits&amp;menu=puit&amp;table=GPG_ENTRE_PUITS&amp;cle=A086" TargetMode="External"/><Relationship Id="rId532" Type="http://schemas.openxmlformats.org/officeDocument/2006/relationships/hyperlink" Target="https://sigpeg.mrn.gouv.qc.ca/gpg/classes/ficheDescriptive?type=popup&amp;mode=fichePuits&amp;menu=puit&amp;table=GPG_ENTRE_PUITS&amp;cle=B055" TargetMode="External"/><Relationship Id="rId977" Type="http://schemas.openxmlformats.org/officeDocument/2006/relationships/hyperlink" Target="https://sigpeg.mrn.gouv.qc.ca/gpg/classes/ficheDescriptive?type=popup&amp;mode=fichePuits&amp;menu=puit&amp;table=GPG_ENTRE_PUITS&amp;cle=CS09" TargetMode="External"/><Relationship Id="rId1162" Type="http://schemas.openxmlformats.org/officeDocument/2006/relationships/hyperlink" Target="https://sigpeg.mrn.gouv.qc.ca/gpg/classes/ficheDescriptive?type=popup&amp;mode=fichePuits&amp;menu=puit&amp;table=GPG_ENTRE_PUITS&amp;cle=AZ06" TargetMode="External"/><Relationship Id="rId171" Type="http://schemas.openxmlformats.org/officeDocument/2006/relationships/hyperlink" Target="https://sigpeg.mrn.gouv.qc.ca/gpg/classes/ficheDescriptive?type=popup&amp;mode=fichePuits&amp;menu=puit&amp;table=GPG_ENTRE_PUITS&amp;cle=C102" TargetMode="External"/><Relationship Id="rId837" Type="http://schemas.openxmlformats.org/officeDocument/2006/relationships/hyperlink" Target="https://sigpeg.mrn.gouv.qc.ca/gpg/classes/ficheDescriptive?type=popup&amp;mode=fichePuits&amp;menu=puit&amp;table=GPG_ENTRE_PUITS&amp;cle=C013" TargetMode="External"/><Relationship Id="rId1022" Type="http://schemas.openxmlformats.org/officeDocument/2006/relationships/hyperlink" Target="https://sigpeg.mrn.gouv.qc.ca/rapport/A023_insp_inactif_2019-11-20_Publique.pdf" TargetMode="External"/><Relationship Id="rId269" Type="http://schemas.openxmlformats.org/officeDocument/2006/relationships/hyperlink" Target="https://sigpeg.mrn.gouv.qc.ca/rapport/A037_insp_inactif_2019-07-22_Publique.pdf" TargetMode="External"/><Relationship Id="rId476" Type="http://schemas.openxmlformats.org/officeDocument/2006/relationships/hyperlink" Target="https://sigpeg.mrn.gouv.qc.ca/rapport/B019_insp_inactif_2019-09-30_Publique.pdf" TargetMode="External"/><Relationship Id="rId683" Type="http://schemas.openxmlformats.org/officeDocument/2006/relationships/hyperlink" Target="https://sigpeg.mrn.gouv.qc.ca/gpg/classes/ficheDescriptive?type=popup&amp;mode=fichePuits&amp;menu=puit&amp;table=GPG_ENTRE_PUITS&amp;cle=B206" TargetMode="External"/><Relationship Id="rId890" Type="http://schemas.openxmlformats.org/officeDocument/2006/relationships/hyperlink" Target="https://sigpeg.mrn.gouv.qc.ca/rapport/P_C094_inspection_2018-09-26_publique.pdf" TargetMode="External"/><Relationship Id="rId904" Type="http://schemas.openxmlformats.org/officeDocument/2006/relationships/hyperlink" Target="https://sigpeg.mrn.gouv.qc.ca/gpg/classes/ficheDescriptive?type=popup&amp;mode=fichePuits&amp;menu=puit&amp;table=GPG_ENTRE_PUITS&amp;cle=C068" TargetMode="External"/><Relationship Id="rId1327" Type="http://schemas.openxmlformats.org/officeDocument/2006/relationships/hyperlink" Target="https://sigpeg.mrn.gouv.qc.ca/gpg/classes/ficheDescriptive?type=popup&amp;mode=fichePuits&amp;menu=puit&amp;table=GPG_ENTRE_PUITS&amp;cle=B114" TargetMode="External"/><Relationship Id="rId33" Type="http://schemas.openxmlformats.org/officeDocument/2006/relationships/hyperlink" Target="https://sigpeg.mrn.gouv.qc.ca/gpg/classes/ficheDescriptive?type=popup&amp;mode=fichePuits&amp;menu=puit&amp;table=GPG_ENTRE_PUITS&amp;cle=A199" TargetMode="External"/><Relationship Id="rId129" Type="http://schemas.openxmlformats.org/officeDocument/2006/relationships/hyperlink" Target="https://sigpeg.mrn.gouv.qc.ca/gpg/classes/ficheDescriptive?type=popup&amp;mode=fichePuits&amp;menu=puit&amp;table=GPG_ENTRE_PUITS&amp;cle=B147" TargetMode="External"/><Relationship Id="rId336" Type="http://schemas.openxmlformats.org/officeDocument/2006/relationships/hyperlink" Target="https://sigpeg.mrn.gouv.qc.ca/gpg/classes/ficheDescriptive?type=popup&amp;mode=fichePuits&amp;menu=puit&amp;table=GPG_ENTRE_PUITS&amp;cle=A106" TargetMode="External"/><Relationship Id="rId543" Type="http://schemas.openxmlformats.org/officeDocument/2006/relationships/hyperlink" Target="https://sigpeg.mrn.gouv.qc.ca/rapport/P_B074_inspection_2018-10-08_publique.pdf" TargetMode="External"/><Relationship Id="rId988" Type="http://schemas.openxmlformats.org/officeDocument/2006/relationships/hyperlink" Target="https://sigpeg.mrn.gouv.qc.ca/gpg/classes/ficheDescriptive?type=popup&amp;mode=fichePuits&amp;menu=puit&amp;table=GPG_ENTRE_PUITS&amp;cle=CS43" TargetMode="External"/><Relationship Id="rId1173" Type="http://schemas.openxmlformats.org/officeDocument/2006/relationships/hyperlink" Target="https://sigpeg.mrn.gouv.qc.ca/gpg/classes/ficheDescriptive?type=popup&amp;mode=fichePuits&amp;menu=puit&amp;table=GPG_ENTRE_PUITS&amp;cle=AZ23" TargetMode="External"/><Relationship Id="rId1380" Type="http://schemas.openxmlformats.org/officeDocument/2006/relationships/hyperlink" Target="https://sigpeg.mrn.gouv.qc.ca/rapport/P_D006_inspection_2018-07-22_publique.pdf" TargetMode="External"/><Relationship Id="rId182" Type="http://schemas.openxmlformats.org/officeDocument/2006/relationships/hyperlink" Target="https://sigpeg.mrn.gouv.qc.ca/gpg/classes/ficheDescriptive?type=popup&amp;mode=fichePuits&amp;menu=puit&amp;table=GPG_ENTRE_PUITS&amp;cle=CS26" TargetMode="External"/><Relationship Id="rId403" Type="http://schemas.openxmlformats.org/officeDocument/2006/relationships/hyperlink" Target="https://sigpeg.mrn.gouv.qc.ca/gpg/classes/ficheDescriptive?type=popup&amp;mode=fichePuits&amp;menu=puit&amp;table=GPG_ENTRE_PUITS&amp;cle=A144" TargetMode="External"/><Relationship Id="rId750" Type="http://schemas.openxmlformats.org/officeDocument/2006/relationships/hyperlink" Target="https://sigpeg.mrn.gouv.qc.ca/rapport/BZ01_insp_inactif_2019-10-07_Publique.pdf" TargetMode="External"/><Relationship Id="rId848" Type="http://schemas.openxmlformats.org/officeDocument/2006/relationships/hyperlink" Target="https://sigpeg.mrn.gouv.qc.ca/gpg/classes/ficheDescriptive?type=popup&amp;mode=fichePuits&amp;menu=puit&amp;table=GPG_ENTRE_PUITS&amp;cle=C024" TargetMode="External"/><Relationship Id="rId1033" Type="http://schemas.openxmlformats.org/officeDocument/2006/relationships/hyperlink" Target="https://sigpeg.mrn.gouv.qc.ca/rapport/A078_insp_inactif_2019-07-18_Publique%20(2).pdf" TargetMode="External"/><Relationship Id="rId487" Type="http://schemas.openxmlformats.org/officeDocument/2006/relationships/hyperlink" Target="https://sigpeg.mrn.gouv.qc.ca/rapport/P_B047_inspection_2018-10-29_publique.pdf" TargetMode="External"/><Relationship Id="rId610" Type="http://schemas.openxmlformats.org/officeDocument/2006/relationships/hyperlink" Target="https://sigpeg.mrn.gouv.qc.ca/gpg/classes/ficheDescriptive?type=popup&amp;mode=fichePuits&amp;menu=puit&amp;table=GPG_ENTRE_PUITS&amp;cle=B111" TargetMode="External"/><Relationship Id="rId694" Type="http://schemas.openxmlformats.org/officeDocument/2006/relationships/hyperlink" Target="https://sigpeg.mrn.gouv.qc.ca/gpg/classes/ficheDescriptive?type=popup&amp;mode=fichePuits&amp;menu=puit&amp;table=GPG_ENTRE_PUITS&amp;cle=B221" TargetMode="External"/><Relationship Id="rId708" Type="http://schemas.openxmlformats.org/officeDocument/2006/relationships/hyperlink" Target="https://sigpeg.mrn.gouv.qc.ca/gpg/classes/ficheDescriptive?type=popup&amp;mode=fichePuits&amp;menu=puit&amp;table=GPG_ENTRE_PUITS&amp;cle=B235" TargetMode="External"/><Relationship Id="rId915" Type="http://schemas.openxmlformats.org/officeDocument/2006/relationships/hyperlink" Target="https://sigpeg.mrn.gouv.qc.ca/gpg/classes/ficheDescriptive?type=popup&amp;mode=fichePuits&amp;menu=puit&amp;table=GPG_ENTRE_PUITS&amp;cle=C085" TargetMode="External"/><Relationship Id="rId1240" Type="http://schemas.openxmlformats.org/officeDocument/2006/relationships/hyperlink" Target="https://sigpeg.mrn.gouv.qc.ca/gpg/classes/ficheDescriptive?type=popup&amp;mode=fichePuits&amp;menu=puit&amp;table=GPG_ENTRE_PUITS&amp;cle=AZ62" TargetMode="External"/><Relationship Id="rId1338" Type="http://schemas.openxmlformats.org/officeDocument/2006/relationships/hyperlink" Target="https://sigpeg.mrn.gouv.qc.ca/gpg/classes/ficheDescriptive?type=popup&amp;mode=fichePuits&amp;menu=puit&amp;table=GPG_ENTRE_PUITS&amp;cle=B126" TargetMode="External"/><Relationship Id="rId347" Type="http://schemas.openxmlformats.org/officeDocument/2006/relationships/hyperlink" Target="https://sigpeg.mrn.gouv.qc.ca/rapport/A126_insp_inactif_2019-11-14_Publique.pdf" TargetMode="External"/><Relationship Id="rId999" Type="http://schemas.openxmlformats.org/officeDocument/2006/relationships/hyperlink" Target="https://sigpeg.mrn.gouv.qc.ca/gpg/classes/ficheDescriptive?type=popup&amp;mode=fichePuits&amp;menu=puit&amp;table=GPG_ENTRE_PUITS&amp;cle=D013" TargetMode="External"/><Relationship Id="rId1100" Type="http://schemas.openxmlformats.org/officeDocument/2006/relationships/hyperlink" Target="https://sigpeg.mrn.gouv.qc.ca/rapport/A149_insp_inactif_2019-07-11_Publique.pdf" TargetMode="External"/><Relationship Id="rId1184" Type="http://schemas.openxmlformats.org/officeDocument/2006/relationships/hyperlink" Target="https://sigpeg.mrn.gouv.qc.ca/rapport/AZ49_insp_inactif_2019-08-20_Publique.pdf" TargetMode="External"/><Relationship Id="rId1405" Type="http://schemas.openxmlformats.org/officeDocument/2006/relationships/hyperlink" Target="https://sigpeg.mrn.gouv.qc.ca/gpg/classes/ficheDescriptive?type=popup&amp;mode=fichePuits&amp;menu=puit&amp;table=GPG_ENTRE_PUITS&amp;cle=D006" TargetMode="External"/><Relationship Id="rId44" Type="http://schemas.openxmlformats.org/officeDocument/2006/relationships/hyperlink" Target="https://sigpeg.mrn.gouv.qc.ca/rapport/P_A168_inspection_2018-10-03_publique.pdf" TargetMode="External"/><Relationship Id="rId554" Type="http://schemas.openxmlformats.org/officeDocument/2006/relationships/hyperlink" Target="https://sigpeg.mrn.gouv.qc.ca/gpg/classes/ficheDescriptive?type=popup&amp;mode=fichePuits&amp;menu=puit&amp;table=GPG_ENTRE_PUITS&amp;cle=B075" TargetMode="External"/><Relationship Id="rId761" Type="http://schemas.openxmlformats.org/officeDocument/2006/relationships/hyperlink" Target="https://sigpeg.mrn.gouv.qc.ca/rapport/BZ15_insp_inactif_2019-08-20_Publique.pdf" TargetMode="External"/><Relationship Id="rId859" Type="http://schemas.openxmlformats.org/officeDocument/2006/relationships/hyperlink" Target="https://sigpeg.mrn.gouv.qc.ca/gpg/classes/ficheDescriptive?type=popup&amp;mode=fichePuits&amp;menu=puit&amp;table=GPG_ENTRE_PUITS&amp;cle=C043" TargetMode="External"/><Relationship Id="rId1391" Type="http://schemas.openxmlformats.org/officeDocument/2006/relationships/hyperlink" Target="https://sigpeg.mrn.gouv.qc.ca/gpg/classes/ficheDescriptive?type=popup&amp;mode=fichePuits&amp;menu=puit&amp;table=GPG_ENTRE_PUITS&amp;cle=CS14" TargetMode="External"/><Relationship Id="rId193" Type="http://schemas.openxmlformats.org/officeDocument/2006/relationships/hyperlink" Target="https://sigpeg.mrn.gouv.qc.ca/rapport/P_A085_inspection_2018-07-12_publique.pdf" TargetMode="External"/><Relationship Id="rId207" Type="http://schemas.openxmlformats.org/officeDocument/2006/relationships/hyperlink" Target="https://sigpeg.mrn.gouv.qc.ca/rapport/A140_insp_inactif_2019-10-08_Publique.pdf" TargetMode="External"/><Relationship Id="rId414" Type="http://schemas.openxmlformats.org/officeDocument/2006/relationships/hyperlink" Target="https://sigpeg.mrn.gouv.qc.ca/gpg/classes/ficheDescriptive?type=popup&amp;mode=fichePuits&amp;menu=puit&amp;table=GPG_ENTRE_PUITS&amp;cle=A167" TargetMode="External"/><Relationship Id="rId498" Type="http://schemas.openxmlformats.org/officeDocument/2006/relationships/hyperlink" Target="https://sigpeg.mrn.gouv.qc.ca/rapport/B066_insp_inactif_2019-05-23_Publique.pdf" TargetMode="External"/><Relationship Id="rId621" Type="http://schemas.openxmlformats.org/officeDocument/2006/relationships/hyperlink" Target="https://sigpeg.mrn.gouv.qc.ca/gpg/classes/ficheDescriptive?type=popup&amp;mode=fichePuits&amp;menu=puit&amp;table=GPG_ENTRE_PUITS&amp;cle=B139" TargetMode="External"/><Relationship Id="rId1044" Type="http://schemas.openxmlformats.org/officeDocument/2006/relationships/hyperlink" Target="https://sigpeg.mrn.gouv.qc.ca/rapport/A121_insp_inactif_2019-11-04_Publique.pdf" TargetMode="External"/><Relationship Id="rId1251" Type="http://schemas.openxmlformats.org/officeDocument/2006/relationships/hyperlink" Target="https://sigpeg.mrn.gouv.qc.ca/gpg/classes/ficheDescriptive?type=popup&amp;mode=fichePuits&amp;menu=puit&amp;table=GPG_ENTRE_PUITS&amp;cle=B028" TargetMode="External"/><Relationship Id="rId1349" Type="http://schemas.openxmlformats.org/officeDocument/2006/relationships/hyperlink" Target="https://sigpeg.mrn.gouv.qc.ca/gpg/classes/ficheDescriptive?type=popup&amp;mode=fichePuits&amp;menu=puit&amp;table=GPG_ENTRE_PUITS&amp;cle=B168" TargetMode="External"/><Relationship Id="rId260" Type="http://schemas.openxmlformats.org/officeDocument/2006/relationships/hyperlink" Target="https://sigpeg.mrn.gouv.qc.ca/rapport/A013_insp_inactif_2019-09-13_Publique.pdf" TargetMode="External"/><Relationship Id="rId719" Type="http://schemas.openxmlformats.org/officeDocument/2006/relationships/hyperlink" Target="https://sigpeg.mrn.gouv.qc.ca/gpg/classes/ficheDescriptive?type=popup&amp;mode=fichePuits&amp;menu=puit&amp;table=GPG_ENTRE_PUITS&amp;cle=B246" TargetMode="External"/><Relationship Id="rId926" Type="http://schemas.openxmlformats.org/officeDocument/2006/relationships/hyperlink" Target="https://sigpeg.mrn.gouv.qc.ca/gpg/classes/ficheDescriptive?type=popup&amp;mode=fichePuits&amp;menu=puit&amp;table=GPG_ENTRE_PUITS&amp;cle=C107" TargetMode="External"/><Relationship Id="rId1111" Type="http://schemas.openxmlformats.org/officeDocument/2006/relationships/hyperlink" Target="https://sigpeg.mrn.gouv.qc.ca/rapport/AZ06_insp_inactif_2019-09-09_Publique.pdf" TargetMode="External"/><Relationship Id="rId55" Type="http://schemas.openxmlformats.org/officeDocument/2006/relationships/hyperlink" Target="https://sigpeg.mrn.gouv.qc.ca/rapport/B020_insp_inactif_2019-07-10_Publique.pdf" TargetMode="External"/><Relationship Id="rId120" Type="http://schemas.openxmlformats.org/officeDocument/2006/relationships/hyperlink" Target="https://sigpeg.mrn.gouv.qc.ca/gpg/classes/ficheDescriptive?type=popup&amp;mode=fichePuits&amp;menu=puit&amp;table=GPG_ENTRE_PUITS&amp;cle=B014" TargetMode="External"/><Relationship Id="rId358" Type="http://schemas.openxmlformats.org/officeDocument/2006/relationships/hyperlink" Target="https://sigpeg.mrn.gouv.qc.ca/rapport/A163_insp_inactif_2019-07-08_Publique.pdf" TargetMode="External"/><Relationship Id="rId565" Type="http://schemas.openxmlformats.org/officeDocument/2006/relationships/hyperlink" Target="https://sigpeg.mrn.gouv.qc.ca/rapport/B111_insp_inactif_2019-10-29_Publique.pdf" TargetMode="External"/><Relationship Id="rId772" Type="http://schemas.openxmlformats.org/officeDocument/2006/relationships/hyperlink" Target="https://sigpeg.mrn.gouv.qc.ca/gpg/classes/ficheDescriptive?type=popup&amp;mode=fichePuits&amp;menu=puit&amp;table=GPG_ENTRE_PUITS&amp;cle=BZ02" TargetMode="External"/><Relationship Id="rId1195" Type="http://schemas.openxmlformats.org/officeDocument/2006/relationships/hyperlink" Target="https://sigpeg.mrn.gouv.qc.ca/rapport/AZ67%20_insp_inactif_2019-09-11_Publique.pdf" TargetMode="External"/><Relationship Id="rId1209" Type="http://schemas.openxmlformats.org/officeDocument/2006/relationships/hyperlink" Target="https://sigpeg.mrn.gouv.qc.ca/rapport/B070_insp_inactif_2019-05-23_Publique.pdf" TargetMode="External"/><Relationship Id="rId1416" Type="http://schemas.openxmlformats.org/officeDocument/2006/relationships/hyperlink" Target="https://sigpeg.mrn.gouv.qc.ca/gpg/classes/ficheDescriptive?type=popup&amp;mode=fichePuits&amp;menu=puit&amp;table=GPG_ENTRE_PUITS&amp;cle=F002" TargetMode="External"/><Relationship Id="rId218" Type="http://schemas.openxmlformats.org/officeDocument/2006/relationships/hyperlink" Target="https://sigpeg.mrn.gouv.qc.ca/rapport/P_A217_inspection_2018-09-19_publique.pdf" TargetMode="External"/><Relationship Id="rId425" Type="http://schemas.openxmlformats.org/officeDocument/2006/relationships/hyperlink" Target="https://sigpeg.mrn.gouv.qc.ca/gpg/classes/ficheDescriptive?type=popup&amp;mode=fichePuits&amp;menu=puit&amp;table=GPG_ENTRE_PUITS&amp;cle=A187" TargetMode="External"/><Relationship Id="rId632" Type="http://schemas.openxmlformats.org/officeDocument/2006/relationships/hyperlink" Target="https://sigpeg.mrn.gouv.qc.ca/gpg/classes/ficheDescriptive?type=popup&amp;mode=fichePuits&amp;menu=puit&amp;table=GPG_ENTRE_PUITS&amp;cle=B153" TargetMode="External"/><Relationship Id="rId1055" Type="http://schemas.openxmlformats.org/officeDocument/2006/relationships/hyperlink" Target="https://sigpeg.mrn.gouv.qc.ca/gpg/classes/ficheDescriptive?type=popup&amp;mode=fichePuits&amp;menu=puit&amp;table=GPG_ENTRE_PUITS&amp;cle=A034" TargetMode="External"/><Relationship Id="rId1262" Type="http://schemas.openxmlformats.org/officeDocument/2006/relationships/hyperlink" Target="https://sigpeg.mrn.gouv.qc.ca/gpg/classes/ficheDescriptive?type=popup&amp;mode=fichePuits&amp;menu=puit&amp;table=GPG_ENTRE_PUITS&amp;cle=B087" TargetMode="External"/><Relationship Id="rId271" Type="http://schemas.openxmlformats.org/officeDocument/2006/relationships/hyperlink" Target="https://sigpeg.mrn.gouv.qc.ca/rapport/A047_insp_inactif_2019-08-01_Publique.pdf" TargetMode="External"/><Relationship Id="rId937" Type="http://schemas.openxmlformats.org/officeDocument/2006/relationships/hyperlink" Target="https://sigpeg.mrn.gouv.qc.ca/rapport/P_CS09_inspection_2018-07-29_publique.pdf" TargetMode="External"/><Relationship Id="rId1122" Type="http://schemas.openxmlformats.org/officeDocument/2006/relationships/hyperlink" Target="https://sigpeg.mrn.gouv.qc.ca/rapport/AZ23_insp_inactif_2019-09-24_Publique.pdf" TargetMode="External"/><Relationship Id="rId66" Type="http://schemas.openxmlformats.org/officeDocument/2006/relationships/hyperlink" Target="https://sigpeg.mrn.gouv.qc.ca/rapport/B207_insp_inactif_2019-08-21_Publique.pdf" TargetMode="External"/><Relationship Id="rId131" Type="http://schemas.openxmlformats.org/officeDocument/2006/relationships/hyperlink" Target="https://sigpeg.mrn.gouv.qc.ca/gpg/classes/ficheDescriptive?type=popup&amp;mode=fichePuits&amp;menu=puit&amp;table=GPG_ENTRE_PUITS&amp;cle=B165" TargetMode="External"/><Relationship Id="rId369" Type="http://schemas.openxmlformats.org/officeDocument/2006/relationships/hyperlink" Target="https://sigpeg.mrn.gouv.qc.ca/rapport/P_A186_inspection_2018-11-11_publique.pdf" TargetMode="External"/><Relationship Id="rId576" Type="http://schemas.openxmlformats.org/officeDocument/2006/relationships/hyperlink" Target="https://sigpeg.mrn.gouv.qc.ca/rapport/B139_insp_inactif_2019-09-30_Publique.pdf" TargetMode="External"/><Relationship Id="rId783" Type="http://schemas.openxmlformats.org/officeDocument/2006/relationships/hyperlink" Target="https://sigpeg.mrn.gouv.qc.ca/gpg/classes/ficheDescriptive?type=popup&amp;mode=fichePuits&amp;menu=puit&amp;table=GPG_ENTRE_PUITS&amp;cle=BZ16" TargetMode="External"/><Relationship Id="rId990" Type="http://schemas.openxmlformats.org/officeDocument/2006/relationships/hyperlink" Target="https://sigpeg.mrn.gouv.qc.ca/gpg/classes/ficheDescriptive?type=popup&amp;mode=fichePuits&amp;menu=puit&amp;table=GPG_ENTRE_PUITS&amp;cle=CS46" TargetMode="External"/><Relationship Id="rId1427" Type="http://schemas.openxmlformats.org/officeDocument/2006/relationships/hyperlink" Target="https://sigpeg.mrn.gouv.qc.ca/gpg/classes/ficheDescriptive?type=popup&amp;mode=fichePuits&amp;menu=puit&amp;table=GPG_ENTRE_PUITS&amp;cle=CZ013" TargetMode="External"/><Relationship Id="rId229" Type="http://schemas.openxmlformats.org/officeDocument/2006/relationships/hyperlink" Target="https://sigpeg.mrn.gouv.qc.ca/rapport/B215_insp_inactif_2019-11-25_Publique.pdf" TargetMode="External"/><Relationship Id="rId436" Type="http://schemas.openxmlformats.org/officeDocument/2006/relationships/hyperlink" Target="https://sigpeg.mrn.gouv.qc.ca/gpg/classes/ficheDescriptive?type=popup&amp;mode=fichePuits&amp;menu=puit&amp;table=GPG_ENTRE_PUITS&amp;cle=A210" TargetMode="External"/><Relationship Id="rId643" Type="http://schemas.openxmlformats.org/officeDocument/2006/relationships/hyperlink" Target="https://sigpeg.mrn.gouv.qc.ca/gpg/classes/ficheDescriptive?type=popup&amp;mode=fichePuits&amp;menu=puit&amp;table=GPG_ENTRE_PUITS&amp;cle=B179" TargetMode="External"/><Relationship Id="rId1066" Type="http://schemas.openxmlformats.org/officeDocument/2006/relationships/hyperlink" Target="https://sigpeg.mrn.gouv.qc.ca/gpg/classes/ficheDescriptive?type=popup&amp;mode=fichePuits&amp;menu=puit&amp;table=GPG_ENTRE_PUITS&amp;cle=A089" TargetMode="External"/><Relationship Id="rId1273" Type="http://schemas.openxmlformats.org/officeDocument/2006/relationships/hyperlink" Target="https://sigpeg.mrn.gouv.qc.ca/gpg/classes/ficheDescriptive?type=popup&amp;mode=fichePuits&amp;menu=puit&amp;table=GPG_ENTRE_PUITS&amp;cle=B100" TargetMode="External"/><Relationship Id="rId850" Type="http://schemas.openxmlformats.org/officeDocument/2006/relationships/hyperlink" Target="https://sigpeg.mrn.gouv.qc.ca/gpg/classes/ficheDescriptive?type=popup&amp;mode=fichePuits&amp;menu=puit&amp;table=GPG_ENTRE_PUITS&amp;cle=C026" TargetMode="External"/><Relationship Id="rId948" Type="http://schemas.openxmlformats.org/officeDocument/2006/relationships/hyperlink" Target="https://sigpeg.mrn.gouv.qc.ca/rapport/CS43_insp_inactif_2019-10-17_Publique.pdf" TargetMode="External"/><Relationship Id="rId1133" Type="http://schemas.openxmlformats.org/officeDocument/2006/relationships/hyperlink" Target="https://sigpeg.mrn.gouv.qc.ca/gpg/classes/ficheDescriptive?type=popup&amp;mode=fichePuits&amp;menu=puit&amp;table=GPG_ENTRE_PUITS&amp;cle=A056" TargetMode="External"/><Relationship Id="rId77" Type="http://schemas.openxmlformats.org/officeDocument/2006/relationships/hyperlink" Target="https://sigpeg.mrn.gouv.qc.ca/rapport/P_C004_inspection_2018-08-25_publique.pdf" TargetMode="External"/><Relationship Id="rId282" Type="http://schemas.openxmlformats.org/officeDocument/2006/relationships/hyperlink" Target="https://sigpeg.mrn.gouv.qc.ca/rapport/A072_insp_inactif_2019-07-24_Publique.pdf" TargetMode="External"/><Relationship Id="rId503" Type="http://schemas.openxmlformats.org/officeDocument/2006/relationships/hyperlink" Target="https://sigpeg.mrn.gouv.qc.ca/gpg/classes/ficheDescriptive?type=popup&amp;mode=fichePuits&amp;menu=puit&amp;table=GPG_ENTRE_PUITS&amp;cle=B005" TargetMode="External"/><Relationship Id="rId587" Type="http://schemas.openxmlformats.org/officeDocument/2006/relationships/hyperlink" Target="https://sigpeg.mrn.gouv.qc.ca/rapport/B153_insp_inactif_2019-11-27_Publique.pdf" TargetMode="External"/><Relationship Id="rId710" Type="http://schemas.openxmlformats.org/officeDocument/2006/relationships/hyperlink" Target="https://sigpeg.mrn.gouv.qc.ca/gpg/classes/ficheDescriptive?type=popup&amp;mode=fichePuits&amp;menu=puit&amp;table=GPG_ENTRE_PUITS&amp;cle=B237" TargetMode="External"/><Relationship Id="rId808" Type="http://schemas.openxmlformats.org/officeDocument/2006/relationships/hyperlink" Target="https://sigpeg.mrn.gouv.qc.ca/rapport/P_C029_inspection_2018-07-26_publique.pdf" TargetMode="External"/><Relationship Id="rId1340" Type="http://schemas.openxmlformats.org/officeDocument/2006/relationships/hyperlink" Target="https://sigpeg.mrn.gouv.qc.ca/gpg/classes/ficheDescriptive?type=popup&amp;mode=fichePuits&amp;menu=puit&amp;table=GPG_ENTRE_PUITS&amp;cle=B131" TargetMode="External"/><Relationship Id="rId1438" Type="http://schemas.openxmlformats.org/officeDocument/2006/relationships/hyperlink" Target="https://sigpeg.mrn.gouv.qc.ca/gpg/classes/ficheDescriptive?type=popup&amp;mode=fichePuits&amp;menu=puit&amp;table=GPG_ENTRE_PUITS&amp;cle=DZ008" TargetMode="External"/><Relationship Id="rId8" Type="http://schemas.openxmlformats.org/officeDocument/2006/relationships/hyperlink" Target="http://sigpeg.mrn.gouv.qc.ca/rapport/A093_insp_inactif_2019-07-15_Publique.pdf" TargetMode="External"/><Relationship Id="rId142" Type="http://schemas.openxmlformats.org/officeDocument/2006/relationships/hyperlink" Target="https://sigpeg.mrn.gouv.qc.ca/gpg/classes/ficheDescriptive?type=popup&amp;mode=fichePuits&amp;menu=puit&amp;table=GPG_ENTRE_PUITS&amp;cle=BZ14" TargetMode="External"/><Relationship Id="rId447" Type="http://schemas.openxmlformats.org/officeDocument/2006/relationships/hyperlink" Target="https://sigpeg.mrn.gouv.qc.ca/gpg/classes/ficheDescriptive?type=popup&amp;mode=fichePuits&amp;menu=puit&amp;table=GPG_ENTRE_PUITS&amp;cle=A231" TargetMode="External"/><Relationship Id="rId794" Type="http://schemas.openxmlformats.org/officeDocument/2006/relationships/hyperlink" Target="https://sigpeg.mrn.gouv.qc.ca/rapport/C014_insp_inactif_2019-08-22_Publique.pdf" TargetMode="External"/><Relationship Id="rId1077" Type="http://schemas.openxmlformats.org/officeDocument/2006/relationships/hyperlink" Target="https://sigpeg.mrn.gouv.qc.ca/gpg/classes/ficheDescriptive?type=popup&amp;mode=fichePuits&amp;menu=puit&amp;table=GPG_ENTRE_PUITS&amp;cle=A132" TargetMode="External"/><Relationship Id="rId1200" Type="http://schemas.openxmlformats.org/officeDocument/2006/relationships/hyperlink" Target="https://sigpeg.mrn.gouv.qc.ca/rapport/B027_insp_inactif_2019-08-27_Publique.pdf" TargetMode="External"/><Relationship Id="rId654" Type="http://schemas.openxmlformats.org/officeDocument/2006/relationships/hyperlink" Target="https://sigpeg.mrn.gouv.qc.ca/rapport/B190_insp_inactif_2019-10-10_Publique.pdf" TargetMode="External"/><Relationship Id="rId861" Type="http://schemas.openxmlformats.org/officeDocument/2006/relationships/hyperlink" Target="https://sigpeg.mrn.gouv.qc.ca/gpg/classes/ficheDescriptive?type=popup&amp;mode=fichePuits&amp;menu=puit&amp;table=GPG_ENTRE_PUITS&amp;cle=C046" TargetMode="External"/><Relationship Id="rId959" Type="http://schemas.openxmlformats.org/officeDocument/2006/relationships/hyperlink" Target="https://sigpeg.mrn.gouv.qc.ca/rapport/P_D013_inspection_2018-07-22_publique.pdf" TargetMode="External"/><Relationship Id="rId1284" Type="http://schemas.openxmlformats.org/officeDocument/2006/relationships/hyperlink" Target="https://sigpeg.mrn.gouv.qc.ca/rapport/B115_insp_inactif_2019-08-07_Publique.pdf" TargetMode="External"/><Relationship Id="rId293" Type="http://schemas.openxmlformats.org/officeDocument/2006/relationships/hyperlink" Target="https://sigpeg.mrn.gouv.qc.ca/rapport/A118_insp_inactif_2019-05-08_Publique.pdf" TargetMode="External"/><Relationship Id="rId307" Type="http://schemas.openxmlformats.org/officeDocument/2006/relationships/hyperlink" Target="https://sigpeg.mrn.gouv.qc.ca/gpg/classes/ficheDescriptive?type=popup&amp;mode=fichePuits&amp;menu=puit&amp;table=GPG_ENTRE_PUITS&amp;cle=A061" TargetMode="External"/><Relationship Id="rId514" Type="http://schemas.openxmlformats.org/officeDocument/2006/relationships/hyperlink" Target="https://sigpeg.mrn.gouv.qc.ca/gpg/classes/ficheDescriptive?type=popup&amp;mode=fichePuits&amp;menu=puit&amp;table=GPG_ENTRE_PUITS&amp;cle=B017" TargetMode="External"/><Relationship Id="rId721" Type="http://schemas.openxmlformats.org/officeDocument/2006/relationships/hyperlink" Target="https://sigpeg.mrn.gouv.qc.ca/gpg/classes/ficheDescriptive?type=popup&amp;mode=fichePuits&amp;menu=puit&amp;table=GPG_ENTRE_PUITS&amp;cle=B248" TargetMode="External"/><Relationship Id="rId1144" Type="http://schemas.openxmlformats.org/officeDocument/2006/relationships/hyperlink" Target="https://sigpeg.mrn.gouv.qc.ca/gpg/classes/ficheDescriptive?type=popup&amp;mode=fichePuits&amp;menu=puit&amp;table=GPG_ENTRE_PUITS&amp;cle=A147" TargetMode="External"/><Relationship Id="rId1351" Type="http://schemas.openxmlformats.org/officeDocument/2006/relationships/hyperlink" Target="https://sigpeg.mrn.gouv.qc.ca/gpg/classes/ficheDescriptive?type=popup&amp;mode=fichePuits&amp;menu=puit&amp;table=GPG_ENTRE_PUITS&amp;cle=B170" TargetMode="External"/><Relationship Id="rId1449" Type="http://schemas.openxmlformats.org/officeDocument/2006/relationships/hyperlink" Target="https://sigpeg.mrn.gouv.qc.ca/gpg/classes/ficheDescriptive?type=popup&amp;mode=fichePuits&amp;menu=puit&amp;table=GPG_ENTRE_PUITS&amp;cle=CZ006" TargetMode="External"/><Relationship Id="rId88" Type="http://schemas.openxmlformats.org/officeDocument/2006/relationships/hyperlink" Target="https://sigpeg.mrn.gouv.qc.ca/rapport/C042_insp_inactif_2019-08-08_Publique.pdf" TargetMode="External"/><Relationship Id="rId153" Type="http://schemas.openxmlformats.org/officeDocument/2006/relationships/hyperlink" Target="https://sigpeg.mrn.gouv.qc.ca/gpg/classes/ficheDescriptive?type=popup&amp;mode=fichePuits&amp;menu=puit&amp;table=GPG_ENTRE_PUITS&amp;cle=C040" TargetMode="External"/><Relationship Id="rId360" Type="http://schemas.openxmlformats.org/officeDocument/2006/relationships/hyperlink" Target="https://sigpeg.mrn.gouv.qc.ca/rapport/P_A167_inspection_2018-11-09_publique.pdf" TargetMode="External"/><Relationship Id="rId598" Type="http://schemas.openxmlformats.org/officeDocument/2006/relationships/hyperlink" Target="https://sigpeg.mrn.gouv.qc.ca/rapport/B179_insp_inactif_2019-06-13_Publique.pdf" TargetMode="External"/><Relationship Id="rId819" Type="http://schemas.openxmlformats.org/officeDocument/2006/relationships/hyperlink" Target="https://sigpeg.mrn.gouv.qc.ca/rapport/P_C049_inspection_2018-11-08_publique.pdf" TargetMode="External"/><Relationship Id="rId1004" Type="http://schemas.openxmlformats.org/officeDocument/2006/relationships/hyperlink" Target="https://sigpeg.mrn.gouv.qc.ca/gpg/classes/ficheDescriptive?type=popup&amp;mode=fichePuits&amp;menu=puit&amp;table=GPG_ENTRE_PUITS&amp;cle=D018" TargetMode="External"/><Relationship Id="rId1211" Type="http://schemas.openxmlformats.org/officeDocument/2006/relationships/hyperlink" Target="https://sigpeg.mrn.gouv.qc.ca/rapport/B085_insp_inactif_2019-11-11_Publique.pdf" TargetMode="External"/><Relationship Id="rId220" Type="http://schemas.openxmlformats.org/officeDocument/2006/relationships/hyperlink" Target="https://sigpeg.mrn.gouv.qc.ca/rapport/P_A219_inspection_2018-09-19_publique.pdf" TargetMode="External"/><Relationship Id="rId458" Type="http://schemas.openxmlformats.org/officeDocument/2006/relationships/hyperlink" Target="https://sigpeg.mrn.gouv.qc.ca/gpg/classes/ficheDescriptive?type=popup&amp;mode=fichePuits&amp;menu=puit&amp;table=GPG_ENTRE_PUITS&amp;cle=AZ60" TargetMode="External"/><Relationship Id="rId665" Type="http://schemas.openxmlformats.org/officeDocument/2006/relationships/hyperlink" Target="https://sigpeg.mrn.gouv.qc.ca/rapport/P_B212_inspection_2018-10-16_publique.pdf" TargetMode="External"/><Relationship Id="rId872" Type="http://schemas.openxmlformats.org/officeDocument/2006/relationships/hyperlink" Target="https://sigpeg.mrn.gouv.qc.ca/gpg/classes/ficheDescriptive?type=popup&amp;mode=fichePuits&amp;menu=puit&amp;table=GPG_ENTRE_PUITS&amp;cle=C064" TargetMode="External"/><Relationship Id="rId1088" Type="http://schemas.openxmlformats.org/officeDocument/2006/relationships/hyperlink" Target="https://sigpeg.mrn.gouv.qc.ca/rapport/A056_insp_inactif_2019-07-18_Publique.pdf" TargetMode="External"/><Relationship Id="rId1295" Type="http://schemas.openxmlformats.org/officeDocument/2006/relationships/hyperlink" Target="https://sigpeg.mrn.gouv.qc.ca/rapport/P_B130_inspection_2018-07-30_publique.pdf" TargetMode="External"/><Relationship Id="rId1309" Type="http://schemas.openxmlformats.org/officeDocument/2006/relationships/hyperlink" Target="https://sigpeg.mrn.gouv.qc.ca/rapport/BZ06_insp_inactif_2019-10-08_Publique.pdf" TargetMode="External"/><Relationship Id="rId15" Type="http://schemas.openxmlformats.org/officeDocument/2006/relationships/hyperlink" Target="https://sigpeg.mrn.gouv.qc.ca/gpg/classes/ficheDescriptive?type=popup&amp;mode=fichePuits&amp;menu=puit&amp;table=GPG_ENTRE_PUITS&amp;cle=A055" TargetMode="External"/><Relationship Id="rId318" Type="http://schemas.openxmlformats.org/officeDocument/2006/relationships/hyperlink" Target="https://sigpeg.mrn.gouv.qc.ca/gpg/classes/ficheDescriptive?type=popup&amp;mode=fichePuits&amp;menu=puit&amp;table=GPG_ENTRE_PUITS&amp;cle=A074" TargetMode="External"/><Relationship Id="rId525" Type="http://schemas.openxmlformats.org/officeDocument/2006/relationships/hyperlink" Target="https://sigpeg.mrn.gouv.qc.ca/gpg/classes/ficheDescriptive?type=popup&amp;mode=fichePuits&amp;menu=puit&amp;table=GPG_ENTRE_PUITS&amp;cle=B043" TargetMode="External"/><Relationship Id="rId732" Type="http://schemas.openxmlformats.org/officeDocument/2006/relationships/hyperlink" Target="https://sigpeg.mrn.gouv.qc.ca/gpg/classes/ficheDescriptive?type=popup&amp;mode=fichePuits&amp;menu=puit&amp;table=GPG_ENTRE_PUITS&amp;cle=B269" TargetMode="External"/><Relationship Id="rId1155" Type="http://schemas.openxmlformats.org/officeDocument/2006/relationships/hyperlink" Target="https://sigpeg.mrn.gouv.qc.ca/gpg/classes/ficheDescriptive?type=popup&amp;mode=fichePuits&amp;menu=puit&amp;table=GPG_ENTRE_PUITS&amp;cle=A201" TargetMode="External"/><Relationship Id="rId1362" Type="http://schemas.openxmlformats.org/officeDocument/2006/relationships/hyperlink" Target="https://sigpeg.mrn.gouv.qc.ca/gpg/classes/ficheDescriptive?type=popup&amp;mode=fichePuits&amp;menu=puit&amp;table=GPG_ENTRE_PUITS&amp;cle=C117" TargetMode="External"/><Relationship Id="rId99" Type="http://schemas.openxmlformats.org/officeDocument/2006/relationships/hyperlink" Target="https://sigpeg.mrn.gouv.qc.ca/rapport/C070_insp_inactif_2019-07-09_Publique.pdf" TargetMode="External"/><Relationship Id="rId164" Type="http://schemas.openxmlformats.org/officeDocument/2006/relationships/hyperlink" Target="https://sigpeg.mrn.gouv.qc.ca/gpg/classes/ficheDescriptive?type=popup&amp;mode=fichePuits&amp;menu=puit&amp;table=GPG_ENTRE_PUITS&amp;cle=C058" TargetMode="External"/><Relationship Id="rId371" Type="http://schemas.openxmlformats.org/officeDocument/2006/relationships/hyperlink" Target="https://sigpeg.mrn.gouv.qc.ca/rapport/P_A188_inspection_2018-10-27_publique.pdf" TargetMode="External"/><Relationship Id="rId1015" Type="http://schemas.openxmlformats.org/officeDocument/2006/relationships/hyperlink" Target="https://sigpeg.mrn.gouv.qc.ca/gpg/classes/ficheDescriptive?type=popup&amp;mode=fichePuits&amp;menu=puit&amp;table=GPG_ENTRE_PUITS&amp;cle=G003" TargetMode="External"/><Relationship Id="rId1222" Type="http://schemas.openxmlformats.org/officeDocument/2006/relationships/hyperlink" Target="https://sigpeg.mrn.gouv.qc.ca/rapport/P_B099_inspection_2018-08-16_publique.pdf" TargetMode="External"/><Relationship Id="rId469" Type="http://schemas.openxmlformats.org/officeDocument/2006/relationships/hyperlink" Target="https://sigpeg.mrn.gouv.qc.ca/rapport/B011_insp_inactif_2019-09-29_Publique.pdf" TargetMode="External"/><Relationship Id="rId676" Type="http://schemas.openxmlformats.org/officeDocument/2006/relationships/hyperlink" Target="https://sigpeg.mrn.gouv.qc.ca/gpg/classes/ficheDescriptive?type=popup&amp;mode=fichePuits&amp;menu=puit&amp;table=GPG_ENTRE_PUITS&amp;cle=B199" TargetMode="External"/><Relationship Id="rId883" Type="http://schemas.openxmlformats.org/officeDocument/2006/relationships/hyperlink" Target="https://sigpeg.mrn.gouv.qc.ca/rapport/C083_insp_inactif_2019-06-28_Publique.pdf" TargetMode="External"/><Relationship Id="rId1099" Type="http://schemas.openxmlformats.org/officeDocument/2006/relationships/hyperlink" Target="https://sigpeg.mrn.gouv.qc.ca/rapport/A147_insp_inactif_2019-10-18_Publique.pdf" TargetMode="External"/><Relationship Id="rId26" Type="http://schemas.openxmlformats.org/officeDocument/2006/relationships/hyperlink" Target="https://sigpeg.mrn.gouv.qc.ca/gpg/classes/ficheDescriptive?type=popup&amp;mode=fichePuits&amp;menu=puit&amp;table=GPG_ENTRE_PUITS&amp;cle=A155" TargetMode="External"/><Relationship Id="rId231" Type="http://schemas.openxmlformats.org/officeDocument/2006/relationships/hyperlink" Target="https://sigpeg.mrn.gouv.qc.ca/rapport/B218_insp_inactif_2019-09-10_Publique.pdf" TargetMode="External"/><Relationship Id="rId329" Type="http://schemas.openxmlformats.org/officeDocument/2006/relationships/hyperlink" Target="https://sigpeg.mrn.gouv.qc.ca/gpg/classes/ficheDescriptive?type=popup&amp;mode=fichePuits&amp;menu=puit&amp;table=GPG_ENTRE_PUITS&amp;cle=A094" TargetMode="External"/><Relationship Id="rId536" Type="http://schemas.openxmlformats.org/officeDocument/2006/relationships/hyperlink" Target="https://sigpeg.mrn.gouv.qc.ca/gpg/classes/ficheDescriptive?type=popup&amp;mode=fichePuits&amp;menu=puit&amp;table=GPG_ENTRE_PUITS&amp;cle=B063" TargetMode="External"/><Relationship Id="rId1166" Type="http://schemas.openxmlformats.org/officeDocument/2006/relationships/hyperlink" Target="https://sigpeg.mrn.gouv.qc.ca/gpg/classes/ficheDescriptive?type=popup&amp;mode=fichePuits&amp;menu=puit&amp;table=GPG_ENTRE_PUITS&amp;cle=AZ11" TargetMode="External"/><Relationship Id="rId1373" Type="http://schemas.openxmlformats.org/officeDocument/2006/relationships/hyperlink" Target="https://sigpeg.mrn.gouv.qc.ca/rapport/P_CS24_inspection_2018-11-02_publique.pdf" TargetMode="External"/><Relationship Id="rId175" Type="http://schemas.openxmlformats.org/officeDocument/2006/relationships/hyperlink" Target="https://sigpeg.mrn.gouv.qc.ca/gpg/classes/ficheDescriptive?type=popup&amp;mode=fichePuits&amp;menu=puit&amp;table=GPG_ENTRE_PUITS&amp;cle=C113" TargetMode="External"/><Relationship Id="rId743" Type="http://schemas.openxmlformats.org/officeDocument/2006/relationships/hyperlink" Target="https://sigpeg.mrn.gouv.qc.ca/rapport/B271_insp_inactif_2019-11-11_Publique.pdf" TargetMode="External"/><Relationship Id="rId950" Type="http://schemas.openxmlformats.org/officeDocument/2006/relationships/hyperlink" Target="https://sigpeg.mrn.gouv.qc.ca/rapport/P_CS46_inspection_2018-09-13_publique.pdf" TargetMode="External"/><Relationship Id="rId1026" Type="http://schemas.openxmlformats.org/officeDocument/2006/relationships/hyperlink" Target="https://sigpeg.mrn.gouv.qc.ca/rapport/P_A038_inspection_2018-08-20_publique.pdf" TargetMode="External"/><Relationship Id="rId382" Type="http://schemas.openxmlformats.org/officeDocument/2006/relationships/hyperlink" Target="https://sigpeg.mrn.gouv.qc.ca/rapport/P_A233_inspection_2018-10-10_publique.pdf" TargetMode="External"/><Relationship Id="rId603" Type="http://schemas.openxmlformats.org/officeDocument/2006/relationships/hyperlink" Target="https://sigpeg.mrn.gouv.qc.ca/rapport/B186_insp_inactif_2019-07-10_Publique.pdf" TargetMode="External"/><Relationship Id="rId687" Type="http://schemas.openxmlformats.org/officeDocument/2006/relationships/hyperlink" Target="https://sigpeg.mrn.gouv.qc.ca/gpg/classes/ficheDescriptive?type=popup&amp;mode=fichePuits&amp;menu=puit&amp;table=GPG_ENTRE_PUITS&amp;cle=B212" TargetMode="External"/><Relationship Id="rId810" Type="http://schemas.openxmlformats.org/officeDocument/2006/relationships/hyperlink" Target="https://sigpeg.mrn.gouv.qc.ca/rapport/P_C031_inspection_2018-11-01_publique.pdf" TargetMode="External"/><Relationship Id="rId908" Type="http://schemas.openxmlformats.org/officeDocument/2006/relationships/hyperlink" Target="https://sigpeg.mrn.gouv.qc.ca/gpg/classes/ficheDescriptive?type=popup&amp;mode=fichePuits&amp;menu=puit&amp;table=GPG_ENTRE_PUITS&amp;cle=C078" TargetMode="External"/><Relationship Id="rId1233" Type="http://schemas.openxmlformats.org/officeDocument/2006/relationships/hyperlink" Target="https://sigpeg.mrn.gouv.qc.ca/gpg/classes/ficheDescriptive?type=popup&amp;mode=fichePuits&amp;menu=puit&amp;table=GPG_ENTRE_PUITS&amp;cle=AZ49" TargetMode="External"/><Relationship Id="rId1440" Type="http://schemas.openxmlformats.org/officeDocument/2006/relationships/hyperlink" Target="https://sigpeg.mrn.gouv.qc.ca/gpg/classes/ficheDescriptive?type=popup&amp;mode=fichePuits&amp;menu=puit&amp;table=GPG_ENTRE_PUITS&amp;cle=DZ011" TargetMode="External"/><Relationship Id="rId242" Type="http://schemas.openxmlformats.org/officeDocument/2006/relationships/hyperlink" Target="https://sigpeg.mrn.gouv.qc.ca/gpg/classes/ficheDescriptive?type=popup&amp;mode=fichePuits&amp;menu=puit&amp;table=GPG_ENTRE_PUITS&amp;cle=A009" TargetMode="External"/><Relationship Id="rId894" Type="http://schemas.openxmlformats.org/officeDocument/2006/relationships/hyperlink" Target="https://sigpeg.mrn.gouv.qc.ca/rapport/P_C116_inspection_2018-11-04_publique.pdf" TargetMode="External"/><Relationship Id="rId1177" Type="http://schemas.openxmlformats.org/officeDocument/2006/relationships/hyperlink" Target="https://sigpeg.mrn.gouv.qc.ca/rapport/AZ28_insp_inactif_2019-10-30_Publique.pdf" TargetMode="External"/><Relationship Id="rId1300" Type="http://schemas.openxmlformats.org/officeDocument/2006/relationships/hyperlink" Target="https://sigpeg.mrn.gouv.qc.ca/rapport/B158_insp_inactif_2019-07-10_Publique.pdf" TargetMode="External"/><Relationship Id="rId37" Type="http://schemas.openxmlformats.org/officeDocument/2006/relationships/hyperlink" Target="https://sigpeg.mrn.gouv.qc.ca/rapport/A102_insp_inactif_2019-07-15_Publique.pdf" TargetMode="External"/><Relationship Id="rId102" Type="http://schemas.openxmlformats.org/officeDocument/2006/relationships/hyperlink" Target="https://sigpeg.mrn.gouv.qc.ca/rapport/C074_insp_inactif_2019-08-23_Publique.pdf" TargetMode="External"/><Relationship Id="rId547" Type="http://schemas.openxmlformats.org/officeDocument/2006/relationships/hyperlink" Target="https://sigpeg.mrn.gouv.qc.ca/rapport/B078_insp_inactif_2019-06-18_Publique.pdf" TargetMode="External"/><Relationship Id="rId754" Type="http://schemas.openxmlformats.org/officeDocument/2006/relationships/hyperlink" Target="https://sigpeg.mrn.gouv.qc.ca/rapport/BZ05_insp_inactif_2019-10-08_Publique.pdf" TargetMode="External"/><Relationship Id="rId961" Type="http://schemas.openxmlformats.org/officeDocument/2006/relationships/hyperlink" Target="https://sigpeg.mrn.gouv.qc.ca/rapport/D015_insp_inactif_2019-06-30_Publique.pdf" TargetMode="External"/><Relationship Id="rId1384" Type="http://schemas.openxmlformats.org/officeDocument/2006/relationships/hyperlink" Target="https://sigpeg.mrn.gouv.qc.ca/rapport/E002_insp_inactif_2019-08-21_Publique.pdf" TargetMode="External"/><Relationship Id="rId90" Type="http://schemas.openxmlformats.org/officeDocument/2006/relationships/hyperlink" Target="https://sigpeg.mrn.gouv.qc.ca/rapport/C045_insp_inactif_2019-07-19_Publique.pdf" TargetMode="External"/><Relationship Id="rId186" Type="http://schemas.openxmlformats.org/officeDocument/2006/relationships/hyperlink" Target="https://sigpeg.mrn.gouv.qc.ca/gpg/classes/ficheDescriptive?type=popup&amp;mode=fichePuits&amp;menu=puit&amp;table=GPG_ENTRE_PUITS&amp;cle=E008" TargetMode="External"/><Relationship Id="rId393" Type="http://schemas.openxmlformats.org/officeDocument/2006/relationships/hyperlink" Target="https://sigpeg.mrn.gouv.qc.ca/gpg/classes/ficheDescriptive?type=popup&amp;mode=fichePuits&amp;menu=puit&amp;table=GPG_ENTRE_PUITS&amp;cle=A123" TargetMode="External"/><Relationship Id="rId407" Type="http://schemas.openxmlformats.org/officeDocument/2006/relationships/hyperlink" Target="https://sigpeg.mrn.gouv.qc.ca/gpg/classes/ficheDescriptive?type=popup&amp;mode=fichePuits&amp;menu=puit&amp;table=GPG_ENTRE_PUITS&amp;cle=A153" TargetMode="External"/><Relationship Id="rId614" Type="http://schemas.openxmlformats.org/officeDocument/2006/relationships/hyperlink" Target="https://sigpeg.mrn.gouv.qc.ca/gpg/classes/ficheDescriptive?type=popup&amp;mode=fichePuits&amp;menu=puit&amp;table=GPG_ENTRE_PUITS&amp;cle=B128" TargetMode="External"/><Relationship Id="rId821" Type="http://schemas.openxmlformats.org/officeDocument/2006/relationships/hyperlink" Target="https://sigpeg.mrn.gouv.qc.ca/rapport/P_C052_inspection_2018-08-26_publique.pdf" TargetMode="External"/><Relationship Id="rId1037" Type="http://schemas.openxmlformats.org/officeDocument/2006/relationships/hyperlink" Target="https://sigpeg.mrn.gouv.qc.ca/rapport/A103_insp_inactif_2019-08-16_Publique.pdf" TargetMode="External"/><Relationship Id="rId1244" Type="http://schemas.openxmlformats.org/officeDocument/2006/relationships/hyperlink" Target="https://sigpeg.mrn.gouv.qc.ca/gpg/classes/ficheDescriptive?type=popup&amp;mode=fichePuits&amp;menu=puit&amp;table=GPG_ENTRE_PUITS&amp;cle=AZ67" TargetMode="External"/><Relationship Id="rId1451" Type="http://schemas.openxmlformats.org/officeDocument/2006/relationships/hyperlink" Target="https://sigpeg.mrn.gouv.qc.ca/gpg/classes/ficheDescriptive?type=popup&amp;mode=fichePuits&amp;menu=puit&amp;table=GPG_ENTRE_PUITS&amp;cle=CZ010" TargetMode="External"/><Relationship Id="rId253" Type="http://schemas.openxmlformats.org/officeDocument/2006/relationships/hyperlink" Target="https://sigpeg.mrn.gouv.qc.ca/rapport/A005_insp_inactif_2019-11-27_Publique.pdf" TargetMode="External"/><Relationship Id="rId460" Type="http://schemas.openxmlformats.org/officeDocument/2006/relationships/hyperlink" Target="https://sigpeg.mrn.gouv.qc.ca/rapport/P_B001B_inspection_2018-07-26_publique.pdf" TargetMode="External"/><Relationship Id="rId698" Type="http://schemas.openxmlformats.org/officeDocument/2006/relationships/hyperlink" Target="https://sigpeg.mrn.gouv.qc.ca/gpg/classes/ficheDescriptive?type=popup&amp;mode=fichePuits&amp;menu=puit&amp;table=GPG_ENTRE_PUITS&amp;cle=B225" TargetMode="External"/><Relationship Id="rId919" Type="http://schemas.openxmlformats.org/officeDocument/2006/relationships/hyperlink" Target="https://sigpeg.mrn.gouv.qc.ca/gpg/classes/ficheDescriptive?type=popup&amp;mode=fichePuits&amp;menu=puit&amp;table=GPG_ENTRE_PUITS&amp;cle=C092" TargetMode="External"/><Relationship Id="rId1090" Type="http://schemas.openxmlformats.org/officeDocument/2006/relationships/hyperlink" Target="https://sigpeg.mrn.gouv.qc.ca/rapport/A059_insp_inactif_2019-06-11_Publique.pdf" TargetMode="External"/><Relationship Id="rId1104" Type="http://schemas.openxmlformats.org/officeDocument/2006/relationships/hyperlink" Target="https://sigpeg.mrn.gouv.qc.ca/rapport/A166_insp_inactif_2019-10-02_Publique.pdf" TargetMode="External"/><Relationship Id="rId1311" Type="http://schemas.openxmlformats.org/officeDocument/2006/relationships/hyperlink" Target="https://sigpeg.mrn.gouv.qc.ca/rapport/P_C104_inspection_2018-11-08_publique.pdf" TargetMode="External"/><Relationship Id="rId48" Type="http://schemas.openxmlformats.org/officeDocument/2006/relationships/hyperlink" Target="https://sigpeg.mrn.gouv.qc.ca/rapport/A199_insp_inactif_2019-11-11_Publique.pdf" TargetMode="External"/><Relationship Id="rId113" Type="http://schemas.openxmlformats.org/officeDocument/2006/relationships/hyperlink" Target="https://sigpeg.mrn.gouv.qc.ca/rapport/CS26_insp_inactif_2019-10-17_Publique.pdf" TargetMode="External"/><Relationship Id="rId320" Type="http://schemas.openxmlformats.org/officeDocument/2006/relationships/hyperlink" Target="https://sigpeg.mrn.gouv.qc.ca/gpg/classes/ficheDescriptive?type=popup&amp;mode=fichePuits&amp;menu=puit&amp;table=GPG_ENTRE_PUITS&amp;cle=A077" TargetMode="External"/><Relationship Id="rId558" Type="http://schemas.openxmlformats.org/officeDocument/2006/relationships/hyperlink" Target="https://sigpeg.mrn.gouv.qc.ca/gpg/classes/ficheDescriptive?type=popup&amp;mode=fichePuits&amp;menu=puit&amp;table=GPG_ENTRE_PUITS&amp;cle=B079" TargetMode="External"/><Relationship Id="rId765" Type="http://schemas.openxmlformats.org/officeDocument/2006/relationships/hyperlink" Target="https://sigpeg.mrn.gouv.qc.ca/gpg/classes/ficheDescriptive?type=popup&amp;mode=fichePuits&amp;menu=puit&amp;table=GPG_ENTRE_PUITS&amp;cle=B273" TargetMode="External"/><Relationship Id="rId972" Type="http://schemas.openxmlformats.org/officeDocument/2006/relationships/hyperlink" Target="https://sigpeg.mrn.gouv.qc.ca/rapport/F004_insp_inactif_2019-05-30_Publique.pdf" TargetMode="External"/><Relationship Id="rId1188" Type="http://schemas.openxmlformats.org/officeDocument/2006/relationships/hyperlink" Target="https://sigpeg.mrn.gouv.qc.ca/rapport/AZ57_insp_inactif_2019-10-29_Publique.pdf" TargetMode="External"/><Relationship Id="rId1395" Type="http://schemas.openxmlformats.org/officeDocument/2006/relationships/hyperlink" Target="https://sigpeg.mrn.gouv.qc.ca/gpg/classes/ficheDescriptive?type=popup&amp;mode=fichePuits&amp;menu=puit&amp;table=GPG_ENTRE_PUITS&amp;cle=CS22" TargetMode="External"/><Relationship Id="rId1409" Type="http://schemas.openxmlformats.org/officeDocument/2006/relationships/hyperlink" Target="https://sigpeg.mrn.gouv.qc.ca/gpg/classes/ficheDescriptive?type=popup&amp;mode=fichePuits&amp;menu=puit&amp;table=GPG_ENTRE_PUITS&amp;cle=E002" TargetMode="External"/><Relationship Id="rId197" Type="http://schemas.openxmlformats.org/officeDocument/2006/relationships/hyperlink" Target="https://sigpeg.mrn.gouv.qc.ca/rapport/A096_insp_inactif_2019-06-19_Publique.pdf" TargetMode="External"/><Relationship Id="rId418" Type="http://schemas.openxmlformats.org/officeDocument/2006/relationships/hyperlink" Target="https://sigpeg.mrn.gouv.qc.ca/gpg/classes/ficheDescriptive?type=popup&amp;mode=fichePuits&amp;menu=puit&amp;table=GPG_ENTRE_PUITS&amp;cle=A174" TargetMode="External"/><Relationship Id="rId625" Type="http://schemas.openxmlformats.org/officeDocument/2006/relationships/hyperlink" Target="https://sigpeg.mrn.gouv.qc.ca/gpg/classes/ficheDescriptive?type=popup&amp;mode=fichePuits&amp;menu=puit&amp;table=GPG_ENTRE_PUITS&amp;cle=B144" TargetMode="External"/><Relationship Id="rId832" Type="http://schemas.openxmlformats.org/officeDocument/2006/relationships/hyperlink" Target="https://sigpeg.mrn.gouv.qc.ca/gpg/classes/ficheDescriptive?type=popup&amp;mode=fichePuits&amp;menu=puit&amp;table=GPG_ENTRE_PUITS&amp;cle=C005" TargetMode="External"/><Relationship Id="rId1048" Type="http://schemas.openxmlformats.org/officeDocument/2006/relationships/hyperlink" Target="https://sigpeg.mrn.gouv.qc.ca/rapport/A135_insp_inactif_2019-07-04_Publique.pdf" TargetMode="External"/><Relationship Id="rId1255" Type="http://schemas.openxmlformats.org/officeDocument/2006/relationships/hyperlink" Target="https://sigpeg.mrn.gouv.qc.ca/gpg/classes/ficheDescriptive?type=popup&amp;mode=fichePuits&amp;menu=puit&amp;table=GPG_ENTRE_PUITS&amp;cle=B049" TargetMode="External"/><Relationship Id="rId264" Type="http://schemas.openxmlformats.org/officeDocument/2006/relationships/hyperlink" Target="https://sigpeg.mrn.gouv.qc.ca/rapport/A026_insp_inactif_2019-07-31_Publique.pdf" TargetMode="External"/><Relationship Id="rId471" Type="http://schemas.openxmlformats.org/officeDocument/2006/relationships/hyperlink" Target="https://sigpeg.mrn.gouv.qc.ca/rapport/B012_insp_inactif_2019-09-30_Publique.pdf" TargetMode="External"/><Relationship Id="rId1115" Type="http://schemas.openxmlformats.org/officeDocument/2006/relationships/hyperlink" Target="https://sigpeg.mrn.gouv.qc.ca/rapport/AZ11_insp_inactif_2019-09-09_Publique.pdf" TargetMode="External"/><Relationship Id="rId1322" Type="http://schemas.openxmlformats.org/officeDocument/2006/relationships/hyperlink" Target="https://sigpeg.mrn.gouv.qc.ca/gpg/classes/ficheDescriptive?type=popup&amp;mode=fichePuits&amp;menu=puit&amp;table=GPG_ENTRE_PUITS&amp;cle=B107" TargetMode="External"/><Relationship Id="rId59" Type="http://schemas.openxmlformats.org/officeDocument/2006/relationships/hyperlink" Target="https://sigpeg.mrn.gouv.qc.ca/rapport/B073_insp_inactif_2019-08-01_Publique.pdf" TargetMode="External"/><Relationship Id="rId124" Type="http://schemas.openxmlformats.org/officeDocument/2006/relationships/hyperlink" Target="https://sigpeg.mrn.gouv.qc.ca/gpg/classes/ficheDescriptive?type=popup&amp;mode=fichePuits&amp;menu=puit&amp;table=GPG_ENTRE_PUITS&amp;cle=B059" TargetMode="External"/><Relationship Id="rId569" Type="http://schemas.openxmlformats.org/officeDocument/2006/relationships/hyperlink" Target="https://sigpeg.mrn.gouv.qc.ca/rapport/B128_insp_inactif_2019-09-26_Publique.pdf" TargetMode="External"/><Relationship Id="rId776" Type="http://schemas.openxmlformats.org/officeDocument/2006/relationships/hyperlink" Target="https://sigpeg.mrn.gouv.qc.ca/gpg/classes/ficheDescriptive?type=popup&amp;mode=fichePuits&amp;menu=puit&amp;table=GPG_ENTRE_PUITS&amp;cle=BZ07" TargetMode="External"/><Relationship Id="rId983" Type="http://schemas.openxmlformats.org/officeDocument/2006/relationships/hyperlink" Target="https://sigpeg.mrn.gouv.qc.ca/gpg/classes/ficheDescriptive?type=popup&amp;mode=fichePuits&amp;menu=puit&amp;table=GPG_ENTRE_PUITS&amp;cle=CS37" TargetMode="External"/><Relationship Id="rId1199" Type="http://schemas.openxmlformats.org/officeDocument/2006/relationships/hyperlink" Target="https://sigpeg.mrn.gouv.qc.ca/rapport/B025_insp_inactif_2019-08-28_Publique.pdf" TargetMode="External"/><Relationship Id="rId331" Type="http://schemas.openxmlformats.org/officeDocument/2006/relationships/hyperlink" Target="https://sigpeg.mrn.gouv.qc.ca/gpg/classes/ficheDescriptive?type=popup&amp;mode=fichePuits&amp;menu=puit&amp;table=GPG_ENTRE_PUITS&amp;cle=A096" TargetMode="External"/><Relationship Id="rId429" Type="http://schemas.openxmlformats.org/officeDocument/2006/relationships/hyperlink" Target="https://sigpeg.mrn.gouv.qc.ca/gpg/classes/ficheDescriptive?type=popup&amp;mode=fichePuits&amp;menu=puit&amp;table=GPG_ENTRE_PUITS&amp;cle=A193" TargetMode="External"/><Relationship Id="rId636" Type="http://schemas.openxmlformats.org/officeDocument/2006/relationships/hyperlink" Target="https://sigpeg.mrn.gouv.qc.ca/gpg/classes/ficheDescriptive?type=popup&amp;mode=fichePuits&amp;menu=puit&amp;table=GPG_ENTRE_PUITS&amp;cle=B160" TargetMode="External"/><Relationship Id="rId1059" Type="http://schemas.openxmlformats.org/officeDocument/2006/relationships/hyperlink" Target="https://sigpeg.mrn.gouv.qc.ca/gpg/classes/ficheDescriptive?type=popup&amp;mode=fichePuits&amp;menu=puit&amp;table=GPG_ENTRE_PUITS&amp;cle=A057" TargetMode="External"/><Relationship Id="rId1266" Type="http://schemas.openxmlformats.org/officeDocument/2006/relationships/hyperlink" Target="https://sigpeg.mrn.gouv.qc.ca/gpg/classes/ficheDescriptive?type=popup&amp;mode=fichePuits&amp;menu=puit&amp;table=GPG_ENTRE_PUITS&amp;cle=B093" TargetMode="External"/><Relationship Id="rId843" Type="http://schemas.openxmlformats.org/officeDocument/2006/relationships/hyperlink" Target="https://sigpeg.mrn.gouv.qc.ca/gpg/classes/ficheDescriptive?type=popup&amp;mode=fichePuits&amp;menu=puit&amp;table=GPG_ENTRE_PUITS&amp;cle=C019" TargetMode="External"/><Relationship Id="rId1126" Type="http://schemas.openxmlformats.org/officeDocument/2006/relationships/hyperlink" Target="https://sigpeg.mrn.gouv.qc.ca/gpg/classes/ficheDescriptive?type=popup&amp;mode=fichePuits&amp;menu=puit&amp;table=GPG_ENTRE_PUITS&amp;cle=A008" TargetMode="External"/><Relationship Id="rId275" Type="http://schemas.openxmlformats.org/officeDocument/2006/relationships/hyperlink" Target="https://sigpeg.mrn.gouv.qc.ca/rapport/A061_insp_inactif_2019-06-27_Publique.pdf" TargetMode="External"/><Relationship Id="rId482" Type="http://schemas.openxmlformats.org/officeDocument/2006/relationships/hyperlink" Target="https://sigpeg.mrn.gouv.qc.ca/rapport/P_B040_inspection_2018-10-25_publique.pdf" TargetMode="External"/><Relationship Id="rId703" Type="http://schemas.openxmlformats.org/officeDocument/2006/relationships/hyperlink" Target="https://sigpeg.mrn.gouv.qc.ca/gpg/classes/ficheDescriptive?type=popup&amp;mode=fichePuits&amp;menu=puit&amp;table=GPG_ENTRE_PUITS&amp;cle=B230" TargetMode="External"/><Relationship Id="rId910" Type="http://schemas.openxmlformats.org/officeDocument/2006/relationships/hyperlink" Target="https://sigpeg.mrn.gouv.qc.ca/gpg/classes/ficheDescriptive?type=popup&amp;mode=fichePuits&amp;menu=puit&amp;table=GPG_ENTRE_PUITS&amp;cle=C080" TargetMode="External"/><Relationship Id="rId1333" Type="http://schemas.openxmlformats.org/officeDocument/2006/relationships/hyperlink" Target="https://sigpeg.mrn.gouv.qc.ca/gpg/classes/ficheDescriptive?type=popup&amp;mode=fichePuits&amp;menu=puit&amp;table=GPG_ENTRE_PUITS&amp;cle=B120" TargetMode="External"/><Relationship Id="rId135" Type="http://schemas.openxmlformats.org/officeDocument/2006/relationships/hyperlink" Target="https://sigpeg.mrn.gouv.qc.ca/gpg/classes/ficheDescriptive?type=popup&amp;mode=fichePuits&amp;menu=puit&amp;table=GPG_ENTRE_PUITS&amp;cle=B216" TargetMode="External"/><Relationship Id="rId342" Type="http://schemas.openxmlformats.org/officeDocument/2006/relationships/hyperlink" Target="https://sigpeg.mrn.gouv.qc.ca/gpg/classes/ficheDescriptive?type=popup&amp;mode=fichePuits&amp;menu=puit&amp;table=GPG_ENTRE_PUITS&amp;cle=A118" TargetMode="External"/><Relationship Id="rId787" Type="http://schemas.openxmlformats.org/officeDocument/2006/relationships/hyperlink" Target="https://sigpeg.mrn.gouv.qc.ca/rapport/C003_insp_inactif_2019-06-27_Publique.pdf" TargetMode="External"/><Relationship Id="rId994" Type="http://schemas.openxmlformats.org/officeDocument/2006/relationships/hyperlink" Target="https://sigpeg.mrn.gouv.qc.ca/gpg/classes/ficheDescriptive?type=popup&amp;mode=fichePuits&amp;menu=puit&amp;table=GPG_ENTRE_PUITS&amp;cle=D001" TargetMode="External"/><Relationship Id="rId1400" Type="http://schemas.openxmlformats.org/officeDocument/2006/relationships/hyperlink" Target="https://sigpeg.mrn.gouv.qc.ca/gpg/classes/ficheDescriptive?type=popup&amp;mode=fichePuits&amp;menu=puit&amp;table=GPG_ENTRE_PUITS&amp;cle=CS32" TargetMode="External"/><Relationship Id="rId202" Type="http://schemas.openxmlformats.org/officeDocument/2006/relationships/hyperlink" Target="https://sigpeg.mrn.gouv.qc.ca/rapport/A109_insp_inactif_2019-11-18_Publique.pdf" TargetMode="External"/><Relationship Id="rId647" Type="http://schemas.openxmlformats.org/officeDocument/2006/relationships/hyperlink" Target="https://sigpeg.mrn.gouv.qc.ca/gpg/classes/ficheDescriptive?type=popup&amp;mode=fichePuits&amp;menu=puit&amp;table=GPG_ENTRE_PUITS&amp;cle=B183" TargetMode="External"/><Relationship Id="rId854" Type="http://schemas.openxmlformats.org/officeDocument/2006/relationships/hyperlink" Target="https://sigpeg.mrn.gouv.qc.ca/gpg/classes/ficheDescriptive?type=popup&amp;mode=fichePuits&amp;menu=puit&amp;table=GPG_ENTRE_PUITS&amp;cle=C031" TargetMode="External"/><Relationship Id="rId1277" Type="http://schemas.openxmlformats.org/officeDocument/2006/relationships/hyperlink" Target="https://sigpeg.mrn.gouv.qc.ca/rapport/B105_insp_inactif_2019-11-18_Publique.pdf" TargetMode="External"/><Relationship Id="rId286" Type="http://schemas.openxmlformats.org/officeDocument/2006/relationships/hyperlink" Target="https://sigpeg.mrn.gouv.qc.ca/rapport/A079_insp_inactif_2019-09-03_Publique.pdf" TargetMode="External"/><Relationship Id="rId493" Type="http://schemas.openxmlformats.org/officeDocument/2006/relationships/hyperlink" Target="https://sigpeg.mrn.gouv.qc.ca/rapport/P_B056_inspection_2018-07-26_publique.pdf" TargetMode="External"/><Relationship Id="rId507" Type="http://schemas.openxmlformats.org/officeDocument/2006/relationships/hyperlink" Target="https://sigpeg.mrn.gouv.qc.ca/gpg/classes/ficheDescriptive?type=popup&amp;mode=fichePuits&amp;menu=puit&amp;table=GPG_ENTRE_PUITS&amp;cle=B010" TargetMode="External"/><Relationship Id="rId714" Type="http://schemas.openxmlformats.org/officeDocument/2006/relationships/hyperlink" Target="https://sigpeg.mrn.gouv.qc.ca/gpg/classes/ficheDescriptive?type=popup&amp;mode=fichePuits&amp;menu=puit&amp;table=GPG_ENTRE_PUITS&amp;cle=B241" TargetMode="External"/><Relationship Id="rId921" Type="http://schemas.openxmlformats.org/officeDocument/2006/relationships/hyperlink" Target="https://sigpeg.mrn.gouv.qc.ca/gpg/classes/ficheDescriptive?type=popup&amp;mode=fichePuits&amp;menu=puit&amp;table=GPG_ENTRE_PUITS&amp;cle=C094" TargetMode="External"/><Relationship Id="rId1137" Type="http://schemas.openxmlformats.org/officeDocument/2006/relationships/hyperlink" Target="https://sigpeg.mrn.gouv.qc.ca/gpg/classes/ficheDescriptive?type=popup&amp;mode=fichePuits&amp;menu=puit&amp;table=GPG_ENTRE_PUITS&amp;cle=A083" TargetMode="External"/><Relationship Id="rId1344" Type="http://schemas.openxmlformats.org/officeDocument/2006/relationships/hyperlink" Target="https://sigpeg.mrn.gouv.qc.ca/gpg/classes/ficheDescriptive?type=popup&amp;mode=fichePuits&amp;menu=puit&amp;table=GPG_ENTRE_PUITS&amp;cle=B158" TargetMode="External"/><Relationship Id="rId50" Type="http://schemas.openxmlformats.org/officeDocument/2006/relationships/hyperlink" Target="https://sigpeg.mrn.gouv.qc.ca/rapport/A216_insp_inactif_2019-07-15_Publique.pdf" TargetMode="External"/><Relationship Id="rId146" Type="http://schemas.openxmlformats.org/officeDocument/2006/relationships/hyperlink" Target="https://sigpeg.mrn.gouv.qc.ca/gpg/classes/ficheDescriptive?type=popup&amp;mode=fichePuits&amp;menu=puit&amp;table=GPG_ENTRE_PUITS&amp;cle=C006" TargetMode="External"/><Relationship Id="rId353" Type="http://schemas.openxmlformats.org/officeDocument/2006/relationships/hyperlink" Target="https://sigpeg.mrn.gouv.qc.ca/rapport/A153_insp_inactif_2019-07-24_Publique.pdf" TargetMode="External"/><Relationship Id="rId560" Type="http://schemas.openxmlformats.org/officeDocument/2006/relationships/hyperlink" Target="https://sigpeg.mrn.gouv.qc.ca/rapport/B082_insp_inactif_2019-10-30_Publique.pdf" TargetMode="External"/><Relationship Id="rId798" Type="http://schemas.openxmlformats.org/officeDocument/2006/relationships/hyperlink" Target="https://sigpeg.mrn.gouv.qc.ca/rapport/P_C018_inspection_2018-08-30_publique.pdf" TargetMode="External"/><Relationship Id="rId1190" Type="http://schemas.openxmlformats.org/officeDocument/2006/relationships/hyperlink" Target="https://sigpeg.mrn.gouv.qc.ca/rapport/AZ62_insp_inactif_2019-06-11_Publique.pdf" TargetMode="External"/><Relationship Id="rId1204" Type="http://schemas.openxmlformats.org/officeDocument/2006/relationships/hyperlink" Target="https://sigpeg.mrn.gouv.qc.ca/rapport/B044_insp_inactif_2019-09-04_Publique.pdf" TargetMode="External"/><Relationship Id="rId1411" Type="http://schemas.openxmlformats.org/officeDocument/2006/relationships/hyperlink" Target="https://sigpeg.mrn.gouv.qc.ca/gpg/classes/ficheDescriptive?type=popup&amp;mode=fichePuits&amp;menu=puit&amp;table=GPG_ENTRE_PUITS&amp;cle=E005" TargetMode="External"/><Relationship Id="rId213" Type="http://schemas.openxmlformats.org/officeDocument/2006/relationships/hyperlink" Target="https://sigpeg.mrn.gouv.qc.ca/rapport/P_A209_inspection_2018-09-19_publique.pdf" TargetMode="External"/><Relationship Id="rId420" Type="http://schemas.openxmlformats.org/officeDocument/2006/relationships/hyperlink" Target="https://sigpeg.mrn.gouv.qc.ca/gpg/classes/ficheDescriptive?type=popup&amp;mode=fichePuits&amp;menu=puit&amp;table=GPG_ENTRE_PUITS&amp;cle=A180" TargetMode="External"/><Relationship Id="rId658" Type="http://schemas.openxmlformats.org/officeDocument/2006/relationships/hyperlink" Target="https://sigpeg.mrn.gouv.qc.ca/rapport/B196_insp_inactif_2019-07-02_Publique.pdf" TargetMode="External"/><Relationship Id="rId865" Type="http://schemas.openxmlformats.org/officeDocument/2006/relationships/hyperlink" Target="https://sigpeg.mrn.gouv.qc.ca/gpg/classes/ficheDescriptive?type=popup&amp;mode=fichePuits&amp;menu=puit&amp;table=GPG_ENTRE_PUITS&amp;cle=C052" TargetMode="External"/><Relationship Id="rId1050" Type="http://schemas.openxmlformats.org/officeDocument/2006/relationships/hyperlink" Target="https://sigpeg.mrn.gouv.qc.ca/gpg/classes/ficheDescriptive?type=popup&amp;mode=fichePuits&amp;menu=puit&amp;table=GPG_ENTRE_PUITS&amp;cle=A018" TargetMode="External"/><Relationship Id="rId1288" Type="http://schemas.openxmlformats.org/officeDocument/2006/relationships/hyperlink" Target="https://sigpeg.mrn.gouv.qc.ca/rapport/B119_insp_inactif_2019-08-14_Publique.pdf" TargetMode="External"/><Relationship Id="rId297" Type="http://schemas.openxmlformats.org/officeDocument/2006/relationships/hyperlink" Target="https://sigpeg.mrn.gouv.qc.ca/gpg/classes/ficheDescriptive?type=popup&amp;mode=fichePuits&amp;menu=puit&amp;table=GPG_ENTRE_PUITS&amp;cle=A033" TargetMode="External"/><Relationship Id="rId518" Type="http://schemas.openxmlformats.org/officeDocument/2006/relationships/hyperlink" Target="https://sigpeg.mrn.gouv.qc.ca/gpg/classes/ficheDescriptive?type=popup&amp;mode=fichePuits&amp;menu=puit&amp;table=GPG_ENTRE_PUITS&amp;cle=B026" TargetMode="External"/><Relationship Id="rId725" Type="http://schemas.openxmlformats.org/officeDocument/2006/relationships/hyperlink" Target="https://sigpeg.mrn.gouv.qc.ca/gpg/classes/ficheDescriptive?type=popup&amp;mode=fichePuits&amp;menu=puit&amp;table=GPG_ENTRE_PUITS&amp;cle=B253" TargetMode="External"/><Relationship Id="rId932" Type="http://schemas.openxmlformats.org/officeDocument/2006/relationships/hyperlink" Target="https://sigpeg.mrn.gouv.qc.ca/gpg/classes/ficheDescriptive?type=popup&amp;mode=fichePuits&amp;menu=puit&amp;table=GPG_ENTRE_PUITS&amp;cle=C127" TargetMode="External"/><Relationship Id="rId1148" Type="http://schemas.openxmlformats.org/officeDocument/2006/relationships/hyperlink" Target="https://sigpeg.mrn.gouv.qc.ca/gpg/classes/ficheDescriptive?type=popup&amp;mode=fichePuits&amp;menu=puit&amp;table=GPG_ENTRE_PUITS&amp;cle=A162" TargetMode="External"/><Relationship Id="rId1355" Type="http://schemas.openxmlformats.org/officeDocument/2006/relationships/hyperlink" Target="https://sigpeg.mrn.gouv.qc.ca/gpg/classes/ficheDescriptive?type=popup&amp;mode=fichePuits&amp;menu=puit&amp;table=GPG_ENTRE_PUITS&amp;cle=C103" TargetMode="External"/><Relationship Id="rId157" Type="http://schemas.openxmlformats.org/officeDocument/2006/relationships/hyperlink" Target="https://sigpeg.mrn.gouv.qc.ca/gpg/classes/ficheDescriptive?type=popup&amp;mode=fichePuits&amp;menu=puit&amp;table=GPG_ENTRE_PUITS&amp;cle=C045" TargetMode="External"/><Relationship Id="rId364" Type="http://schemas.openxmlformats.org/officeDocument/2006/relationships/hyperlink" Target="https://sigpeg.mrn.gouv.qc.ca/rapport/P_A176_inspection_2018-09-05_publique.pdf" TargetMode="External"/><Relationship Id="rId1008" Type="http://schemas.openxmlformats.org/officeDocument/2006/relationships/hyperlink" Target="https://sigpeg.mrn.gouv.qc.ca/gpg/classes/ficheDescriptive?type=popup&amp;mode=fichePuits&amp;menu=puit&amp;table=GPG_ENTRE_PUITS&amp;cle=E007" TargetMode="External"/><Relationship Id="rId1215" Type="http://schemas.openxmlformats.org/officeDocument/2006/relationships/hyperlink" Target="https://sigpeg.mrn.gouv.qc.ca/rapport/B091_insp_inactif_2019-11-12_Publique.pdf" TargetMode="External"/><Relationship Id="rId1422" Type="http://schemas.openxmlformats.org/officeDocument/2006/relationships/hyperlink" Target="https://sigpeg.mrn.gouv.qc.ca/rapport/A001_insp_inactif_2019-10-24_publique.pdf" TargetMode="External"/><Relationship Id="rId61" Type="http://schemas.openxmlformats.org/officeDocument/2006/relationships/hyperlink" Target="https://sigpeg.mrn.gouv.qc.ca/rapport/P_B083_inspection_2018-09-07_publique.pdf" TargetMode="External"/><Relationship Id="rId571" Type="http://schemas.openxmlformats.org/officeDocument/2006/relationships/hyperlink" Target="https://sigpeg.mrn.gouv.qc.ca/rapport/B129_insp_inactif_2019-09-26_Publique.pdf" TargetMode="External"/><Relationship Id="rId669" Type="http://schemas.openxmlformats.org/officeDocument/2006/relationships/hyperlink" Target="https://sigpeg.mrn.gouv.qc.ca/gpg/classes/ficheDescriptive?type=popup&amp;mode=fichePuits&amp;menu=puit&amp;table=GPG_ENTRE_PUITS&amp;cle=B191" TargetMode="External"/><Relationship Id="rId876" Type="http://schemas.openxmlformats.org/officeDocument/2006/relationships/hyperlink" Target="https://sigpeg.mrn.gouv.qc.ca/rapport/P_C069_inspection_2018-08-23_publique.pdf" TargetMode="External"/><Relationship Id="rId1299" Type="http://schemas.openxmlformats.org/officeDocument/2006/relationships/hyperlink" Target="https://sigpeg.mrn.gouv.qc.ca/rapport/B133_insp_inactif_2019-08_07_Publique.pdf" TargetMode="External"/><Relationship Id="rId19" Type="http://schemas.openxmlformats.org/officeDocument/2006/relationships/hyperlink" Target="https://sigpeg.mrn.gouv.qc.ca/gpg/classes/ficheDescriptive?type=popup&amp;mode=fichePuits&amp;menu=puit&amp;table=GPG_ENTRE_PUITS&amp;cle=A041" TargetMode="External"/><Relationship Id="rId224" Type="http://schemas.openxmlformats.org/officeDocument/2006/relationships/hyperlink" Target="https://sigpeg.mrn.gouv.qc.ca/rapport/B187_insp_inactif_2019-10-10_Publique.pdf" TargetMode="External"/><Relationship Id="rId431" Type="http://schemas.openxmlformats.org/officeDocument/2006/relationships/hyperlink" Target="https://sigpeg.mrn.gouv.qc.ca/gpg/classes/ficheDescriptive?type=popup&amp;mode=fichePuits&amp;menu=puit&amp;table=GPG_ENTRE_PUITS&amp;cle=A197" TargetMode="External"/><Relationship Id="rId529" Type="http://schemas.openxmlformats.org/officeDocument/2006/relationships/hyperlink" Target="https://sigpeg.mrn.gouv.qc.ca/gpg/classes/ficheDescriptive?type=popup&amp;mode=fichePuits&amp;menu=puit&amp;table=GPG_ENTRE_PUITS&amp;cle=B050" TargetMode="External"/><Relationship Id="rId736" Type="http://schemas.openxmlformats.org/officeDocument/2006/relationships/hyperlink" Target="https://sigpeg.mrn.gouv.qc.ca/rapport/B253_insp_inactif_2019-09-30_Publique.pdf" TargetMode="External"/><Relationship Id="rId1061" Type="http://schemas.openxmlformats.org/officeDocument/2006/relationships/hyperlink" Target="https://sigpeg.mrn.gouv.qc.ca/gpg/classes/ficheDescriptive?type=popup&amp;mode=fichePuits&amp;menu=puit&amp;table=GPG_ENTRE_PUITS&amp;cle=A067" TargetMode="External"/><Relationship Id="rId1159" Type="http://schemas.openxmlformats.org/officeDocument/2006/relationships/hyperlink" Target="https://sigpeg.mrn.gouv.qc.ca/gpg/classes/ficheDescriptive?type=popup&amp;mode=fichePuits&amp;menu=puit&amp;table=GPG_ENTRE_PUITS&amp;cle=AZ03" TargetMode="External"/><Relationship Id="rId1366" Type="http://schemas.openxmlformats.org/officeDocument/2006/relationships/hyperlink" Target="https://sigpeg.mrn.gouv.qc.ca/gpg/classes/ficheDescriptive?type=popup&amp;mode=fichePuits&amp;menu=puit&amp;table=GPG_ENTRE_PUITS&amp;cle=CS13" TargetMode="External"/><Relationship Id="rId168" Type="http://schemas.openxmlformats.org/officeDocument/2006/relationships/hyperlink" Target="https://sigpeg.mrn.gouv.qc.ca/gpg/classes/ficheDescriptive?type=popup&amp;mode=fichePuits&amp;menu=puit&amp;table=GPG_ENTRE_PUITS&amp;cle=C072" TargetMode="External"/><Relationship Id="rId943" Type="http://schemas.openxmlformats.org/officeDocument/2006/relationships/hyperlink" Target="https://sigpeg.mrn.gouv.qc.ca/rapport/P_CS37_inspection_2018-07-28_publique.pdf" TargetMode="External"/><Relationship Id="rId1019" Type="http://schemas.openxmlformats.org/officeDocument/2006/relationships/hyperlink" Target="https://sigpeg.mrn.gouv.qc.ca/rapport/A002_insp_inactif_2019-10-30_publique.pdf" TargetMode="External"/><Relationship Id="rId72" Type="http://schemas.openxmlformats.org/officeDocument/2006/relationships/hyperlink" Target="https://sigpeg.mrn.gouv.qc.ca/rapport/B272_insp_inactif_2019-09-18_Publique.pdf" TargetMode="External"/><Relationship Id="rId375" Type="http://schemas.openxmlformats.org/officeDocument/2006/relationships/hyperlink" Target="https://sigpeg.mrn.gouv.qc.ca/rapport/P_A197_inspection_2018-09-18_publique.pdf" TargetMode="External"/><Relationship Id="rId582" Type="http://schemas.openxmlformats.org/officeDocument/2006/relationships/hyperlink" Target="https://sigpeg.mrn.gouv.qc.ca/rapport/B148_insp_inactif_2019-05-16_Publique.pdf" TargetMode="External"/><Relationship Id="rId803" Type="http://schemas.openxmlformats.org/officeDocument/2006/relationships/hyperlink" Target="https://sigpeg.mrn.gouv.qc.ca/rapport/C023_insp_inactif_2019-06-27_Publique.pdf" TargetMode="External"/><Relationship Id="rId1226" Type="http://schemas.openxmlformats.org/officeDocument/2006/relationships/hyperlink" Target="https://sigpeg.mrn.gouv.qc.ca/gpg/classes/ficheDescriptive?type=popup&amp;mode=fichePuits&amp;menu=puit&amp;table=GPG_ENTRE_PUITS&amp;cle=AZ28" TargetMode="External"/><Relationship Id="rId1433" Type="http://schemas.openxmlformats.org/officeDocument/2006/relationships/hyperlink" Target="https://sigpeg.mrn.gouv.qc.ca/gpg/classes/ficheDescriptive?type=popup&amp;mode=fichePuits&amp;menu=puit&amp;table=GPG_ENTRE_PUITS&amp;cle=DZ003" TargetMode="External"/><Relationship Id="rId3" Type="http://schemas.openxmlformats.org/officeDocument/2006/relationships/hyperlink" Target="http://sigpeg.mrn.gouv.qc.ca/rapport/A040_insp_inactif_2019-10-03_Publique.pdf" TargetMode="External"/><Relationship Id="rId235" Type="http://schemas.openxmlformats.org/officeDocument/2006/relationships/hyperlink" Target="https://sigpeg.mrn.gouv.qc.ca/rapport/A045_insp_inactif_2019-10-01_Publique.pdf" TargetMode="External"/><Relationship Id="rId442" Type="http://schemas.openxmlformats.org/officeDocument/2006/relationships/hyperlink" Target="https://sigpeg.mrn.gouv.qc.ca/gpg/classes/ficheDescriptive?type=popup&amp;mode=fichePuits&amp;menu=puit&amp;table=GPG_ENTRE_PUITS&amp;cle=A219" TargetMode="External"/><Relationship Id="rId887" Type="http://schemas.openxmlformats.org/officeDocument/2006/relationships/hyperlink" Target="https://sigpeg.mrn.gouv.qc.ca/rapport/P_C088_inspection_2018-10-26_publique.pdf" TargetMode="External"/><Relationship Id="rId1072" Type="http://schemas.openxmlformats.org/officeDocument/2006/relationships/hyperlink" Target="https://sigpeg.mrn.gouv.qc.ca/gpg/classes/ficheDescriptive?type=popup&amp;mode=fichePuits&amp;menu=puit&amp;table=GPG_ENTRE_PUITS&amp;cle=A112" TargetMode="External"/><Relationship Id="rId302" Type="http://schemas.openxmlformats.org/officeDocument/2006/relationships/hyperlink" Target="https://sigpeg.mrn.gouv.qc.ca/gpg/classes/ficheDescriptive?type=popup&amp;mode=fichePuits&amp;menu=puit&amp;table=GPG_ENTRE_PUITS&amp;cle=A042" TargetMode="External"/><Relationship Id="rId747" Type="http://schemas.openxmlformats.org/officeDocument/2006/relationships/hyperlink" Target="https://sigpeg.mrn.gouv.qc.ca/rapport/P_B299_inspection_2018-09-19_publique.pdf" TargetMode="External"/><Relationship Id="rId954" Type="http://schemas.openxmlformats.org/officeDocument/2006/relationships/hyperlink" Target="https://sigpeg.mrn.gouv.qc.ca/rapport/P_D001_inspection_2018-07-13_publique.pdf" TargetMode="External"/><Relationship Id="rId1377" Type="http://schemas.openxmlformats.org/officeDocument/2006/relationships/hyperlink" Target="https://sigpeg.mrn.gouv.qc.ca/rapport/P_CS33_inspection_2018-07-29_publique.pdf" TargetMode="External"/><Relationship Id="rId83" Type="http://schemas.openxmlformats.org/officeDocument/2006/relationships/hyperlink" Target="https://sigpeg.mrn.gouv.qc.ca/rapport/P_C036_inspection_2018-09-12_publique.pdf" TargetMode="External"/><Relationship Id="rId179" Type="http://schemas.openxmlformats.org/officeDocument/2006/relationships/hyperlink" Target="https://sigpeg.mrn.gouv.qc.ca/gpg/classes/ficheDescriptive?type=popup&amp;mode=fichePuits&amp;menu=puit&amp;table=GPG_ENTRE_PUITS&amp;cle=CS07" TargetMode="External"/><Relationship Id="rId386" Type="http://schemas.openxmlformats.org/officeDocument/2006/relationships/hyperlink" Target="https://sigpeg.mrn.gouv.qc.ca/rapport/A256_insp_inactif_2019-06-12_Publique.pdf" TargetMode="External"/><Relationship Id="rId593" Type="http://schemas.openxmlformats.org/officeDocument/2006/relationships/hyperlink" Target="https://sigpeg.mrn.gouv.qc.ca/rapport/B164_insp_inactif_2019-11-13_Publique.pdf" TargetMode="External"/><Relationship Id="rId607" Type="http://schemas.openxmlformats.org/officeDocument/2006/relationships/hyperlink" Target="https://sigpeg.mrn.gouv.qc.ca/gpg/classes/ficheDescriptive?type=popup&amp;mode=fichePuits&amp;menu=puit&amp;table=GPG_ENTRE_PUITS&amp;cle=B092" TargetMode="External"/><Relationship Id="rId814" Type="http://schemas.openxmlformats.org/officeDocument/2006/relationships/hyperlink" Target="https://sigpeg.mrn.gouv.qc.ca/rapport/C035_insp_inactif_2019-08-07_Publique.pdf" TargetMode="External"/><Relationship Id="rId1237" Type="http://schemas.openxmlformats.org/officeDocument/2006/relationships/hyperlink" Target="https://sigpeg.mrn.gouv.qc.ca/gpg/classes/ficheDescriptive?type=popup&amp;mode=fichePuits&amp;menu=puit&amp;table=GPG_ENTRE_PUITS&amp;cle=AZ55" TargetMode="External"/><Relationship Id="rId1444" Type="http://schemas.openxmlformats.org/officeDocument/2006/relationships/hyperlink" Target="https://sigpeg.mrn.gouv.qc.ca/gpg/classes/ficheDescriptive?type=popup&amp;mode=fichePuits&amp;menu=puit&amp;table=GPG_ENTRE_PUITS&amp;cle=DZ018" TargetMode="External"/><Relationship Id="rId246" Type="http://schemas.openxmlformats.org/officeDocument/2006/relationships/hyperlink" Target="https://sigpeg.mrn.gouv.qc.ca/gpg/classes/ficheDescriptive?type=popup&amp;mode=fichePuits&amp;menu=puit&amp;table=GPG_ENTRE_PUITS&amp;cle=A013" TargetMode="External"/><Relationship Id="rId453" Type="http://schemas.openxmlformats.org/officeDocument/2006/relationships/hyperlink" Target="https://sigpeg.mrn.gouv.qc.ca/gpg/classes/ficheDescriptive?type=popup&amp;mode=fichePuits&amp;menu=puit&amp;table=GPG_ENTRE_PUITS&amp;cle=A271" TargetMode="External"/><Relationship Id="rId660" Type="http://schemas.openxmlformats.org/officeDocument/2006/relationships/hyperlink" Target="https://sigpeg.mrn.gouv.qc.ca/rapport/B199_insp_inactif_2019-06-05_Publique.pdf" TargetMode="External"/><Relationship Id="rId898" Type="http://schemas.openxmlformats.org/officeDocument/2006/relationships/hyperlink" Target="https://sigpeg.mrn.gouv.qc.ca/rapport/C125_insp_inactif_2019-09-16_Publique.pdf" TargetMode="External"/><Relationship Id="rId1083" Type="http://schemas.openxmlformats.org/officeDocument/2006/relationships/hyperlink" Target="https://sigpeg.mrn.gouv.qc.ca/rapport/A025_insp_inactif_2019-09-09_Publique.pdf" TargetMode="External"/><Relationship Id="rId1290" Type="http://schemas.openxmlformats.org/officeDocument/2006/relationships/hyperlink" Target="https://sigpeg.mrn.gouv.qc.ca/rapport/B121_insp_inactif_2019-08-22_Publique.pdf" TargetMode="External"/><Relationship Id="rId1304" Type="http://schemas.openxmlformats.org/officeDocument/2006/relationships/hyperlink" Target="https://sigpeg.mrn.gouv.qc.ca/rapport/B167_insp_inactif_2019-11-12_Publique.pdf" TargetMode="External"/><Relationship Id="rId106" Type="http://schemas.openxmlformats.org/officeDocument/2006/relationships/hyperlink" Target="https://sigpeg.mrn.gouv.qc.ca/rapport/P_C113_inspection_2018-11-04_publique.pdf" TargetMode="External"/><Relationship Id="rId313" Type="http://schemas.openxmlformats.org/officeDocument/2006/relationships/hyperlink" Target="https://sigpeg.mrn.gouv.qc.ca/gpg/classes/ficheDescriptive?type=popup&amp;mode=fichePuits&amp;menu=puit&amp;table=GPG_ENTRE_PUITS&amp;cle=A046" TargetMode="External"/><Relationship Id="rId758" Type="http://schemas.openxmlformats.org/officeDocument/2006/relationships/hyperlink" Target="https://sigpeg.mrn.gouv.qc.ca/rapport/P_BZ10_inspection_2018-10-18_publique.pdf" TargetMode="External"/><Relationship Id="rId965" Type="http://schemas.openxmlformats.org/officeDocument/2006/relationships/hyperlink" Target="https://sigpeg.mrn.gouv.qc.ca/rapport/P_D019_inspection_2018-07-22_publique.pdf" TargetMode="External"/><Relationship Id="rId1150" Type="http://schemas.openxmlformats.org/officeDocument/2006/relationships/hyperlink" Target="https://sigpeg.mrn.gouv.qc.ca/gpg/classes/ficheDescriptive?type=popup&amp;mode=fichePuits&amp;menu=puit&amp;table=GPG_ENTRE_PUITS&amp;cle=A177" TargetMode="External"/><Relationship Id="rId1388" Type="http://schemas.openxmlformats.org/officeDocument/2006/relationships/hyperlink" Target="https://sigpeg.mrn.gouv.qc.ca/rapport/E010_insp_inactif_2019-08-20_Publiquee.pdf" TargetMode="External"/><Relationship Id="rId10" Type="http://schemas.openxmlformats.org/officeDocument/2006/relationships/hyperlink" Target="https://sigpeg.mrn.gouv.qc.ca/gpg/classes/ficheDescriptive?type=popup&amp;mode=fichePuits&amp;menu=puit&amp;table=GPG_ENTRE_PUITS&amp;cle=A014" TargetMode="External"/><Relationship Id="rId94" Type="http://schemas.openxmlformats.org/officeDocument/2006/relationships/hyperlink" Target="https://sigpeg.mrn.gouv.qc.ca/rapport/P_C055_inspection_2018-08-24_publique.pdf" TargetMode="External"/><Relationship Id="rId397" Type="http://schemas.openxmlformats.org/officeDocument/2006/relationships/hyperlink" Target="https://sigpeg.mrn.gouv.qc.ca/gpg/classes/ficheDescriptive?type=popup&amp;mode=fichePuits&amp;menu=puit&amp;table=GPG_ENTRE_PUITS&amp;cle=A136" TargetMode="External"/><Relationship Id="rId520" Type="http://schemas.openxmlformats.org/officeDocument/2006/relationships/hyperlink" Target="https://sigpeg.mrn.gouv.qc.ca/gpg/classes/ficheDescriptive?type=popup&amp;mode=fichePuits&amp;menu=puit&amp;table=GPG_ENTRE_PUITS&amp;cle=B032" TargetMode="External"/><Relationship Id="rId618" Type="http://schemas.openxmlformats.org/officeDocument/2006/relationships/hyperlink" Target="https://sigpeg.mrn.gouv.qc.ca/gpg/classes/ficheDescriptive?type=popup&amp;mode=fichePuits&amp;menu=puit&amp;table=GPG_ENTRE_PUITS&amp;cle=B136" TargetMode="External"/><Relationship Id="rId825" Type="http://schemas.openxmlformats.org/officeDocument/2006/relationships/hyperlink" Target="https://sigpeg.mrn.gouv.qc.ca/rapport/C062_insp_inactif_2019-08-29_Publique.pdf" TargetMode="External"/><Relationship Id="rId1248" Type="http://schemas.openxmlformats.org/officeDocument/2006/relationships/hyperlink" Target="https://sigpeg.mrn.gouv.qc.ca/gpg/classes/ficheDescriptive?type=popup&amp;mode=fichePuits&amp;menu=puit&amp;table=GPG_ENTRE_PUITS&amp;cle=B024" TargetMode="External"/><Relationship Id="rId257" Type="http://schemas.openxmlformats.org/officeDocument/2006/relationships/hyperlink" Target="https://sigpeg.mrn.gouv.qc.ca/rapport/A010_insp_inactif_2019-05-15_Publique.pdf" TargetMode="External"/><Relationship Id="rId464" Type="http://schemas.openxmlformats.org/officeDocument/2006/relationships/hyperlink" Target="https://sigpeg.mrn.gouv.qc.ca/rapport/B005_insp_inactif_2019-09-28_Publique.pdf" TargetMode="External"/><Relationship Id="rId1010" Type="http://schemas.openxmlformats.org/officeDocument/2006/relationships/hyperlink" Target="https://sigpeg.mrn.gouv.qc.ca/gpg/classes/ficheDescriptive?type=popup&amp;mode=fichePuits&amp;menu=puit&amp;table=GPG_ENTRE_PUITS&amp;cle=F001" TargetMode="External"/><Relationship Id="rId1094" Type="http://schemas.openxmlformats.org/officeDocument/2006/relationships/hyperlink" Target="https://sigpeg.mrn.gouv.qc.ca/rapport/A127_insp_inactif_2019-05-27_Publique.pdf" TargetMode="External"/><Relationship Id="rId1108" Type="http://schemas.openxmlformats.org/officeDocument/2006/relationships/hyperlink" Target="https://sigpeg.mrn.gouv.qc.ca/rapport/AZ03_insp_inactif_2019-09-12_Publique.pdf" TargetMode="External"/><Relationship Id="rId1315" Type="http://schemas.openxmlformats.org/officeDocument/2006/relationships/hyperlink" Target="https://sigpeg.mrn.gouv.qc.ca/rapport/P_C117_inspection_2018-07-28_publique.pdf" TargetMode="External"/><Relationship Id="rId117" Type="http://schemas.openxmlformats.org/officeDocument/2006/relationships/hyperlink" Target="https://sigpeg.mrn.gouv.qc.ca/gpg/classes/ficheDescriptive?type=popup&amp;mode=fichePuits&amp;menu=puit&amp;table=GPG_ENTRE_PUITS&amp;cle=A229" TargetMode="External"/><Relationship Id="rId671" Type="http://schemas.openxmlformats.org/officeDocument/2006/relationships/hyperlink" Target="https://sigpeg.mrn.gouv.qc.ca/gpg/classes/ficheDescriptive?type=popup&amp;mode=fichePuits&amp;menu=puit&amp;table=GPG_ENTRE_PUITS&amp;cle=B193" TargetMode="External"/><Relationship Id="rId769" Type="http://schemas.openxmlformats.org/officeDocument/2006/relationships/hyperlink" Target="https://sigpeg.mrn.gouv.qc.ca/gpg/classes/ficheDescriptive?type=popup&amp;mode=fichePuits&amp;menu=puit&amp;table=GPG_ENTRE_PUITS&amp;cle=B304" TargetMode="External"/><Relationship Id="rId976" Type="http://schemas.openxmlformats.org/officeDocument/2006/relationships/hyperlink" Target="https://sigpeg.mrn.gouv.qc.ca/gpg/classes/ficheDescriptive?type=popup&amp;mode=fichePuits&amp;menu=puit&amp;table=GPG_ENTRE_PUITS&amp;cle=CS04" TargetMode="External"/><Relationship Id="rId1399" Type="http://schemas.openxmlformats.org/officeDocument/2006/relationships/hyperlink" Target="https://sigpeg.mrn.gouv.qc.ca/gpg/classes/ficheDescriptive?type=popup&amp;mode=fichePuits&amp;menu=puit&amp;table=GPG_ENTRE_PUITS&amp;cle=CS31" TargetMode="External"/><Relationship Id="rId324" Type="http://schemas.openxmlformats.org/officeDocument/2006/relationships/hyperlink" Target="https://sigpeg.mrn.gouv.qc.ca/gpg/classes/ficheDescriptive?type=popup&amp;mode=fichePuits&amp;menu=puit&amp;table=GPG_ENTRE_PUITS&amp;cle=A085" TargetMode="External"/><Relationship Id="rId531" Type="http://schemas.openxmlformats.org/officeDocument/2006/relationships/hyperlink" Target="https://sigpeg.mrn.gouv.qc.ca/gpg/classes/ficheDescriptive?type=popup&amp;mode=fichePuits&amp;menu=puit&amp;table=GPG_ENTRE_PUITS&amp;cle=B053" TargetMode="External"/><Relationship Id="rId629" Type="http://schemas.openxmlformats.org/officeDocument/2006/relationships/hyperlink" Target="https://sigpeg.mrn.gouv.qc.ca/gpg/classes/ficheDescriptive?type=popup&amp;mode=fichePuits&amp;menu=puit&amp;table=GPG_ENTRE_PUITS&amp;cle=B150" TargetMode="External"/><Relationship Id="rId1161" Type="http://schemas.openxmlformats.org/officeDocument/2006/relationships/hyperlink" Target="https://sigpeg.mrn.gouv.qc.ca/gpg/classes/ficheDescriptive?type=popup&amp;mode=fichePuits&amp;menu=puit&amp;table=GPG_ENTRE_PUITS&amp;cle=AZ05" TargetMode="External"/><Relationship Id="rId1259" Type="http://schemas.openxmlformats.org/officeDocument/2006/relationships/hyperlink" Target="https://sigpeg.mrn.gouv.qc.ca/gpg/classes/ficheDescriptive?type=popup&amp;mode=fichePuits&amp;menu=puit&amp;table=GPG_ENTRE_PUITS&amp;cle=B069" TargetMode="External"/><Relationship Id="rId836" Type="http://schemas.openxmlformats.org/officeDocument/2006/relationships/hyperlink" Target="https://sigpeg.mrn.gouv.qc.ca/gpg/classes/ficheDescriptive?type=popup&amp;mode=fichePuits&amp;menu=puit&amp;table=GPG_ENTRE_PUITS&amp;cle=C012" TargetMode="External"/><Relationship Id="rId1021" Type="http://schemas.openxmlformats.org/officeDocument/2006/relationships/hyperlink" Target="https://sigpeg.mrn.gouv.qc.ca/rapport/A024_insp_inactif_2019-11-25_Publique.pdf" TargetMode="External"/><Relationship Id="rId1119" Type="http://schemas.openxmlformats.org/officeDocument/2006/relationships/hyperlink" Target="https://sigpeg.mrn.gouv.qc.ca/rapport/AZ16_insp_inactif_2019-10-30_Publique.pdf" TargetMode="External"/><Relationship Id="rId903" Type="http://schemas.openxmlformats.org/officeDocument/2006/relationships/hyperlink" Target="https://sigpeg.mrn.gouv.qc.ca/gpg/classes/ficheDescriptive?type=popup&amp;mode=fichePuits&amp;menu=puit&amp;table=GPG_ENTRE_PUITS&amp;cle=C067" TargetMode="External"/><Relationship Id="rId1326" Type="http://schemas.openxmlformats.org/officeDocument/2006/relationships/hyperlink" Target="https://sigpeg.mrn.gouv.qc.ca/gpg/classes/ficheDescriptive?type=popup&amp;mode=fichePuits&amp;menu=puit&amp;table=GPG_ENTRE_PUITS&amp;cle=B112" TargetMode="External"/><Relationship Id="rId32" Type="http://schemas.openxmlformats.org/officeDocument/2006/relationships/hyperlink" Target="https://sigpeg.mrn.gouv.qc.ca/gpg/classes/ficheDescriptive?type=popup&amp;mode=fichePuits&amp;menu=puit&amp;table=GPG_ENTRE_PUITS&amp;cle=A194" TargetMode="External"/><Relationship Id="rId181" Type="http://schemas.openxmlformats.org/officeDocument/2006/relationships/hyperlink" Target="https://sigpeg.mrn.gouv.qc.ca/gpg/classes/ficheDescriptive?type=popup&amp;mode=fichePuits&amp;menu=puit&amp;table=GPG_ENTRE_PUITS&amp;cle=CS21" TargetMode="External"/><Relationship Id="rId279" Type="http://schemas.openxmlformats.org/officeDocument/2006/relationships/hyperlink" Target="https://sigpeg.mrn.gouv.qc.ca/rapport/A068_insp_inactif_2019-08-15_Publique.pdf" TargetMode="External"/><Relationship Id="rId486" Type="http://schemas.openxmlformats.org/officeDocument/2006/relationships/hyperlink" Target="https://sigpeg.mrn.gouv.qc.ca/rapport/P_B045_inspection_2018-10-23_publique.pdf" TargetMode="External"/><Relationship Id="rId693" Type="http://schemas.openxmlformats.org/officeDocument/2006/relationships/hyperlink" Target="https://sigpeg.mrn.gouv.qc.ca/gpg/classes/ficheDescriptive?type=popup&amp;mode=fichePuits&amp;menu=puit&amp;table=GPG_ENTRE_PUITS&amp;cle=B219" TargetMode="External"/><Relationship Id="rId139" Type="http://schemas.openxmlformats.org/officeDocument/2006/relationships/hyperlink" Target="https://sigpeg.mrn.gouv.qc.ca/gpg/classes/ficheDescriptive?type=popup&amp;mode=fichePuits&amp;menu=puit&amp;table=GPG_ENTRE_PUITS&amp;cle=B272" TargetMode="External"/><Relationship Id="rId346" Type="http://schemas.openxmlformats.org/officeDocument/2006/relationships/hyperlink" Target="https://sigpeg.mrn.gouv.qc.ca/rapport/A125_insp_inactif_2019-07-22_Publique.pdf" TargetMode="External"/><Relationship Id="rId553" Type="http://schemas.openxmlformats.org/officeDocument/2006/relationships/hyperlink" Target="https://sigpeg.mrn.gouv.qc.ca/gpg/classes/ficheDescriptive?type=popup&amp;mode=fichePuits&amp;menu=puit&amp;table=GPG_ENTRE_PUITS&amp;cle=B074" TargetMode="External"/><Relationship Id="rId760" Type="http://schemas.openxmlformats.org/officeDocument/2006/relationships/hyperlink" Target="https://sigpeg.mrn.gouv.qc.ca/rapport/BZ13_insp_inactif_2019-08-19_Publique.pdf" TargetMode="External"/><Relationship Id="rId998" Type="http://schemas.openxmlformats.org/officeDocument/2006/relationships/hyperlink" Target="https://sigpeg.mrn.gouv.qc.ca/gpg/classes/ficheDescriptive?type=popup&amp;mode=fichePuits&amp;menu=puit&amp;table=GPG_ENTRE_PUITS&amp;cle=D012" TargetMode="External"/><Relationship Id="rId1183" Type="http://schemas.openxmlformats.org/officeDocument/2006/relationships/hyperlink" Target="https://sigpeg.mrn.gouv.qc.ca/rapport/AZ45_insp_inactif_2019-10-23_Publique.pdf" TargetMode="External"/><Relationship Id="rId1390" Type="http://schemas.openxmlformats.org/officeDocument/2006/relationships/hyperlink" Target="https://sigpeg.mrn.gouv.qc.ca/rapport/G001_insp_inactif_2019-09-27_Publique.pdf" TargetMode="External"/><Relationship Id="rId206" Type="http://schemas.openxmlformats.org/officeDocument/2006/relationships/hyperlink" Target="https://sigpeg.mrn.gouv.qc.ca/rapport/A139_insp_inactif_2019-11-06_Publique.pdf" TargetMode="External"/><Relationship Id="rId413" Type="http://schemas.openxmlformats.org/officeDocument/2006/relationships/hyperlink" Target="https://sigpeg.mrn.gouv.qc.ca/gpg/classes/ficheDescriptive?type=popup&amp;mode=fichePuits&amp;menu=puit&amp;table=GPG_ENTRE_PUITS&amp;cle=A165" TargetMode="External"/><Relationship Id="rId858" Type="http://schemas.openxmlformats.org/officeDocument/2006/relationships/hyperlink" Target="https://sigpeg.mrn.gouv.qc.ca/gpg/classes/ficheDescriptive?type=popup&amp;mode=fichePuits&amp;menu=puit&amp;table=GPG_ENTRE_PUITS&amp;cle=C035" TargetMode="External"/><Relationship Id="rId1043" Type="http://schemas.openxmlformats.org/officeDocument/2006/relationships/hyperlink" Target="https://sigpeg.mrn.gouv.qc.ca/rapport/A114_insp_inactif_2019-09-10_Publique.pdf" TargetMode="External"/><Relationship Id="rId620" Type="http://schemas.openxmlformats.org/officeDocument/2006/relationships/hyperlink" Target="https://sigpeg.mrn.gouv.qc.ca/gpg/classes/ficheDescriptive?type=popup&amp;mode=fichePuits&amp;menu=puit&amp;table=GPG_ENTRE_PUITS&amp;cle=B138" TargetMode="External"/><Relationship Id="rId718" Type="http://schemas.openxmlformats.org/officeDocument/2006/relationships/hyperlink" Target="https://sigpeg.mrn.gouv.qc.ca/gpg/classes/ficheDescriptive?type=popup&amp;mode=fichePuits&amp;menu=puit&amp;table=GPG_ENTRE_PUITS&amp;cle=B245" TargetMode="External"/><Relationship Id="rId925" Type="http://schemas.openxmlformats.org/officeDocument/2006/relationships/hyperlink" Target="https://sigpeg.mrn.gouv.qc.ca/gpg/classes/ficheDescriptive?type=popup&amp;mode=fichePuits&amp;menu=puit&amp;table=GPG_ENTRE_PUITS&amp;cle=C101" TargetMode="External"/><Relationship Id="rId1250" Type="http://schemas.openxmlformats.org/officeDocument/2006/relationships/hyperlink" Target="https://sigpeg.mrn.gouv.qc.ca/gpg/classes/ficheDescriptive?type=popup&amp;mode=fichePuits&amp;menu=puit&amp;table=GPG_ENTRE_PUITS&amp;cle=B027" TargetMode="External"/><Relationship Id="rId1348" Type="http://schemas.openxmlformats.org/officeDocument/2006/relationships/hyperlink" Target="https://sigpeg.mrn.gouv.qc.ca/gpg/classes/ficheDescriptive?type=popup&amp;mode=fichePuits&amp;menu=puit&amp;table=GPG_ENTRE_PUITS&amp;cle=B167" TargetMode="External"/><Relationship Id="rId1110" Type="http://schemas.openxmlformats.org/officeDocument/2006/relationships/hyperlink" Target="https://sigpeg.mrn.gouv.qc.ca/rapport/AZ05_insp_inactif_2019-09-09_Publique.pdf" TargetMode="External"/><Relationship Id="rId1208" Type="http://schemas.openxmlformats.org/officeDocument/2006/relationships/hyperlink" Target="https://sigpeg.mrn.gouv.qc.ca/rapport/B069_insp_inactif_2019-06-05_Publique.pdf" TargetMode="External"/><Relationship Id="rId1415" Type="http://schemas.openxmlformats.org/officeDocument/2006/relationships/hyperlink" Target="https://sigpeg.mrn.gouv.qc.ca/gpg/classes/ficheDescriptive?type=popup&amp;mode=fichePuits&amp;menu=puit&amp;table=GPG_ENTRE_PUITS&amp;cle=F000" TargetMode="External"/><Relationship Id="rId54" Type="http://schemas.openxmlformats.org/officeDocument/2006/relationships/hyperlink" Target="https://sigpeg.mrn.gouv.qc.ca/rapport/B014_insp_inactif_2019-09-29_Publique.pdf" TargetMode="External"/><Relationship Id="rId270" Type="http://schemas.openxmlformats.org/officeDocument/2006/relationships/hyperlink" Target="https://sigpeg.mrn.gouv.qc.ca/rapport/P_A046_inspection_2018-06-20_publique.pdf" TargetMode="External"/><Relationship Id="rId130" Type="http://schemas.openxmlformats.org/officeDocument/2006/relationships/hyperlink" Target="https://sigpeg.mrn.gouv.qc.ca/gpg/classes/ficheDescriptive?type=popup&amp;mode=fichePuits&amp;menu=puit&amp;table=GPG_ENTRE_PUITS&amp;cle=B157" TargetMode="External"/><Relationship Id="rId368" Type="http://schemas.openxmlformats.org/officeDocument/2006/relationships/hyperlink" Target="https://sigpeg.mrn.gouv.qc.ca/rapport/A185_insp_inactif_2019-10-11_Publique.pdf" TargetMode="External"/><Relationship Id="rId575" Type="http://schemas.openxmlformats.org/officeDocument/2006/relationships/hyperlink" Target="https://sigpeg.mrn.gouv.qc.ca/rapport/B138_insp_inactif_2019-08-07_Publique.pdf" TargetMode="External"/><Relationship Id="rId782" Type="http://schemas.openxmlformats.org/officeDocument/2006/relationships/hyperlink" Target="https://sigpeg.mrn.gouv.qc.ca/gpg/classes/ficheDescriptive?type=popup&amp;mode=fichePuits&amp;menu=puit&amp;table=GPG_ENTRE_PUITS&amp;cle=BZ15" TargetMode="External"/><Relationship Id="rId228" Type="http://schemas.openxmlformats.org/officeDocument/2006/relationships/hyperlink" Target="https://sigpeg.mrn.gouv.qc.ca/rapport/P_B214_inspection_2018-08-15_publique.pdf" TargetMode="External"/><Relationship Id="rId435" Type="http://schemas.openxmlformats.org/officeDocument/2006/relationships/hyperlink" Target="https://sigpeg.mrn.gouv.qc.ca/gpg/classes/ficheDescriptive?type=popup&amp;mode=fichePuits&amp;menu=puit&amp;table=GPG_ENTRE_PUITS&amp;cle=A209" TargetMode="External"/><Relationship Id="rId642" Type="http://schemas.openxmlformats.org/officeDocument/2006/relationships/hyperlink" Target="https://sigpeg.mrn.gouv.qc.ca/gpg/classes/ficheDescriptive?type=popup&amp;mode=fichePuits&amp;menu=puit&amp;table=GPG_ENTRE_PUITS&amp;cle=B178" TargetMode="External"/><Relationship Id="rId1065" Type="http://schemas.openxmlformats.org/officeDocument/2006/relationships/hyperlink" Target="https://sigpeg.mrn.gouv.qc.ca/gpg/classes/ficheDescriptive?type=popup&amp;mode=fichePuits&amp;menu=puit&amp;table=GPG_ENTRE_PUITS&amp;cle=A081" TargetMode="External"/><Relationship Id="rId1272" Type="http://schemas.openxmlformats.org/officeDocument/2006/relationships/hyperlink" Target="https://sigpeg.mrn.gouv.qc.ca/gpg/classes/ficheDescriptive?type=popup&amp;mode=fichePuits&amp;menu=puit&amp;table=GPG_ENTRE_PUITS&amp;cle=B099" TargetMode="External"/><Relationship Id="rId502" Type="http://schemas.openxmlformats.org/officeDocument/2006/relationships/hyperlink" Target="https://sigpeg.mrn.gouv.qc.ca/gpg/classes/ficheDescriptive?type=popup&amp;mode=fichePuits&amp;menu=puit&amp;table=GPG_ENTRE_PUITS&amp;cle=B004" TargetMode="External"/><Relationship Id="rId947" Type="http://schemas.openxmlformats.org/officeDocument/2006/relationships/hyperlink" Target="https://sigpeg.mrn.gouv.qc.ca/rapport/P_CS41_inspection_2018-08-29_publique.pdf" TargetMode="External"/><Relationship Id="rId1132" Type="http://schemas.openxmlformats.org/officeDocument/2006/relationships/hyperlink" Target="https://sigpeg.mrn.gouv.qc.ca/gpg/classes/ficheDescriptive?type=popup&amp;mode=fichePuits&amp;menu=puit&amp;table=GPG_ENTRE_PUITS&amp;cle=A053" TargetMode="External"/><Relationship Id="rId76" Type="http://schemas.openxmlformats.org/officeDocument/2006/relationships/hyperlink" Target="https://sigpeg.mrn.gouv.qc.ca/rapport/BZ18_insp_inactif_2019-08-21_Publique.pdf" TargetMode="External"/><Relationship Id="rId807" Type="http://schemas.openxmlformats.org/officeDocument/2006/relationships/hyperlink" Target="https://sigpeg.mrn.gouv.qc.ca/rapport/P_C028_inspection_2018-11-07_publique.pdf" TargetMode="External"/><Relationship Id="rId1437" Type="http://schemas.openxmlformats.org/officeDocument/2006/relationships/hyperlink" Target="https://sigpeg.mrn.gouv.qc.ca/gpg/classes/ficheDescriptive?type=popup&amp;mode=fichePuits&amp;menu=puit&amp;table=GPG_ENTRE_PUITS&amp;cle=DZ009" TargetMode="External"/><Relationship Id="rId292" Type="http://schemas.openxmlformats.org/officeDocument/2006/relationships/hyperlink" Target="https://sigpeg.mrn.gouv.qc.ca/rapport/P_A117_inspection_2018-09-28_publique.pdf" TargetMode="External"/><Relationship Id="rId597" Type="http://schemas.openxmlformats.org/officeDocument/2006/relationships/hyperlink" Target="https://sigpeg.mrn.gouv.qc.ca/rapport/B178_insp_inactif_2019-06-13_Publique.pdf" TargetMode="External"/><Relationship Id="rId152" Type="http://schemas.openxmlformats.org/officeDocument/2006/relationships/hyperlink" Target="https://sigpeg.mrn.gouv.qc.ca/gpg/classes/ficheDescriptive?type=popup&amp;mode=fichePuits&amp;menu=puit&amp;table=GPG_ENTRE_PUITS&amp;cle=C039" TargetMode="External"/><Relationship Id="rId457" Type="http://schemas.openxmlformats.org/officeDocument/2006/relationships/hyperlink" Target="https://sigpeg.mrn.gouv.qc.ca/gpg/classes/ficheDescriptive?type=popup&amp;mode=fichePuits&amp;menu=puit&amp;table=GPG_ENTRE_PUITS&amp;cle=AZ51" TargetMode="External"/><Relationship Id="rId1087" Type="http://schemas.openxmlformats.org/officeDocument/2006/relationships/hyperlink" Target="https://sigpeg.mrn.gouv.qc.ca/rapport/A053_insp_inactif_2019-10-22_Publique.pdf" TargetMode="External"/><Relationship Id="rId1294" Type="http://schemas.openxmlformats.org/officeDocument/2006/relationships/hyperlink" Target="https://sigpeg.mrn.gouv.qc.ca/rapport/B126_insp_inactif_2019-07-30_Publique.pdf" TargetMode="External"/><Relationship Id="rId664" Type="http://schemas.openxmlformats.org/officeDocument/2006/relationships/hyperlink" Target="https://sigpeg.mrn.gouv.qc.ca/rapport/P_B210_inspection_2018-10-03_publique.pdf" TargetMode="External"/><Relationship Id="rId871" Type="http://schemas.openxmlformats.org/officeDocument/2006/relationships/hyperlink" Target="https://sigpeg.mrn.gouv.qc.ca/gpg/classes/ficheDescriptive?type=popup&amp;mode=fichePuits&amp;menu=puit&amp;table=GPG_ENTRE_PUITS&amp;cle=C063" TargetMode="External"/><Relationship Id="rId969" Type="http://schemas.openxmlformats.org/officeDocument/2006/relationships/hyperlink" Target="https://sigpeg.mrn.gouv.qc.ca/rapport/E012_insp_inactif_2019-06-26_Publique.pdf" TargetMode="External"/><Relationship Id="rId317" Type="http://schemas.openxmlformats.org/officeDocument/2006/relationships/hyperlink" Target="https://sigpeg.mrn.gouv.qc.ca/gpg/classes/ficheDescriptive?type=popup&amp;mode=fichePuits&amp;menu=puit&amp;table=GPG_ENTRE_PUITS&amp;cle=A073" TargetMode="External"/><Relationship Id="rId524" Type="http://schemas.openxmlformats.org/officeDocument/2006/relationships/hyperlink" Target="https://sigpeg.mrn.gouv.qc.ca/gpg/classes/ficheDescriptive?type=popup&amp;mode=fichePuits&amp;menu=puit&amp;table=GPG_ENTRE_PUITS&amp;cle=B042" TargetMode="External"/><Relationship Id="rId731" Type="http://schemas.openxmlformats.org/officeDocument/2006/relationships/hyperlink" Target="https://sigpeg.mrn.gouv.qc.ca/gpg/classes/ficheDescriptive?type=popup&amp;mode=fichePuits&amp;menu=puit&amp;table=GPG_ENTRE_PUITS&amp;cle=B270" TargetMode="External"/><Relationship Id="rId1154" Type="http://schemas.openxmlformats.org/officeDocument/2006/relationships/hyperlink" Target="https://sigpeg.mrn.gouv.qc.ca/gpg/classes/ficheDescriptive?type=popup&amp;mode=fichePuits&amp;menu=puit&amp;table=GPG_ENTRE_PUITS&amp;cle=A191" TargetMode="External"/><Relationship Id="rId1361" Type="http://schemas.openxmlformats.org/officeDocument/2006/relationships/hyperlink" Target="https://sigpeg.mrn.gouv.qc.ca/gpg/classes/ficheDescriptive?type=popup&amp;mode=fichePuits&amp;menu=puit&amp;table=GPG_ENTRE_PUITS&amp;cle=C115" TargetMode="External"/><Relationship Id="rId98" Type="http://schemas.openxmlformats.org/officeDocument/2006/relationships/hyperlink" Target="https://sigpeg.mrn.gouv.qc.ca/rapport/P_C065_inspection_2018-08-22_publique.pdf" TargetMode="External"/><Relationship Id="rId829" Type="http://schemas.openxmlformats.org/officeDocument/2006/relationships/hyperlink" Target="https://sigpeg.mrn.gouv.qc.ca/gpg/classes/ficheDescriptive?type=popup&amp;mode=fichePuits&amp;menu=puit&amp;table=GPG_ENTRE_PUITS&amp;cle=C001" TargetMode="External"/><Relationship Id="rId1014" Type="http://schemas.openxmlformats.org/officeDocument/2006/relationships/hyperlink" Target="https://sigpeg.mrn.gouv.qc.ca/gpg/classes/ficheDescriptive?type=popup&amp;mode=fichePuits&amp;menu=puit&amp;table=GPG_ENTRE_PUITS&amp;cle=FZ005" TargetMode="External"/><Relationship Id="rId1221" Type="http://schemas.openxmlformats.org/officeDocument/2006/relationships/hyperlink" Target="https://sigpeg.mrn.gouv.qc.ca/rapport/P_B098_inspection_2018-08-14_publique.pdf" TargetMode="External"/><Relationship Id="rId1319" Type="http://schemas.openxmlformats.org/officeDocument/2006/relationships/hyperlink" Target="https://sigpeg.mrn.gouv.qc.ca/rapport/P_CS13_inspection_2018-08-29_publique.pdf" TargetMode="External"/><Relationship Id="rId25" Type="http://schemas.openxmlformats.org/officeDocument/2006/relationships/hyperlink" Target="https://sigpeg.mrn.gouv.qc.ca/gpg/classes/ficheDescriptive?type=popup&amp;mode=fichePuits&amp;menu=puit&amp;table=GPG_ENTRE_PUITS&amp;cle=A133" TargetMode="External"/><Relationship Id="rId174" Type="http://schemas.openxmlformats.org/officeDocument/2006/relationships/hyperlink" Target="https://sigpeg.mrn.gouv.qc.ca/gpg/classes/ficheDescriptive?type=popup&amp;mode=fichePuits&amp;menu=puit&amp;table=GPG_ENTRE_PUITS&amp;cle=C110" TargetMode="External"/><Relationship Id="rId381" Type="http://schemas.openxmlformats.org/officeDocument/2006/relationships/hyperlink" Target="https://sigpeg.mrn.gouv.qc.ca/rapport/P_A231_inspection_2018-06-05_publique.pdf" TargetMode="External"/><Relationship Id="rId241" Type="http://schemas.openxmlformats.org/officeDocument/2006/relationships/hyperlink" Target="https://sigpeg.mrn.gouv.qc.ca/gpg/classes/ficheDescriptive?type=popup&amp;mode=fichePuits&amp;menu=puit&amp;table=GPG_ENTRE_PUITS&amp;cle=A007" TargetMode="External"/><Relationship Id="rId479" Type="http://schemas.openxmlformats.org/officeDocument/2006/relationships/hyperlink" Target="https://sigpeg.mrn.gouv.qc.ca/rapport/B030_insp_inactif_2019-09-09_Publique.pdf" TargetMode="External"/><Relationship Id="rId686" Type="http://schemas.openxmlformats.org/officeDocument/2006/relationships/hyperlink" Target="https://sigpeg.mrn.gouv.qc.ca/gpg/classes/ficheDescriptive?type=popup&amp;mode=fichePuits&amp;menu=puit&amp;table=GPG_ENTRE_PUITS&amp;cle=B210" TargetMode="External"/><Relationship Id="rId893" Type="http://schemas.openxmlformats.org/officeDocument/2006/relationships/hyperlink" Target="https://sigpeg.mrn.gouv.qc.ca/rapport/P_C107_inspection_2018-11-01_publique.pdf" TargetMode="External"/><Relationship Id="rId339" Type="http://schemas.openxmlformats.org/officeDocument/2006/relationships/hyperlink" Target="https://sigpeg.mrn.gouv.qc.ca/gpg/classes/ficheDescriptive?type=popup&amp;mode=fichePuits&amp;menu=puit&amp;table=GPG_ENTRE_PUITS&amp;cle=A115" TargetMode="External"/><Relationship Id="rId546" Type="http://schemas.openxmlformats.org/officeDocument/2006/relationships/hyperlink" Target="https://sigpeg.mrn.gouv.qc.ca/rapport/P_B077_inspection_2018-09-18_publique.pdf" TargetMode="External"/><Relationship Id="rId753" Type="http://schemas.openxmlformats.org/officeDocument/2006/relationships/hyperlink" Target="https://sigpeg.mrn.gouv.qc.ca/rapport/BZ04_insp_inactif_2019-10-08_Publique.pdf" TargetMode="External"/><Relationship Id="rId1176" Type="http://schemas.openxmlformats.org/officeDocument/2006/relationships/hyperlink" Target="https://sigpeg.mrn.gouv.qc.ca/gpg/classes/ficheDescriptive?type=popup&amp;mode=fichePuits&amp;menu=puit&amp;table=GPG_ENTRE_PUITS&amp;cle=AZ26" TargetMode="External"/><Relationship Id="rId1383" Type="http://schemas.openxmlformats.org/officeDocument/2006/relationships/hyperlink" Target="https://sigpeg.mrn.gouv.qc.ca/rapport/P_D011_inspection_2018-07-25_publique.pdf" TargetMode="External"/><Relationship Id="rId101" Type="http://schemas.openxmlformats.org/officeDocument/2006/relationships/hyperlink" Target="https://sigpeg.mrn.gouv.qc.ca/rapport/C072_insp_inactif_2019-07-24_Publique.pdf" TargetMode="External"/><Relationship Id="rId406" Type="http://schemas.openxmlformats.org/officeDocument/2006/relationships/hyperlink" Target="https://sigpeg.mrn.gouv.qc.ca/gpg/classes/ficheDescriptive?type=popup&amp;mode=fichePuits&amp;menu=puit&amp;table=GPG_ENTRE_PUITS&amp;cle=A151" TargetMode="External"/><Relationship Id="rId960" Type="http://schemas.openxmlformats.org/officeDocument/2006/relationships/hyperlink" Target="https://sigpeg.mrn.gouv.qc.ca/rapport/D014_insp_inactif_2019-06-30_Publique.pdf" TargetMode="External"/><Relationship Id="rId1036" Type="http://schemas.openxmlformats.org/officeDocument/2006/relationships/hyperlink" Target="https://sigpeg.mrn.gouv.qc.ca/rapport/A089_insp_inactif_2019-10-28_Publique.pdf" TargetMode="External"/><Relationship Id="rId1243" Type="http://schemas.openxmlformats.org/officeDocument/2006/relationships/hyperlink" Target="https://sigpeg.mrn.gouv.qc.ca/gpg/classes/ficheDescriptive?type=popup&amp;mode=fichePuits&amp;menu=puit&amp;table=GPG_ENTRE_PUITS&amp;cle=AZ66" TargetMode="External"/><Relationship Id="rId613" Type="http://schemas.openxmlformats.org/officeDocument/2006/relationships/hyperlink" Target="https://sigpeg.mrn.gouv.qc.ca/gpg/classes/ficheDescriptive?type=popup&amp;mode=fichePuits&amp;menu=puit&amp;table=GPG_ENTRE_PUITS&amp;cle=B127" TargetMode="External"/><Relationship Id="rId820" Type="http://schemas.openxmlformats.org/officeDocument/2006/relationships/hyperlink" Target="https://sigpeg.mrn.gouv.qc.ca/rapport/C051_insp_inactif_2019-08-28_Publique.pdf" TargetMode="External"/><Relationship Id="rId918" Type="http://schemas.openxmlformats.org/officeDocument/2006/relationships/hyperlink" Target="https://sigpeg.mrn.gouv.qc.ca/gpg/classes/ficheDescriptive?type=popup&amp;mode=fichePuits&amp;menu=puit&amp;table=GPG_ENTRE_PUITS&amp;cle=C090" TargetMode="External"/><Relationship Id="rId1450" Type="http://schemas.openxmlformats.org/officeDocument/2006/relationships/hyperlink" Target="https://sigpeg.mrn.gouv.qc.ca/gpg/classes/ficheDescriptive?type=popup&amp;mode=fichePuits&amp;menu=puit&amp;table=GPG_ENTRE_PUITS&amp;cle=CZ008" TargetMode="External"/><Relationship Id="rId1103" Type="http://schemas.openxmlformats.org/officeDocument/2006/relationships/hyperlink" Target="https://sigpeg.mrn.gouv.qc.ca/rapport/A162_insp_inactif_2019-09-17_Publique.pdf" TargetMode="External"/><Relationship Id="rId1310" Type="http://schemas.openxmlformats.org/officeDocument/2006/relationships/hyperlink" Target="https://sigpeg.mrn.gouv.qc.ca/rapport/P_C103_inspection_2018-11-02_publique.pdf" TargetMode="External"/><Relationship Id="rId1408" Type="http://schemas.openxmlformats.org/officeDocument/2006/relationships/hyperlink" Target="https://sigpeg.mrn.gouv.qc.ca/gpg/classes/ficheDescriptive?type=popup&amp;mode=fichePuits&amp;menu=puit&amp;table=GPG_ENTRE_PUITS&amp;cle=E001" TargetMode="External"/><Relationship Id="rId47" Type="http://schemas.openxmlformats.org/officeDocument/2006/relationships/hyperlink" Target="https://sigpeg.mrn.gouv.qc.ca/rapport/A190_insp_inactif_2019-07-15_Publique.pdf" TargetMode="External"/><Relationship Id="rId196" Type="http://schemas.openxmlformats.org/officeDocument/2006/relationships/hyperlink" Target="https://sigpeg.mrn.gouv.qc.ca/rapport/A095_insp_inactif_2019-06-18_Publique.pdf" TargetMode="External"/><Relationship Id="rId263" Type="http://schemas.openxmlformats.org/officeDocument/2006/relationships/hyperlink" Target="https://sigpeg.mrn.gouv.qc.ca/rapport/P_A017_inspection_2018-11-19_publique.pdf" TargetMode="External"/><Relationship Id="rId470" Type="http://schemas.openxmlformats.org/officeDocument/2006/relationships/hyperlink" Target="https://sigpeg.mrn.gouv.qc.ca/rapport/B013_insp_inactif_2019-09-29_Publique.pdf" TargetMode="External"/><Relationship Id="rId123" Type="http://schemas.openxmlformats.org/officeDocument/2006/relationships/hyperlink" Target="https://sigpeg.mrn.gouv.qc.ca/gpg/classes/ficheDescriptive?type=popup&amp;mode=fichePuits&amp;menu=puit&amp;table=GPG_ENTRE_PUITS&amp;cle=B046" TargetMode="External"/><Relationship Id="rId330" Type="http://schemas.openxmlformats.org/officeDocument/2006/relationships/hyperlink" Target="https://sigpeg.mrn.gouv.qc.ca/gpg/classes/ficheDescriptive?type=popup&amp;mode=fichePuits&amp;menu=puit&amp;table=GPG_ENTRE_PUITS&amp;cle=A095" TargetMode="External"/><Relationship Id="rId568" Type="http://schemas.openxmlformats.org/officeDocument/2006/relationships/hyperlink" Target="https://sigpeg.mrn.gouv.qc.ca/rapport/B127_insp_inactif_2019-09-26_Publique.pdf" TargetMode="External"/><Relationship Id="rId775" Type="http://schemas.openxmlformats.org/officeDocument/2006/relationships/hyperlink" Target="https://sigpeg.mrn.gouv.qc.ca/gpg/classes/ficheDescriptive?type=popup&amp;mode=fichePuits&amp;menu=puit&amp;table=GPG_ENTRE_PUITS&amp;cle=BZ05" TargetMode="External"/><Relationship Id="rId982" Type="http://schemas.openxmlformats.org/officeDocument/2006/relationships/hyperlink" Target="https://sigpeg.mrn.gouv.qc.ca/gpg/classes/ficheDescriptive?type=popup&amp;mode=fichePuits&amp;menu=puit&amp;table=GPG_ENTRE_PUITS&amp;cle=CS35" TargetMode="External"/><Relationship Id="rId1198" Type="http://schemas.openxmlformats.org/officeDocument/2006/relationships/hyperlink" Target="https://sigpeg.mrn.gouv.qc.ca/rapport/B024_insp_inactif_2019-11-11_Publique.pdf" TargetMode="External"/><Relationship Id="rId428" Type="http://schemas.openxmlformats.org/officeDocument/2006/relationships/hyperlink" Target="https://sigpeg.mrn.gouv.qc.ca/gpg/classes/ficheDescriptive?type=popup&amp;mode=fichePuits&amp;menu=puit&amp;table=GPG_ENTRE_PUITS&amp;cle=A192" TargetMode="External"/><Relationship Id="rId635" Type="http://schemas.openxmlformats.org/officeDocument/2006/relationships/hyperlink" Target="https://sigpeg.mrn.gouv.qc.ca/gpg/classes/ficheDescriptive?type=popup&amp;mode=fichePuits&amp;menu=puit&amp;table=GPG_ENTRE_PUITS&amp;cle=B159" TargetMode="External"/><Relationship Id="rId842" Type="http://schemas.openxmlformats.org/officeDocument/2006/relationships/hyperlink" Target="https://sigpeg.mrn.gouv.qc.ca/gpg/classes/ficheDescriptive?type=popup&amp;mode=fichePuits&amp;menu=puit&amp;table=GPG_ENTRE_PUITS&amp;cle=C018" TargetMode="External"/><Relationship Id="rId1058" Type="http://schemas.openxmlformats.org/officeDocument/2006/relationships/hyperlink" Target="https://sigpeg.mrn.gouv.qc.ca/gpg/classes/ficheDescriptive?type=popup&amp;mode=fichePuits&amp;menu=puit&amp;table=GPG_ENTRE_PUITS&amp;cle=A044" TargetMode="External"/><Relationship Id="rId1265" Type="http://schemas.openxmlformats.org/officeDocument/2006/relationships/hyperlink" Target="https://sigpeg.mrn.gouv.qc.ca/gpg/classes/ficheDescriptive?type=popup&amp;mode=fichePuits&amp;menu=puit&amp;table=GPG_ENTRE_PUITS&amp;cle=B091" TargetMode="External"/><Relationship Id="rId702" Type="http://schemas.openxmlformats.org/officeDocument/2006/relationships/hyperlink" Target="https://sigpeg.mrn.gouv.qc.ca/gpg/classes/ficheDescriptive?type=popup&amp;mode=fichePuits&amp;menu=puit&amp;table=GPG_ENTRE_PUITS&amp;cle=B229" TargetMode="External"/><Relationship Id="rId1125" Type="http://schemas.openxmlformats.org/officeDocument/2006/relationships/hyperlink" Target="https://sigpeg.mrn.gouv.qc.ca/rapport/AZ26_insp_inactif_2019-10-24_Publique.pdf" TargetMode="External"/><Relationship Id="rId1332" Type="http://schemas.openxmlformats.org/officeDocument/2006/relationships/hyperlink" Target="https://sigpeg.mrn.gouv.qc.ca/gpg/classes/ficheDescriptive?type=popup&amp;mode=fichePuits&amp;menu=puit&amp;table=GPG_ENTRE_PUITS&amp;cle=B119" TargetMode="External"/><Relationship Id="rId69" Type="http://schemas.openxmlformats.org/officeDocument/2006/relationships/hyperlink" Target="https://sigpeg.mrn.gouv.qc.ca/rapport/B220_insp_inactif_2019-06-19_Publique.pdf" TargetMode="External"/><Relationship Id="rId285" Type="http://schemas.openxmlformats.org/officeDocument/2006/relationships/hyperlink" Target="https://sigpeg.mrn.gouv.qc.ca/rapport/A075_insp_inactif_2019-09-27_Publique.pdf" TargetMode="External"/><Relationship Id="rId492" Type="http://schemas.openxmlformats.org/officeDocument/2006/relationships/hyperlink" Target="https://sigpeg.mrn.gouv.qc.ca/rapport/B055_insp_inactif_2019-05-23_Publique.pdf" TargetMode="External"/><Relationship Id="rId797" Type="http://schemas.openxmlformats.org/officeDocument/2006/relationships/hyperlink" Target="https://sigpeg.mrn.gouv.qc.ca/rapport/P_C017_inspection_2018-08-22_publique.pdf" TargetMode="External"/><Relationship Id="rId145" Type="http://schemas.openxmlformats.org/officeDocument/2006/relationships/hyperlink" Target="https://sigpeg.mrn.gouv.qc.ca/gpg/classes/ficheDescriptive?type=popup&amp;mode=fichePuits&amp;menu=puit&amp;table=GPG_ENTRE_PUITS&amp;cle=C004" TargetMode="External"/><Relationship Id="rId352" Type="http://schemas.openxmlformats.org/officeDocument/2006/relationships/hyperlink" Target="https://sigpeg.mrn.gouv.qc.ca/rapport/A148_insp_inactif_2019-08-14_Publique.pdf" TargetMode="External"/><Relationship Id="rId1287" Type="http://schemas.openxmlformats.org/officeDocument/2006/relationships/hyperlink" Target="https://sigpeg.mrn.gouv.qc.ca/rapport/B118_insp_inactif_2019-08-14_Publique.pdf" TargetMode="External"/><Relationship Id="rId212" Type="http://schemas.openxmlformats.org/officeDocument/2006/relationships/hyperlink" Target="https://sigpeg.mrn.gouv.qc.ca/rapport/P_A208_inspection_2018-09-19_publique.pdf" TargetMode="External"/><Relationship Id="rId657" Type="http://schemas.openxmlformats.org/officeDocument/2006/relationships/hyperlink" Target="https://sigpeg.mrn.gouv.qc.ca/rapport/B194_insp_inactif_2019-10-09_Publique.pdf" TargetMode="External"/><Relationship Id="rId864" Type="http://schemas.openxmlformats.org/officeDocument/2006/relationships/hyperlink" Target="https://sigpeg.mrn.gouv.qc.ca/gpg/classes/ficheDescriptive?type=popup&amp;mode=fichePuits&amp;menu=puit&amp;table=GPG_ENTRE_PUITS&amp;cle=C051" TargetMode="External"/><Relationship Id="rId517" Type="http://schemas.openxmlformats.org/officeDocument/2006/relationships/hyperlink" Target="https://sigpeg.mrn.gouv.qc.ca/gpg/classes/ficheDescriptive?type=popup&amp;mode=fichePuits&amp;menu=puit&amp;table=GPG_ENTRE_PUITS&amp;cle=B022" TargetMode="External"/><Relationship Id="rId724" Type="http://schemas.openxmlformats.org/officeDocument/2006/relationships/hyperlink" Target="https://sigpeg.mrn.gouv.qc.ca/gpg/classes/ficheDescriptive?type=popup&amp;mode=fichePuits&amp;menu=puit&amp;table=GPG_ENTRE_PUITS&amp;cle=B251" TargetMode="External"/><Relationship Id="rId931" Type="http://schemas.openxmlformats.org/officeDocument/2006/relationships/hyperlink" Target="https://sigpeg.mrn.gouv.qc.ca/gpg/classes/ficheDescriptive?type=popup&amp;mode=fichePuits&amp;menu=puit&amp;table=GPG_ENTRE_PUITS&amp;cle=C125" TargetMode="External"/><Relationship Id="rId1147" Type="http://schemas.openxmlformats.org/officeDocument/2006/relationships/hyperlink" Target="https://sigpeg.mrn.gouv.qc.ca/gpg/classes/ficheDescriptive?type=popup&amp;mode=fichePuits&amp;menu=puit&amp;table=GPG_ENTRE_PUITS&amp;cle=A157" TargetMode="External"/><Relationship Id="rId1354" Type="http://schemas.openxmlformats.org/officeDocument/2006/relationships/hyperlink" Target="https://sigpeg.mrn.gouv.qc.ca/gpg/classes/ficheDescriptive?type=popup&amp;mode=fichePuits&amp;menu=puit&amp;table=GPG_ENTRE_PUITS&amp;cle=BZ06" TargetMode="External"/><Relationship Id="rId60" Type="http://schemas.openxmlformats.org/officeDocument/2006/relationships/hyperlink" Target="https://sigpeg.mrn.gouv.qc.ca/rapport/B059_insp_inactif_2019-07-18_Publique.pdf" TargetMode="External"/><Relationship Id="rId1007" Type="http://schemas.openxmlformats.org/officeDocument/2006/relationships/hyperlink" Target="https://sigpeg.mrn.gouv.qc.ca/gpg/classes/ficheDescriptive?type=popup&amp;mode=fichePuits&amp;menu=puit&amp;table=GPG_ENTRE_PUITS&amp;cle=E006" TargetMode="External"/><Relationship Id="rId1214" Type="http://schemas.openxmlformats.org/officeDocument/2006/relationships/hyperlink" Target="https://sigpeg.mrn.gouv.qc.ca/rapport/B090_insp_inactif_2019-11-12_Publique.pdf" TargetMode="External"/><Relationship Id="rId1421" Type="http://schemas.openxmlformats.org/officeDocument/2006/relationships/hyperlink" Target="https://sigpeg.mrn.gouv.qc.ca/gpg/classes/ficheDescriptive?type=popup&amp;mode=fichePuits&amp;menu=puit&amp;table=GPG_ENTRE_PUITS&amp;cle=A001" TargetMode="External"/><Relationship Id="rId18" Type="http://schemas.openxmlformats.org/officeDocument/2006/relationships/hyperlink" Target="https://sigpeg.mrn.gouv.qc.ca/gpg/classes/ficheDescriptive?type=popup&amp;mode=fichePuits&amp;menu=puit&amp;table=GPG_ENTRE_PUITS&amp;cle=A040" TargetMode="External"/><Relationship Id="rId167" Type="http://schemas.openxmlformats.org/officeDocument/2006/relationships/hyperlink" Target="https://sigpeg.mrn.gouv.qc.ca/gpg/classes/ficheDescriptive?type=popup&amp;mode=fichePuits&amp;menu=puit&amp;table=GPG_ENTRE_PUITS&amp;cle=C071" TargetMode="External"/><Relationship Id="rId374" Type="http://schemas.openxmlformats.org/officeDocument/2006/relationships/hyperlink" Target="https://sigpeg.mrn.gouv.qc.ca/rapport/P_A195_inspection_2018-09-17_publique.pdf" TargetMode="External"/><Relationship Id="rId581" Type="http://schemas.openxmlformats.org/officeDocument/2006/relationships/hyperlink" Target="https://sigpeg.mrn.gouv.qc.ca/rapport/B146_insp_inactif_2019-05-16_Publique.pdf" TargetMode="External"/><Relationship Id="rId234" Type="http://schemas.openxmlformats.org/officeDocument/2006/relationships/hyperlink" Target="https://sigpeg.mrn.gouv.qc.ca/rapport/A042_insp_inactif_2019-10-02_Publique.pdf" TargetMode="External"/><Relationship Id="rId679" Type="http://schemas.openxmlformats.org/officeDocument/2006/relationships/hyperlink" Target="https://sigpeg.mrn.gouv.qc.ca/gpg/classes/ficheDescriptive?type=popup&amp;mode=fichePuits&amp;menu=puit&amp;table=GPG_ENTRE_PUITS&amp;cle=B202" TargetMode="External"/><Relationship Id="rId886" Type="http://schemas.openxmlformats.org/officeDocument/2006/relationships/hyperlink" Target="https://sigpeg.mrn.gouv.qc.ca/rapport/C086_insp_inactif_2019-09-16_Publique.pdf" TargetMode="External"/><Relationship Id="rId2" Type="http://schemas.openxmlformats.org/officeDocument/2006/relationships/hyperlink" Target="http://sigpeg.mrn.gouv.qc.ca/rapport/A014_insp_inactif_2019-08-21_Publique.pdf" TargetMode="External"/><Relationship Id="rId441" Type="http://schemas.openxmlformats.org/officeDocument/2006/relationships/hyperlink" Target="https://sigpeg.mrn.gouv.qc.ca/gpg/classes/ficheDescriptive?type=popup&amp;mode=fichePuits&amp;menu=puit&amp;table=GPG_ENTRE_PUITS&amp;cle=A218" TargetMode="External"/><Relationship Id="rId539" Type="http://schemas.openxmlformats.org/officeDocument/2006/relationships/hyperlink" Target="https://sigpeg.mrn.gouv.qc.ca/gpg/classes/ficheDescriptive?type=popup&amp;mode=fichePuits&amp;menu=puit&amp;table=GPG_ENTRE_PUITS&amp;cle=B067" TargetMode="External"/><Relationship Id="rId746" Type="http://schemas.openxmlformats.org/officeDocument/2006/relationships/hyperlink" Target="https://sigpeg.mrn.gouv.qc.ca/rapport/P_B276_inspection_2018-10-09_publique.pdf" TargetMode="External"/><Relationship Id="rId1071" Type="http://schemas.openxmlformats.org/officeDocument/2006/relationships/hyperlink" Target="https://sigpeg.mrn.gouv.qc.ca/gpg/classes/ficheDescriptive?type=popup&amp;mode=fichePuits&amp;menu=puit&amp;table=GPG_ENTRE_PUITS&amp;cle=A111" TargetMode="External"/><Relationship Id="rId1169" Type="http://schemas.openxmlformats.org/officeDocument/2006/relationships/hyperlink" Target="https://sigpeg.mrn.gouv.qc.ca/gpg/classes/ficheDescriptive?type=popup&amp;mode=fichePuits&amp;menu=puit&amp;table=GPG_ENTRE_PUITS&amp;cle=AZ15" TargetMode="External"/><Relationship Id="rId1376" Type="http://schemas.openxmlformats.org/officeDocument/2006/relationships/hyperlink" Target="https://sigpeg.mrn.gouv.qc.ca/rapport/P_CS32_inspection_2018-07-29_publique.pdf" TargetMode="External"/><Relationship Id="rId301" Type="http://schemas.openxmlformats.org/officeDocument/2006/relationships/hyperlink" Target="https://sigpeg.mrn.gouv.qc.ca/gpg/classes/ficheDescriptive?type=popup&amp;mode=fichePuits&amp;menu=puit&amp;table=GPG_ENTRE_PUITS&amp;cle=A039" TargetMode="External"/><Relationship Id="rId953" Type="http://schemas.openxmlformats.org/officeDocument/2006/relationships/hyperlink" Target="https://sigpeg.mrn.gouv.qc.ca/rapport/P_CS50_inspection_2018-09-13_publique.pdf" TargetMode="External"/><Relationship Id="rId1029" Type="http://schemas.openxmlformats.org/officeDocument/2006/relationships/hyperlink" Target="https://sigpeg.mrn.gouv.qc.ca/rapport/A057_insp_inactif_2019-07-03_Publique.pdf" TargetMode="External"/><Relationship Id="rId1236" Type="http://schemas.openxmlformats.org/officeDocument/2006/relationships/hyperlink" Target="https://sigpeg.mrn.gouv.qc.ca/gpg/classes/ficheDescriptive?type=popup&amp;mode=fichePuits&amp;menu=puit&amp;table=GPG_ENTRE_PUITS&amp;cle=AZ54" TargetMode="External"/><Relationship Id="rId82" Type="http://schemas.openxmlformats.org/officeDocument/2006/relationships/hyperlink" Target="https://sigpeg.mrn.gouv.qc.ca/rapport/C027_insp_inactif_2019-08-08_Publique.pdf" TargetMode="External"/><Relationship Id="rId606" Type="http://schemas.openxmlformats.org/officeDocument/2006/relationships/hyperlink" Target="https://sigpeg.mrn.gouv.qc.ca/gpg/classes/ficheDescriptive?type=popup&amp;mode=fichePuits&amp;menu=puit&amp;table=GPG_ENTRE_PUITS&amp;cle=B089" TargetMode="External"/><Relationship Id="rId813" Type="http://schemas.openxmlformats.org/officeDocument/2006/relationships/hyperlink" Target="https://sigpeg.mrn.gouv.qc.ca/rapport/C034_insp_inactif_2019-06-28_Publique.pdf" TargetMode="External"/><Relationship Id="rId1443" Type="http://schemas.openxmlformats.org/officeDocument/2006/relationships/hyperlink" Target="https://sigpeg.mrn.gouv.qc.ca/gpg/classes/ficheDescriptive?type=popup&amp;mode=fichePuits&amp;menu=puit&amp;table=GPG_ENTRE_PUITS&amp;cle=DZ017" TargetMode="External"/><Relationship Id="rId1303" Type="http://schemas.openxmlformats.org/officeDocument/2006/relationships/hyperlink" Target="https://sigpeg.mrn.gouv.qc.ca/rapport/B166_insp_inactif_2019-08-21_Publique.pdf" TargetMode="External"/><Relationship Id="rId189" Type="http://schemas.openxmlformats.org/officeDocument/2006/relationships/hyperlink" Target="https://sigpeg.mrn.gouv.qc.ca/rapport/A021_insp_inactif_2019-11-28_Publique.pdf" TargetMode="External"/><Relationship Id="rId396" Type="http://schemas.openxmlformats.org/officeDocument/2006/relationships/hyperlink" Target="https://sigpeg.mrn.gouv.qc.ca/gpg/classes/ficheDescriptive?type=popup&amp;mode=fichePuits&amp;menu=puit&amp;table=GPG_ENTRE_PUITS&amp;cle=A126" TargetMode="External"/><Relationship Id="rId256" Type="http://schemas.openxmlformats.org/officeDocument/2006/relationships/hyperlink" Target="https://sigpeg.mrn.gouv.qc.ca/rapport/A009_insp_inactif_2019-05-15_Publique.pdf" TargetMode="External"/><Relationship Id="rId463" Type="http://schemas.openxmlformats.org/officeDocument/2006/relationships/hyperlink" Target="https://sigpeg.mrn.gouv.qc.ca/rapport/B006_insp_inactif_2019-09-28_Publique.pdf" TargetMode="External"/><Relationship Id="rId670" Type="http://schemas.openxmlformats.org/officeDocument/2006/relationships/hyperlink" Target="https://sigpeg.mrn.gouv.qc.ca/gpg/classes/ficheDescriptive?type=popup&amp;mode=fichePuits&amp;menu=puit&amp;table=GPG_ENTRE_PUITS&amp;cle=B192" TargetMode="External"/><Relationship Id="rId1093" Type="http://schemas.openxmlformats.org/officeDocument/2006/relationships/hyperlink" Target="https://sigpeg.mrn.gouv.qc.ca/rapport/A087_insp_inactif_2019-08-27_Publique.pdf" TargetMode="External"/><Relationship Id="rId116" Type="http://schemas.openxmlformats.org/officeDocument/2006/relationships/hyperlink" Target="https://sigpeg.mrn.gouv.qc.ca/rapport/E008_insp_inactif_2019-08-23_Publique.pdf" TargetMode="External"/><Relationship Id="rId323" Type="http://schemas.openxmlformats.org/officeDocument/2006/relationships/hyperlink" Target="https://sigpeg.mrn.gouv.qc.ca/gpg/classes/ficheDescriptive?type=popup&amp;mode=fichePuits&amp;menu=puit&amp;table=GPG_ENTRE_PUITS&amp;cle=A084" TargetMode="External"/><Relationship Id="rId530" Type="http://schemas.openxmlformats.org/officeDocument/2006/relationships/hyperlink" Target="https://sigpeg.mrn.gouv.qc.ca/gpg/classes/ficheDescriptive?type=popup&amp;mode=fichePuits&amp;menu=puit&amp;table=GPG_ENTRE_PUITS&amp;cle=B052" TargetMode="External"/><Relationship Id="rId768" Type="http://schemas.openxmlformats.org/officeDocument/2006/relationships/hyperlink" Target="https://sigpeg.mrn.gouv.qc.ca/gpg/classes/ficheDescriptive?type=popup&amp;mode=fichePuits&amp;menu=puit&amp;table=GPG_ENTRE_PUITS&amp;cle=B299" TargetMode="External"/><Relationship Id="rId975" Type="http://schemas.openxmlformats.org/officeDocument/2006/relationships/hyperlink" Target="https://sigpeg.mrn.gouv.qc.ca/rapport/G003_insp_inactif_2019-09-24_Publique.pdf" TargetMode="External"/><Relationship Id="rId1160" Type="http://schemas.openxmlformats.org/officeDocument/2006/relationships/hyperlink" Target="https://sigpeg.mrn.gouv.qc.ca/gpg/classes/ficheDescriptive?type=popup&amp;mode=fichePuits&amp;menu=puit&amp;table=GPG_ENTRE_PUITS&amp;cle=AZ04" TargetMode="External"/><Relationship Id="rId1398" Type="http://schemas.openxmlformats.org/officeDocument/2006/relationships/hyperlink" Target="https://sigpeg.mrn.gouv.qc.ca/gpg/classes/ficheDescriptive?type=popup&amp;mode=fichePuits&amp;menu=puit&amp;table=GPG_ENTRE_PUITS&amp;cle=CS27" TargetMode="External"/><Relationship Id="rId628" Type="http://schemas.openxmlformats.org/officeDocument/2006/relationships/hyperlink" Target="https://sigpeg.mrn.gouv.qc.ca/gpg/classes/ficheDescriptive?type=popup&amp;mode=fichePuits&amp;menu=puit&amp;table=GPG_ENTRE_PUITS&amp;cle=B149" TargetMode="External"/><Relationship Id="rId835" Type="http://schemas.openxmlformats.org/officeDocument/2006/relationships/hyperlink" Target="https://sigpeg.mrn.gouv.qc.ca/gpg/classes/ficheDescriptive?type=popup&amp;mode=fichePuits&amp;menu=puit&amp;table=GPG_ENTRE_PUITS&amp;cle=C011" TargetMode="External"/><Relationship Id="rId1258" Type="http://schemas.openxmlformats.org/officeDocument/2006/relationships/hyperlink" Target="https://sigpeg.mrn.gouv.qc.ca/gpg/classes/ficheDescriptive?type=popup&amp;mode=fichePuits&amp;menu=puit&amp;table=GPG_ENTRE_PUITS&amp;cle=B070" TargetMode="External"/><Relationship Id="rId1020" Type="http://schemas.openxmlformats.org/officeDocument/2006/relationships/hyperlink" Target="https://sigpeg.mrn.gouv.qc.ca/rapport/A018_insp_inactif_2019-11-07_Publique.pdf" TargetMode="External"/><Relationship Id="rId1118" Type="http://schemas.openxmlformats.org/officeDocument/2006/relationships/hyperlink" Target="https://sigpeg.mrn.gouv.qc.ca/rapport/AZ15_insp_inactif_2019-11-07_Publique.pdf" TargetMode="External"/><Relationship Id="rId1325" Type="http://schemas.openxmlformats.org/officeDocument/2006/relationships/hyperlink" Target="https://sigpeg.mrn.gouv.qc.ca/gpg/classes/ficheDescriptive?type=popup&amp;mode=fichePuits&amp;menu=puit&amp;table=GPG_ENTRE_PUITS&amp;cle=B110" TargetMode="External"/><Relationship Id="rId902" Type="http://schemas.openxmlformats.org/officeDocument/2006/relationships/hyperlink" Target="https://sigpeg.mrn.gouv.qc.ca/rapport/P_C144_inspection_2018-10-23_publique.pdf" TargetMode="External"/><Relationship Id="rId31" Type="http://schemas.openxmlformats.org/officeDocument/2006/relationships/hyperlink" Target="https://sigpeg.mrn.gouv.qc.ca/gpg/classes/ficheDescriptive?type=popup&amp;mode=fichePuits&amp;menu=puit&amp;table=GPG_ENTRE_PUITS&amp;cle=A190" TargetMode="External"/><Relationship Id="rId180" Type="http://schemas.openxmlformats.org/officeDocument/2006/relationships/hyperlink" Target="https://sigpeg.mrn.gouv.qc.ca/gpg/classes/ficheDescriptive?type=popup&amp;mode=fichePuits&amp;menu=puit&amp;table=GPG_ENTRE_PUITS&amp;cle=CS08" TargetMode="External"/><Relationship Id="rId278" Type="http://schemas.openxmlformats.org/officeDocument/2006/relationships/hyperlink" Target="https://sigpeg.mrn.gouv.qc.ca/rapport/A065_insp_inactif_2019-06-27_Publique.pdf" TargetMode="External"/><Relationship Id="rId485" Type="http://schemas.openxmlformats.org/officeDocument/2006/relationships/hyperlink" Target="https://sigpeg.mrn.gouv.qc.ca/rapport/P_B043_inspection_2018-10-29_publique.pdf" TargetMode="External"/><Relationship Id="rId692" Type="http://schemas.openxmlformats.org/officeDocument/2006/relationships/hyperlink" Target="https://sigpeg.mrn.gouv.qc.ca/gpg/classes/ficheDescriptive?type=popup&amp;mode=fichePuits&amp;menu=puit&amp;table=GPG_ENTRE_PUITS&amp;cle=B218" TargetMode="External"/><Relationship Id="rId138" Type="http://schemas.openxmlformats.org/officeDocument/2006/relationships/hyperlink" Target="https://sigpeg.mrn.gouv.qc.ca/gpg/classes/ficheDescriptive?type=popup&amp;mode=fichePuits&amp;menu=puit&amp;table=GPG_ENTRE_PUITS&amp;cle=B267A" TargetMode="External"/><Relationship Id="rId345" Type="http://schemas.openxmlformats.org/officeDocument/2006/relationships/hyperlink" Target="https://sigpeg.mrn.gouv.qc.ca/rapport/A124_insp_inactif_2019-09-12_Publique.pdf" TargetMode="External"/><Relationship Id="rId552" Type="http://schemas.openxmlformats.org/officeDocument/2006/relationships/hyperlink" Target="https://sigpeg.mrn.gouv.qc.ca/gpg/classes/ficheDescriptive?type=popup&amp;mode=fichePuits&amp;menu=puit&amp;table=GPG_ENTRE_PUITS&amp;cle=B072" TargetMode="External"/><Relationship Id="rId997" Type="http://schemas.openxmlformats.org/officeDocument/2006/relationships/hyperlink" Target="https://sigpeg.mrn.gouv.qc.ca/gpg/classes/ficheDescriptive?type=popup&amp;mode=fichePuits&amp;menu=puit&amp;table=GPG_ENTRE_PUITS&amp;cle=D010" TargetMode="External"/><Relationship Id="rId1182" Type="http://schemas.openxmlformats.org/officeDocument/2006/relationships/hyperlink" Target="https://sigpeg.mrn.gouv.qc.ca/rapport/AZ43_insp_inactif_2019-10-01_Publique.pdf" TargetMode="External"/><Relationship Id="rId205" Type="http://schemas.openxmlformats.org/officeDocument/2006/relationships/hyperlink" Target="https://sigpeg.mrn.gouv.qc.ca/rapport/A136_insp_inactif_2019-06-25_Publique.pdf" TargetMode="External"/><Relationship Id="rId412" Type="http://schemas.openxmlformats.org/officeDocument/2006/relationships/hyperlink" Target="https://sigpeg.mrn.gouv.qc.ca/gpg/classes/ficheDescriptive?type=popup&amp;mode=fichePuits&amp;menu=puit&amp;table=GPG_ENTRE_PUITS&amp;cle=A163" TargetMode="External"/><Relationship Id="rId857" Type="http://schemas.openxmlformats.org/officeDocument/2006/relationships/hyperlink" Target="https://sigpeg.mrn.gouv.qc.ca/gpg/classes/ficheDescriptive?type=popup&amp;mode=fichePuits&amp;menu=puit&amp;table=GPG_ENTRE_PUITS&amp;cle=C034" TargetMode="External"/><Relationship Id="rId1042" Type="http://schemas.openxmlformats.org/officeDocument/2006/relationships/hyperlink" Target="https://sigpeg.mrn.gouv.qc.ca/rapport/P_A113_inspection_2018-11-16_publique.pdf" TargetMode="External"/><Relationship Id="rId717" Type="http://schemas.openxmlformats.org/officeDocument/2006/relationships/hyperlink" Target="https://sigpeg.mrn.gouv.qc.ca/gpg/classes/ficheDescriptive?type=popup&amp;mode=fichePuits&amp;menu=puit&amp;table=GPG_ENTRE_PUITS&amp;cle=B244" TargetMode="External"/><Relationship Id="rId924" Type="http://schemas.openxmlformats.org/officeDocument/2006/relationships/hyperlink" Target="https://sigpeg.mrn.gouv.qc.ca/gpg/classes/ficheDescriptive?type=popup&amp;mode=fichePuits&amp;menu=puit&amp;table=GPG_ENTRE_PUITS&amp;cle=C099" TargetMode="External"/><Relationship Id="rId1347" Type="http://schemas.openxmlformats.org/officeDocument/2006/relationships/hyperlink" Target="https://sigpeg.mrn.gouv.qc.ca/gpg/classes/ficheDescriptive?type=popup&amp;mode=fichePuits&amp;menu=puit&amp;table=GPG_ENTRE_PUITS&amp;cle=B166" TargetMode="External"/><Relationship Id="rId53" Type="http://schemas.openxmlformats.org/officeDocument/2006/relationships/hyperlink" Target="https://sigpeg.mrn.gouv.qc.ca/rapport/P_B001C_inspection_2018-07-26_publique.pdf" TargetMode="External"/><Relationship Id="rId1207" Type="http://schemas.openxmlformats.org/officeDocument/2006/relationships/hyperlink" Target="https://sigpeg.mrn.gouv.qc.ca/rapport/B065_insp_inactif_2019-06-11_Publique.pdf" TargetMode="External"/><Relationship Id="rId1414" Type="http://schemas.openxmlformats.org/officeDocument/2006/relationships/hyperlink" Target="https://sigpeg.mrn.gouv.qc.ca/gpg/classes/ficheDescriptive?type=popup&amp;mode=fichePuits&amp;menu=puit&amp;table=GPG_ENTRE_PUITS&amp;cle=EZ01" TargetMode="External"/><Relationship Id="rId367" Type="http://schemas.openxmlformats.org/officeDocument/2006/relationships/hyperlink" Target="https://sigpeg.mrn.gouv.qc.ca/rapport/P_A184_inspection_2018-11-09_publique.pdf" TargetMode="External"/><Relationship Id="rId574" Type="http://schemas.openxmlformats.org/officeDocument/2006/relationships/hyperlink" Target="https://sigpeg.mrn.gouv.qc.ca/rapport/B137_insp_inactif_2019-10-29_Publique.pdf" TargetMode="External"/><Relationship Id="rId227" Type="http://schemas.openxmlformats.org/officeDocument/2006/relationships/hyperlink" Target="https://sigpeg.mrn.gouv.qc.ca/rapport/B195_insp_inactif_2019-10-07_Publique.pdf" TargetMode="External"/><Relationship Id="rId781" Type="http://schemas.openxmlformats.org/officeDocument/2006/relationships/hyperlink" Target="https://sigpeg.mrn.gouv.qc.ca/gpg/classes/ficheDescriptive?type=popup&amp;mode=fichePuits&amp;menu=puit&amp;table=GPG_ENTRE_PUITS&amp;cle=BZ13" TargetMode="External"/><Relationship Id="rId879" Type="http://schemas.openxmlformats.org/officeDocument/2006/relationships/hyperlink" Target="https://sigpeg.mrn.gouv.qc.ca/rapport/P_C079_inspection_2018-08-01_publique.pdf" TargetMode="External"/><Relationship Id="rId434" Type="http://schemas.openxmlformats.org/officeDocument/2006/relationships/hyperlink" Target="https://sigpeg.mrn.gouv.qc.ca/gpg/classes/ficheDescriptive?type=popup&amp;mode=fichePuits&amp;menu=puit&amp;table=GPG_ENTRE_PUITS&amp;cle=A208" TargetMode="External"/><Relationship Id="rId641" Type="http://schemas.openxmlformats.org/officeDocument/2006/relationships/hyperlink" Target="https://sigpeg.mrn.gouv.qc.ca/gpg/classes/ficheDescriptive?type=popup&amp;mode=fichePuits&amp;menu=puit&amp;table=GPG_ENTRE_PUITS&amp;cle=B176" TargetMode="External"/><Relationship Id="rId739" Type="http://schemas.openxmlformats.org/officeDocument/2006/relationships/hyperlink" Target="https://sigpeg.mrn.gouv.qc.ca/rapport/P_B268_inspection_2018-09-07_publique.pdf" TargetMode="External"/><Relationship Id="rId1064" Type="http://schemas.openxmlformats.org/officeDocument/2006/relationships/hyperlink" Target="https://sigpeg.mrn.gouv.qc.ca/gpg/classes/ficheDescriptive?type=popup&amp;mode=fichePuits&amp;menu=puit&amp;table=GPG_ENTRE_PUITS&amp;cle=A080" TargetMode="External"/><Relationship Id="rId1271" Type="http://schemas.openxmlformats.org/officeDocument/2006/relationships/hyperlink" Target="https://sigpeg.mrn.gouv.qc.ca/gpg/classes/ficheDescriptive?type=popup&amp;mode=fichePuits&amp;menu=puit&amp;table=GPG_ENTRE_PUITS&amp;cle=B098" TargetMode="External"/><Relationship Id="rId1369" Type="http://schemas.openxmlformats.org/officeDocument/2006/relationships/hyperlink" Target="https://sigpeg.mrn.gouv.qc.ca/rapport/P_CS19_inspection_2018-07-29_publique.pdf" TargetMode="External"/><Relationship Id="rId501" Type="http://schemas.openxmlformats.org/officeDocument/2006/relationships/hyperlink" Target="https://sigpeg.mrn.gouv.qc.ca/gpg/classes/ficheDescriptive?type=popup&amp;mode=fichePuits&amp;menu=puit&amp;table=GPG_ENTRE_PUITS&amp;cle=B003" TargetMode="External"/><Relationship Id="rId946" Type="http://schemas.openxmlformats.org/officeDocument/2006/relationships/hyperlink" Target="https://sigpeg.mrn.gouv.qc.ca/rapport/CS40_insp_inactif_2019-10-17_Publique.pdf" TargetMode="External"/><Relationship Id="rId1131" Type="http://schemas.openxmlformats.org/officeDocument/2006/relationships/hyperlink" Target="https://sigpeg.mrn.gouv.qc.ca/gpg/classes/ficheDescriptive?type=popup&amp;mode=fichePuits&amp;menu=puit&amp;table=GPG_ENTRE_PUITS&amp;cle=A052" TargetMode="External"/><Relationship Id="rId1229" Type="http://schemas.openxmlformats.org/officeDocument/2006/relationships/hyperlink" Target="https://sigpeg.mrn.gouv.qc.ca/gpg/classes/ficheDescriptive?type=popup&amp;mode=fichePuits&amp;menu=puit&amp;table=GPG_ENTRE_PUITS&amp;cle=AZ41" TargetMode="External"/><Relationship Id="rId75" Type="http://schemas.openxmlformats.org/officeDocument/2006/relationships/hyperlink" Target="https://sigpeg.mrn.gouv.qc.ca/rapport/BZ14_insp_inactif_2019-08-19_Publique.pdf" TargetMode="External"/><Relationship Id="rId806" Type="http://schemas.openxmlformats.org/officeDocument/2006/relationships/hyperlink" Target="https://sigpeg.mrn.gouv.qc.ca/rapport/C026_insp_inactif_2019-08-06_Publique.pdf" TargetMode="External"/><Relationship Id="rId1436" Type="http://schemas.openxmlformats.org/officeDocument/2006/relationships/hyperlink" Target="https://sigpeg.mrn.gouv.qc.ca/gpg/classes/ficheDescriptive?type=popup&amp;mode=fichePuits&amp;menu=puit&amp;table=GPG_ENTRE_PUITS&amp;cle=DZ007" TargetMode="External"/><Relationship Id="rId291" Type="http://schemas.openxmlformats.org/officeDocument/2006/relationships/hyperlink" Target="https://sigpeg.mrn.gouv.qc.ca/rapport/P_A106_inspection_2018-09-26_publique.pdf" TargetMode="External"/><Relationship Id="rId151" Type="http://schemas.openxmlformats.org/officeDocument/2006/relationships/hyperlink" Target="https://sigpeg.mrn.gouv.qc.ca/gpg/classes/ficheDescriptive?type=popup&amp;mode=fichePuits&amp;menu=puit&amp;table=GPG_ENTRE_PUITS&amp;cle=C038" TargetMode="External"/><Relationship Id="rId389" Type="http://schemas.openxmlformats.org/officeDocument/2006/relationships/hyperlink" Target="https://sigpeg.mrn.gouv.qc.ca/rapport/AZ35_insp_inactif_2019-07-24_Publique.pdf" TargetMode="External"/><Relationship Id="rId596" Type="http://schemas.openxmlformats.org/officeDocument/2006/relationships/hyperlink" Target="https://sigpeg.mrn.gouv.qc.ca/rapport/B176_insp_inactif_2019-05-29_Publique.pdf" TargetMode="External"/><Relationship Id="rId249" Type="http://schemas.openxmlformats.org/officeDocument/2006/relationships/hyperlink" Target="https://sigpeg.mrn.gouv.qc.ca/gpg/classes/ficheDescriptive?type=popup&amp;mode=fichePuits&amp;menu=puit&amp;table=GPG_ENTRE_PUITS&amp;cle=A017" TargetMode="External"/><Relationship Id="rId456" Type="http://schemas.openxmlformats.org/officeDocument/2006/relationships/hyperlink" Target="https://sigpeg.mrn.gouv.qc.ca/gpg/classes/ficheDescriptive?type=popup&amp;mode=fichePuits&amp;menu=puit&amp;table=GPG_ENTRE_PUITS&amp;cle=AZ35" TargetMode="External"/><Relationship Id="rId663" Type="http://schemas.openxmlformats.org/officeDocument/2006/relationships/hyperlink" Target="https://sigpeg.mrn.gouv.qc.ca/rapport/P_B209_inspection_2018-10-03_publique.pdf" TargetMode="External"/><Relationship Id="rId870" Type="http://schemas.openxmlformats.org/officeDocument/2006/relationships/hyperlink" Target="https://sigpeg.mrn.gouv.qc.ca/gpg/classes/ficheDescriptive?type=popup&amp;mode=fichePuits&amp;menu=puit&amp;table=GPG_ENTRE_PUITS&amp;cle=C062" TargetMode="External"/><Relationship Id="rId1086" Type="http://schemas.openxmlformats.org/officeDocument/2006/relationships/hyperlink" Target="https://sigpeg.mrn.gouv.qc.ca/rapport/A052_insp_inactif_2019-10-22_Publique.pdf" TargetMode="External"/><Relationship Id="rId1293" Type="http://schemas.openxmlformats.org/officeDocument/2006/relationships/hyperlink" Target="https://sigpeg.mrn.gouv.qc.ca/rapport/B125_insp_inactif_2019-07-31_Publique.pdf" TargetMode="External"/><Relationship Id="rId109" Type="http://schemas.openxmlformats.org/officeDocument/2006/relationships/hyperlink" Target="https://sigpeg.mrn.gouv.qc.ca/rapport/P_CS05_inspection_2018-07-29_publique.pdf" TargetMode="External"/><Relationship Id="rId316" Type="http://schemas.openxmlformats.org/officeDocument/2006/relationships/hyperlink" Target="https://sigpeg.mrn.gouv.qc.ca/gpg/classes/ficheDescriptive?type=popup&amp;mode=fichePuits&amp;menu=puit&amp;table=GPG_ENTRE_PUITS&amp;cle=A072" TargetMode="External"/><Relationship Id="rId523" Type="http://schemas.openxmlformats.org/officeDocument/2006/relationships/hyperlink" Target="https://sigpeg.mrn.gouv.qc.ca/gpg/classes/ficheDescriptive?type=popup&amp;mode=fichePuits&amp;menu=puit&amp;table=GPG_ENTRE_PUITS&amp;cle=B041" TargetMode="External"/><Relationship Id="rId968" Type="http://schemas.openxmlformats.org/officeDocument/2006/relationships/hyperlink" Target="https://sigpeg.mrn.gouv.qc.ca/rapport/E007_insp_inactif_2019-08-22_Publique.pdf" TargetMode="External"/><Relationship Id="rId1153" Type="http://schemas.openxmlformats.org/officeDocument/2006/relationships/hyperlink" Target="https://sigpeg.mrn.gouv.qc.ca/gpg/classes/ficheDescriptive?type=popup&amp;mode=fichePuits&amp;menu=puit&amp;table=GPG_ENTRE_PUITS&amp;cle=A183" TargetMode="External"/><Relationship Id="rId97" Type="http://schemas.openxmlformats.org/officeDocument/2006/relationships/hyperlink" Target="https://sigpeg.mrn.gouv.qc.ca/rapport/C058_insp_inactif_2019-10-30_Publique%20(2).pdf" TargetMode="External"/><Relationship Id="rId730" Type="http://schemas.openxmlformats.org/officeDocument/2006/relationships/hyperlink" Target="https://sigpeg.mrn.gouv.qc.ca/gpg/classes/ficheDescriptive?type=popup&amp;mode=fichePuits&amp;menu=puit&amp;table=GPG_ENTRE_PUITS&amp;cle=B268A" TargetMode="External"/><Relationship Id="rId828" Type="http://schemas.openxmlformats.org/officeDocument/2006/relationships/hyperlink" Target="https://sigpeg.mrn.gouv.qc.ca/rapport/P_C066_inspection_2018-10-31_publique.pdf" TargetMode="External"/><Relationship Id="rId1013" Type="http://schemas.openxmlformats.org/officeDocument/2006/relationships/hyperlink" Target="https://sigpeg.mrn.gouv.qc.ca/gpg/classes/ficheDescriptive?type=popup&amp;mode=fichePuits&amp;menu=puit&amp;table=GPG_ENTRE_PUITS&amp;cle=F005" TargetMode="External"/><Relationship Id="rId1360" Type="http://schemas.openxmlformats.org/officeDocument/2006/relationships/hyperlink" Target="https://sigpeg.mrn.gouv.qc.ca/gpg/classes/ficheDescriptive?type=popup&amp;mode=fichePuits&amp;menu=puit&amp;table=GPG_ENTRE_PUITS&amp;cle=C114" TargetMode="External"/><Relationship Id="rId1220" Type="http://schemas.openxmlformats.org/officeDocument/2006/relationships/hyperlink" Target="https://sigpeg.mrn.gouv.qc.ca/rapport/B097_insp_inactif_2019-08-20_Publique.pdf" TargetMode="External"/><Relationship Id="rId1318" Type="http://schemas.openxmlformats.org/officeDocument/2006/relationships/hyperlink" Target="https://sigpeg.mrn.gouv.qc.ca/rapport/P_CS11_inspection_2018-07-29_publique.pdf" TargetMode="External"/><Relationship Id="rId24" Type="http://schemas.openxmlformats.org/officeDocument/2006/relationships/hyperlink" Target="https://sigpeg.mrn.gouv.qc.ca/gpg/classes/ficheDescriptive?type=popup&amp;mode=fichePuits&amp;menu=puit&amp;table=GPG_ENTRE_PUITS&amp;cle=A131" TargetMode="External"/><Relationship Id="rId173" Type="http://schemas.openxmlformats.org/officeDocument/2006/relationships/hyperlink" Target="https://sigpeg.mrn.gouv.qc.ca/gpg/classes/ficheDescriptive?type=popup&amp;mode=fichePuits&amp;menu=puit&amp;table=GPG_ENTRE_PUITS&amp;cle=C109" TargetMode="External"/><Relationship Id="rId380" Type="http://schemas.openxmlformats.org/officeDocument/2006/relationships/hyperlink" Target="https://sigpeg.mrn.gouv.qc.ca/rapport/A224_insp_inactif_2019-06-27_Publique.pdf" TargetMode="External"/><Relationship Id="rId240" Type="http://schemas.openxmlformats.org/officeDocument/2006/relationships/hyperlink" Target="https://sigpeg.mrn.gouv.qc.ca/gpg/classes/ficheDescriptive?type=popup&amp;mode=fichePuits&amp;menu=puit&amp;table=GPG_ENTRE_PUITS&amp;cle=A006" TargetMode="External"/><Relationship Id="rId478" Type="http://schemas.openxmlformats.org/officeDocument/2006/relationships/hyperlink" Target="https://sigpeg.mrn.gouv.qc.ca/rapport/B026_insp_inactif_2019-10-03_Publique.pdf" TargetMode="External"/><Relationship Id="rId685" Type="http://schemas.openxmlformats.org/officeDocument/2006/relationships/hyperlink" Target="https://sigpeg.mrn.gouv.qc.ca/gpg/classes/ficheDescriptive?type=popup&amp;mode=fichePuits&amp;menu=puit&amp;table=GPG_ENTRE_PUITS&amp;cle=B209" TargetMode="External"/><Relationship Id="rId892" Type="http://schemas.openxmlformats.org/officeDocument/2006/relationships/hyperlink" Target="https://sigpeg.mrn.gouv.qc.ca/rapport/P_C097_inspection_2018-09-25_publique.pdf" TargetMode="External"/><Relationship Id="rId100" Type="http://schemas.openxmlformats.org/officeDocument/2006/relationships/hyperlink" Target="https://sigpeg.mrn.gouv.qc.ca/rapport/C071_insp_inactif_2019-07-23_Publique.pdf" TargetMode="External"/><Relationship Id="rId338" Type="http://schemas.openxmlformats.org/officeDocument/2006/relationships/hyperlink" Target="https://sigpeg.mrn.gouv.qc.ca/gpg/classes/ficheDescriptive?type=popup&amp;mode=fichePuits&amp;menu=puit&amp;table=GPG_ENTRE_PUITS&amp;cle=A109" TargetMode="External"/><Relationship Id="rId545" Type="http://schemas.openxmlformats.org/officeDocument/2006/relationships/hyperlink" Target="https://sigpeg.mrn.gouv.qc.ca/rapport/P_B076_inspection_2018-09-26_publique.pdf" TargetMode="External"/><Relationship Id="rId752" Type="http://schemas.openxmlformats.org/officeDocument/2006/relationships/hyperlink" Target="https://sigpeg.mrn.gouv.qc.ca/rapport/BZ03_insp_inactif_2019-10-08_Publique.pdf" TargetMode="External"/><Relationship Id="rId1175" Type="http://schemas.openxmlformats.org/officeDocument/2006/relationships/hyperlink" Target="https://sigpeg.mrn.gouv.qc.ca/gpg/classes/ficheDescriptive?type=popup&amp;mode=fichePuits&amp;menu=puit&amp;table=GPG_ENTRE_PUITS&amp;cle=AZ25" TargetMode="External"/><Relationship Id="rId1382" Type="http://schemas.openxmlformats.org/officeDocument/2006/relationships/hyperlink" Target="https://sigpeg.mrn.gouv.qc.ca/rapport/E001_insp_inactif_2019-08-21_Publique.pdf" TargetMode="External"/><Relationship Id="rId405" Type="http://schemas.openxmlformats.org/officeDocument/2006/relationships/hyperlink" Target="https://sigpeg.mrn.gouv.qc.ca/gpg/classes/ficheDescriptive?type=popup&amp;mode=fichePuits&amp;menu=puit&amp;table=GPG_ENTRE_PUITS&amp;cle=A148" TargetMode="External"/><Relationship Id="rId612" Type="http://schemas.openxmlformats.org/officeDocument/2006/relationships/hyperlink" Target="https://sigpeg.mrn.gouv.qc.ca/gpg/classes/ficheDescriptive?type=popup&amp;mode=fichePuits&amp;menu=puit&amp;table=GPG_ENTRE_PUITS&amp;cle=B122" TargetMode="External"/><Relationship Id="rId1035" Type="http://schemas.openxmlformats.org/officeDocument/2006/relationships/hyperlink" Target="https://sigpeg.mrn.gouv.qc.ca/rapport/A081_insp_inactif_2019-11-25_Publique.pdf" TargetMode="External"/><Relationship Id="rId1242" Type="http://schemas.openxmlformats.org/officeDocument/2006/relationships/hyperlink" Target="https://sigpeg.mrn.gouv.qc.ca/gpg/classes/ficheDescriptive?type=popup&amp;mode=fichePuits&amp;menu=puit&amp;table=GPG_ENTRE_PUITS&amp;cle=AZ65" TargetMode="External"/><Relationship Id="rId917" Type="http://schemas.openxmlformats.org/officeDocument/2006/relationships/hyperlink" Target="https://sigpeg.mrn.gouv.qc.ca/gpg/classes/ficheDescriptive?type=popup&amp;mode=fichePuits&amp;menu=puit&amp;table=GPG_ENTRE_PUITS&amp;cle=C088" TargetMode="External"/><Relationship Id="rId1102" Type="http://schemas.openxmlformats.org/officeDocument/2006/relationships/hyperlink" Target="https://sigpeg.mrn.gouv.qc.ca/rapport/A157_insp_inactif_2019-07-16_Publique.pdf" TargetMode="External"/><Relationship Id="rId46" Type="http://schemas.openxmlformats.org/officeDocument/2006/relationships/hyperlink" Target="https://sigpeg.mrn.gouv.qc.ca/rapport/A175_insp_inactif_2019-10-30_Publique.pdf" TargetMode="External"/><Relationship Id="rId1407" Type="http://schemas.openxmlformats.org/officeDocument/2006/relationships/hyperlink" Target="https://sigpeg.mrn.gouv.qc.ca/gpg/classes/ficheDescriptive?type=popup&amp;mode=fichePuits&amp;menu=puit&amp;table=GPG_ENTRE_PUITS&amp;cle=D011" TargetMode="External"/><Relationship Id="rId195" Type="http://schemas.openxmlformats.org/officeDocument/2006/relationships/hyperlink" Target="https://sigpeg.mrn.gouv.qc.ca/rapport/A094_insp_inactif_2019-07-15_Publique.pdf" TargetMode="External"/><Relationship Id="rId262" Type="http://schemas.openxmlformats.org/officeDocument/2006/relationships/hyperlink" Target="https://sigpeg.mrn.gouv.qc.ca/rapport/A016_insp_inactif_2019-05-07_Publique.pdf" TargetMode="External"/><Relationship Id="rId567" Type="http://schemas.openxmlformats.org/officeDocument/2006/relationships/hyperlink" Target="https://sigpeg.mrn.gouv.qc.ca/rapport/B122_insp_inactif_2019-08-19_Publique%20(2).pdf" TargetMode="External"/><Relationship Id="rId1197" Type="http://schemas.openxmlformats.org/officeDocument/2006/relationships/hyperlink" Target="https://sigpeg.mrn.gouv.qc.ca/rapport/P_B002_inspection_2018-10-30_publique.pdf" TargetMode="External"/><Relationship Id="rId122" Type="http://schemas.openxmlformats.org/officeDocument/2006/relationships/hyperlink" Target="https://sigpeg.mrn.gouv.qc.ca/gpg/classes/ficheDescriptive?type=popup&amp;mode=fichePuits&amp;menu=puit&amp;table=GPG_ENTRE_PUITS&amp;cle=B021" TargetMode="External"/><Relationship Id="rId774" Type="http://schemas.openxmlformats.org/officeDocument/2006/relationships/hyperlink" Target="https://sigpeg.mrn.gouv.qc.ca/gpg/classes/ficheDescriptive?type=popup&amp;mode=fichePuits&amp;menu=puit&amp;table=GPG_ENTRE_PUITS&amp;cle=BZ04" TargetMode="External"/><Relationship Id="rId981" Type="http://schemas.openxmlformats.org/officeDocument/2006/relationships/hyperlink" Target="https://sigpeg.mrn.gouv.qc.ca/gpg/classes/ficheDescriptive?type=popup&amp;mode=fichePuits&amp;menu=puit&amp;table=GPG_ENTRE_PUITS&amp;cle=CS30" TargetMode="External"/><Relationship Id="rId1057" Type="http://schemas.openxmlformats.org/officeDocument/2006/relationships/hyperlink" Target="https://sigpeg.mrn.gouv.qc.ca/gpg/classes/ficheDescriptive?type=popup&amp;mode=fichePuits&amp;menu=puit&amp;table=GPG_ENTRE_PUITS&amp;cle=A043" TargetMode="External"/><Relationship Id="rId427" Type="http://schemas.openxmlformats.org/officeDocument/2006/relationships/hyperlink" Target="https://sigpeg.mrn.gouv.qc.ca/gpg/classes/ficheDescriptive?type=popup&amp;mode=fichePuits&amp;menu=puit&amp;table=GPG_ENTRE_PUITS&amp;cle=A189" TargetMode="External"/><Relationship Id="rId634" Type="http://schemas.openxmlformats.org/officeDocument/2006/relationships/hyperlink" Target="https://sigpeg.mrn.gouv.qc.ca/gpg/classes/ficheDescriptive?type=popup&amp;mode=fichePuits&amp;menu=puit&amp;table=GPG_ENTRE_PUITS&amp;cle=B156" TargetMode="External"/><Relationship Id="rId841" Type="http://schemas.openxmlformats.org/officeDocument/2006/relationships/hyperlink" Target="https://sigpeg.mrn.gouv.qc.ca/gpg/classes/ficheDescriptive?type=popup&amp;mode=fichePuits&amp;menu=puit&amp;table=GPG_ENTRE_PUITS&amp;cle=C017" TargetMode="External"/><Relationship Id="rId1264" Type="http://schemas.openxmlformats.org/officeDocument/2006/relationships/hyperlink" Target="https://sigpeg.mrn.gouv.qc.ca/gpg/classes/ficheDescriptive?type=popup&amp;mode=fichePuits&amp;menu=puit&amp;table=GPG_ENTRE_PUITS&amp;cle=B090" TargetMode="External"/><Relationship Id="rId701" Type="http://schemas.openxmlformats.org/officeDocument/2006/relationships/hyperlink" Target="https://sigpeg.mrn.gouv.qc.ca/gpg/classes/ficheDescriptive?type=popup&amp;mode=fichePuits&amp;menu=puit&amp;table=GPG_ENTRE_PUITS&amp;cle=B228" TargetMode="External"/><Relationship Id="rId939" Type="http://schemas.openxmlformats.org/officeDocument/2006/relationships/hyperlink" Target="https://sigpeg.mrn.gouv.qc.ca/rapport/P_CS28_inspection_2018-07-30_publique.pdf" TargetMode="External"/><Relationship Id="rId1124" Type="http://schemas.openxmlformats.org/officeDocument/2006/relationships/hyperlink" Target="https://sigpeg.mrn.gouv.qc.ca/rapport/AZ25_insp_inactif_2019-10-24_Publique.pdf" TargetMode="External"/><Relationship Id="rId1331" Type="http://schemas.openxmlformats.org/officeDocument/2006/relationships/hyperlink" Target="https://sigpeg.mrn.gouv.qc.ca/gpg/classes/ficheDescriptive?type=popup&amp;mode=fichePuits&amp;menu=puit&amp;table=GPG_ENTRE_PUITS&amp;cle=B118" TargetMode="External"/><Relationship Id="rId68" Type="http://schemas.openxmlformats.org/officeDocument/2006/relationships/hyperlink" Target="https://sigpeg.mrn.gouv.qc.ca/rapport/B211_insp_inactif_2019-04-30_Publique.pdf" TargetMode="External"/><Relationship Id="rId1429" Type="http://schemas.openxmlformats.org/officeDocument/2006/relationships/hyperlink" Target="https://sigpeg.mrn.gouv.qc.ca/gpg/classes/ficheDescriptive?type=popup&amp;mode=fichePuits&amp;menu=puit&amp;table=GPG_ENTRE_PUITS&amp;cle=CZ015" TargetMode="External"/><Relationship Id="rId284" Type="http://schemas.openxmlformats.org/officeDocument/2006/relationships/hyperlink" Target="https://sigpeg.mrn.gouv.qc.ca/rapport/P_A074_inspection_2018-11-07_publique.pdf" TargetMode="External"/><Relationship Id="rId491" Type="http://schemas.openxmlformats.org/officeDocument/2006/relationships/hyperlink" Target="https://sigpeg.mrn.gouv.qc.ca/rapport/P_B053_inspection_2018-10-30_publique.pdf" TargetMode="External"/><Relationship Id="rId144" Type="http://schemas.openxmlformats.org/officeDocument/2006/relationships/hyperlink" Target="https://sigpeg.mrn.gouv.qc.ca/gpg/classes/ficheDescriptive?type=popup&amp;mode=fichePuits&amp;menu=puit&amp;table=GPG_ENTRE_PUITS&amp;cle=BZ20" TargetMode="External"/><Relationship Id="rId589" Type="http://schemas.openxmlformats.org/officeDocument/2006/relationships/hyperlink" Target="https://sigpeg.mrn.gouv.qc.ca/rapport/B156_insp_inactif_2019-07-05_Publique.pdf" TargetMode="External"/><Relationship Id="rId796" Type="http://schemas.openxmlformats.org/officeDocument/2006/relationships/hyperlink" Target="https://sigpeg.mrn.gouv.qc.ca/rapport/P_C016_inspection_2018-07-25_publique.pdf" TargetMode="External"/><Relationship Id="rId351" Type="http://schemas.openxmlformats.org/officeDocument/2006/relationships/hyperlink" Target="https://sigpeg.mrn.gouv.qc.ca/rapport/A146_insp_inactif_2019-10-03_Publique.pdf" TargetMode="External"/><Relationship Id="rId449" Type="http://schemas.openxmlformats.org/officeDocument/2006/relationships/hyperlink" Target="https://sigpeg.mrn.gouv.qc.ca/gpg/classes/ficheDescriptive?type=popup&amp;mode=fichePuits&amp;menu=puit&amp;table=GPG_ENTRE_PUITS&amp;cle=A234" TargetMode="External"/><Relationship Id="rId656" Type="http://schemas.openxmlformats.org/officeDocument/2006/relationships/hyperlink" Target="https://sigpeg.mrn.gouv.qc.ca/rapport/B193_insp_inactif_2019-07-11_Publique.pdf" TargetMode="External"/><Relationship Id="rId863" Type="http://schemas.openxmlformats.org/officeDocument/2006/relationships/hyperlink" Target="https://sigpeg.mrn.gouv.qc.ca/gpg/classes/ficheDescriptive?type=popup&amp;mode=fichePuits&amp;menu=puit&amp;table=GPG_ENTRE_PUITS&amp;cle=C049" TargetMode="External"/><Relationship Id="rId1079" Type="http://schemas.openxmlformats.org/officeDocument/2006/relationships/hyperlink" Target="https://sigpeg.mrn.gouv.qc.ca/gpg/classes/ficheDescriptive?type=popup&amp;mode=fichePuits&amp;menu=puit&amp;table=GPG_ENTRE_PUITS&amp;cle=A135" TargetMode="External"/><Relationship Id="rId1286" Type="http://schemas.openxmlformats.org/officeDocument/2006/relationships/hyperlink" Target="https://sigpeg.mrn.gouv.qc.ca/rapport/P_B117_inspection_2018-07-27_publique.pdf" TargetMode="External"/><Relationship Id="rId211" Type="http://schemas.openxmlformats.org/officeDocument/2006/relationships/hyperlink" Target="https://sigpeg.mrn.gouv.qc.ca/rapport/P_A189_inspection_2018-10-30_publique.pdf" TargetMode="External"/><Relationship Id="rId309" Type="http://schemas.openxmlformats.org/officeDocument/2006/relationships/hyperlink" Target="https://sigpeg.mrn.gouv.qc.ca/gpg/classes/ficheDescriptive?type=popup&amp;mode=fichePuits&amp;menu=puit&amp;table=GPG_ENTRE_PUITS&amp;cle=A063" TargetMode="External"/><Relationship Id="rId516" Type="http://schemas.openxmlformats.org/officeDocument/2006/relationships/hyperlink" Target="https://sigpeg.mrn.gouv.qc.ca/gpg/classes/ficheDescriptive?type=popup&amp;mode=fichePuits&amp;menu=puit&amp;table=GPG_ENTRE_PUITS&amp;cle=B018" TargetMode="External"/><Relationship Id="rId1146" Type="http://schemas.openxmlformats.org/officeDocument/2006/relationships/hyperlink" Target="https://sigpeg.mrn.gouv.qc.ca/gpg/classes/ficheDescriptive?type=popup&amp;mode=fichePuits&amp;menu=puit&amp;table=GPG_ENTRE_PUITS&amp;cle=A150" TargetMode="External"/><Relationship Id="rId723" Type="http://schemas.openxmlformats.org/officeDocument/2006/relationships/hyperlink" Target="https://sigpeg.mrn.gouv.qc.ca/gpg/classes/ficheDescriptive?type=popup&amp;mode=fichePuits&amp;menu=puit&amp;table=GPG_ENTRE_PUITS&amp;cle=B250" TargetMode="External"/><Relationship Id="rId930" Type="http://schemas.openxmlformats.org/officeDocument/2006/relationships/hyperlink" Target="https://sigpeg.mrn.gouv.qc.ca/gpg/classes/ficheDescriptive?type=popup&amp;mode=fichePuits&amp;menu=puit&amp;table=GPG_ENTRE_PUITS&amp;cle=C120" TargetMode="External"/><Relationship Id="rId1006" Type="http://schemas.openxmlformats.org/officeDocument/2006/relationships/hyperlink" Target="https://sigpeg.mrn.gouv.qc.ca/gpg/classes/ficheDescriptive?type=popup&amp;mode=fichePuits&amp;menu=puit&amp;table=GPG_ENTRE_PUITS&amp;cle=E003" TargetMode="External"/><Relationship Id="rId1353" Type="http://schemas.openxmlformats.org/officeDocument/2006/relationships/hyperlink" Target="https://sigpeg.mrn.gouv.qc.ca/gpg/classes/ficheDescriptive?type=popup&amp;mode=fichePuits&amp;menu=puit&amp;table=GPG_ENTRE_PUITS&amp;cle=B175" TargetMode="External"/><Relationship Id="rId1213" Type="http://schemas.openxmlformats.org/officeDocument/2006/relationships/hyperlink" Target="https://sigpeg.mrn.gouv.qc.ca/rapport/B088_insp_inactif_2019-09-13_Publique.pdf" TargetMode="External"/><Relationship Id="rId1420" Type="http://schemas.openxmlformats.org/officeDocument/2006/relationships/hyperlink" Target="https://sigpeg.mrn.gouv.qc.ca/gpg/classes/ficheDescriptive?type=popup&amp;mode=fichePuits&amp;menu=puit&amp;table=GPG_ENTRE_PUITS&amp;cle=GZ02" TargetMode="External"/><Relationship Id="rId17" Type="http://schemas.openxmlformats.org/officeDocument/2006/relationships/hyperlink" Target="https://sigpeg.mrn.gouv.qc.ca/rapport/P_A194_inspection_2018-10-08_publique.pdf" TargetMode="External"/><Relationship Id="rId166" Type="http://schemas.openxmlformats.org/officeDocument/2006/relationships/hyperlink" Target="https://sigpeg.mrn.gouv.qc.ca/gpg/classes/ficheDescriptive?type=popup&amp;mode=fichePuits&amp;menu=puit&amp;table=GPG_ENTRE_PUITS&amp;cle=C070" TargetMode="External"/><Relationship Id="rId373" Type="http://schemas.openxmlformats.org/officeDocument/2006/relationships/hyperlink" Target="https://sigpeg.mrn.gouv.qc.ca/rapport/P_A193_inspection_2018-11-09_publique.pdf" TargetMode="External"/><Relationship Id="rId580" Type="http://schemas.openxmlformats.org/officeDocument/2006/relationships/hyperlink" Target="https://sigpeg.mrn.gouv.qc.ca/rapport/B144_insp_inactif_2019-09-25_Publiqu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8969-01B5-457B-AD82-28789076A440}">
  <dimension ref="A1:U787"/>
  <sheetViews>
    <sheetView tabSelected="1" zoomScale="70" zoomScaleNormal="70" workbookViewId="0">
      <pane xSplit="2070" ySplit="1020" topLeftCell="D1" activePane="bottomRight"/>
      <selection activeCell="B1" sqref="B1"/>
      <selection pane="topRight" activeCell="H1" sqref="H1"/>
      <selection pane="bottomLeft" activeCell="B1" sqref="B1"/>
      <selection pane="bottomRight" activeCell="F8" sqref="F8"/>
    </sheetView>
  </sheetViews>
  <sheetFormatPr defaultColWidth="11.44140625" defaultRowHeight="14.4" x14ac:dyDescent="0.3"/>
  <cols>
    <col min="3" max="3" width="50.88671875" customWidth="1"/>
    <col min="4" max="4" width="20.109375" customWidth="1"/>
    <col min="5" max="5" width="13.88671875" customWidth="1"/>
    <col min="6" max="7" width="17.6640625" customWidth="1"/>
    <col min="8" max="9" width="20.5546875" customWidth="1"/>
    <col min="10" max="10" width="27.6640625" customWidth="1"/>
    <col min="11" max="11" width="34.109375" customWidth="1"/>
    <col min="12" max="12" width="27.6640625" customWidth="1"/>
    <col min="13" max="13" width="33.6640625" customWidth="1"/>
    <col min="14" max="14" width="60" customWidth="1"/>
    <col min="15" max="15" width="47" customWidth="1"/>
    <col min="16" max="16" width="6.109375" customWidth="1"/>
    <col min="17" max="17" width="14.6640625" customWidth="1"/>
    <col min="18" max="18" width="24.33203125" customWidth="1"/>
    <col min="19" max="19" width="20.6640625" customWidth="1"/>
    <col min="20" max="20" width="80.109375" customWidth="1"/>
    <col min="21" max="21" width="130.33203125" customWidth="1"/>
  </cols>
  <sheetData>
    <row r="1" spans="1:21" x14ac:dyDescent="0.3">
      <c r="B1" t="s">
        <v>0</v>
      </c>
      <c r="C1" t="s">
        <v>1</v>
      </c>
      <c r="D1" t="s">
        <v>406</v>
      </c>
      <c r="E1" t="s">
        <v>2</v>
      </c>
      <c r="F1" t="s">
        <v>1056</v>
      </c>
      <c r="G1" t="s">
        <v>1057</v>
      </c>
      <c r="H1" t="s">
        <v>209</v>
      </c>
      <c r="I1" t="s">
        <v>210</v>
      </c>
      <c r="J1" t="s">
        <v>3</v>
      </c>
      <c r="K1" t="s">
        <v>1058</v>
      </c>
      <c r="L1" t="s">
        <v>1055</v>
      </c>
      <c r="M1" t="s">
        <v>1169</v>
      </c>
      <c r="N1" t="s">
        <v>1394</v>
      </c>
      <c r="O1" t="s">
        <v>1054</v>
      </c>
      <c r="P1" t="s">
        <v>405</v>
      </c>
      <c r="Q1" t="s">
        <v>4</v>
      </c>
      <c r="R1" t="s">
        <v>1166</v>
      </c>
      <c r="S1" t="s">
        <v>1161</v>
      </c>
      <c r="T1" t="s">
        <v>5</v>
      </c>
      <c r="U1" t="s">
        <v>223</v>
      </c>
    </row>
    <row r="2" spans="1:21" x14ac:dyDescent="0.3">
      <c r="A2">
        <v>1</v>
      </c>
      <c r="B2" t="s">
        <v>10</v>
      </c>
      <c r="C2" t="s">
        <v>11</v>
      </c>
      <c r="D2" t="s">
        <v>6</v>
      </c>
      <c r="E2">
        <v>1957</v>
      </c>
      <c r="F2" t="s">
        <v>1183</v>
      </c>
      <c r="G2">
        <v>1957</v>
      </c>
      <c r="H2" s="2">
        <v>46.470999444</v>
      </c>
      <c r="I2" s="3">
        <v>-72.261991111</v>
      </c>
      <c r="J2" t="s">
        <v>12</v>
      </c>
      <c r="K2" t="s">
        <v>1162</v>
      </c>
      <c r="L2" t="s">
        <v>1163</v>
      </c>
      <c r="M2">
        <f>2473*0.3048</f>
        <v>753.7704</v>
      </c>
      <c r="N2" t="s">
        <v>1164</v>
      </c>
      <c r="O2" t="s">
        <v>1165</v>
      </c>
      <c r="P2" t="s">
        <v>212</v>
      </c>
      <c r="Q2" t="s">
        <v>213</v>
      </c>
      <c r="R2">
        <f>20*0.3048</f>
        <v>6.0960000000000001</v>
      </c>
      <c r="S2">
        <f>3390*0.3048</f>
        <v>1033.2720000000002</v>
      </c>
      <c r="T2" s="5" t="s">
        <v>211</v>
      </c>
      <c r="U2" s="1" t="s">
        <v>225</v>
      </c>
    </row>
    <row r="3" spans="1:21" x14ac:dyDescent="0.3">
      <c r="A3">
        <v>2</v>
      </c>
      <c r="B3" t="s">
        <v>13</v>
      </c>
      <c r="C3" t="s">
        <v>14</v>
      </c>
      <c r="D3" t="s">
        <v>6</v>
      </c>
      <c r="E3">
        <v>1957</v>
      </c>
      <c r="F3" t="s">
        <v>1183</v>
      </c>
      <c r="G3">
        <v>1957</v>
      </c>
      <c r="H3" s="2">
        <v>45.930801000000002</v>
      </c>
      <c r="I3" s="3">
        <v>-73.173545000000004</v>
      </c>
      <c r="J3" t="s">
        <v>15</v>
      </c>
      <c r="K3" t="s">
        <v>1162</v>
      </c>
      <c r="L3" t="s">
        <v>1167</v>
      </c>
      <c r="M3">
        <f>3130*0.3048</f>
        <v>954.024</v>
      </c>
      <c r="N3" t="s">
        <v>1168</v>
      </c>
      <c r="O3" t="s">
        <v>1165</v>
      </c>
      <c r="P3" t="s">
        <v>212</v>
      </c>
      <c r="Q3" t="s">
        <v>213</v>
      </c>
      <c r="R3">
        <f>65*0.3048</f>
        <v>19.812000000000001</v>
      </c>
      <c r="S3">
        <f>4392*0.3048</f>
        <v>1338.6816000000001</v>
      </c>
      <c r="T3" s="5" t="s">
        <v>214</v>
      </c>
      <c r="U3" s="1" t="s">
        <v>226</v>
      </c>
    </row>
    <row r="4" spans="1:21" x14ac:dyDescent="0.3">
      <c r="A4">
        <v>3</v>
      </c>
      <c r="B4" t="s">
        <v>16</v>
      </c>
      <c r="C4" t="s">
        <v>17</v>
      </c>
      <c r="D4" t="s">
        <v>6</v>
      </c>
      <c r="E4">
        <v>1954</v>
      </c>
      <c r="F4" t="s">
        <v>1183</v>
      </c>
      <c r="G4">
        <v>1955</v>
      </c>
      <c r="H4" s="2">
        <v>45.128680000000003</v>
      </c>
      <c r="I4" s="2">
        <v>-73.334190000000007</v>
      </c>
      <c r="J4" t="s">
        <v>15</v>
      </c>
      <c r="K4" t="s">
        <v>1162</v>
      </c>
      <c r="L4" t="s">
        <v>1163</v>
      </c>
      <c r="M4">
        <f>307*0.3048</f>
        <v>93.573599999999999</v>
      </c>
      <c r="N4" t="s">
        <v>1170</v>
      </c>
      <c r="O4" t="s">
        <v>1171</v>
      </c>
      <c r="P4" t="s">
        <v>212</v>
      </c>
      <c r="Q4" t="s">
        <v>213</v>
      </c>
      <c r="R4">
        <f>146*0.3048</f>
        <v>44.500800000000005</v>
      </c>
      <c r="S4">
        <f>3198*0.3048</f>
        <v>974.75040000000001</v>
      </c>
      <c r="T4" s="5" t="s">
        <v>215</v>
      </c>
      <c r="U4" s="1" t="s">
        <v>227</v>
      </c>
    </row>
    <row r="5" spans="1:21" x14ac:dyDescent="0.3">
      <c r="A5">
        <v>4</v>
      </c>
      <c r="B5" s="8" t="s">
        <v>19</v>
      </c>
      <c r="C5" t="s">
        <v>18</v>
      </c>
      <c r="D5" t="s">
        <v>6</v>
      </c>
      <c r="E5">
        <v>1954</v>
      </c>
      <c r="F5" t="s">
        <v>1183</v>
      </c>
      <c r="G5">
        <v>1957</v>
      </c>
      <c r="H5" s="2">
        <v>45.276459443999997</v>
      </c>
      <c r="I5" s="2">
        <v>-73.185059999999993</v>
      </c>
      <c r="J5" t="s">
        <v>15</v>
      </c>
      <c r="K5" t="s">
        <v>1162</v>
      </c>
      <c r="L5" t="s">
        <v>1163</v>
      </c>
      <c r="M5">
        <f>1199*0.3048</f>
        <v>365.45519999999999</v>
      </c>
      <c r="N5" t="s">
        <v>1172</v>
      </c>
      <c r="O5" t="s">
        <v>1171</v>
      </c>
      <c r="P5" t="s">
        <v>212</v>
      </c>
      <c r="Q5" t="s">
        <v>213</v>
      </c>
      <c r="R5">
        <f>157*0.3048</f>
        <v>47.8536</v>
      </c>
      <c r="S5">
        <f>4070*0.3048</f>
        <v>1240.5360000000001</v>
      </c>
      <c r="T5" s="6" t="s">
        <v>216</v>
      </c>
      <c r="U5" s="1" t="s">
        <v>228</v>
      </c>
    </row>
    <row r="6" spans="1:21" x14ac:dyDescent="0.3">
      <c r="A6">
        <v>5</v>
      </c>
      <c r="B6" t="s">
        <v>23</v>
      </c>
      <c r="C6" t="s">
        <v>22</v>
      </c>
      <c r="D6" t="s">
        <v>6</v>
      </c>
      <c r="E6">
        <v>1873</v>
      </c>
      <c r="F6" t="s">
        <v>1183</v>
      </c>
      <c r="G6" t="s">
        <v>1183</v>
      </c>
      <c r="H6" s="2">
        <v>46.22289</v>
      </c>
      <c r="I6" s="2">
        <v>-72.482916000000003</v>
      </c>
      <c r="J6" t="s">
        <v>21</v>
      </c>
      <c r="K6" t="s">
        <v>1162</v>
      </c>
      <c r="L6" t="s">
        <v>1163</v>
      </c>
      <c r="M6" t="s">
        <v>1183</v>
      </c>
      <c r="N6" t="s">
        <v>1183</v>
      </c>
      <c r="O6" t="s">
        <v>1183</v>
      </c>
      <c r="P6" t="s">
        <v>218</v>
      </c>
      <c r="Q6" t="s">
        <v>404</v>
      </c>
      <c r="R6">
        <f>107*0.3048</f>
        <v>32.613599999999998</v>
      </c>
      <c r="S6">
        <f>3000*0.3048</f>
        <v>914.40000000000009</v>
      </c>
      <c r="T6" s="5" t="s">
        <v>217</v>
      </c>
      <c r="U6" s="1" t="s">
        <v>229</v>
      </c>
    </row>
    <row r="7" spans="1:21" x14ac:dyDescent="0.3">
      <c r="A7">
        <v>6</v>
      </c>
      <c r="B7" t="s">
        <v>24</v>
      </c>
      <c r="C7" t="s">
        <v>25</v>
      </c>
      <c r="D7" t="s">
        <v>6</v>
      </c>
      <c r="E7">
        <v>1961</v>
      </c>
      <c r="F7">
        <v>1961</v>
      </c>
      <c r="G7">
        <v>1963</v>
      </c>
      <c r="H7" s="2">
        <v>46.437179999999998</v>
      </c>
      <c r="I7" s="2">
        <v>-72.395499999999998</v>
      </c>
      <c r="J7" t="s">
        <v>12</v>
      </c>
      <c r="K7" t="s">
        <v>1162</v>
      </c>
      <c r="L7" t="s">
        <v>1173</v>
      </c>
      <c r="M7">
        <f>67*0.3048</f>
        <v>20.421600000000002</v>
      </c>
      <c r="N7" t="s">
        <v>1174</v>
      </c>
      <c r="O7" t="s">
        <v>1175</v>
      </c>
      <c r="P7" t="s">
        <v>220</v>
      </c>
      <c r="Q7" t="s">
        <v>213</v>
      </c>
      <c r="R7">
        <f>40*0.3048</f>
        <v>12.192</v>
      </c>
      <c r="S7">
        <f>780*0.3048</f>
        <v>237.744</v>
      </c>
      <c r="T7" s="5" t="s">
        <v>219</v>
      </c>
      <c r="U7" s="1" t="s">
        <v>230</v>
      </c>
    </row>
    <row r="8" spans="1:21" x14ac:dyDescent="0.3">
      <c r="A8">
        <v>7</v>
      </c>
      <c r="B8" t="s">
        <v>20</v>
      </c>
      <c r="C8" t="s">
        <v>26</v>
      </c>
      <c r="D8" t="s">
        <v>6</v>
      </c>
      <c r="E8">
        <v>1956</v>
      </c>
      <c r="F8">
        <v>1957</v>
      </c>
      <c r="G8">
        <v>1957</v>
      </c>
      <c r="H8" s="2">
        <v>46.258499999999998</v>
      </c>
      <c r="I8" s="2">
        <v>-72.447699999999998</v>
      </c>
      <c r="J8" t="s">
        <v>21</v>
      </c>
      <c r="K8" t="s">
        <v>1162</v>
      </c>
      <c r="L8" t="s">
        <v>1176</v>
      </c>
      <c r="M8">
        <f>1416*0.3048</f>
        <v>431.59680000000003</v>
      </c>
      <c r="N8" t="s">
        <v>1177</v>
      </c>
      <c r="O8" t="s">
        <v>1178</v>
      </c>
      <c r="P8" t="s">
        <v>220</v>
      </c>
      <c r="Q8" t="s">
        <v>213</v>
      </c>
      <c r="R8">
        <f>136*0.3048</f>
        <v>41.452800000000003</v>
      </c>
      <c r="S8">
        <f>6514*0.3048</f>
        <v>1985.4672</v>
      </c>
      <c r="T8" s="5" t="s">
        <v>221</v>
      </c>
      <c r="U8" s="1" t="s">
        <v>231</v>
      </c>
    </row>
    <row r="9" spans="1:21" x14ac:dyDescent="0.3">
      <c r="A9">
        <v>8</v>
      </c>
      <c r="B9" t="s">
        <v>27</v>
      </c>
      <c r="C9" t="s">
        <v>28</v>
      </c>
      <c r="D9" t="s">
        <v>6</v>
      </c>
      <c r="E9">
        <v>1956</v>
      </c>
      <c r="F9">
        <v>1957</v>
      </c>
      <c r="G9">
        <v>1961</v>
      </c>
      <c r="H9" s="2">
        <v>45.869109999999999</v>
      </c>
      <c r="I9" s="2">
        <v>-73.372320000000002</v>
      </c>
      <c r="J9" t="s">
        <v>29</v>
      </c>
      <c r="K9" t="s">
        <v>1162</v>
      </c>
      <c r="L9" t="s">
        <v>1173</v>
      </c>
      <c r="M9">
        <f>97*0.3048</f>
        <v>29.5656</v>
      </c>
      <c r="N9" t="s">
        <v>1179</v>
      </c>
      <c r="O9" t="s">
        <v>1180</v>
      </c>
      <c r="P9" t="s">
        <v>212</v>
      </c>
      <c r="Q9" t="s">
        <v>213</v>
      </c>
      <c r="R9">
        <f>63*0.3048</f>
        <v>19.202400000000001</v>
      </c>
      <c r="S9">
        <f>1042*0.3048</f>
        <v>317.60160000000002</v>
      </c>
      <c r="T9" s="5" t="s">
        <v>222</v>
      </c>
      <c r="U9" s="1" t="s">
        <v>232</v>
      </c>
    </row>
    <row r="10" spans="1:21" x14ac:dyDescent="0.3">
      <c r="A10">
        <v>9</v>
      </c>
      <c r="B10" t="s">
        <v>30</v>
      </c>
      <c r="C10" t="s">
        <v>31</v>
      </c>
      <c r="D10" t="s">
        <v>6</v>
      </c>
      <c r="E10">
        <v>1956</v>
      </c>
      <c r="F10">
        <v>1957</v>
      </c>
      <c r="G10">
        <v>1962</v>
      </c>
      <c r="H10" s="2">
        <v>45.878770000000003</v>
      </c>
      <c r="I10" s="2">
        <v>-73.373050000000006</v>
      </c>
      <c r="J10" t="s">
        <v>29</v>
      </c>
      <c r="K10" t="s">
        <v>1162</v>
      </c>
      <c r="L10" t="s">
        <v>1173</v>
      </c>
      <c r="M10">
        <f>1048*0.3048</f>
        <v>319.43040000000002</v>
      </c>
      <c r="N10" t="s">
        <v>1181</v>
      </c>
      <c r="O10" t="s">
        <v>1180</v>
      </c>
      <c r="P10" t="s">
        <v>212</v>
      </c>
      <c r="Q10" t="s">
        <v>213</v>
      </c>
      <c r="R10">
        <f>67*0.3048</f>
        <v>20.421600000000002</v>
      </c>
      <c r="S10">
        <f>1367*0.3048</f>
        <v>416.66160000000002</v>
      </c>
      <c r="T10" s="5" t="s">
        <v>224</v>
      </c>
      <c r="U10" s="1" t="s">
        <v>233</v>
      </c>
    </row>
    <row r="11" spans="1:21" x14ac:dyDescent="0.3">
      <c r="A11">
        <v>10</v>
      </c>
      <c r="B11" t="s">
        <v>32</v>
      </c>
      <c r="C11" t="s">
        <v>36</v>
      </c>
      <c r="D11" t="s">
        <v>6</v>
      </c>
      <c r="E11">
        <v>1956</v>
      </c>
      <c r="F11">
        <v>1957</v>
      </c>
      <c r="G11">
        <v>1962</v>
      </c>
      <c r="H11" s="2">
        <v>45.885159999999999</v>
      </c>
      <c r="I11" s="2">
        <v>-73.375699999999995</v>
      </c>
      <c r="J11" t="s">
        <v>29</v>
      </c>
      <c r="K11" t="s">
        <v>1162</v>
      </c>
      <c r="L11" t="s">
        <v>1173</v>
      </c>
      <c r="M11">
        <f>899*0.3048</f>
        <v>274.01519999999999</v>
      </c>
      <c r="N11" t="s">
        <v>1182</v>
      </c>
      <c r="O11" t="s">
        <v>1180</v>
      </c>
      <c r="P11" t="s">
        <v>218</v>
      </c>
      <c r="Q11" t="s">
        <v>213</v>
      </c>
      <c r="R11">
        <f>65*0.3048</f>
        <v>19.812000000000001</v>
      </c>
      <c r="S11">
        <f>1154*0.3048</f>
        <v>351.73920000000004</v>
      </c>
      <c r="T11" s="5" t="s">
        <v>234</v>
      </c>
      <c r="U11" s="1" t="s">
        <v>235</v>
      </c>
    </row>
    <row r="12" spans="1:21" x14ac:dyDescent="0.3">
      <c r="A12">
        <v>11</v>
      </c>
      <c r="B12" t="s">
        <v>37</v>
      </c>
      <c r="C12" t="s">
        <v>38</v>
      </c>
      <c r="D12" t="s">
        <v>6</v>
      </c>
      <c r="E12">
        <v>1956</v>
      </c>
      <c r="F12">
        <v>1957</v>
      </c>
      <c r="G12">
        <v>1962</v>
      </c>
      <c r="H12" s="2">
        <v>45.882449999999999</v>
      </c>
      <c r="I12" s="2">
        <v>-73.370379999999997</v>
      </c>
      <c r="J12" t="s">
        <v>29</v>
      </c>
      <c r="K12" t="s">
        <v>1162</v>
      </c>
      <c r="L12" t="s">
        <v>1167</v>
      </c>
      <c r="M12">
        <f>1040*0.3048</f>
        <v>316.99200000000002</v>
      </c>
      <c r="N12" t="s">
        <v>1181</v>
      </c>
      <c r="O12" t="s">
        <v>1180</v>
      </c>
      <c r="P12" t="s">
        <v>212</v>
      </c>
      <c r="Q12" t="s">
        <v>213</v>
      </c>
      <c r="R12">
        <f>74*0.3048</f>
        <v>22.555200000000003</v>
      </c>
      <c r="S12">
        <f>1321*0.3048</f>
        <v>402.64080000000001</v>
      </c>
      <c r="T12" s="5" t="s">
        <v>236</v>
      </c>
      <c r="U12" s="1" t="s">
        <v>237</v>
      </c>
    </row>
    <row r="13" spans="1:21" x14ac:dyDescent="0.3">
      <c r="A13">
        <v>12</v>
      </c>
      <c r="B13" t="s">
        <v>39</v>
      </c>
      <c r="C13" t="s">
        <v>40</v>
      </c>
      <c r="D13" t="s">
        <v>6</v>
      </c>
      <c r="E13">
        <v>1909</v>
      </c>
      <c r="F13" t="s">
        <v>1183</v>
      </c>
      <c r="G13" t="s">
        <v>1183</v>
      </c>
      <c r="H13" s="2">
        <v>45.878410000000002</v>
      </c>
      <c r="I13" s="2">
        <v>-73.19905</v>
      </c>
      <c r="J13" t="s">
        <v>15</v>
      </c>
      <c r="K13" t="s">
        <v>1162</v>
      </c>
      <c r="L13" t="s">
        <v>1163</v>
      </c>
      <c r="M13" t="s">
        <v>1183</v>
      </c>
      <c r="N13" t="s">
        <v>1182</v>
      </c>
      <c r="O13" t="s">
        <v>1184</v>
      </c>
      <c r="P13" t="s">
        <v>212</v>
      </c>
      <c r="Q13" t="s">
        <v>404</v>
      </c>
      <c r="R13">
        <f>53*0.3048</f>
        <v>16.154400000000003</v>
      </c>
      <c r="S13">
        <f xml:space="preserve"> 2950*0.3048</f>
        <v>899.16000000000008</v>
      </c>
      <c r="T13" s="5" t="s">
        <v>238</v>
      </c>
      <c r="U13" s="1" t="s">
        <v>239</v>
      </c>
    </row>
    <row r="14" spans="1:21" x14ac:dyDescent="0.3">
      <c r="A14">
        <v>13</v>
      </c>
      <c r="B14" t="s">
        <v>41</v>
      </c>
      <c r="C14" t="s">
        <v>42</v>
      </c>
      <c r="D14" t="s">
        <v>6</v>
      </c>
      <c r="E14">
        <v>1961</v>
      </c>
      <c r="F14">
        <v>1961</v>
      </c>
      <c r="G14" t="s">
        <v>1183</v>
      </c>
      <c r="H14" s="2">
        <v>46.3566</v>
      </c>
      <c r="I14" s="2">
        <v>-72.468639999999994</v>
      </c>
      <c r="J14" t="s">
        <v>21</v>
      </c>
      <c r="K14" t="s">
        <v>1162</v>
      </c>
      <c r="L14" t="s">
        <v>1176</v>
      </c>
      <c r="M14">
        <f>634*0.3048</f>
        <v>193.2432</v>
      </c>
      <c r="N14" t="s">
        <v>1179</v>
      </c>
      <c r="O14" t="s">
        <v>1185</v>
      </c>
      <c r="P14" t="s">
        <v>220</v>
      </c>
      <c r="Q14" t="s">
        <v>404</v>
      </c>
      <c r="R14">
        <f>21*0.3048</f>
        <v>6.4008000000000003</v>
      </c>
      <c r="S14">
        <f>767*0.3048</f>
        <v>233.78160000000003</v>
      </c>
      <c r="T14" s="5" t="s">
        <v>240</v>
      </c>
      <c r="U14" s="1" t="s">
        <v>241</v>
      </c>
    </row>
    <row r="15" spans="1:21" x14ac:dyDescent="0.3">
      <c r="A15">
        <v>14</v>
      </c>
      <c r="B15" t="s">
        <v>43</v>
      </c>
      <c r="C15" t="s">
        <v>44</v>
      </c>
      <c r="D15" t="s">
        <v>6</v>
      </c>
      <c r="E15">
        <v>1964</v>
      </c>
      <c r="F15">
        <v>1964</v>
      </c>
      <c r="G15" t="s">
        <v>1183</v>
      </c>
      <c r="H15" s="2">
        <v>46.247690278</v>
      </c>
      <c r="I15" s="2">
        <v>-72.960638888999995</v>
      </c>
      <c r="J15" t="s">
        <v>12</v>
      </c>
      <c r="K15" t="s">
        <v>1162</v>
      </c>
      <c r="L15" t="s">
        <v>1173</v>
      </c>
      <c r="M15">
        <f>653*0.3048</f>
        <v>199.03440000000001</v>
      </c>
      <c r="N15" t="s">
        <v>1181</v>
      </c>
      <c r="O15" t="s">
        <v>1186</v>
      </c>
      <c r="P15" t="s">
        <v>212</v>
      </c>
      <c r="Q15" t="s">
        <v>404</v>
      </c>
      <c r="R15">
        <f>30*0.3048</f>
        <v>9.1440000000000001</v>
      </c>
      <c r="S15">
        <f>650*0.3048</f>
        <v>198.12</v>
      </c>
      <c r="T15" s="5" t="s">
        <v>242</v>
      </c>
      <c r="U15" s="1" t="s">
        <v>243</v>
      </c>
    </row>
    <row r="16" spans="1:21" x14ac:dyDescent="0.3">
      <c r="A16">
        <v>15</v>
      </c>
      <c r="B16" t="s">
        <v>33</v>
      </c>
      <c r="C16" t="s">
        <v>45</v>
      </c>
      <c r="D16" t="s">
        <v>6</v>
      </c>
      <c r="E16">
        <v>1963</v>
      </c>
      <c r="F16">
        <v>1963</v>
      </c>
      <c r="G16" t="s">
        <v>1183</v>
      </c>
      <c r="H16" s="2">
        <v>46.356699999999996</v>
      </c>
      <c r="I16" s="2">
        <v>-72.468739999999997</v>
      </c>
      <c r="J16" t="s">
        <v>21</v>
      </c>
      <c r="K16" t="s">
        <v>1162</v>
      </c>
      <c r="L16" t="s">
        <v>1173</v>
      </c>
      <c r="M16">
        <f>40*0.3048</f>
        <v>12.192</v>
      </c>
      <c r="N16" t="s">
        <v>1179</v>
      </c>
      <c r="O16" t="s">
        <v>1187</v>
      </c>
      <c r="P16" t="s">
        <v>212</v>
      </c>
      <c r="Q16" t="s">
        <v>404</v>
      </c>
      <c r="R16" t="s">
        <v>1183</v>
      </c>
      <c r="S16">
        <f>976*0.3048</f>
        <v>297.48480000000001</v>
      </c>
      <c r="T16" s="5" t="s">
        <v>244</v>
      </c>
      <c r="U16" s="1" t="s">
        <v>245</v>
      </c>
    </row>
    <row r="17" spans="1:21" x14ac:dyDescent="0.3">
      <c r="A17">
        <v>16</v>
      </c>
      <c r="B17" t="s">
        <v>34</v>
      </c>
      <c r="C17" t="s">
        <v>46</v>
      </c>
      <c r="D17" t="s">
        <v>6</v>
      </c>
      <c r="E17">
        <v>1970</v>
      </c>
      <c r="F17" t="s">
        <v>1183</v>
      </c>
      <c r="G17">
        <v>1983</v>
      </c>
      <c r="H17" s="2">
        <v>46.257350000000002</v>
      </c>
      <c r="I17" s="2">
        <v>-72.869439999999997</v>
      </c>
      <c r="J17" t="s">
        <v>12</v>
      </c>
      <c r="K17" t="s">
        <v>1162</v>
      </c>
      <c r="L17" t="s">
        <v>1173</v>
      </c>
      <c r="M17">
        <f>792*0.3048</f>
        <v>241.4016</v>
      </c>
      <c r="N17" t="s">
        <v>1188</v>
      </c>
      <c r="O17" t="s">
        <v>1189</v>
      </c>
      <c r="P17" t="s">
        <v>212</v>
      </c>
      <c r="Q17" t="s">
        <v>213</v>
      </c>
      <c r="R17">
        <f>11*0.3048</f>
        <v>3.3528000000000002</v>
      </c>
      <c r="S17">
        <f>1074*0.3048</f>
        <v>327.35520000000002</v>
      </c>
      <c r="T17" s="5" t="s">
        <v>246</v>
      </c>
      <c r="U17" s="1" t="s">
        <v>247</v>
      </c>
    </row>
    <row r="18" spans="1:21" x14ac:dyDescent="0.3">
      <c r="A18">
        <v>17</v>
      </c>
      <c r="B18" t="s">
        <v>47</v>
      </c>
      <c r="C18" t="s">
        <v>48</v>
      </c>
      <c r="D18" t="s">
        <v>6</v>
      </c>
      <c r="E18">
        <v>1971</v>
      </c>
      <c r="F18" t="s">
        <v>1183</v>
      </c>
      <c r="G18">
        <v>1981</v>
      </c>
      <c r="H18" s="2">
        <v>46.473660000000002</v>
      </c>
      <c r="I18" s="2">
        <v>-71.91422</v>
      </c>
      <c r="J18" t="s">
        <v>21</v>
      </c>
      <c r="K18" t="s">
        <v>1162</v>
      </c>
      <c r="L18" t="s">
        <v>1173</v>
      </c>
      <c r="M18">
        <f>177*0.3048</f>
        <v>53.949600000000004</v>
      </c>
      <c r="N18" t="s">
        <v>1192</v>
      </c>
      <c r="O18" t="s">
        <v>1190</v>
      </c>
      <c r="P18" t="s">
        <v>212</v>
      </c>
      <c r="Q18" t="s">
        <v>213</v>
      </c>
      <c r="R18">
        <f>281*0.3048</f>
        <v>85.648800000000008</v>
      </c>
      <c r="S18">
        <f>9385*0.3048</f>
        <v>2860.5480000000002</v>
      </c>
      <c r="T18" s="5" t="s">
        <v>248</v>
      </c>
      <c r="U18" s="1" t="s">
        <v>249</v>
      </c>
    </row>
    <row r="19" spans="1:21" x14ac:dyDescent="0.3">
      <c r="A19">
        <v>18</v>
      </c>
      <c r="B19" t="s">
        <v>49</v>
      </c>
      <c r="C19" t="s">
        <v>50</v>
      </c>
      <c r="D19" t="s">
        <v>6</v>
      </c>
      <c r="E19">
        <v>1973</v>
      </c>
      <c r="F19" t="s">
        <v>1183</v>
      </c>
      <c r="G19">
        <v>1981</v>
      </c>
      <c r="H19" s="2">
        <v>46.464609443999997</v>
      </c>
      <c r="I19" s="2">
        <v>-71.902423889000005</v>
      </c>
      <c r="J19" t="s">
        <v>51</v>
      </c>
      <c r="K19" t="s">
        <v>1162</v>
      </c>
      <c r="L19" t="s">
        <v>1173</v>
      </c>
      <c r="M19">
        <f>4296*0.3048</f>
        <v>1309.4208000000001</v>
      </c>
      <c r="N19" t="s">
        <v>1177</v>
      </c>
      <c r="O19" t="s">
        <v>1190</v>
      </c>
      <c r="P19" t="s">
        <v>212</v>
      </c>
      <c r="Q19" t="s">
        <v>213</v>
      </c>
      <c r="R19">
        <f>321*0.3048</f>
        <v>97.840800000000002</v>
      </c>
      <c r="S19">
        <f>7035*0.3048</f>
        <v>2144.268</v>
      </c>
      <c r="T19" s="5" t="s">
        <v>250</v>
      </c>
      <c r="U19" s="1" t="s">
        <v>251</v>
      </c>
    </row>
    <row r="20" spans="1:21" x14ac:dyDescent="0.3">
      <c r="A20">
        <v>19</v>
      </c>
      <c r="B20" t="s">
        <v>52</v>
      </c>
      <c r="C20" t="s">
        <v>53</v>
      </c>
      <c r="D20" t="s">
        <v>6</v>
      </c>
      <c r="E20">
        <v>1974</v>
      </c>
      <c r="F20" t="s">
        <v>1183</v>
      </c>
      <c r="G20">
        <v>1974</v>
      </c>
      <c r="H20" s="2">
        <v>46.180974167000002</v>
      </c>
      <c r="I20" s="2">
        <v>-73.037559721999997</v>
      </c>
      <c r="J20" t="s">
        <v>12</v>
      </c>
      <c r="K20" t="s">
        <v>1162</v>
      </c>
      <c r="L20" t="s">
        <v>1173</v>
      </c>
      <c r="M20">
        <f>319*0.3048</f>
        <v>97.231200000000001</v>
      </c>
      <c r="N20" t="s">
        <v>1192</v>
      </c>
      <c r="O20" t="s">
        <v>1191</v>
      </c>
      <c r="P20" t="s">
        <v>220</v>
      </c>
      <c r="Q20" t="s">
        <v>213</v>
      </c>
      <c r="R20">
        <f>20*0.3048</f>
        <v>6.0960000000000001</v>
      </c>
      <c r="S20">
        <f>2177*0.3048</f>
        <v>663.54960000000005</v>
      </c>
      <c r="T20" s="5" t="s">
        <v>252</v>
      </c>
      <c r="U20" s="1" t="s">
        <v>253</v>
      </c>
    </row>
    <row r="21" spans="1:21" x14ac:dyDescent="0.3">
      <c r="A21">
        <v>20</v>
      </c>
      <c r="B21" t="s">
        <v>54</v>
      </c>
      <c r="C21" t="s">
        <v>55</v>
      </c>
      <c r="D21" t="s">
        <v>6</v>
      </c>
      <c r="E21">
        <v>1975</v>
      </c>
      <c r="F21">
        <v>1975</v>
      </c>
      <c r="G21">
        <v>1975</v>
      </c>
      <c r="H21" s="2">
        <v>46.817959999999999</v>
      </c>
      <c r="I21" s="2">
        <v>-71.335369999999998</v>
      </c>
      <c r="J21" t="s">
        <v>56</v>
      </c>
      <c r="K21" t="s">
        <v>1162</v>
      </c>
      <c r="L21" t="s">
        <v>1173</v>
      </c>
      <c r="M21">
        <f>188*0.3048</f>
        <v>57.302400000000006</v>
      </c>
      <c r="N21" t="s">
        <v>1193</v>
      </c>
      <c r="O21" t="s">
        <v>1194</v>
      </c>
      <c r="P21" t="s">
        <v>212</v>
      </c>
      <c r="Q21" t="s">
        <v>213</v>
      </c>
      <c r="R21">
        <f>158*0.3048</f>
        <v>48.1584</v>
      </c>
      <c r="S21">
        <f>3201*0.3048</f>
        <v>975.66480000000001</v>
      </c>
      <c r="T21" s="5" t="s">
        <v>254</v>
      </c>
      <c r="U21" s="1" t="s">
        <v>255</v>
      </c>
    </row>
    <row r="22" spans="1:21" x14ac:dyDescent="0.3">
      <c r="A22">
        <v>21</v>
      </c>
      <c r="B22" t="s">
        <v>57</v>
      </c>
      <c r="C22" t="s">
        <v>58</v>
      </c>
      <c r="D22" t="s">
        <v>6</v>
      </c>
      <c r="E22">
        <v>1978</v>
      </c>
      <c r="F22" t="s">
        <v>1183</v>
      </c>
      <c r="G22">
        <v>1981</v>
      </c>
      <c r="H22" s="2">
        <v>46.451526999999999</v>
      </c>
      <c r="I22" s="2">
        <v>-71.914524999999998</v>
      </c>
      <c r="J22" t="s">
        <v>21</v>
      </c>
      <c r="K22" t="s">
        <v>1162</v>
      </c>
      <c r="L22" t="s">
        <v>1173</v>
      </c>
      <c r="M22">
        <f>2008</f>
        <v>2008</v>
      </c>
      <c r="N22" t="s">
        <v>1177</v>
      </c>
      <c r="O22" t="s">
        <v>1194</v>
      </c>
      <c r="P22" t="s">
        <v>212</v>
      </c>
      <c r="Q22" t="s">
        <v>213</v>
      </c>
      <c r="R22">
        <v>106</v>
      </c>
      <c r="S22">
        <v>2174</v>
      </c>
      <c r="T22" s="5" t="s">
        <v>256</v>
      </c>
      <c r="U22" s="1" t="s">
        <v>257</v>
      </c>
    </row>
    <row r="23" spans="1:21" x14ac:dyDescent="0.3">
      <c r="A23">
        <v>22</v>
      </c>
      <c r="B23" t="s">
        <v>59</v>
      </c>
      <c r="C23" t="s">
        <v>60</v>
      </c>
      <c r="D23" t="s">
        <v>6</v>
      </c>
      <c r="E23">
        <v>1979</v>
      </c>
      <c r="F23" t="s">
        <v>1183</v>
      </c>
      <c r="G23">
        <v>1980</v>
      </c>
      <c r="H23" s="2">
        <v>46.780579166999999</v>
      </c>
      <c r="I23" s="2">
        <v>-71.106466389000005</v>
      </c>
      <c r="J23" t="s">
        <v>51</v>
      </c>
      <c r="K23" t="s">
        <v>1162</v>
      </c>
      <c r="L23" t="s">
        <v>1173</v>
      </c>
      <c r="M23">
        <v>1796</v>
      </c>
      <c r="N23" t="s">
        <v>1198</v>
      </c>
      <c r="O23" t="s">
        <v>1194</v>
      </c>
      <c r="P23" t="s">
        <v>220</v>
      </c>
      <c r="Q23" t="s">
        <v>213</v>
      </c>
      <c r="R23">
        <v>60</v>
      </c>
      <c r="S23">
        <v>4047</v>
      </c>
      <c r="T23" s="5" t="s">
        <v>258</v>
      </c>
      <c r="U23" s="1" t="s">
        <v>259</v>
      </c>
    </row>
    <row r="24" spans="1:21" x14ac:dyDescent="0.3">
      <c r="A24">
        <v>23</v>
      </c>
      <c r="B24" t="s">
        <v>35</v>
      </c>
      <c r="C24" t="s">
        <v>61</v>
      </c>
      <c r="D24" t="s">
        <v>6</v>
      </c>
      <c r="E24">
        <v>1981</v>
      </c>
      <c r="F24" t="s">
        <v>1183</v>
      </c>
      <c r="G24">
        <v>1981</v>
      </c>
      <c r="H24" s="2">
        <v>46.043860000000002</v>
      </c>
      <c r="I24" s="2">
        <v>-72.929029999999997</v>
      </c>
      <c r="J24" t="s">
        <v>15</v>
      </c>
      <c r="K24" t="s">
        <v>1162</v>
      </c>
      <c r="L24" t="s">
        <v>1173</v>
      </c>
      <c r="M24">
        <v>142</v>
      </c>
      <c r="N24" t="s">
        <v>1196</v>
      </c>
      <c r="O24" t="s">
        <v>1197</v>
      </c>
      <c r="P24" t="s">
        <v>212</v>
      </c>
      <c r="Q24" t="s">
        <v>213</v>
      </c>
      <c r="R24">
        <v>9</v>
      </c>
      <c r="S24">
        <v>1348</v>
      </c>
      <c r="T24" s="5" t="s">
        <v>260</v>
      </c>
      <c r="U24" s="1" t="s">
        <v>261</v>
      </c>
    </row>
    <row r="25" spans="1:21" x14ac:dyDescent="0.3">
      <c r="A25">
        <v>24</v>
      </c>
      <c r="B25" t="s">
        <v>62</v>
      </c>
      <c r="C25" t="s">
        <v>63</v>
      </c>
      <c r="D25" t="s">
        <v>6</v>
      </c>
      <c r="E25">
        <v>1991</v>
      </c>
      <c r="F25" t="s">
        <v>1183</v>
      </c>
      <c r="G25" t="s">
        <v>1183</v>
      </c>
      <c r="H25" s="2">
        <v>45.692072000000003</v>
      </c>
      <c r="I25" s="2">
        <v>-72.805332000000007</v>
      </c>
      <c r="J25" t="s">
        <v>15</v>
      </c>
      <c r="K25" t="s">
        <v>1162</v>
      </c>
      <c r="L25" t="s">
        <v>1173</v>
      </c>
      <c r="M25">
        <v>4242</v>
      </c>
      <c r="N25" t="s">
        <v>1199</v>
      </c>
      <c r="O25" t="s">
        <v>1200</v>
      </c>
      <c r="P25" t="s">
        <v>212</v>
      </c>
      <c r="Q25" t="s">
        <v>404</v>
      </c>
      <c r="R25">
        <v>76</v>
      </c>
      <c r="S25">
        <v>4243</v>
      </c>
      <c r="T25" s="5" t="s">
        <v>262</v>
      </c>
      <c r="U25" s="1" t="s">
        <v>263</v>
      </c>
    </row>
    <row r="26" spans="1:21" x14ac:dyDescent="0.3">
      <c r="A26">
        <v>25</v>
      </c>
      <c r="B26" t="s">
        <v>64</v>
      </c>
      <c r="C26" t="s">
        <v>65</v>
      </c>
      <c r="D26" t="s">
        <v>6</v>
      </c>
      <c r="E26">
        <v>1992</v>
      </c>
      <c r="F26" t="s">
        <v>1183</v>
      </c>
      <c r="G26">
        <v>1992</v>
      </c>
      <c r="H26" s="2">
        <v>46.496580000000002</v>
      </c>
      <c r="I26" s="2">
        <v>-71.852649999999997</v>
      </c>
      <c r="J26" t="s">
        <v>51</v>
      </c>
      <c r="K26" t="s">
        <v>1162</v>
      </c>
      <c r="L26" t="s">
        <v>1173</v>
      </c>
      <c r="M26" t="s">
        <v>1183</v>
      </c>
      <c r="N26" t="s">
        <v>1179</v>
      </c>
      <c r="O26" t="s">
        <v>1195</v>
      </c>
      <c r="P26" t="s">
        <v>212</v>
      </c>
      <c r="Q26" t="s">
        <v>213</v>
      </c>
      <c r="R26">
        <v>94</v>
      </c>
      <c r="S26">
        <v>2323</v>
      </c>
      <c r="T26" s="5" t="s">
        <v>264</v>
      </c>
      <c r="U26" s="1" t="s">
        <v>265</v>
      </c>
    </row>
    <row r="27" spans="1:21" x14ac:dyDescent="0.3">
      <c r="A27">
        <v>26</v>
      </c>
      <c r="B27" t="s">
        <v>66</v>
      </c>
      <c r="C27" t="s">
        <v>67</v>
      </c>
      <c r="D27" t="s">
        <v>6</v>
      </c>
      <c r="E27">
        <v>1996</v>
      </c>
      <c r="F27" t="s">
        <v>1183</v>
      </c>
      <c r="G27" t="s">
        <v>1183</v>
      </c>
      <c r="H27" s="2">
        <v>46.07582</v>
      </c>
      <c r="I27" s="2">
        <v>-72.387190000000004</v>
      </c>
      <c r="J27" t="s">
        <v>21</v>
      </c>
      <c r="K27" t="s">
        <v>1162</v>
      </c>
      <c r="L27" t="s">
        <v>1173</v>
      </c>
      <c r="M27">
        <v>3494</v>
      </c>
      <c r="N27" t="s">
        <v>1188</v>
      </c>
      <c r="O27" t="s">
        <v>1201</v>
      </c>
      <c r="P27" t="s">
        <v>212</v>
      </c>
      <c r="Q27" t="s">
        <v>213</v>
      </c>
      <c r="R27">
        <v>72</v>
      </c>
      <c r="S27">
        <v>4037</v>
      </c>
      <c r="T27" s="5" t="s">
        <v>266</v>
      </c>
      <c r="U27" s="1" t="s">
        <v>267</v>
      </c>
    </row>
    <row r="28" spans="1:21" x14ac:dyDescent="0.3">
      <c r="A28">
        <v>27</v>
      </c>
      <c r="B28" s="8" t="s">
        <v>68</v>
      </c>
      <c r="C28" t="s">
        <v>69</v>
      </c>
      <c r="D28" t="s">
        <v>6</v>
      </c>
      <c r="E28">
        <v>1931</v>
      </c>
      <c r="F28" t="s">
        <v>1183</v>
      </c>
      <c r="G28" t="s">
        <v>1183</v>
      </c>
      <c r="H28" s="2">
        <v>46.143799999999999</v>
      </c>
      <c r="I28" s="2">
        <v>-73.157200000000003</v>
      </c>
      <c r="J28" t="s">
        <v>29</v>
      </c>
      <c r="K28" t="s">
        <v>1162</v>
      </c>
      <c r="L28" t="s">
        <v>1183</v>
      </c>
      <c r="M28">
        <f>65*0.3048</f>
        <v>19.812000000000001</v>
      </c>
      <c r="N28" t="s">
        <v>1202</v>
      </c>
      <c r="O28" t="s">
        <v>1203</v>
      </c>
      <c r="P28" t="s">
        <v>212</v>
      </c>
      <c r="Q28" t="s">
        <v>404</v>
      </c>
      <c r="R28" t="s">
        <v>1183</v>
      </c>
      <c r="S28">
        <f>130*0.3048</f>
        <v>39.624000000000002</v>
      </c>
      <c r="T28" s="6" t="s">
        <v>268</v>
      </c>
      <c r="U28" s="1" t="s">
        <v>269</v>
      </c>
    </row>
    <row r="29" spans="1:21" x14ac:dyDescent="0.3">
      <c r="A29">
        <v>28</v>
      </c>
      <c r="B29" s="10" t="s">
        <v>70</v>
      </c>
      <c r="C29" t="s">
        <v>71</v>
      </c>
      <c r="D29" t="s">
        <v>6</v>
      </c>
      <c r="E29">
        <v>1960</v>
      </c>
      <c r="F29" t="s">
        <v>1183</v>
      </c>
      <c r="G29">
        <v>1960</v>
      </c>
      <c r="H29" s="2">
        <v>46.291916667000002</v>
      </c>
      <c r="I29" s="2">
        <v>-72.699222222000003</v>
      </c>
      <c r="J29" t="s">
        <v>12</v>
      </c>
      <c r="K29" t="s">
        <v>1204</v>
      </c>
      <c r="L29" t="s">
        <v>1205</v>
      </c>
      <c r="M29" t="s">
        <v>1183</v>
      </c>
      <c r="N29" t="s">
        <v>1206</v>
      </c>
      <c r="O29" t="s">
        <v>1207</v>
      </c>
      <c r="P29" t="s">
        <v>212</v>
      </c>
      <c r="Q29" t="s">
        <v>404</v>
      </c>
      <c r="R29">
        <f>45*0.3048</f>
        <v>13.716000000000001</v>
      </c>
      <c r="S29">
        <f>239*0.3048</f>
        <v>72.847200000000001</v>
      </c>
      <c r="T29" s="5" t="s">
        <v>270</v>
      </c>
      <c r="U29" s="1" t="s">
        <v>271</v>
      </c>
    </row>
    <row r="30" spans="1:21" x14ac:dyDescent="0.3">
      <c r="A30">
        <v>29</v>
      </c>
      <c r="B30" t="s">
        <v>72</v>
      </c>
      <c r="C30" t="s">
        <v>73</v>
      </c>
      <c r="D30" t="s">
        <v>6</v>
      </c>
      <c r="E30">
        <v>1962</v>
      </c>
      <c r="F30" t="s">
        <v>1183</v>
      </c>
      <c r="G30">
        <v>1962</v>
      </c>
      <c r="H30" s="2">
        <v>46.286639000000001</v>
      </c>
      <c r="I30" s="2">
        <v>-72.713527999999997</v>
      </c>
      <c r="J30" t="s">
        <v>12</v>
      </c>
      <c r="K30" t="s">
        <v>1204</v>
      </c>
      <c r="L30" t="s">
        <v>1173</v>
      </c>
      <c r="M30">
        <f>205*0.3048</f>
        <v>62.484000000000002</v>
      </c>
      <c r="N30" t="s">
        <v>1208</v>
      </c>
      <c r="O30" t="s">
        <v>1165</v>
      </c>
      <c r="P30" t="s">
        <v>212</v>
      </c>
      <c r="Q30" t="s">
        <v>213</v>
      </c>
      <c r="R30">
        <f>13*0.3048</f>
        <v>3.9624000000000001</v>
      </c>
      <c r="S30">
        <f>210*0.3048</f>
        <v>64.00800000000001</v>
      </c>
      <c r="T30" s="5" t="s">
        <v>272</v>
      </c>
      <c r="U30" s="1" t="s">
        <v>273</v>
      </c>
    </row>
    <row r="31" spans="1:21" x14ac:dyDescent="0.3">
      <c r="A31">
        <v>30</v>
      </c>
      <c r="B31" t="s">
        <v>74</v>
      </c>
      <c r="C31" t="s">
        <v>75</v>
      </c>
      <c r="D31" t="s">
        <v>6</v>
      </c>
      <c r="E31">
        <v>1961</v>
      </c>
      <c r="F31" t="s">
        <v>1183</v>
      </c>
      <c r="G31">
        <v>1961</v>
      </c>
      <c r="H31" s="2">
        <v>46.28792</v>
      </c>
      <c r="I31" s="2">
        <v>-72.743269999999995</v>
      </c>
      <c r="J31" t="s">
        <v>12</v>
      </c>
      <c r="K31" t="s">
        <v>1204</v>
      </c>
      <c r="L31" t="s">
        <v>1163</v>
      </c>
      <c r="M31">
        <f>125*0.3048</f>
        <v>38.1</v>
      </c>
      <c r="N31" t="s">
        <v>1209</v>
      </c>
      <c r="O31" t="s">
        <v>1165</v>
      </c>
      <c r="P31" t="s">
        <v>212</v>
      </c>
      <c r="Q31" t="s">
        <v>213</v>
      </c>
      <c r="R31" t="s">
        <v>1183</v>
      </c>
      <c r="S31">
        <f>150*0.3048</f>
        <v>45.72</v>
      </c>
      <c r="T31" s="5" t="s">
        <v>274</v>
      </c>
      <c r="U31" s="1" t="s">
        <v>275</v>
      </c>
    </row>
    <row r="32" spans="1:21" x14ac:dyDescent="0.3">
      <c r="A32">
        <v>31</v>
      </c>
      <c r="B32" t="s">
        <v>76</v>
      </c>
      <c r="C32" t="s">
        <v>77</v>
      </c>
      <c r="D32" t="s">
        <v>6</v>
      </c>
      <c r="E32">
        <v>1961</v>
      </c>
      <c r="F32" t="s">
        <v>1183</v>
      </c>
      <c r="G32">
        <v>1963</v>
      </c>
      <c r="H32" s="2">
        <v>46.290219999999998</v>
      </c>
      <c r="I32" s="2">
        <v>-72.746459999999999</v>
      </c>
      <c r="J32" t="s">
        <v>12</v>
      </c>
      <c r="K32" t="s">
        <v>1204</v>
      </c>
      <c r="L32" t="s">
        <v>1163</v>
      </c>
      <c r="M32" t="s">
        <v>1183</v>
      </c>
      <c r="N32" t="s">
        <v>1209</v>
      </c>
      <c r="O32" t="s">
        <v>1165</v>
      </c>
      <c r="P32" t="s">
        <v>212</v>
      </c>
      <c r="Q32" t="s">
        <v>213</v>
      </c>
      <c r="R32" t="s">
        <v>1183</v>
      </c>
      <c r="S32">
        <f>170*0.3048</f>
        <v>51.816000000000003</v>
      </c>
      <c r="T32" s="5" t="s">
        <v>276</v>
      </c>
      <c r="U32" s="1" t="s">
        <v>277</v>
      </c>
    </row>
    <row r="33" spans="1:21" x14ac:dyDescent="0.3">
      <c r="A33">
        <v>32</v>
      </c>
      <c r="B33" t="s">
        <v>78</v>
      </c>
      <c r="C33" t="s">
        <v>79</v>
      </c>
      <c r="D33" t="s">
        <v>6</v>
      </c>
      <c r="E33">
        <v>1961</v>
      </c>
      <c r="F33" t="s">
        <v>1183</v>
      </c>
      <c r="G33">
        <v>1983</v>
      </c>
      <c r="H33" s="2">
        <v>46.296669999999999</v>
      </c>
      <c r="I33" s="2">
        <v>-72.735669999999999</v>
      </c>
      <c r="J33" t="s">
        <v>12</v>
      </c>
      <c r="K33" t="s">
        <v>1204</v>
      </c>
      <c r="L33" t="s">
        <v>1173</v>
      </c>
      <c r="M33">
        <f>126*0.3048</f>
        <v>38.404800000000002</v>
      </c>
      <c r="N33" t="s">
        <v>1209</v>
      </c>
      <c r="O33" t="s">
        <v>1210</v>
      </c>
      <c r="P33" t="s">
        <v>212</v>
      </c>
      <c r="Q33" t="s">
        <v>213</v>
      </c>
      <c r="R33">
        <f>26*0.3048</f>
        <v>7.9248000000000003</v>
      </c>
      <c r="S33">
        <f>161*0.3048</f>
        <v>49.072800000000001</v>
      </c>
      <c r="T33" s="5" t="s">
        <v>278</v>
      </c>
      <c r="U33" s="1" t="s">
        <v>279</v>
      </c>
    </row>
    <row r="34" spans="1:21" x14ac:dyDescent="0.3">
      <c r="A34">
        <v>33</v>
      </c>
      <c r="B34" t="s">
        <v>80</v>
      </c>
      <c r="C34" t="s">
        <v>81</v>
      </c>
      <c r="D34" t="s">
        <v>6</v>
      </c>
      <c r="E34">
        <v>1961</v>
      </c>
      <c r="F34" t="s">
        <v>1183</v>
      </c>
      <c r="G34">
        <v>1983</v>
      </c>
      <c r="H34" s="2">
        <v>46.267699999999998</v>
      </c>
      <c r="I34" s="2">
        <v>-72.821619999999996</v>
      </c>
      <c r="J34" t="s">
        <v>12</v>
      </c>
      <c r="K34" t="s">
        <v>1204</v>
      </c>
      <c r="L34" t="s">
        <v>1173</v>
      </c>
      <c r="M34">
        <f>272*0.3048</f>
        <v>82.905600000000007</v>
      </c>
      <c r="N34" t="s">
        <v>1211</v>
      </c>
      <c r="O34" t="s">
        <v>1210</v>
      </c>
      <c r="P34" t="s">
        <v>212</v>
      </c>
      <c r="Q34" t="s">
        <v>404</v>
      </c>
      <c r="R34">
        <f>21*0.3048</f>
        <v>6.4008000000000003</v>
      </c>
      <c r="S34">
        <f>324*0.3048</f>
        <v>98.755200000000002</v>
      </c>
      <c r="T34" s="5" t="s">
        <v>280</v>
      </c>
      <c r="U34" s="1" t="s">
        <v>281</v>
      </c>
    </row>
    <row r="35" spans="1:21" x14ac:dyDescent="0.3">
      <c r="A35">
        <v>34</v>
      </c>
      <c r="B35" t="s">
        <v>82</v>
      </c>
      <c r="C35" t="s">
        <v>83</v>
      </c>
      <c r="D35" t="s">
        <v>6</v>
      </c>
      <c r="E35">
        <v>1961</v>
      </c>
      <c r="F35" t="s">
        <v>1183</v>
      </c>
      <c r="G35">
        <v>1963</v>
      </c>
      <c r="H35" s="2">
        <v>46.315890000000003</v>
      </c>
      <c r="I35" s="2">
        <v>-72.817549999999997</v>
      </c>
      <c r="J35" t="s">
        <v>12</v>
      </c>
      <c r="K35" t="s">
        <v>1204</v>
      </c>
      <c r="L35" t="s">
        <v>1173</v>
      </c>
      <c r="M35">
        <f>105*0.3048</f>
        <v>32.004000000000005</v>
      </c>
      <c r="N35" t="s">
        <v>1212</v>
      </c>
      <c r="O35" t="s">
        <v>1210</v>
      </c>
      <c r="P35" t="s">
        <v>212</v>
      </c>
      <c r="Q35" t="s">
        <v>213</v>
      </c>
      <c r="R35">
        <f>52*0.3048</f>
        <v>15.849600000000001</v>
      </c>
      <c r="S35">
        <f>264*0.3048</f>
        <v>80.467200000000005</v>
      </c>
      <c r="T35" s="5" t="s">
        <v>282</v>
      </c>
      <c r="U35" s="1" t="s">
        <v>283</v>
      </c>
    </row>
    <row r="36" spans="1:21" x14ac:dyDescent="0.3">
      <c r="A36">
        <v>35</v>
      </c>
      <c r="B36" t="s">
        <v>84</v>
      </c>
      <c r="C36" t="s">
        <v>85</v>
      </c>
      <c r="D36" t="s">
        <v>6</v>
      </c>
      <c r="E36">
        <v>1961</v>
      </c>
      <c r="F36" t="s">
        <v>1183</v>
      </c>
      <c r="G36">
        <v>1963</v>
      </c>
      <c r="H36" s="2">
        <v>46.445480000000003</v>
      </c>
      <c r="I36" s="2">
        <v>-72.405550000000005</v>
      </c>
      <c r="J36" t="s">
        <v>12</v>
      </c>
      <c r="K36" t="s">
        <v>1204</v>
      </c>
      <c r="L36" t="s">
        <v>1173</v>
      </c>
      <c r="M36">
        <f>67*0.3048</f>
        <v>20.421600000000002</v>
      </c>
      <c r="N36" t="s">
        <v>1213</v>
      </c>
      <c r="O36" t="s">
        <v>1175</v>
      </c>
      <c r="P36" t="s">
        <v>220</v>
      </c>
      <c r="Q36" t="s">
        <v>213</v>
      </c>
      <c r="R36">
        <f>64*0.3048</f>
        <v>19.507200000000001</v>
      </c>
      <c r="S36">
        <f>457*0.3048</f>
        <v>139.2936</v>
      </c>
      <c r="T36" s="5" t="s">
        <v>284</v>
      </c>
      <c r="U36" s="1" t="s">
        <v>285</v>
      </c>
    </row>
    <row r="37" spans="1:21" x14ac:dyDescent="0.3">
      <c r="A37">
        <v>36</v>
      </c>
      <c r="B37" t="s">
        <v>86</v>
      </c>
      <c r="C37" t="s">
        <v>87</v>
      </c>
      <c r="D37" t="s">
        <v>6</v>
      </c>
      <c r="E37">
        <v>1957</v>
      </c>
      <c r="F37" t="s">
        <v>1183</v>
      </c>
      <c r="G37">
        <v>1957</v>
      </c>
      <c r="H37" s="2">
        <v>46.302166667000002</v>
      </c>
      <c r="I37" s="2">
        <v>-72.826916667000006</v>
      </c>
      <c r="J37" t="s">
        <v>12</v>
      </c>
      <c r="K37" t="s">
        <v>1204</v>
      </c>
      <c r="L37" t="s">
        <v>1173</v>
      </c>
      <c r="M37">
        <f>128*0.3048</f>
        <v>39.014400000000002</v>
      </c>
      <c r="N37" t="s">
        <v>1183</v>
      </c>
      <c r="O37" t="s">
        <v>1214</v>
      </c>
      <c r="P37" t="s">
        <v>212</v>
      </c>
      <c r="Q37" t="s">
        <v>213</v>
      </c>
      <c r="R37" t="s">
        <v>1183</v>
      </c>
      <c r="S37">
        <f>245*0.3048</f>
        <v>74.676000000000002</v>
      </c>
      <c r="T37" s="5" t="s">
        <v>286</v>
      </c>
      <c r="U37" s="1" t="s">
        <v>287</v>
      </c>
    </row>
    <row r="38" spans="1:21" x14ac:dyDescent="0.3">
      <c r="A38">
        <v>37</v>
      </c>
      <c r="B38" t="s">
        <v>88</v>
      </c>
      <c r="C38" t="s">
        <v>89</v>
      </c>
      <c r="D38" t="s">
        <v>6</v>
      </c>
      <c r="E38">
        <v>1948</v>
      </c>
      <c r="F38" t="s">
        <v>1183</v>
      </c>
      <c r="G38" t="s">
        <v>1183</v>
      </c>
      <c r="H38" s="2">
        <v>46.295972999999996</v>
      </c>
      <c r="I38" s="2">
        <v>-72.261981000000006</v>
      </c>
      <c r="J38" t="s">
        <v>12</v>
      </c>
      <c r="K38" t="s">
        <v>1204</v>
      </c>
      <c r="L38" t="s">
        <v>1167</v>
      </c>
      <c r="M38" t="s">
        <v>1183</v>
      </c>
      <c r="N38" t="s">
        <v>1183</v>
      </c>
      <c r="O38" t="s">
        <v>1215</v>
      </c>
      <c r="P38" t="s">
        <v>212</v>
      </c>
      <c r="Q38" t="s">
        <v>404</v>
      </c>
      <c r="R38">
        <f>216*0.3048</f>
        <v>65.836799999999997</v>
      </c>
      <c r="S38">
        <f>1200*0.3048</f>
        <v>365.76</v>
      </c>
      <c r="T38" s="5" t="s">
        <v>288</v>
      </c>
      <c r="U38" s="1" t="s">
        <v>289</v>
      </c>
    </row>
    <row r="39" spans="1:21" x14ac:dyDescent="0.3">
      <c r="A39">
        <v>38</v>
      </c>
      <c r="B39" t="s">
        <v>90</v>
      </c>
      <c r="C39" t="s">
        <v>91</v>
      </c>
      <c r="D39" t="s">
        <v>6</v>
      </c>
      <c r="E39">
        <v>1957</v>
      </c>
      <c r="F39" t="s">
        <v>1183</v>
      </c>
      <c r="G39">
        <v>1957</v>
      </c>
      <c r="H39" s="2">
        <v>46.463949999999997</v>
      </c>
      <c r="I39" s="2">
        <v>-72.37473</v>
      </c>
      <c r="J39" t="s">
        <v>12</v>
      </c>
      <c r="K39" t="s">
        <v>1204</v>
      </c>
      <c r="L39" t="s">
        <v>1163</v>
      </c>
      <c r="M39">
        <f>240*0.3048</f>
        <v>73.152000000000001</v>
      </c>
      <c r="N39" t="s">
        <v>1183</v>
      </c>
      <c r="O39" t="s">
        <v>1216</v>
      </c>
      <c r="P39" t="s">
        <v>212</v>
      </c>
      <c r="Q39" t="s">
        <v>404</v>
      </c>
      <c r="R39" t="s">
        <v>1183</v>
      </c>
      <c r="S39">
        <f>342*0.3048</f>
        <v>104.24160000000001</v>
      </c>
      <c r="T39" s="5" t="s">
        <v>290</v>
      </c>
      <c r="U39" s="1" t="s">
        <v>291</v>
      </c>
    </row>
    <row r="40" spans="1:21" x14ac:dyDescent="0.3">
      <c r="A40">
        <v>39</v>
      </c>
      <c r="B40" t="s">
        <v>92</v>
      </c>
      <c r="C40" t="s">
        <v>93</v>
      </c>
      <c r="D40" t="s">
        <v>6</v>
      </c>
      <c r="E40">
        <v>1957</v>
      </c>
      <c r="F40">
        <v>1957</v>
      </c>
      <c r="G40" t="s">
        <v>1183</v>
      </c>
      <c r="H40" s="2">
        <v>46.468589999999999</v>
      </c>
      <c r="I40" s="2">
        <v>-72.530019999999993</v>
      </c>
      <c r="J40" t="s">
        <v>12</v>
      </c>
      <c r="K40" t="s">
        <v>1204</v>
      </c>
      <c r="L40" t="s">
        <v>1167</v>
      </c>
      <c r="M40">
        <f>282*0.3048</f>
        <v>85.953600000000009</v>
      </c>
      <c r="N40" t="s">
        <v>1183</v>
      </c>
      <c r="O40" t="s">
        <v>1216</v>
      </c>
      <c r="P40" t="s">
        <v>220</v>
      </c>
      <c r="Q40" t="s">
        <v>404</v>
      </c>
      <c r="R40" t="s">
        <v>1183</v>
      </c>
      <c r="S40">
        <f>326*0.3048</f>
        <v>99.364800000000002</v>
      </c>
      <c r="T40" s="5" t="s">
        <v>292</v>
      </c>
      <c r="U40" s="1" t="s">
        <v>293</v>
      </c>
    </row>
    <row r="41" spans="1:21" x14ac:dyDescent="0.3">
      <c r="A41">
        <v>40</v>
      </c>
      <c r="B41" s="8" t="s">
        <v>94</v>
      </c>
      <c r="C41" t="s">
        <v>95</v>
      </c>
      <c r="D41" t="s">
        <v>6</v>
      </c>
      <c r="E41">
        <v>1962</v>
      </c>
      <c r="F41" t="s">
        <v>1183</v>
      </c>
      <c r="G41">
        <v>1962</v>
      </c>
      <c r="H41" s="2">
        <v>45.816190556000002</v>
      </c>
      <c r="I41" s="2">
        <v>-73.374043611000005</v>
      </c>
      <c r="J41" t="s">
        <v>29</v>
      </c>
      <c r="K41" t="s">
        <v>1204</v>
      </c>
      <c r="L41" t="s">
        <v>1173</v>
      </c>
      <c r="M41">
        <f>30*0.3048</f>
        <v>9.1440000000000001</v>
      </c>
      <c r="N41" t="s">
        <v>1209</v>
      </c>
      <c r="O41" t="s">
        <v>1217</v>
      </c>
      <c r="P41" t="s">
        <v>212</v>
      </c>
      <c r="Q41" t="s">
        <v>213</v>
      </c>
      <c r="R41" t="s">
        <v>1183</v>
      </c>
      <c r="S41">
        <f>64*0.3048</f>
        <v>19.507200000000001</v>
      </c>
      <c r="T41" s="6" t="s">
        <v>294</v>
      </c>
      <c r="U41" s="1" t="s">
        <v>295</v>
      </c>
    </row>
    <row r="42" spans="1:21" x14ac:dyDescent="0.3">
      <c r="A42">
        <v>41</v>
      </c>
      <c r="B42" t="s">
        <v>96</v>
      </c>
      <c r="C42" t="s">
        <v>97</v>
      </c>
      <c r="D42" t="s">
        <v>6</v>
      </c>
      <c r="E42">
        <v>1964</v>
      </c>
      <c r="F42" t="s">
        <v>1183</v>
      </c>
      <c r="G42" t="s">
        <v>1183</v>
      </c>
      <c r="H42" s="2">
        <v>46.217179999999999</v>
      </c>
      <c r="I42" s="2">
        <v>-72.506720000000001</v>
      </c>
      <c r="J42" t="s">
        <v>21</v>
      </c>
      <c r="K42" t="s">
        <v>1204</v>
      </c>
      <c r="L42" t="s">
        <v>1167</v>
      </c>
      <c r="M42" t="s">
        <v>1183</v>
      </c>
      <c r="N42" t="s">
        <v>1183</v>
      </c>
      <c r="O42" t="s">
        <v>1217</v>
      </c>
      <c r="P42" t="s">
        <v>212</v>
      </c>
      <c r="Q42" t="s">
        <v>404</v>
      </c>
      <c r="R42" t="s">
        <v>1183</v>
      </c>
      <c r="S42">
        <f>380*0.3048</f>
        <v>115.82400000000001</v>
      </c>
      <c r="T42" s="5" t="s">
        <v>296</v>
      </c>
      <c r="U42" s="1" t="s">
        <v>297</v>
      </c>
    </row>
    <row r="43" spans="1:21" x14ac:dyDescent="0.3">
      <c r="A43">
        <v>42</v>
      </c>
      <c r="B43" s="8" t="s">
        <v>98</v>
      </c>
      <c r="C43" t="s">
        <v>99</v>
      </c>
      <c r="D43" t="s">
        <v>6</v>
      </c>
      <c r="E43">
        <v>1965</v>
      </c>
      <c r="F43">
        <v>1965</v>
      </c>
      <c r="G43" t="s">
        <v>1183</v>
      </c>
      <c r="H43" s="2">
        <v>45.811582899999998</v>
      </c>
      <c r="I43" s="2">
        <v>-73.377187300000003</v>
      </c>
      <c r="J43" t="s">
        <v>29</v>
      </c>
      <c r="K43" t="s">
        <v>1204</v>
      </c>
      <c r="L43" t="s">
        <v>1167</v>
      </c>
      <c r="M43" t="s">
        <v>1183</v>
      </c>
      <c r="N43" t="s">
        <v>1218</v>
      </c>
      <c r="O43" t="s">
        <v>1217</v>
      </c>
      <c r="P43" t="s">
        <v>212</v>
      </c>
      <c r="Q43" t="s">
        <v>404</v>
      </c>
      <c r="R43" t="s">
        <v>1183</v>
      </c>
      <c r="S43">
        <f>56*0.3048</f>
        <v>17.0688</v>
      </c>
      <c r="T43" s="6" t="s">
        <v>298</v>
      </c>
      <c r="U43" s="1" t="s">
        <v>299</v>
      </c>
    </row>
    <row r="44" spans="1:21" x14ac:dyDescent="0.3">
      <c r="A44">
        <v>43</v>
      </c>
      <c r="B44" t="s">
        <v>100</v>
      </c>
      <c r="C44" t="s">
        <v>101</v>
      </c>
      <c r="D44" t="s">
        <v>6</v>
      </c>
      <c r="E44">
        <v>1965</v>
      </c>
      <c r="F44" t="s">
        <v>1183</v>
      </c>
      <c r="G44">
        <v>1965</v>
      </c>
      <c r="H44" s="2">
        <v>46.260959999999997</v>
      </c>
      <c r="I44" s="2">
        <v>-72.88355</v>
      </c>
      <c r="J44" t="s">
        <v>12</v>
      </c>
      <c r="K44" t="s">
        <v>1204</v>
      </c>
      <c r="L44" t="s">
        <v>1173</v>
      </c>
      <c r="M44">
        <f>94*0.3048</f>
        <v>28.651200000000003</v>
      </c>
      <c r="N44" t="s">
        <v>1219</v>
      </c>
      <c r="O44" t="s">
        <v>1186</v>
      </c>
      <c r="P44" t="s">
        <v>220</v>
      </c>
      <c r="Q44" t="s">
        <v>213</v>
      </c>
      <c r="R44" t="s">
        <v>1183</v>
      </c>
      <c r="S44">
        <f>355*0.3048</f>
        <v>108.20400000000001</v>
      </c>
      <c r="T44" s="5" t="s">
        <v>300</v>
      </c>
      <c r="U44" s="1" t="s">
        <v>301</v>
      </c>
    </row>
    <row r="45" spans="1:21" x14ac:dyDescent="0.3">
      <c r="A45">
        <v>44</v>
      </c>
      <c r="B45" t="s">
        <v>102</v>
      </c>
      <c r="C45" t="s">
        <v>103</v>
      </c>
      <c r="D45" t="s">
        <v>6</v>
      </c>
      <c r="E45">
        <v>1965</v>
      </c>
      <c r="F45">
        <v>1965</v>
      </c>
      <c r="G45" t="s">
        <v>1183</v>
      </c>
      <c r="H45" s="2">
        <v>45.884920000000001</v>
      </c>
      <c r="I45" s="2">
        <v>-73.375309999999999</v>
      </c>
      <c r="J45" t="s">
        <v>29</v>
      </c>
      <c r="K45" t="s">
        <v>1204</v>
      </c>
      <c r="L45" t="s">
        <v>1167</v>
      </c>
      <c r="M45">
        <f>78*0.3048</f>
        <v>23.7744</v>
      </c>
      <c r="N45" t="s">
        <v>1220</v>
      </c>
      <c r="O45" t="s">
        <v>1221</v>
      </c>
      <c r="P45" t="s">
        <v>212</v>
      </c>
      <c r="Q45" t="s">
        <v>404</v>
      </c>
      <c r="R45" t="s">
        <v>1183</v>
      </c>
      <c r="S45">
        <f>78*0.3048</f>
        <v>23.7744</v>
      </c>
      <c r="T45" s="5" t="s">
        <v>302</v>
      </c>
      <c r="U45" s="1" t="s">
        <v>303</v>
      </c>
    </row>
    <row r="46" spans="1:21" x14ac:dyDescent="0.3">
      <c r="A46">
        <v>45</v>
      </c>
      <c r="B46" t="s">
        <v>104</v>
      </c>
      <c r="C46" t="s">
        <v>105</v>
      </c>
      <c r="D46" t="s">
        <v>6</v>
      </c>
      <c r="E46">
        <v>1965</v>
      </c>
      <c r="F46">
        <v>1965</v>
      </c>
      <c r="G46" t="s">
        <v>1183</v>
      </c>
      <c r="H46" s="2">
        <v>45.889099999999999</v>
      </c>
      <c r="I46" s="2">
        <v>-73.38091</v>
      </c>
      <c r="J46" t="s">
        <v>29</v>
      </c>
      <c r="K46" t="s">
        <v>1204</v>
      </c>
      <c r="L46" t="s">
        <v>1167</v>
      </c>
      <c r="M46">
        <f>50*0.3048</f>
        <v>15.24</v>
      </c>
      <c r="N46" t="s">
        <v>1219</v>
      </c>
      <c r="O46" t="s">
        <v>1221</v>
      </c>
      <c r="P46" t="s">
        <v>212</v>
      </c>
      <c r="Q46" t="s">
        <v>404</v>
      </c>
      <c r="R46">
        <f>54*0.3048</f>
        <v>16.459199999999999</v>
      </c>
      <c r="S46">
        <f>60*0.3048</f>
        <v>18.288</v>
      </c>
      <c r="T46" s="5" t="s">
        <v>304</v>
      </c>
      <c r="U46" s="1" t="s">
        <v>305</v>
      </c>
    </row>
    <row r="47" spans="1:21" x14ac:dyDescent="0.3">
      <c r="A47">
        <v>46</v>
      </c>
      <c r="B47" t="s">
        <v>106</v>
      </c>
      <c r="C47" t="s">
        <v>107</v>
      </c>
      <c r="D47" t="s">
        <v>6</v>
      </c>
      <c r="E47">
        <v>1987</v>
      </c>
      <c r="F47" t="s">
        <v>1183</v>
      </c>
      <c r="G47">
        <v>1995</v>
      </c>
      <c r="H47" s="2">
        <v>46.265059999999998</v>
      </c>
      <c r="I47" s="2">
        <v>-72.867249999999999</v>
      </c>
      <c r="J47" t="s">
        <v>12</v>
      </c>
      <c r="K47" t="s">
        <v>1204</v>
      </c>
      <c r="L47" t="s">
        <v>1173</v>
      </c>
      <c r="M47" t="s">
        <v>1183</v>
      </c>
      <c r="N47" t="s">
        <v>1183</v>
      </c>
      <c r="O47" t="s">
        <v>1222</v>
      </c>
      <c r="P47" t="s">
        <v>212</v>
      </c>
      <c r="Q47" t="s">
        <v>213</v>
      </c>
      <c r="R47">
        <v>6</v>
      </c>
      <c r="S47">
        <v>78.900000000000006</v>
      </c>
      <c r="T47" s="5" t="s">
        <v>306</v>
      </c>
      <c r="U47" s="1" t="s">
        <v>307</v>
      </c>
    </row>
    <row r="48" spans="1:21" x14ac:dyDescent="0.3">
      <c r="A48">
        <v>47</v>
      </c>
      <c r="B48" t="s">
        <v>108</v>
      </c>
      <c r="C48" t="s">
        <v>109</v>
      </c>
      <c r="D48" t="s">
        <v>6</v>
      </c>
      <c r="E48">
        <v>1987</v>
      </c>
      <c r="F48" t="s">
        <v>1183</v>
      </c>
      <c r="G48">
        <v>1995</v>
      </c>
      <c r="H48" s="2">
        <v>46.264961111111099</v>
      </c>
      <c r="I48" s="2">
        <v>-72.867004666666602</v>
      </c>
      <c r="J48" t="s">
        <v>12</v>
      </c>
      <c r="K48" t="s">
        <v>1204</v>
      </c>
      <c r="L48" t="s">
        <v>1173</v>
      </c>
      <c r="M48">
        <v>78</v>
      </c>
      <c r="N48" t="s">
        <v>1223</v>
      </c>
      <c r="O48" t="s">
        <v>1222</v>
      </c>
      <c r="P48" t="s">
        <v>212</v>
      </c>
      <c r="Q48" t="s">
        <v>213</v>
      </c>
      <c r="R48">
        <v>6</v>
      </c>
      <c r="S48">
        <v>94.9</v>
      </c>
      <c r="T48" s="5" t="s">
        <v>308</v>
      </c>
      <c r="U48" s="1" t="s">
        <v>309</v>
      </c>
    </row>
    <row r="49" spans="1:21" x14ac:dyDescent="0.3">
      <c r="A49">
        <v>48</v>
      </c>
      <c r="B49" t="s">
        <v>110</v>
      </c>
      <c r="C49" t="s">
        <v>111</v>
      </c>
      <c r="D49" t="s">
        <v>6</v>
      </c>
      <c r="E49">
        <v>1989</v>
      </c>
      <c r="F49">
        <v>1989</v>
      </c>
      <c r="G49">
        <v>1995</v>
      </c>
      <c r="H49" s="2">
        <v>46.264569999999999</v>
      </c>
      <c r="I49" s="2">
        <v>-72.866609999999994</v>
      </c>
      <c r="J49" t="s">
        <v>12</v>
      </c>
      <c r="K49" t="s">
        <v>1204</v>
      </c>
      <c r="L49" t="s">
        <v>1173</v>
      </c>
      <c r="M49">
        <v>72</v>
      </c>
      <c r="N49" t="s">
        <v>1219</v>
      </c>
      <c r="O49" t="s">
        <v>1222</v>
      </c>
      <c r="P49" t="s">
        <v>212</v>
      </c>
      <c r="Q49" t="s">
        <v>213</v>
      </c>
      <c r="R49">
        <v>6</v>
      </c>
      <c r="S49">
        <v>81.66</v>
      </c>
      <c r="T49" s="5" t="s">
        <v>310</v>
      </c>
      <c r="U49" s="1" t="s">
        <v>311</v>
      </c>
    </row>
    <row r="50" spans="1:21" x14ac:dyDescent="0.3">
      <c r="A50">
        <v>49</v>
      </c>
      <c r="B50" t="s">
        <v>112</v>
      </c>
      <c r="C50" t="s">
        <v>113</v>
      </c>
      <c r="D50" t="s">
        <v>6</v>
      </c>
      <c r="E50">
        <v>1989</v>
      </c>
      <c r="F50">
        <v>1989</v>
      </c>
      <c r="G50">
        <v>1995</v>
      </c>
      <c r="H50" s="2">
        <v>46.265349000000001</v>
      </c>
      <c r="I50" s="2">
        <v>-72.866862999999995</v>
      </c>
      <c r="J50" t="s">
        <v>12</v>
      </c>
      <c r="K50" t="s">
        <v>1204</v>
      </c>
      <c r="L50" t="s">
        <v>1173</v>
      </c>
      <c r="M50">
        <v>75</v>
      </c>
      <c r="N50" t="s">
        <v>1219</v>
      </c>
      <c r="O50" t="s">
        <v>1222</v>
      </c>
      <c r="P50" t="s">
        <v>212</v>
      </c>
      <c r="Q50" t="s">
        <v>213</v>
      </c>
      <c r="R50">
        <v>6</v>
      </c>
      <c r="S50">
        <v>81.150000000000006</v>
      </c>
      <c r="T50" s="5" t="s">
        <v>312</v>
      </c>
      <c r="U50" s="1" t="s">
        <v>313</v>
      </c>
    </row>
    <row r="51" spans="1:21" x14ac:dyDescent="0.3">
      <c r="A51">
        <v>50</v>
      </c>
      <c r="B51" t="s">
        <v>114</v>
      </c>
      <c r="C51" t="s">
        <v>115</v>
      </c>
      <c r="D51" t="s">
        <v>6</v>
      </c>
      <c r="E51">
        <v>1930</v>
      </c>
      <c r="F51" t="s">
        <v>1183</v>
      </c>
      <c r="G51" t="s">
        <v>1183</v>
      </c>
      <c r="H51" s="2">
        <v>45.94294</v>
      </c>
      <c r="I51" s="2">
        <v>-73.248609999999999</v>
      </c>
      <c r="J51" t="s">
        <v>29</v>
      </c>
      <c r="K51" t="s">
        <v>1204</v>
      </c>
      <c r="L51" t="s">
        <v>1183</v>
      </c>
      <c r="M51" t="s">
        <v>1183</v>
      </c>
      <c r="N51" t="s">
        <v>1183</v>
      </c>
      <c r="O51" t="s">
        <v>1183</v>
      </c>
      <c r="P51" t="s">
        <v>212</v>
      </c>
      <c r="Q51" t="s">
        <v>404</v>
      </c>
      <c r="R51" t="s">
        <v>1183</v>
      </c>
      <c r="S51">
        <f>200*0.3048</f>
        <v>60.96</v>
      </c>
      <c r="T51" s="5" t="s">
        <v>314</v>
      </c>
      <c r="U51" s="1" t="s">
        <v>315</v>
      </c>
    </row>
    <row r="52" spans="1:21" x14ac:dyDescent="0.3">
      <c r="A52">
        <v>51</v>
      </c>
      <c r="B52" t="s">
        <v>116</v>
      </c>
      <c r="C52" t="s">
        <v>117</v>
      </c>
      <c r="D52" t="s">
        <v>6</v>
      </c>
      <c r="E52">
        <v>1930</v>
      </c>
      <c r="F52" t="s">
        <v>1183</v>
      </c>
      <c r="G52" t="s">
        <v>1183</v>
      </c>
      <c r="H52" s="2">
        <v>45.944000000000003</v>
      </c>
      <c r="I52" s="2">
        <v>-73.251000000000005</v>
      </c>
      <c r="J52" t="s">
        <v>29</v>
      </c>
      <c r="K52" t="s">
        <v>1204</v>
      </c>
      <c r="L52" t="s">
        <v>1183</v>
      </c>
      <c r="M52" t="s">
        <v>1183</v>
      </c>
      <c r="N52" t="s">
        <v>1183</v>
      </c>
      <c r="O52" t="s">
        <v>1183</v>
      </c>
      <c r="P52" t="s">
        <v>212</v>
      </c>
      <c r="Q52" t="s">
        <v>404</v>
      </c>
      <c r="R52" t="s">
        <v>1183</v>
      </c>
      <c r="S52">
        <f>200*0.3048</f>
        <v>60.96</v>
      </c>
      <c r="T52" s="5" t="s">
        <v>316</v>
      </c>
      <c r="U52" s="1" t="s">
        <v>317</v>
      </c>
    </row>
    <row r="53" spans="1:21" x14ac:dyDescent="0.3">
      <c r="A53">
        <v>52</v>
      </c>
      <c r="B53" s="8" t="s">
        <v>118</v>
      </c>
      <c r="C53" t="s">
        <v>119</v>
      </c>
      <c r="D53" t="s">
        <v>6</v>
      </c>
      <c r="E53">
        <v>1942</v>
      </c>
      <c r="F53" t="s">
        <v>1183</v>
      </c>
      <c r="G53" t="s">
        <v>1183</v>
      </c>
      <c r="H53" s="2">
        <v>45.856400000000001</v>
      </c>
      <c r="I53" s="2">
        <v>-73.404799999999994</v>
      </c>
      <c r="J53" t="s">
        <v>29</v>
      </c>
      <c r="K53" t="s">
        <v>1204</v>
      </c>
      <c r="L53" t="s">
        <v>1183</v>
      </c>
      <c r="M53" t="s">
        <v>1183</v>
      </c>
      <c r="N53" t="s">
        <v>1224</v>
      </c>
      <c r="O53" t="s">
        <v>1226</v>
      </c>
      <c r="P53" t="s">
        <v>212</v>
      </c>
      <c r="Q53" t="s">
        <v>404</v>
      </c>
      <c r="R53" t="s">
        <v>1183</v>
      </c>
      <c r="S53">
        <f>87*0.3048</f>
        <v>26.517600000000002</v>
      </c>
      <c r="T53" s="6" t="s">
        <v>318</v>
      </c>
      <c r="U53" s="1" t="s">
        <v>319</v>
      </c>
    </row>
    <row r="54" spans="1:21" x14ac:dyDescent="0.3">
      <c r="A54">
        <v>53</v>
      </c>
      <c r="B54" s="8" t="s">
        <v>120</v>
      </c>
      <c r="C54" t="s">
        <v>121</v>
      </c>
      <c r="D54" t="s">
        <v>6</v>
      </c>
      <c r="E54">
        <v>1945</v>
      </c>
      <c r="F54" t="s">
        <v>1183</v>
      </c>
      <c r="G54" t="s">
        <v>1183</v>
      </c>
      <c r="H54" s="2">
        <v>45.857100000000003</v>
      </c>
      <c r="I54" s="2">
        <v>-73.404300000000006</v>
      </c>
      <c r="J54" t="s">
        <v>29</v>
      </c>
      <c r="K54" t="s">
        <v>1204</v>
      </c>
      <c r="L54" t="s">
        <v>1183</v>
      </c>
      <c r="M54" t="s">
        <v>1183</v>
      </c>
      <c r="N54" t="s">
        <v>1225</v>
      </c>
      <c r="O54" t="s">
        <v>1227</v>
      </c>
      <c r="P54" t="s">
        <v>212</v>
      </c>
      <c r="Q54" t="s">
        <v>404</v>
      </c>
      <c r="R54" t="s">
        <v>1183</v>
      </c>
      <c r="S54">
        <f>87*0.3048</f>
        <v>26.517600000000002</v>
      </c>
      <c r="T54" s="6" t="s">
        <v>320</v>
      </c>
      <c r="U54" s="1" t="s">
        <v>321</v>
      </c>
    </row>
    <row r="55" spans="1:21" x14ac:dyDescent="0.3">
      <c r="A55">
        <v>54</v>
      </c>
      <c r="B55" s="8" t="s">
        <v>122</v>
      </c>
      <c r="C55" t="s">
        <v>123</v>
      </c>
      <c r="D55" t="s">
        <v>6</v>
      </c>
      <c r="E55">
        <v>1899</v>
      </c>
      <c r="F55" t="s">
        <v>1183</v>
      </c>
      <c r="G55" t="s">
        <v>1183</v>
      </c>
      <c r="H55" s="2">
        <v>48.829222221999999</v>
      </c>
      <c r="I55" s="2">
        <v>-64.853499999999997</v>
      </c>
      <c r="J55" t="s">
        <v>124</v>
      </c>
      <c r="K55" t="s">
        <v>1228</v>
      </c>
      <c r="L55" t="s">
        <v>1163</v>
      </c>
      <c r="M55">
        <f>815*0.3048</f>
        <v>248.41200000000001</v>
      </c>
      <c r="N55" t="s">
        <v>1229</v>
      </c>
      <c r="O55" t="s">
        <v>1230</v>
      </c>
      <c r="P55" t="s">
        <v>218</v>
      </c>
      <c r="Q55" t="s">
        <v>404</v>
      </c>
      <c r="R55">
        <f>350*0.3048</f>
        <v>106.68</v>
      </c>
      <c r="S55">
        <f>1582*0.3048</f>
        <v>482.1936</v>
      </c>
      <c r="T55" s="6" t="s">
        <v>322</v>
      </c>
      <c r="U55" s="5" t="s">
        <v>323</v>
      </c>
    </row>
    <row r="56" spans="1:21" x14ac:dyDescent="0.3">
      <c r="A56">
        <v>55</v>
      </c>
      <c r="B56" t="s">
        <v>125</v>
      </c>
      <c r="C56" t="s">
        <v>126</v>
      </c>
      <c r="D56" t="s">
        <v>6</v>
      </c>
      <c r="E56">
        <v>1899</v>
      </c>
      <c r="F56" t="s">
        <v>1183</v>
      </c>
      <c r="G56" t="s">
        <v>1183</v>
      </c>
      <c r="H56" s="2">
        <v>48.845950000000002</v>
      </c>
      <c r="I56" s="2">
        <v>-64.646100000000004</v>
      </c>
      <c r="J56" t="s">
        <v>124</v>
      </c>
      <c r="K56" t="s">
        <v>1228</v>
      </c>
      <c r="L56" t="s">
        <v>1163</v>
      </c>
      <c r="M56">
        <f>826*0.3048</f>
        <v>251.76480000000001</v>
      </c>
      <c r="N56" t="s">
        <v>1231</v>
      </c>
      <c r="O56" t="s">
        <v>1230</v>
      </c>
      <c r="P56" t="s">
        <v>218</v>
      </c>
      <c r="Q56" t="s">
        <v>404</v>
      </c>
      <c r="R56">
        <f>200*0.3048</f>
        <v>60.96</v>
      </c>
      <c r="S56">
        <f>2438*0.3048</f>
        <v>743.10239999999999</v>
      </c>
      <c r="T56" s="5" t="s">
        <v>324</v>
      </c>
      <c r="U56" s="5" t="s">
        <v>325</v>
      </c>
    </row>
    <row r="57" spans="1:21" x14ac:dyDescent="0.3">
      <c r="A57">
        <v>56</v>
      </c>
      <c r="B57" s="8" t="s">
        <v>127</v>
      </c>
      <c r="C57" t="s">
        <v>128</v>
      </c>
      <c r="D57" t="s">
        <v>6</v>
      </c>
      <c r="E57">
        <v>1899</v>
      </c>
      <c r="F57" t="s">
        <v>1183</v>
      </c>
      <c r="G57" t="s">
        <v>1183</v>
      </c>
      <c r="H57" s="2">
        <v>48.829220278000001</v>
      </c>
      <c r="I57" s="2">
        <v>-64.851560000000006</v>
      </c>
      <c r="J57" t="s">
        <v>124</v>
      </c>
      <c r="K57" t="s">
        <v>1228</v>
      </c>
      <c r="L57" t="s">
        <v>1163</v>
      </c>
      <c r="M57">
        <f>800*0.3048</f>
        <v>243.84</v>
      </c>
      <c r="N57" t="s">
        <v>1232</v>
      </c>
      <c r="O57" t="s">
        <v>1230</v>
      </c>
      <c r="P57" t="s">
        <v>220</v>
      </c>
      <c r="Q57" t="s">
        <v>404</v>
      </c>
      <c r="R57">
        <f>360*0.3048</f>
        <v>109.72800000000001</v>
      </c>
      <c r="S57">
        <f>2100*0.3048</f>
        <v>640.08000000000004</v>
      </c>
      <c r="T57" s="6" t="s">
        <v>326</v>
      </c>
      <c r="U57" s="5" t="s">
        <v>327</v>
      </c>
    </row>
    <row r="58" spans="1:21" x14ac:dyDescent="0.3">
      <c r="A58">
        <v>57</v>
      </c>
      <c r="B58" s="8" t="s">
        <v>129</v>
      </c>
      <c r="C58" t="s">
        <v>130</v>
      </c>
      <c r="D58" t="s">
        <v>6</v>
      </c>
      <c r="E58">
        <v>1900</v>
      </c>
      <c r="F58" t="s">
        <v>1183</v>
      </c>
      <c r="G58" t="s">
        <v>1183</v>
      </c>
      <c r="H58" s="2">
        <v>48.826442499999999</v>
      </c>
      <c r="I58" s="2">
        <v>-64.851004166999999</v>
      </c>
      <c r="J58" t="s">
        <v>124</v>
      </c>
      <c r="K58" t="s">
        <v>1228</v>
      </c>
      <c r="L58" t="s">
        <v>1163</v>
      </c>
      <c r="M58">
        <f>32*0.3048</f>
        <v>9.7536000000000005</v>
      </c>
      <c r="N58" t="s">
        <v>1233</v>
      </c>
      <c r="O58" t="s">
        <v>1230</v>
      </c>
      <c r="P58" t="s">
        <v>329</v>
      </c>
      <c r="Q58" t="s">
        <v>404</v>
      </c>
      <c r="R58">
        <f>285*0.3048</f>
        <v>86.868000000000009</v>
      </c>
      <c r="S58">
        <f>2200*0.3048</f>
        <v>670.56000000000006</v>
      </c>
      <c r="T58" s="6" t="s">
        <v>328</v>
      </c>
      <c r="U58" s="5" t="s">
        <v>330</v>
      </c>
    </row>
    <row r="59" spans="1:21" x14ac:dyDescent="0.3">
      <c r="A59">
        <v>58</v>
      </c>
      <c r="B59" t="s">
        <v>131</v>
      </c>
      <c r="C59" t="s">
        <v>132</v>
      </c>
      <c r="D59" t="s">
        <v>6</v>
      </c>
      <c r="E59">
        <v>1865</v>
      </c>
      <c r="F59" t="s">
        <v>1183</v>
      </c>
      <c r="G59">
        <v>1999</v>
      </c>
      <c r="H59" s="2">
        <v>48.811300000000003</v>
      </c>
      <c r="I59" s="2">
        <v>-64.442599999999999</v>
      </c>
      <c r="J59" t="s">
        <v>124</v>
      </c>
      <c r="K59" t="s">
        <v>1228</v>
      </c>
      <c r="L59" t="s">
        <v>1163</v>
      </c>
      <c r="M59">
        <f>268*0.3048</f>
        <v>81.686400000000006</v>
      </c>
      <c r="N59" t="s">
        <v>1234</v>
      </c>
      <c r="O59" t="s">
        <v>1235</v>
      </c>
      <c r="P59" t="s">
        <v>218</v>
      </c>
      <c r="Q59" t="s">
        <v>213</v>
      </c>
      <c r="R59">
        <f>335*0.3048</f>
        <v>102.108</v>
      </c>
      <c r="S59">
        <f>821*0.3048</f>
        <v>250.24080000000001</v>
      </c>
      <c r="T59" s="5" t="s">
        <v>331</v>
      </c>
      <c r="U59" s="5" t="s">
        <v>332</v>
      </c>
    </row>
    <row r="60" spans="1:21" x14ac:dyDescent="0.3">
      <c r="A60">
        <v>59</v>
      </c>
      <c r="B60" t="s">
        <v>133</v>
      </c>
      <c r="C60" t="s">
        <v>134</v>
      </c>
      <c r="D60" t="s">
        <v>6</v>
      </c>
      <c r="E60">
        <v>1890</v>
      </c>
      <c r="F60" t="s">
        <v>1183</v>
      </c>
      <c r="G60">
        <v>1999</v>
      </c>
      <c r="H60" s="2">
        <v>48.816389000000001</v>
      </c>
      <c r="I60" s="2">
        <v>-64.441500000000005</v>
      </c>
      <c r="J60" t="s">
        <v>124</v>
      </c>
      <c r="K60" t="s">
        <v>1228</v>
      </c>
      <c r="L60" t="s">
        <v>1163</v>
      </c>
      <c r="M60">
        <f>105*0.3048</f>
        <v>32.004000000000005</v>
      </c>
      <c r="N60" t="s">
        <v>1234</v>
      </c>
      <c r="O60" t="s">
        <v>1236</v>
      </c>
      <c r="P60" t="s">
        <v>218</v>
      </c>
      <c r="Q60" t="s">
        <v>213</v>
      </c>
      <c r="R60">
        <v>61</v>
      </c>
      <c r="S60">
        <v>787</v>
      </c>
      <c r="T60" s="5" t="s">
        <v>333</v>
      </c>
      <c r="U60" s="5" t="s">
        <v>334</v>
      </c>
    </row>
    <row r="61" spans="1:21" x14ac:dyDescent="0.3">
      <c r="A61">
        <v>60</v>
      </c>
      <c r="B61" t="s">
        <v>135</v>
      </c>
      <c r="C61" t="s">
        <v>136</v>
      </c>
      <c r="D61" t="s">
        <v>6</v>
      </c>
      <c r="E61">
        <v>1890</v>
      </c>
      <c r="F61" t="s">
        <v>1183</v>
      </c>
      <c r="G61">
        <v>1891</v>
      </c>
      <c r="H61" s="2">
        <v>48.735799999999998</v>
      </c>
      <c r="I61" s="2">
        <v>-64.3309</v>
      </c>
      <c r="J61" t="s">
        <v>124</v>
      </c>
      <c r="K61" t="s">
        <v>1228</v>
      </c>
      <c r="L61" t="s">
        <v>1163</v>
      </c>
      <c r="M61" t="s">
        <v>1183</v>
      </c>
      <c r="N61" t="s">
        <v>1234</v>
      </c>
      <c r="O61" t="s">
        <v>1236</v>
      </c>
      <c r="P61" t="s">
        <v>329</v>
      </c>
      <c r="Q61" t="s">
        <v>404</v>
      </c>
      <c r="R61">
        <f>160*0.3048</f>
        <v>48.768000000000001</v>
      </c>
      <c r="S61">
        <f>2970*0.3048</f>
        <v>905.25600000000009</v>
      </c>
      <c r="T61" s="5" t="s">
        <v>335</v>
      </c>
      <c r="U61" s="5" t="s">
        <v>336</v>
      </c>
    </row>
    <row r="62" spans="1:21" x14ac:dyDescent="0.3">
      <c r="A62">
        <v>61</v>
      </c>
      <c r="B62" t="s">
        <v>137</v>
      </c>
      <c r="C62" t="s">
        <v>138</v>
      </c>
      <c r="D62" t="s">
        <v>6</v>
      </c>
      <c r="E62">
        <v>1891</v>
      </c>
      <c r="F62" t="s">
        <v>1183</v>
      </c>
      <c r="G62">
        <v>1893</v>
      </c>
      <c r="H62" s="2">
        <v>48.842889999999997</v>
      </c>
      <c r="I62" s="2">
        <v>-64.635720000000006</v>
      </c>
      <c r="J62" t="s">
        <v>124</v>
      </c>
      <c r="K62" t="s">
        <v>1228</v>
      </c>
      <c r="L62" t="s">
        <v>1163</v>
      </c>
      <c r="M62">
        <f>28*0.3048</f>
        <v>8.5343999999999998</v>
      </c>
      <c r="N62" t="s">
        <v>1182</v>
      </c>
      <c r="O62" t="s">
        <v>1236</v>
      </c>
      <c r="P62" t="s">
        <v>329</v>
      </c>
      <c r="Q62" t="s">
        <v>404</v>
      </c>
      <c r="R62">
        <f>61*0.3048</f>
        <v>18.5928</v>
      </c>
      <c r="S62">
        <f>2640*0.3048</f>
        <v>804.67200000000003</v>
      </c>
      <c r="T62" s="5" t="s">
        <v>337</v>
      </c>
      <c r="U62" s="5" t="s">
        <v>338</v>
      </c>
    </row>
    <row r="63" spans="1:21" x14ac:dyDescent="0.3">
      <c r="A63">
        <v>62</v>
      </c>
      <c r="B63" s="8" t="s">
        <v>139</v>
      </c>
      <c r="C63" t="s">
        <v>140</v>
      </c>
      <c r="D63" t="s">
        <v>6</v>
      </c>
      <c r="E63">
        <v>1892</v>
      </c>
      <c r="F63" t="s">
        <v>1183</v>
      </c>
      <c r="G63">
        <v>1895</v>
      </c>
      <c r="H63" s="2">
        <v>48.826349999999998</v>
      </c>
      <c r="I63" s="2">
        <v>-64.747919999999993</v>
      </c>
      <c r="J63" t="s">
        <v>124</v>
      </c>
      <c r="K63" t="s">
        <v>1228</v>
      </c>
      <c r="L63" t="s">
        <v>1163</v>
      </c>
      <c r="M63">
        <f>710*0.3048</f>
        <v>216.40800000000002</v>
      </c>
      <c r="N63" t="s">
        <v>1234</v>
      </c>
      <c r="O63" t="s">
        <v>1236</v>
      </c>
      <c r="P63" t="s">
        <v>329</v>
      </c>
      <c r="Q63" t="s">
        <v>404</v>
      </c>
      <c r="R63">
        <f>135*0.3048</f>
        <v>41.148000000000003</v>
      </c>
      <c r="S63">
        <f>3640*0.3048</f>
        <v>1109.472</v>
      </c>
      <c r="T63" s="6" t="s">
        <v>339</v>
      </c>
      <c r="U63" s="5" t="s">
        <v>340</v>
      </c>
    </row>
    <row r="64" spans="1:21" x14ac:dyDescent="0.3">
      <c r="A64">
        <v>63</v>
      </c>
      <c r="B64" s="8" t="s">
        <v>141</v>
      </c>
      <c r="C64" t="s">
        <v>142</v>
      </c>
      <c r="D64" t="s">
        <v>6</v>
      </c>
      <c r="E64">
        <v>1892</v>
      </c>
      <c r="F64" t="s">
        <v>1183</v>
      </c>
      <c r="G64">
        <v>1894</v>
      </c>
      <c r="H64" s="2">
        <v>48.842469999999999</v>
      </c>
      <c r="I64" s="2">
        <v>-64.644030000000001</v>
      </c>
      <c r="J64" t="s">
        <v>124</v>
      </c>
      <c r="K64" t="s">
        <v>1228</v>
      </c>
      <c r="L64" t="s">
        <v>1163</v>
      </c>
      <c r="M64" t="s">
        <v>1183</v>
      </c>
      <c r="N64" t="s">
        <v>1164</v>
      </c>
      <c r="O64" t="s">
        <v>1236</v>
      </c>
      <c r="P64" t="s">
        <v>218</v>
      </c>
      <c r="Q64" t="s">
        <v>404</v>
      </c>
      <c r="R64">
        <f>40*0.3048</f>
        <v>12.192</v>
      </c>
      <c r="S64">
        <f>2867*0.3048</f>
        <v>873.86160000000007</v>
      </c>
      <c r="T64" s="6" t="s">
        <v>341</v>
      </c>
      <c r="U64" s="5" t="s">
        <v>342</v>
      </c>
    </row>
    <row r="65" spans="1:21" x14ac:dyDescent="0.3">
      <c r="A65">
        <v>64</v>
      </c>
      <c r="B65" t="s">
        <v>143</v>
      </c>
      <c r="C65" t="s">
        <v>144</v>
      </c>
      <c r="D65" t="s">
        <v>6</v>
      </c>
      <c r="E65">
        <v>1892</v>
      </c>
      <c r="F65" t="s">
        <v>1183</v>
      </c>
      <c r="G65" t="s">
        <v>1183</v>
      </c>
      <c r="H65" s="2">
        <v>48.814799999999998</v>
      </c>
      <c r="I65" s="2">
        <v>-64.442499999999995</v>
      </c>
      <c r="J65" t="s">
        <v>124</v>
      </c>
      <c r="K65" t="s">
        <v>1228</v>
      </c>
      <c r="L65" t="s">
        <v>1163</v>
      </c>
      <c r="M65">
        <f>1470*0.3048</f>
        <v>448.05600000000004</v>
      </c>
      <c r="N65" t="s">
        <v>1237</v>
      </c>
      <c r="O65" t="s">
        <v>1236</v>
      </c>
      <c r="P65" t="s">
        <v>220</v>
      </c>
      <c r="Q65" t="s">
        <v>404</v>
      </c>
      <c r="R65">
        <f>275*0.3048</f>
        <v>83.820000000000007</v>
      </c>
      <c r="S65">
        <f>2650*0.3048</f>
        <v>807.72</v>
      </c>
      <c r="T65" s="5" t="s">
        <v>343</v>
      </c>
      <c r="U65" s="5" t="s">
        <v>344</v>
      </c>
    </row>
    <row r="66" spans="1:21" x14ac:dyDescent="0.3">
      <c r="A66">
        <v>65</v>
      </c>
      <c r="B66" t="s">
        <v>145</v>
      </c>
      <c r="C66" t="s">
        <v>146</v>
      </c>
      <c r="D66" t="s">
        <v>6</v>
      </c>
      <c r="E66">
        <v>1895</v>
      </c>
      <c r="F66" t="s">
        <v>1183</v>
      </c>
      <c r="G66" t="s">
        <v>1183</v>
      </c>
      <c r="H66" s="2">
        <v>48.847430000000003</v>
      </c>
      <c r="I66" s="2">
        <v>-64.628579999999999</v>
      </c>
      <c r="J66" t="s">
        <v>124</v>
      </c>
      <c r="K66" t="s">
        <v>1228</v>
      </c>
      <c r="L66" t="s">
        <v>1163</v>
      </c>
      <c r="M66" t="s">
        <v>1183</v>
      </c>
      <c r="N66" t="s">
        <v>1234</v>
      </c>
      <c r="O66" t="s">
        <v>1236</v>
      </c>
      <c r="P66" t="s">
        <v>218</v>
      </c>
      <c r="Q66" t="s">
        <v>404</v>
      </c>
      <c r="R66">
        <f>80*0.3048</f>
        <v>24.384</v>
      </c>
      <c r="S66">
        <f>1400*0.3048</f>
        <v>426.72</v>
      </c>
      <c r="T66" s="5" t="s">
        <v>345</v>
      </c>
      <c r="U66" s="5" t="s">
        <v>346</v>
      </c>
    </row>
    <row r="67" spans="1:21" x14ac:dyDescent="0.3">
      <c r="A67">
        <v>66</v>
      </c>
      <c r="B67" t="s">
        <v>147</v>
      </c>
      <c r="C67" t="s">
        <v>148</v>
      </c>
      <c r="D67" t="s">
        <v>6</v>
      </c>
      <c r="E67">
        <v>1893</v>
      </c>
      <c r="F67" t="s">
        <v>1183</v>
      </c>
      <c r="G67">
        <v>1999</v>
      </c>
      <c r="H67" s="2">
        <v>48.844450000000002</v>
      </c>
      <c r="I67" s="2">
        <v>-64.64819</v>
      </c>
      <c r="J67" t="s">
        <v>124</v>
      </c>
      <c r="K67" t="s">
        <v>1228</v>
      </c>
      <c r="L67" t="s">
        <v>1163</v>
      </c>
      <c r="M67">
        <f>40*0.3048</f>
        <v>12.192</v>
      </c>
      <c r="N67" t="s">
        <v>1164</v>
      </c>
      <c r="O67" t="s">
        <v>1236</v>
      </c>
      <c r="P67" t="s">
        <v>218</v>
      </c>
      <c r="Q67" t="s">
        <v>213</v>
      </c>
      <c r="R67">
        <f>175*0.3048</f>
        <v>53.34</v>
      </c>
      <c r="S67">
        <f>2957*0.3048</f>
        <v>901.29360000000008</v>
      </c>
      <c r="T67" s="5" t="s">
        <v>347</v>
      </c>
      <c r="U67" s="5" t="s">
        <v>348</v>
      </c>
    </row>
    <row r="68" spans="1:21" x14ac:dyDescent="0.3">
      <c r="A68">
        <v>67</v>
      </c>
      <c r="B68" s="8" t="s">
        <v>149</v>
      </c>
      <c r="C68" t="s">
        <v>150</v>
      </c>
      <c r="D68" t="s">
        <v>6</v>
      </c>
      <c r="E68">
        <v>1894</v>
      </c>
      <c r="F68" t="s">
        <v>1183</v>
      </c>
      <c r="G68" t="s">
        <v>1183</v>
      </c>
      <c r="H68" s="2">
        <v>48.84281</v>
      </c>
      <c r="I68" s="2">
        <v>-64.640060000000005</v>
      </c>
      <c r="J68" t="s">
        <v>124</v>
      </c>
      <c r="K68" t="s">
        <v>1228</v>
      </c>
      <c r="L68" t="s">
        <v>1163</v>
      </c>
      <c r="M68">
        <f>760*0.3048</f>
        <v>231.64800000000002</v>
      </c>
      <c r="N68" t="s">
        <v>1237</v>
      </c>
      <c r="O68" t="s">
        <v>1236</v>
      </c>
      <c r="P68" t="s">
        <v>218</v>
      </c>
      <c r="Q68" t="s">
        <v>404</v>
      </c>
      <c r="R68">
        <f>150*0.3048</f>
        <v>45.72</v>
      </c>
      <c r="S68">
        <f>2050*0.3048</f>
        <v>624.84</v>
      </c>
      <c r="T68" s="6" t="s">
        <v>349</v>
      </c>
      <c r="U68" s="5" t="s">
        <v>350</v>
      </c>
    </row>
    <row r="69" spans="1:21" x14ac:dyDescent="0.3">
      <c r="A69">
        <v>68</v>
      </c>
      <c r="B69" t="s">
        <v>151</v>
      </c>
      <c r="C69" t="s">
        <v>152</v>
      </c>
      <c r="D69" t="s">
        <v>6</v>
      </c>
      <c r="E69">
        <v>1894</v>
      </c>
      <c r="F69" t="s">
        <v>1183</v>
      </c>
      <c r="G69" t="s">
        <v>1183</v>
      </c>
      <c r="H69" s="2">
        <v>48.839454000000003</v>
      </c>
      <c r="I69" s="2">
        <v>-64.723203999999996</v>
      </c>
      <c r="J69" t="s">
        <v>124</v>
      </c>
      <c r="K69" t="s">
        <v>1228</v>
      </c>
      <c r="L69" t="s">
        <v>1163</v>
      </c>
      <c r="M69">
        <f>814*0.3048</f>
        <v>248.10720000000001</v>
      </c>
      <c r="N69" t="s">
        <v>1238</v>
      </c>
      <c r="O69" t="s">
        <v>1236</v>
      </c>
      <c r="P69" t="s">
        <v>329</v>
      </c>
      <c r="Q69" t="s">
        <v>404</v>
      </c>
      <c r="R69">
        <f>411*0.3048</f>
        <v>125.2728</v>
      </c>
      <c r="S69">
        <f>2925*0.3048</f>
        <v>891.54000000000008</v>
      </c>
      <c r="T69" s="5" t="s">
        <v>351</v>
      </c>
      <c r="U69" s="5" t="s">
        <v>352</v>
      </c>
    </row>
    <row r="70" spans="1:21" x14ac:dyDescent="0.3">
      <c r="A70">
        <v>69</v>
      </c>
      <c r="B70" t="s">
        <v>153</v>
      </c>
      <c r="C70" t="s">
        <v>154</v>
      </c>
      <c r="D70" t="s">
        <v>6</v>
      </c>
      <c r="E70">
        <v>1896</v>
      </c>
      <c r="F70" t="s">
        <v>1183</v>
      </c>
      <c r="G70">
        <v>1999</v>
      </c>
      <c r="H70" s="2">
        <v>48.835715</v>
      </c>
      <c r="I70" s="2">
        <v>-64.868363000000002</v>
      </c>
      <c r="J70" t="s">
        <v>124</v>
      </c>
      <c r="K70" t="s">
        <v>1228</v>
      </c>
      <c r="L70" t="s">
        <v>1163</v>
      </c>
      <c r="M70">
        <f>605*0.3048</f>
        <v>184.404</v>
      </c>
      <c r="N70" t="s">
        <v>1238</v>
      </c>
      <c r="O70" t="s">
        <v>1236</v>
      </c>
      <c r="P70" t="s">
        <v>218</v>
      </c>
      <c r="Q70" t="s">
        <v>213</v>
      </c>
      <c r="R70">
        <f>503*0.3048</f>
        <v>153.31440000000001</v>
      </c>
      <c r="S70">
        <f>2173*0.3048</f>
        <v>662.33040000000005</v>
      </c>
      <c r="T70" s="5" t="s">
        <v>353</v>
      </c>
      <c r="U70" s="5" t="s">
        <v>354</v>
      </c>
    </row>
    <row r="71" spans="1:21" x14ac:dyDescent="0.3">
      <c r="A71">
        <v>70</v>
      </c>
      <c r="B71" s="10" t="s">
        <v>155</v>
      </c>
      <c r="C71" t="s">
        <v>156</v>
      </c>
      <c r="D71" t="s">
        <v>6</v>
      </c>
      <c r="E71">
        <v>1896</v>
      </c>
      <c r="F71" t="s">
        <v>1183</v>
      </c>
      <c r="G71" t="s">
        <v>1183</v>
      </c>
      <c r="H71" s="2">
        <v>48.842199999999998</v>
      </c>
      <c r="I71" s="2">
        <v>-65.875299999999996</v>
      </c>
      <c r="J71" t="s">
        <v>124</v>
      </c>
      <c r="K71" t="s">
        <v>1228</v>
      </c>
      <c r="L71" t="s">
        <v>1163</v>
      </c>
      <c r="M71">
        <f>681*0.3048</f>
        <v>207.56880000000001</v>
      </c>
      <c r="N71" t="s">
        <v>1238</v>
      </c>
      <c r="O71" t="s">
        <v>1236</v>
      </c>
      <c r="P71" t="s">
        <v>218</v>
      </c>
      <c r="Q71" t="s">
        <v>404</v>
      </c>
      <c r="R71">
        <f>860*0.3048</f>
        <v>262.12799999999999</v>
      </c>
      <c r="S71">
        <f>1887*0.3048</f>
        <v>575.1576</v>
      </c>
      <c r="T71" s="5" t="s">
        <v>355</v>
      </c>
      <c r="U71" s="5" t="s">
        <v>356</v>
      </c>
    </row>
    <row r="72" spans="1:21" x14ac:dyDescent="0.3">
      <c r="A72">
        <v>71</v>
      </c>
      <c r="B72" s="8" t="s">
        <v>157</v>
      </c>
      <c r="C72" t="s">
        <v>158</v>
      </c>
      <c r="D72" t="s">
        <v>6</v>
      </c>
      <c r="E72">
        <v>1896</v>
      </c>
      <c r="F72" t="s">
        <v>1183</v>
      </c>
      <c r="G72" t="s">
        <v>1183</v>
      </c>
      <c r="H72" s="2">
        <v>48.869509999999998</v>
      </c>
      <c r="I72" s="2">
        <v>-64.702610000000007</v>
      </c>
      <c r="J72" t="s">
        <v>124</v>
      </c>
      <c r="K72" t="s">
        <v>1228</v>
      </c>
      <c r="L72" t="s">
        <v>1163</v>
      </c>
      <c r="M72">
        <f>739*0.3048</f>
        <v>225.24720000000002</v>
      </c>
      <c r="N72" t="s">
        <v>1238</v>
      </c>
      <c r="O72" t="s">
        <v>1236</v>
      </c>
      <c r="P72" t="s">
        <v>218</v>
      </c>
      <c r="Q72" t="s">
        <v>404</v>
      </c>
      <c r="R72">
        <f>1095*0.3048</f>
        <v>333.75600000000003</v>
      </c>
      <c r="S72">
        <f>3130*0.3048</f>
        <v>954.024</v>
      </c>
      <c r="T72" s="6" t="s">
        <v>357</v>
      </c>
      <c r="U72" s="5" t="s">
        <v>358</v>
      </c>
    </row>
    <row r="73" spans="1:21" x14ac:dyDescent="0.3">
      <c r="A73">
        <v>72</v>
      </c>
      <c r="B73" s="8" t="s">
        <v>159</v>
      </c>
      <c r="C73" t="s">
        <v>160</v>
      </c>
      <c r="D73" t="s">
        <v>6</v>
      </c>
      <c r="E73">
        <v>1896</v>
      </c>
      <c r="F73" t="s">
        <v>1183</v>
      </c>
      <c r="G73" t="s">
        <v>1183</v>
      </c>
      <c r="H73" s="2">
        <v>48.76202</v>
      </c>
      <c r="I73" s="2">
        <v>-64.537289999999999</v>
      </c>
      <c r="J73" t="s">
        <v>124</v>
      </c>
      <c r="K73" t="s">
        <v>1228</v>
      </c>
      <c r="L73" t="s">
        <v>1163</v>
      </c>
      <c r="M73">
        <f>1698.5*0.3048</f>
        <v>517.70280000000002</v>
      </c>
      <c r="N73" t="s">
        <v>1238</v>
      </c>
      <c r="O73" t="s">
        <v>1236</v>
      </c>
      <c r="P73" t="s">
        <v>329</v>
      </c>
      <c r="Q73" t="s">
        <v>404</v>
      </c>
      <c r="R73">
        <f>143*0.3048</f>
        <v>43.586400000000005</v>
      </c>
      <c r="S73">
        <f>1795*0.3048</f>
        <v>547.11599999999999</v>
      </c>
      <c r="T73" s="6" t="s">
        <v>359</v>
      </c>
      <c r="U73" s="5" t="s">
        <v>360</v>
      </c>
    </row>
    <row r="74" spans="1:21" x14ac:dyDescent="0.3">
      <c r="A74">
        <v>73</v>
      </c>
      <c r="B74" t="s">
        <v>161</v>
      </c>
      <c r="C74" t="s">
        <v>162</v>
      </c>
      <c r="D74" t="s">
        <v>6</v>
      </c>
      <c r="E74">
        <v>1896</v>
      </c>
      <c r="F74" t="s">
        <v>1183</v>
      </c>
      <c r="G74" t="s">
        <v>1183</v>
      </c>
      <c r="H74" s="2">
        <v>48.761569999999999</v>
      </c>
      <c r="I74" s="2">
        <v>-64.564350000000005</v>
      </c>
      <c r="J74" t="s">
        <v>124</v>
      </c>
      <c r="K74" t="s">
        <v>1228</v>
      </c>
      <c r="L74" t="s">
        <v>1163</v>
      </c>
      <c r="M74">
        <f>480*0.3048</f>
        <v>146.304</v>
      </c>
      <c r="N74" t="s">
        <v>1182</v>
      </c>
      <c r="O74" t="s">
        <v>1236</v>
      </c>
      <c r="P74" t="s">
        <v>220</v>
      </c>
      <c r="Q74" t="s">
        <v>404</v>
      </c>
      <c r="R74">
        <f>350*0.3048</f>
        <v>106.68</v>
      </c>
      <c r="S74">
        <f>1230*0.3048</f>
        <v>374.904</v>
      </c>
      <c r="T74" s="5" t="s">
        <v>361</v>
      </c>
      <c r="U74" s="5" t="s">
        <v>362</v>
      </c>
    </row>
    <row r="75" spans="1:21" x14ac:dyDescent="0.3">
      <c r="A75">
        <v>74</v>
      </c>
      <c r="B75" s="8" t="s">
        <v>163</v>
      </c>
      <c r="C75" t="s">
        <v>164</v>
      </c>
      <c r="D75" t="s">
        <v>6</v>
      </c>
      <c r="E75">
        <v>1898</v>
      </c>
      <c r="F75" t="s">
        <v>1183</v>
      </c>
      <c r="G75" t="s">
        <v>1183</v>
      </c>
      <c r="H75" s="2">
        <v>48.822000000000003</v>
      </c>
      <c r="I75" s="2">
        <v>-64.861277778000002</v>
      </c>
      <c r="J75" t="s">
        <v>124</v>
      </c>
      <c r="K75" t="s">
        <v>1228</v>
      </c>
      <c r="L75" t="s">
        <v>1163</v>
      </c>
      <c r="M75">
        <f>994*0.3048</f>
        <v>302.97120000000001</v>
      </c>
      <c r="N75" t="s">
        <v>1238</v>
      </c>
      <c r="O75" t="s">
        <v>1236</v>
      </c>
      <c r="P75" t="s">
        <v>329</v>
      </c>
      <c r="Q75" t="s">
        <v>404</v>
      </c>
      <c r="R75">
        <f>270*0.3048</f>
        <v>82.296000000000006</v>
      </c>
      <c r="S75">
        <f>2815*0.3048</f>
        <v>858.01200000000006</v>
      </c>
      <c r="T75" s="6" t="s">
        <v>363</v>
      </c>
      <c r="U75" s="5" t="s">
        <v>364</v>
      </c>
    </row>
    <row r="76" spans="1:21" x14ac:dyDescent="0.3">
      <c r="A76">
        <v>75</v>
      </c>
      <c r="B76" s="8" t="s">
        <v>165</v>
      </c>
      <c r="C76" t="s">
        <v>166</v>
      </c>
      <c r="D76" t="s">
        <v>6</v>
      </c>
      <c r="E76">
        <v>1901</v>
      </c>
      <c r="F76" t="s">
        <v>1183</v>
      </c>
      <c r="G76" t="s">
        <v>1183</v>
      </c>
      <c r="H76" s="2">
        <v>48.863149999999997</v>
      </c>
      <c r="I76" s="2">
        <v>-64.64913</v>
      </c>
      <c r="J76" t="s">
        <v>124</v>
      </c>
      <c r="K76" t="s">
        <v>1228</v>
      </c>
      <c r="L76" t="s">
        <v>1163</v>
      </c>
      <c r="M76">
        <f>1185*0.3048</f>
        <v>361.18800000000005</v>
      </c>
      <c r="N76" t="s">
        <v>1237</v>
      </c>
      <c r="O76" t="s">
        <v>1236</v>
      </c>
      <c r="P76" t="s">
        <v>220</v>
      </c>
      <c r="Q76" t="s">
        <v>404</v>
      </c>
      <c r="R76">
        <f>750*0.3048</f>
        <v>228.60000000000002</v>
      </c>
      <c r="S76">
        <f>1955*0.3048</f>
        <v>595.88400000000001</v>
      </c>
      <c r="T76" s="6" t="s">
        <v>365</v>
      </c>
      <c r="U76" s="5" t="s">
        <v>366</v>
      </c>
    </row>
    <row r="77" spans="1:21" x14ac:dyDescent="0.3">
      <c r="A77">
        <v>76</v>
      </c>
      <c r="B77" s="8" t="s">
        <v>167</v>
      </c>
      <c r="C77" t="s">
        <v>168</v>
      </c>
      <c r="D77" t="s">
        <v>6</v>
      </c>
      <c r="E77">
        <v>1901</v>
      </c>
      <c r="F77" t="s">
        <v>1183</v>
      </c>
      <c r="G77" t="s">
        <v>1183</v>
      </c>
      <c r="H77" s="2">
        <v>48.863999999999997</v>
      </c>
      <c r="I77" s="2">
        <v>-64.714929999999995</v>
      </c>
      <c r="J77" t="s">
        <v>124</v>
      </c>
      <c r="K77" t="s">
        <v>1228</v>
      </c>
      <c r="L77" t="s">
        <v>1163</v>
      </c>
      <c r="M77">
        <f>912*0.3048</f>
        <v>277.9776</v>
      </c>
      <c r="N77" t="s">
        <v>1237</v>
      </c>
      <c r="O77" t="s">
        <v>1236</v>
      </c>
      <c r="P77" t="s">
        <v>218</v>
      </c>
      <c r="Q77" t="s">
        <v>404</v>
      </c>
      <c r="R77">
        <f>900*0.3048</f>
        <v>274.32</v>
      </c>
      <c r="S77">
        <f>2600*0.3048</f>
        <v>792.48</v>
      </c>
      <c r="T77" s="6" t="s">
        <v>367</v>
      </c>
      <c r="U77" s="5" t="s">
        <v>368</v>
      </c>
    </row>
    <row r="78" spans="1:21" x14ac:dyDescent="0.3">
      <c r="A78">
        <v>77</v>
      </c>
      <c r="B78" t="s">
        <v>169</v>
      </c>
      <c r="C78" t="s">
        <v>170</v>
      </c>
      <c r="D78" t="s">
        <v>6</v>
      </c>
      <c r="E78">
        <v>1901</v>
      </c>
      <c r="F78" t="s">
        <v>1183</v>
      </c>
      <c r="G78" t="s">
        <v>1183</v>
      </c>
      <c r="H78" s="2">
        <v>48.858890000000002</v>
      </c>
      <c r="I78" s="2">
        <v>-64.703339999999997</v>
      </c>
      <c r="J78" t="s">
        <v>124</v>
      </c>
      <c r="K78" t="s">
        <v>1228</v>
      </c>
      <c r="L78" t="s">
        <v>1163</v>
      </c>
      <c r="M78">
        <f>902*0.3048</f>
        <v>274.92959999999999</v>
      </c>
      <c r="N78" t="s">
        <v>1237</v>
      </c>
      <c r="O78" t="s">
        <v>1236</v>
      </c>
      <c r="P78" t="s">
        <v>329</v>
      </c>
      <c r="Q78" t="s">
        <v>404</v>
      </c>
      <c r="R78">
        <f>877*0.3048</f>
        <v>267.30959999999999</v>
      </c>
      <c r="S78">
        <f>2089*0.3048</f>
        <v>636.72720000000004</v>
      </c>
      <c r="T78" s="6" t="s">
        <v>369</v>
      </c>
      <c r="U78" s="5" t="s">
        <v>370</v>
      </c>
    </row>
    <row r="79" spans="1:21" x14ac:dyDescent="0.3">
      <c r="A79">
        <v>78</v>
      </c>
      <c r="B79" t="s">
        <v>171</v>
      </c>
      <c r="C79" t="s">
        <v>172</v>
      </c>
      <c r="D79" t="s">
        <v>6</v>
      </c>
      <c r="E79">
        <v>1901</v>
      </c>
      <c r="F79" t="s">
        <v>1183</v>
      </c>
      <c r="G79" t="s">
        <v>1183</v>
      </c>
      <c r="H79" s="2">
        <v>48.833359999999999</v>
      </c>
      <c r="I79" s="2">
        <v>-65.013549999999995</v>
      </c>
      <c r="J79" t="s">
        <v>124</v>
      </c>
      <c r="K79" t="s">
        <v>1228</v>
      </c>
      <c r="L79" t="s">
        <v>1163</v>
      </c>
      <c r="M79" t="s">
        <v>1183</v>
      </c>
      <c r="N79" t="s">
        <v>1234</v>
      </c>
      <c r="O79" t="s">
        <v>1236</v>
      </c>
      <c r="P79" t="s">
        <v>220</v>
      </c>
      <c r="Q79" t="s">
        <v>404</v>
      </c>
      <c r="R79">
        <f>827*0.3048</f>
        <v>252.06960000000001</v>
      </c>
      <c r="S79">
        <f>2305*0.3048</f>
        <v>702.56400000000008</v>
      </c>
      <c r="T79" s="5" t="s">
        <v>371</v>
      </c>
      <c r="U79" s="5" t="s">
        <v>372</v>
      </c>
    </row>
    <row r="80" spans="1:21" x14ac:dyDescent="0.3">
      <c r="A80">
        <v>79</v>
      </c>
      <c r="B80" s="8" t="s">
        <v>173</v>
      </c>
      <c r="C80" t="s">
        <v>174</v>
      </c>
      <c r="D80" t="s">
        <v>6</v>
      </c>
      <c r="E80">
        <v>1903</v>
      </c>
      <c r="F80" t="s">
        <v>1183</v>
      </c>
      <c r="G80" t="s">
        <v>1183</v>
      </c>
      <c r="H80" s="2">
        <v>48.843333000000001</v>
      </c>
      <c r="I80" s="2">
        <v>-64.796833000000007</v>
      </c>
      <c r="J80" t="s">
        <v>124</v>
      </c>
      <c r="K80" t="s">
        <v>1228</v>
      </c>
      <c r="L80" t="s">
        <v>1163</v>
      </c>
      <c r="M80">
        <f>55*0.3048</f>
        <v>16.763999999999999</v>
      </c>
      <c r="N80" t="s">
        <v>1239</v>
      </c>
      <c r="O80" t="s">
        <v>1236</v>
      </c>
      <c r="P80" t="s">
        <v>329</v>
      </c>
      <c r="Q80" t="s">
        <v>404</v>
      </c>
      <c r="R80">
        <f>455*0.3048</f>
        <v>138.684</v>
      </c>
      <c r="S80">
        <f>2000*0.3048</f>
        <v>609.6</v>
      </c>
      <c r="T80" t="s">
        <v>220</v>
      </c>
      <c r="U80" s="5" t="s">
        <v>373</v>
      </c>
    </row>
    <row r="81" spans="1:21" x14ac:dyDescent="0.3">
      <c r="A81">
        <v>80</v>
      </c>
      <c r="B81" s="8" t="s">
        <v>175</v>
      </c>
      <c r="C81" t="s">
        <v>176</v>
      </c>
      <c r="D81" t="s">
        <v>6</v>
      </c>
      <c r="E81">
        <v>1984</v>
      </c>
      <c r="F81" t="s">
        <v>1183</v>
      </c>
      <c r="G81">
        <v>1999</v>
      </c>
      <c r="H81" s="2">
        <v>48.841138889</v>
      </c>
      <c r="I81" s="2">
        <v>-64.797083333000003</v>
      </c>
      <c r="J81" t="s">
        <v>124</v>
      </c>
      <c r="K81" t="s">
        <v>1228</v>
      </c>
      <c r="L81" t="s">
        <v>1167</v>
      </c>
      <c r="M81" t="s">
        <v>1183</v>
      </c>
      <c r="N81" t="s">
        <v>1182</v>
      </c>
      <c r="O81" t="s">
        <v>1240</v>
      </c>
      <c r="P81" t="s">
        <v>329</v>
      </c>
      <c r="Q81" t="s">
        <v>213</v>
      </c>
      <c r="R81" t="s">
        <v>1183</v>
      </c>
      <c r="S81">
        <v>76</v>
      </c>
      <c r="T81" s="5" t="s">
        <v>374</v>
      </c>
      <c r="U81" s="5" t="s">
        <v>375</v>
      </c>
    </row>
    <row r="82" spans="1:21" x14ac:dyDescent="0.3">
      <c r="A82">
        <v>81</v>
      </c>
      <c r="B82" t="s">
        <v>177</v>
      </c>
      <c r="C82" t="s">
        <v>178</v>
      </c>
      <c r="D82" t="s">
        <v>6</v>
      </c>
      <c r="E82">
        <v>1984</v>
      </c>
      <c r="F82" t="s">
        <v>1183</v>
      </c>
      <c r="G82" t="s">
        <v>1183</v>
      </c>
      <c r="H82" s="2">
        <v>48.840859999999999</v>
      </c>
      <c r="I82" s="2">
        <v>-64.789330000000007</v>
      </c>
      <c r="J82" t="s">
        <v>124</v>
      </c>
      <c r="K82" t="s">
        <v>1228</v>
      </c>
      <c r="L82" t="s">
        <v>1167</v>
      </c>
      <c r="M82" t="s">
        <v>1183</v>
      </c>
      <c r="N82" t="s">
        <v>1237</v>
      </c>
      <c r="O82" t="s">
        <v>1240</v>
      </c>
      <c r="P82" t="s">
        <v>329</v>
      </c>
      <c r="Q82" t="s">
        <v>404</v>
      </c>
      <c r="R82">
        <v>321</v>
      </c>
      <c r="S82">
        <v>128.59</v>
      </c>
      <c r="T82" s="5" t="s">
        <v>376</v>
      </c>
      <c r="U82" s="5" t="s">
        <v>377</v>
      </c>
    </row>
    <row r="83" spans="1:21" x14ac:dyDescent="0.3">
      <c r="A83">
        <v>82</v>
      </c>
      <c r="B83" s="8" t="s">
        <v>179</v>
      </c>
      <c r="C83" t="s">
        <v>180</v>
      </c>
      <c r="D83" t="s">
        <v>6</v>
      </c>
      <c r="E83">
        <v>1984</v>
      </c>
      <c r="F83" t="s">
        <v>1183</v>
      </c>
      <c r="G83">
        <v>1999</v>
      </c>
      <c r="H83" s="2">
        <v>48.839277778000003</v>
      </c>
      <c r="I83" s="2">
        <v>-64.787972221999993</v>
      </c>
      <c r="J83" t="s">
        <v>124</v>
      </c>
      <c r="K83" t="s">
        <v>1228</v>
      </c>
      <c r="L83" t="s">
        <v>1173</v>
      </c>
      <c r="M83" t="s">
        <v>1183</v>
      </c>
      <c r="N83" t="s">
        <v>1237</v>
      </c>
      <c r="O83" t="s">
        <v>1241</v>
      </c>
      <c r="P83" t="s">
        <v>329</v>
      </c>
      <c r="Q83" t="s">
        <v>213</v>
      </c>
      <c r="R83" t="s">
        <v>1183</v>
      </c>
      <c r="S83">
        <v>85.34</v>
      </c>
      <c r="T83" s="5" t="s">
        <v>378</v>
      </c>
      <c r="U83" s="5" t="s">
        <v>379</v>
      </c>
    </row>
    <row r="84" spans="1:21" x14ac:dyDescent="0.3">
      <c r="A84">
        <v>83</v>
      </c>
      <c r="B84" s="8" t="s">
        <v>181</v>
      </c>
      <c r="C84" t="s">
        <v>182</v>
      </c>
      <c r="D84" t="s">
        <v>6</v>
      </c>
      <c r="E84">
        <v>1984</v>
      </c>
      <c r="F84" t="s">
        <v>1183</v>
      </c>
      <c r="G84" t="s">
        <v>1183</v>
      </c>
      <c r="H84" s="2">
        <v>48.838500000000003</v>
      </c>
      <c r="I84" s="2">
        <v>-64.787833000000006</v>
      </c>
      <c r="J84" t="s">
        <v>124</v>
      </c>
      <c r="K84" t="s">
        <v>1228</v>
      </c>
      <c r="L84" t="s">
        <v>1173</v>
      </c>
      <c r="M84" t="s">
        <v>1183</v>
      </c>
      <c r="N84" t="s">
        <v>1183</v>
      </c>
      <c r="O84" t="s">
        <v>1183</v>
      </c>
      <c r="P84" t="s">
        <v>220</v>
      </c>
      <c r="Q84" t="s">
        <v>404</v>
      </c>
      <c r="R84" t="s">
        <v>1183</v>
      </c>
      <c r="S84">
        <v>190.8</v>
      </c>
      <c r="T84" t="s">
        <v>220</v>
      </c>
      <c r="U84" s="5" t="s">
        <v>380</v>
      </c>
    </row>
    <row r="85" spans="1:21" x14ac:dyDescent="0.3">
      <c r="A85">
        <v>84</v>
      </c>
      <c r="B85" s="8" t="s">
        <v>183</v>
      </c>
      <c r="C85" t="s">
        <v>184</v>
      </c>
      <c r="D85" t="s">
        <v>6</v>
      </c>
      <c r="E85">
        <v>1985</v>
      </c>
      <c r="F85" t="s">
        <v>1183</v>
      </c>
      <c r="G85">
        <v>1999</v>
      </c>
      <c r="H85" s="2">
        <v>48.839416667000002</v>
      </c>
      <c r="I85" s="2">
        <v>-64.793944444000005</v>
      </c>
      <c r="J85" t="s">
        <v>124</v>
      </c>
      <c r="K85" t="s">
        <v>1228</v>
      </c>
      <c r="L85" t="s">
        <v>1173</v>
      </c>
      <c r="M85" t="s">
        <v>1183</v>
      </c>
      <c r="N85" t="s">
        <v>1183</v>
      </c>
      <c r="O85" t="s">
        <v>1242</v>
      </c>
      <c r="P85" t="s">
        <v>218</v>
      </c>
      <c r="Q85" t="s">
        <v>213</v>
      </c>
      <c r="R85" t="s">
        <v>1183</v>
      </c>
      <c r="S85">
        <v>100</v>
      </c>
      <c r="T85" s="5" t="s">
        <v>381</v>
      </c>
      <c r="U85" s="5" t="s">
        <v>382</v>
      </c>
    </row>
    <row r="86" spans="1:21" x14ac:dyDescent="0.3">
      <c r="A86">
        <v>85</v>
      </c>
      <c r="B86" t="s">
        <v>185</v>
      </c>
      <c r="C86" t="s">
        <v>186</v>
      </c>
      <c r="D86" t="s">
        <v>6</v>
      </c>
      <c r="E86">
        <v>2009</v>
      </c>
      <c r="F86" t="s">
        <v>1183</v>
      </c>
      <c r="G86">
        <v>2009</v>
      </c>
      <c r="H86" s="2">
        <v>48.558329999999998</v>
      </c>
      <c r="I86" s="2">
        <v>-65.293229999999994</v>
      </c>
      <c r="J86" t="s">
        <v>124</v>
      </c>
      <c r="K86" t="s">
        <v>1228</v>
      </c>
      <c r="L86" t="s">
        <v>1173</v>
      </c>
      <c r="M86">
        <v>122</v>
      </c>
      <c r="N86" t="s">
        <v>1243</v>
      </c>
      <c r="O86" t="s">
        <v>1244</v>
      </c>
      <c r="P86" t="s">
        <v>212</v>
      </c>
      <c r="Q86" t="s">
        <v>213</v>
      </c>
      <c r="R86">
        <v>412</v>
      </c>
      <c r="S86">
        <v>1625</v>
      </c>
      <c r="T86" s="5" t="s">
        <v>383</v>
      </c>
      <c r="U86" s="5" t="s">
        <v>384</v>
      </c>
    </row>
    <row r="87" spans="1:21" x14ac:dyDescent="0.3">
      <c r="A87">
        <v>86</v>
      </c>
      <c r="B87" t="s">
        <v>187</v>
      </c>
      <c r="C87" s="4" t="s">
        <v>188</v>
      </c>
      <c r="D87" t="s">
        <v>6</v>
      </c>
      <c r="E87">
        <v>1983</v>
      </c>
      <c r="F87">
        <v>1983</v>
      </c>
      <c r="G87">
        <v>1999</v>
      </c>
      <c r="H87" s="2">
        <v>48.841389999999997</v>
      </c>
      <c r="I87" s="2">
        <v>-64.796310000000005</v>
      </c>
      <c r="J87" t="s">
        <v>124</v>
      </c>
      <c r="K87" t="s">
        <v>1228</v>
      </c>
      <c r="L87" t="s">
        <v>1167</v>
      </c>
      <c r="M87" t="s">
        <v>1183</v>
      </c>
      <c r="N87" t="s">
        <v>1245</v>
      </c>
      <c r="O87" t="s">
        <v>1246</v>
      </c>
      <c r="P87" t="s">
        <v>220</v>
      </c>
      <c r="Q87" t="s">
        <v>404</v>
      </c>
      <c r="R87" t="s">
        <v>1183</v>
      </c>
      <c r="S87">
        <v>27.4</v>
      </c>
      <c r="T87" s="5" t="s">
        <v>385</v>
      </c>
      <c r="U87" s="5" t="s">
        <v>386</v>
      </c>
    </row>
    <row r="88" spans="1:21" x14ac:dyDescent="0.3">
      <c r="A88">
        <v>87</v>
      </c>
      <c r="B88" s="8" t="s">
        <v>189</v>
      </c>
      <c r="C88" s="4" t="s">
        <v>190</v>
      </c>
      <c r="D88" t="s">
        <v>6</v>
      </c>
      <c r="E88">
        <v>1983</v>
      </c>
      <c r="F88">
        <v>1983</v>
      </c>
      <c r="G88">
        <v>1999</v>
      </c>
      <c r="H88" s="2">
        <v>48.842248056000003</v>
      </c>
      <c r="I88" s="2">
        <v>-64.792609443999993</v>
      </c>
      <c r="J88" t="s">
        <v>124</v>
      </c>
      <c r="K88" t="s">
        <v>1228</v>
      </c>
      <c r="L88" t="s">
        <v>1167</v>
      </c>
      <c r="M88" t="s">
        <v>1183</v>
      </c>
      <c r="N88" t="s">
        <v>1234</v>
      </c>
      <c r="O88" t="s">
        <v>1246</v>
      </c>
      <c r="P88" t="s">
        <v>220</v>
      </c>
      <c r="Q88" t="s">
        <v>404</v>
      </c>
      <c r="R88" t="s">
        <v>1183</v>
      </c>
      <c r="S88">
        <v>36.4</v>
      </c>
      <c r="T88" s="5" t="s">
        <v>387</v>
      </c>
      <c r="U88" s="5" t="s">
        <v>388</v>
      </c>
    </row>
    <row r="89" spans="1:21" x14ac:dyDescent="0.3">
      <c r="A89">
        <v>88</v>
      </c>
      <c r="B89" s="8" t="s">
        <v>191</v>
      </c>
      <c r="C89" t="s">
        <v>192</v>
      </c>
      <c r="D89" t="s">
        <v>6</v>
      </c>
      <c r="E89">
        <v>1983</v>
      </c>
      <c r="F89">
        <v>1983</v>
      </c>
      <c r="G89">
        <v>1999</v>
      </c>
      <c r="H89" s="2">
        <v>48.839220832999999</v>
      </c>
      <c r="I89" s="2">
        <v>-64.787585555999996</v>
      </c>
      <c r="J89" t="s">
        <v>124</v>
      </c>
      <c r="K89" t="s">
        <v>1228</v>
      </c>
      <c r="L89" t="s">
        <v>1167</v>
      </c>
      <c r="M89" t="s">
        <v>1183</v>
      </c>
      <c r="N89" t="s">
        <v>1237</v>
      </c>
      <c r="O89" t="s">
        <v>1246</v>
      </c>
      <c r="P89" t="s">
        <v>220</v>
      </c>
      <c r="Q89" t="s">
        <v>213</v>
      </c>
      <c r="R89" t="s">
        <v>1183</v>
      </c>
      <c r="S89">
        <v>31.7</v>
      </c>
      <c r="T89" s="5" t="s">
        <v>389</v>
      </c>
      <c r="U89" s="5" t="s">
        <v>390</v>
      </c>
    </row>
    <row r="90" spans="1:21" x14ac:dyDescent="0.3">
      <c r="A90">
        <v>89</v>
      </c>
      <c r="B90" s="8" t="s">
        <v>193</v>
      </c>
      <c r="C90" t="s">
        <v>194</v>
      </c>
      <c r="D90" t="s">
        <v>6</v>
      </c>
      <c r="E90">
        <v>1983</v>
      </c>
      <c r="F90">
        <v>1983</v>
      </c>
      <c r="G90">
        <v>1999</v>
      </c>
      <c r="H90" s="2">
        <v>48.839181388999997</v>
      </c>
      <c r="I90" s="2">
        <v>-64.787888056</v>
      </c>
      <c r="J90" t="s">
        <v>124</v>
      </c>
      <c r="K90" t="s">
        <v>1228</v>
      </c>
      <c r="L90" t="s">
        <v>1167</v>
      </c>
      <c r="M90" t="s">
        <v>1183</v>
      </c>
      <c r="N90" t="s">
        <v>1237</v>
      </c>
      <c r="O90" t="s">
        <v>1246</v>
      </c>
      <c r="P90" t="s">
        <v>329</v>
      </c>
      <c r="Q90" t="s">
        <v>213</v>
      </c>
      <c r="R90" t="s">
        <v>1183</v>
      </c>
      <c r="S90">
        <v>35.6</v>
      </c>
      <c r="T90" s="5" t="s">
        <v>391</v>
      </c>
      <c r="U90" s="5" t="s">
        <v>392</v>
      </c>
    </row>
    <row r="91" spans="1:21" x14ac:dyDescent="0.3">
      <c r="A91">
        <v>90</v>
      </c>
      <c r="B91" s="8" t="s">
        <v>195</v>
      </c>
      <c r="C91" t="s">
        <v>196</v>
      </c>
      <c r="D91" t="s">
        <v>6</v>
      </c>
      <c r="E91">
        <v>1984</v>
      </c>
      <c r="F91" t="s">
        <v>1183</v>
      </c>
      <c r="G91">
        <v>1999</v>
      </c>
      <c r="H91" s="2">
        <v>48.839241944000001</v>
      </c>
      <c r="I91" s="2">
        <v>-64.788746943999996</v>
      </c>
      <c r="J91" t="s">
        <v>124</v>
      </c>
      <c r="K91" t="s">
        <v>1228</v>
      </c>
      <c r="L91" t="s">
        <v>1167</v>
      </c>
      <c r="M91" t="s">
        <v>1183</v>
      </c>
      <c r="N91" t="s">
        <v>1237</v>
      </c>
      <c r="O91" t="s">
        <v>1246</v>
      </c>
      <c r="P91" t="s">
        <v>218</v>
      </c>
      <c r="Q91" t="s">
        <v>213</v>
      </c>
      <c r="R91" t="s">
        <v>1183</v>
      </c>
      <c r="S91">
        <v>89.6</v>
      </c>
      <c r="T91" s="5" t="s">
        <v>393</v>
      </c>
      <c r="U91" s="5" t="s">
        <v>394</v>
      </c>
    </row>
    <row r="92" spans="1:21" x14ac:dyDescent="0.3">
      <c r="A92">
        <v>91</v>
      </c>
      <c r="B92" t="s">
        <v>197</v>
      </c>
      <c r="C92" s="4" t="s">
        <v>198</v>
      </c>
      <c r="D92" t="s">
        <v>6</v>
      </c>
      <c r="E92">
        <v>1985</v>
      </c>
      <c r="F92" t="s">
        <v>1183</v>
      </c>
      <c r="G92">
        <v>1999</v>
      </c>
      <c r="H92" s="2">
        <v>48.837690000000002</v>
      </c>
      <c r="I92" s="2">
        <v>-64.785560000000004</v>
      </c>
      <c r="J92" t="s">
        <v>124</v>
      </c>
      <c r="K92" t="s">
        <v>1228</v>
      </c>
      <c r="L92" t="s">
        <v>1167</v>
      </c>
      <c r="M92" t="s">
        <v>1183</v>
      </c>
      <c r="N92" t="s">
        <v>1237</v>
      </c>
      <c r="O92" t="s">
        <v>1246</v>
      </c>
      <c r="P92" t="s">
        <v>220</v>
      </c>
      <c r="Q92" t="s">
        <v>404</v>
      </c>
      <c r="R92" t="s">
        <v>1183</v>
      </c>
      <c r="S92">
        <v>189.3</v>
      </c>
      <c r="T92" s="5" t="s">
        <v>395</v>
      </c>
      <c r="U92" s="5" t="s">
        <v>396</v>
      </c>
    </row>
    <row r="93" spans="1:21" x14ac:dyDescent="0.3">
      <c r="A93">
        <v>92</v>
      </c>
      <c r="B93" t="s">
        <v>199</v>
      </c>
      <c r="C93" s="4" t="s">
        <v>200</v>
      </c>
      <c r="D93" t="s">
        <v>6</v>
      </c>
      <c r="E93">
        <v>1985</v>
      </c>
      <c r="F93" t="s">
        <v>1183</v>
      </c>
      <c r="G93">
        <v>1999</v>
      </c>
      <c r="H93" s="2">
        <v>48.840150000000001</v>
      </c>
      <c r="I93" s="2">
        <v>-64.794330000000002</v>
      </c>
      <c r="J93" t="s">
        <v>124</v>
      </c>
      <c r="K93" t="s">
        <v>1228</v>
      </c>
      <c r="L93" t="s">
        <v>1167</v>
      </c>
      <c r="M93" t="s">
        <v>1183</v>
      </c>
      <c r="N93" t="s">
        <v>1164</v>
      </c>
      <c r="O93" t="s">
        <v>1246</v>
      </c>
      <c r="P93" t="s">
        <v>329</v>
      </c>
      <c r="Q93" t="s">
        <v>404</v>
      </c>
      <c r="R93" t="s">
        <v>1183</v>
      </c>
      <c r="S93">
        <v>200.9</v>
      </c>
      <c r="T93" s="5" t="s">
        <v>397</v>
      </c>
      <c r="U93" s="5" t="s">
        <v>398</v>
      </c>
    </row>
    <row r="94" spans="1:21" x14ac:dyDescent="0.3">
      <c r="A94">
        <v>93</v>
      </c>
      <c r="B94" t="s">
        <v>201</v>
      </c>
      <c r="C94" s="4" t="s">
        <v>202</v>
      </c>
      <c r="D94" t="s">
        <v>6</v>
      </c>
      <c r="E94">
        <v>1985</v>
      </c>
      <c r="F94" t="s">
        <v>1183</v>
      </c>
      <c r="G94">
        <v>1999</v>
      </c>
      <c r="H94" s="2">
        <v>48.842030000000001</v>
      </c>
      <c r="I94" s="2">
        <v>-64.795320000000004</v>
      </c>
      <c r="J94" t="s">
        <v>124</v>
      </c>
      <c r="K94" t="s">
        <v>1228</v>
      </c>
      <c r="L94" t="s">
        <v>1167</v>
      </c>
      <c r="M94" t="s">
        <v>1183</v>
      </c>
      <c r="N94" t="s">
        <v>1237</v>
      </c>
      <c r="O94" t="s">
        <v>1246</v>
      </c>
      <c r="P94" t="s">
        <v>329</v>
      </c>
      <c r="Q94" t="s">
        <v>404</v>
      </c>
      <c r="R94" t="s">
        <v>1183</v>
      </c>
      <c r="S94">
        <v>251.5</v>
      </c>
      <c r="T94" s="5" t="s">
        <v>399</v>
      </c>
      <c r="U94" s="5" t="s">
        <v>400</v>
      </c>
    </row>
    <row r="95" spans="1:21" x14ac:dyDescent="0.3">
      <c r="A95">
        <v>94</v>
      </c>
      <c r="B95" s="9" t="s">
        <v>203</v>
      </c>
      <c r="C95" s="4" t="s">
        <v>204</v>
      </c>
      <c r="D95" t="s">
        <v>6</v>
      </c>
      <c r="E95">
        <v>2010</v>
      </c>
      <c r="F95">
        <v>2010</v>
      </c>
      <c r="G95" t="s">
        <v>1183</v>
      </c>
      <c r="H95" s="2">
        <v>49.367750000000001</v>
      </c>
      <c r="I95" s="2">
        <v>-62.540416999999998</v>
      </c>
      <c r="J95" t="s">
        <v>205</v>
      </c>
      <c r="K95" t="s">
        <v>1247</v>
      </c>
      <c r="L95" t="s">
        <v>1248</v>
      </c>
      <c r="M95">
        <v>1179</v>
      </c>
      <c r="N95" t="s">
        <v>1181</v>
      </c>
      <c r="O95" t="s">
        <v>1249</v>
      </c>
      <c r="P95" t="s">
        <v>220</v>
      </c>
      <c r="Q95" t="s">
        <v>404</v>
      </c>
      <c r="R95">
        <v>144</v>
      </c>
      <c r="S95">
        <v>1639</v>
      </c>
      <c r="T95" t="s">
        <v>220</v>
      </c>
      <c r="U95" s="5" t="s">
        <v>403</v>
      </c>
    </row>
    <row r="96" spans="1:21" x14ac:dyDescent="0.3">
      <c r="A96">
        <v>95</v>
      </c>
      <c r="B96" t="s">
        <v>206</v>
      </c>
      <c r="C96" s="4" t="s">
        <v>207</v>
      </c>
      <c r="D96" t="s">
        <v>6</v>
      </c>
      <c r="E96">
        <v>1945</v>
      </c>
      <c r="F96" t="s">
        <v>1183</v>
      </c>
      <c r="G96">
        <v>1946</v>
      </c>
      <c r="H96" s="2">
        <v>48.47784</v>
      </c>
      <c r="I96" s="2">
        <v>-72.12312</v>
      </c>
      <c r="J96" t="s">
        <v>208</v>
      </c>
      <c r="K96" t="s">
        <v>1250</v>
      </c>
      <c r="L96" t="s">
        <v>1183</v>
      </c>
      <c r="M96">
        <f>17*0.3048</f>
        <v>5.1816000000000004</v>
      </c>
      <c r="N96" t="s">
        <v>1181</v>
      </c>
      <c r="O96" t="s">
        <v>1251</v>
      </c>
      <c r="P96" t="s">
        <v>220</v>
      </c>
      <c r="Q96" t="s">
        <v>404</v>
      </c>
      <c r="R96" t="s">
        <v>1183</v>
      </c>
      <c r="S96">
        <f>293*0.3048</f>
        <v>89.306400000000011</v>
      </c>
      <c r="T96" s="5" t="s">
        <v>401</v>
      </c>
      <c r="U96" s="5" t="s">
        <v>402</v>
      </c>
    </row>
    <row r="97" spans="1:21" x14ac:dyDescent="0.3">
      <c r="A97">
        <v>1</v>
      </c>
      <c r="B97" s="8" t="s">
        <v>407</v>
      </c>
      <c r="C97" s="4" t="s">
        <v>2557</v>
      </c>
      <c r="D97" t="s">
        <v>7</v>
      </c>
      <c r="E97">
        <v>1955</v>
      </c>
      <c r="F97" t="s">
        <v>1183</v>
      </c>
      <c r="G97">
        <v>1955</v>
      </c>
      <c r="H97">
        <v>45.278188800000002</v>
      </c>
      <c r="I97">
        <v>-74.011336</v>
      </c>
      <c r="J97" t="s">
        <v>15</v>
      </c>
      <c r="K97" t="s">
        <v>1162</v>
      </c>
      <c r="L97" t="s">
        <v>1163</v>
      </c>
      <c r="M97">
        <f>604*0.3048</f>
        <v>184.0992</v>
      </c>
      <c r="N97" t="s">
        <v>1234</v>
      </c>
      <c r="O97" t="s">
        <v>2558</v>
      </c>
      <c r="P97" t="s">
        <v>218</v>
      </c>
      <c r="Q97" t="s">
        <v>404</v>
      </c>
      <c r="R97">
        <f>163*0.3048</f>
        <v>49.682400000000001</v>
      </c>
      <c r="S97">
        <f>1762*0.3048</f>
        <v>537.05759999999998</v>
      </c>
      <c r="T97" s="1" t="s">
        <v>2559</v>
      </c>
      <c r="U97" s="1" t="s">
        <v>2560</v>
      </c>
    </row>
    <row r="98" spans="1:21" x14ac:dyDescent="0.3">
      <c r="A98">
        <v>2</v>
      </c>
      <c r="B98" t="s">
        <v>409</v>
      </c>
      <c r="C98" s="4" t="s">
        <v>1252</v>
      </c>
      <c r="D98" t="s">
        <v>7</v>
      </c>
      <c r="E98">
        <v>1957</v>
      </c>
      <c r="F98">
        <v>1957</v>
      </c>
      <c r="G98">
        <v>1959</v>
      </c>
      <c r="H98" s="2">
        <v>46.479152300000003</v>
      </c>
      <c r="I98" s="2">
        <v>-72.274387399999995</v>
      </c>
      <c r="J98" t="s">
        <v>12</v>
      </c>
      <c r="K98" t="s">
        <v>1162</v>
      </c>
      <c r="L98" t="s">
        <v>1163</v>
      </c>
      <c r="M98">
        <f>2644*0.3048</f>
        <v>805.89120000000003</v>
      </c>
      <c r="N98" t="s">
        <v>1239</v>
      </c>
      <c r="O98" t="s">
        <v>1165</v>
      </c>
      <c r="P98" t="s">
        <v>218</v>
      </c>
      <c r="Q98" t="s">
        <v>213</v>
      </c>
      <c r="R98">
        <f>26*0.3048</f>
        <v>7.9248000000000003</v>
      </c>
      <c r="S98">
        <f>2955*0.3048</f>
        <v>900.68400000000008</v>
      </c>
      <c r="T98" s="1" t="s">
        <v>1253</v>
      </c>
      <c r="U98" s="1" t="s">
        <v>1254</v>
      </c>
    </row>
    <row r="99" spans="1:21" x14ac:dyDescent="0.3">
      <c r="A99">
        <v>3</v>
      </c>
      <c r="B99" t="s">
        <v>410</v>
      </c>
      <c r="C99" s="4" t="s">
        <v>1255</v>
      </c>
      <c r="D99" t="s">
        <v>7</v>
      </c>
      <c r="E99">
        <v>1957</v>
      </c>
      <c r="F99" t="s">
        <v>1183</v>
      </c>
      <c r="G99">
        <v>1957</v>
      </c>
      <c r="H99" s="2">
        <v>46.475909999999999</v>
      </c>
      <c r="I99" s="2">
        <v>-72.262910000000005</v>
      </c>
      <c r="J99" t="s">
        <v>12</v>
      </c>
      <c r="K99" t="s">
        <v>1162</v>
      </c>
      <c r="L99" t="s">
        <v>1163</v>
      </c>
      <c r="M99">
        <f>2052*0.3048</f>
        <v>625.44960000000003</v>
      </c>
      <c r="N99" t="s">
        <v>1256</v>
      </c>
      <c r="O99" t="s">
        <v>1165</v>
      </c>
      <c r="P99" t="s">
        <v>212</v>
      </c>
      <c r="Q99" t="s">
        <v>213</v>
      </c>
      <c r="R99">
        <f>18*0.3048</f>
        <v>5.4864000000000006</v>
      </c>
      <c r="S99">
        <f>2500*0.3048</f>
        <v>762</v>
      </c>
      <c r="T99" s="1" t="s">
        <v>1257</v>
      </c>
      <c r="U99" s="1" t="s">
        <v>1258</v>
      </c>
    </row>
    <row r="100" spans="1:21" x14ac:dyDescent="0.3">
      <c r="A100">
        <v>4</v>
      </c>
      <c r="B100" t="s">
        <v>411</v>
      </c>
      <c r="C100" s="4" t="s">
        <v>1259</v>
      </c>
      <c r="D100" t="s">
        <v>7</v>
      </c>
      <c r="E100">
        <v>1957</v>
      </c>
      <c r="F100" t="s">
        <v>1183</v>
      </c>
      <c r="G100">
        <v>1957</v>
      </c>
      <c r="H100" s="2">
        <v>46.475668333000002</v>
      </c>
      <c r="I100" s="2">
        <v>-72.272603610999994</v>
      </c>
      <c r="J100" t="s">
        <v>12</v>
      </c>
      <c r="K100" t="s">
        <v>1162</v>
      </c>
      <c r="L100" t="s">
        <v>1163</v>
      </c>
      <c r="M100">
        <f>500*0.3048</f>
        <v>152.4</v>
      </c>
      <c r="N100" t="s">
        <v>1260</v>
      </c>
      <c r="O100" t="s">
        <v>1165</v>
      </c>
      <c r="P100" t="s">
        <v>212</v>
      </c>
      <c r="Q100" t="s">
        <v>213</v>
      </c>
      <c r="R100">
        <f>26*0.3048</f>
        <v>7.9248000000000003</v>
      </c>
      <c r="S100">
        <f>2307*0.3048</f>
        <v>703.17360000000008</v>
      </c>
      <c r="T100" s="1" t="s">
        <v>1262</v>
      </c>
      <c r="U100" s="1" t="s">
        <v>1261</v>
      </c>
    </row>
    <row r="101" spans="1:21" x14ac:dyDescent="0.3">
      <c r="A101">
        <v>5</v>
      </c>
      <c r="B101" t="s">
        <v>413</v>
      </c>
      <c r="C101" s="4" t="s">
        <v>1263</v>
      </c>
      <c r="D101" t="s">
        <v>7</v>
      </c>
      <c r="E101">
        <v>1957</v>
      </c>
      <c r="F101" t="s">
        <v>1183</v>
      </c>
      <c r="G101">
        <v>1957</v>
      </c>
      <c r="H101" s="2">
        <v>46.675530000000002</v>
      </c>
      <c r="I101" s="2">
        <v>-71.78519</v>
      </c>
      <c r="J101" t="s">
        <v>56</v>
      </c>
      <c r="K101" t="s">
        <v>1162</v>
      </c>
      <c r="L101" t="s">
        <v>1167</v>
      </c>
      <c r="M101">
        <f>640*0.3048</f>
        <v>195.072</v>
      </c>
      <c r="N101" t="s">
        <v>1264</v>
      </c>
      <c r="O101" t="s">
        <v>1165</v>
      </c>
      <c r="P101" t="s">
        <v>218</v>
      </c>
      <c r="Q101" t="s">
        <v>213</v>
      </c>
      <c r="R101">
        <f>219*0.3048</f>
        <v>66.751199999999997</v>
      </c>
      <c r="S101">
        <f>954*0.3048</f>
        <v>290.7792</v>
      </c>
      <c r="T101" s="1" t="s">
        <v>1266</v>
      </c>
      <c r="U101" s="1" t="s">
        <v>1265</v>
      </c>
    </row>
    <row r="102" spans="1:21" x14ac:dyDescent="0.3">
      <c r="A102">
        <v>6</v>
      </c>
      <c r="B102" t="s">
        <v>414</v>
      </c>
      <c r="C102" s="4" t="s">
        <v>1267</v>
      </c>
      <c r="D102" t="s">
        <v>7</v>
      </c>
      <c r="E102">
        <v>1958</v>
      </c>
      <c r="F102" t="s">
        <v>1183</v>
      </c>
      <c r="G102">
        <v>1958</v>
      </c>
      <c r="H102" s="2">
        <v>46.69706</v>
      </c>
      <c r="I102" s="2">
        <v>-71.786640000000006</v>
      </c>
      <c r="J102" t="s">
        <v>56</v>
      </c>
      <c r="K102" t="s">
        <v>1162</v>
      </c>
      <c r="L102" t="s">
        <v>1163</v>
      </c>
      <c r="M102">
        <f>380*0.3048</f>
        <v>115.82400000000001</v>
      </c>
      <c r="N102" t="s">
        <v>1268</v>
      </c>
      <c r="O102" t="s">
        <v>1165</v>
      </c>
      <c r="P102" t="s">
        <v>220</v>
      </c>
      <c r="Q102" t="s">
        <v>213</v>
      </c>
      <c r="R102">
        <f>236*0.3048</f>
        <v>71.9328</v>
      </c>
      <c r="S102">
        <f>852*0.3048</f>
        <v>259.68960000000004</v>
      </c>
      <c r="T102" s="1" t="s">
        <v>1270</v>
      </c>
      <c r="U102" s="1" t="s">
        <v>1269</v>
      </c>
    </row>
    <row r="103" spans="1:21" x14ac:dyDescent="0.3">
      <c r="A103">
        <v>7</v>
      </c>
      <c r="B103" t="s">
        <v>415</v>
      </c>
      <c r="C103" s="4" t="s">
        <v>1271</v>
      </c>
      <c r="D103" t="s">
        <v>7</v>
      </c>
      <c r="E103">
        <v>1957</v>
      </c>
      <c r="F103" t="s">
        <v>1183</v>
      </c>
      <c r="G103">
        <v>1958</v>
      </c>
      <c r="H103" s="2">
        <v>46.607819999999997</v>
      </c>
      <c r="I103" s="2">
        <v>-72.207740000000001</v>
      </c>
      <c r="J103" t="s">
        <v>12</v>
      </c>
      <c r="K103" t="s">
        <v>1162</v>
      </c>
      <c r="L103" t="s">
        <v>1163</v>
      </c>
      <c r="M103">
        <f>33*0.3048</f>
        <v>10.058400000000001</v>
      </c>
      <c r="N103" t="s">
        <v>1264</v>
      </c>
      <c r="O103" t="s">
        <v>1165</v>
      </c>
      <c r="P103" t="s">
        <v>212</v>
      </c>
      <c r="Q103" t="s">
        <v>213</v>
      </c>
      <c r="R103">
        <f>44*0.3048</f>
        <v>13.411200000000001</v>
      </c>
      <c r="S103">
        <f>450*0.3048</f>
        <v>137.16</v>
      </c>
      <c r="T103" s="1" t="s">
        <v>1273</v>
      </c>
      <c r="U103" s="1" t="s">
        <v>1272</v>
      </c>
    </row>
    <row r="104" spans="1:21" x14ac:dyDescent="0.3">
      <c r="A104">
        <v>8</v>
      </c>
      <c r="B104" t="s">
        <v>416</v>
      </c>
      <c r="C104" s="4" t="s">
        <v>1274</v>
      </c>
      <c r="D104" t="s">
        <v>7</v>
      </c>
      <c r="E104">
        <v>1957</v>
      </c>
      <c r="F104" t="s">
        <v>1183</v>
      </c>
      <c r="G104">
        <v>1957</v>
      </c>
      <c r="H104" s="2">
        <v>46.231610000000003</v>
      </c>
      <c r="I104" s="2">
        <v>-72.950050000000005</v>
      </c>
      <c r="J104" t="s">
        <v>12</v>
      </c>
      <c r="K104" t="s">
        <v>1162</v>
      </c>
      <c r="L104" t="s">
        <v>1167</v>
      </c>
      <c r="M104">
        <f>714*0.3048</f>
        <v>217.62720000000002</v>
      </c>
      <c r="N104" t="s">
        <v>1275</v>
      </c>
      <c r="O104" t="s">
        <v>1165</v>
      </c>
      <c r="P104" t="s">
        <v>212</v>
      </c>
      <c r="Q104" t="s">
        <v>213</v>
      </c>
      <c r="R104">
        <f>24*0.3048</f>
        <v>7.3152000000000008</v>
      </c>
      <c r="S104">
        <f>819*0.3048</f>
        <v>249.63120000000001</v>
      </c>
      <c r="T104" s="1" t="s">
        <v>1277</v>
      </c>
      <c r="U104" s="1" t="s">
        <v>1276</v>
      </c>
    </row>
    <row r="105" spans="1:21" x14ac:dyDescent="0.3">
      <c r="A105">
        <v>9</v>
      </c>
      <c r="B105" t="s">
        <v>417</v>
      </c>
      <c r="C105" s="4" t="s">
        <v>1278</v>
      </c>
      <c r="D105" t="s">
        <v>7</v>
      </c>
      <c r="E105">
        <v>1957</v>
      </c>
      <c r="F105" t="s">
        <v>1183</v>
      </c>
      <c r="G105">
        <v>1958</v>
      </c>
      <c r="H105" s="2">
        <v>46.231580000000001</v>
      </c>
      <c r="I105" s="2">
        <v>-72.950090000000003</v>
      </c>
      <c r="J105" t="s">
        <v>12</v>
      </c>
      <c r="K105" t="s">
        <v>1162</v>
      </c>
      <c r="L105" t="s">
        <v>1163</v>
      </c>
      <c r="M105">
        <f>778*0.3048</f>
        <v>237.1344</v>
      </c>
      <c r="N105" t="s">
        <v>1279</v>
      </c>
      <c r="O105" t="s">
        <v>1165</v>
      </c>
      <c r="P105" t="s">
        <v>212</v>
      </c>
      <c r="Q105" t="s">
        <v>213</v>
      </c>
      <c r="R105">
        <f>25*0.3048</f>
        <v>7.62</v>
      </c>
      <c r="S105">
        <f>1218*0.3048</f>
        <v>371.24639999999999</v>
      </c>
      <c r="T105" s="1" t="s">
        <v>1281</v>
      </c>
      <c r="U105" s="1" t="s">
        <v>1280</v>
      </c>
    </row>
    <row r="106" spans="1:21" x14ac:dyDescent="0.3">
      <c r="A106">
        <v>10</v>
      </c>
      <c r="B106" t="s">
        <v>418</v>
      </c>
      <c r="C106" s="4" t="s">
        <v>1282</v>
      </c>
      <c r="D106" t="s">
        <v>7</v>
      </c>
      <c r="E106">
        <v>1957</v>
      </c>
      <c r="F106" t="s">
        <v>1183</v>
      </c>
      <c r="G106">
        <v>1957</v>
      </c>
      <c r="H106" s="2">
        <v>46.682760000000002</v>
      </c>
      <c r="I106" s="2">
        <v>-71.92107</v>
      </c>
      <c r="J106" t="s">
        <v>56</v>
      </c>
      <c r="K106" t="s">
        <v>1162</v>
      </c>
      <c r="L106" t="s">
        <v>1167</v>
      </c>
      <c r="M106">
        <f>154*0.3048</f>
        <v>46.9392</v>
      </c>
      <c r="N106" t="s">
        <v>1283</v>
      </c>
      <c r="O106" t="s">
        <v>1165</v>
      </c>
      <c r="P106" t="s">
        <v>218</v>
      </c>
      <c r="Q106" t="s">
        <v>213</v>
      </c>
      <c r="R106">
        <f>129*0.3048</f>
        <v>39.319200000000002</v>
      </c>
      <c r="S106">
        <f>1387*0.3048</f>
        <v>422.75760000000002</v>
      </c>
      <c r="T106" s="1" t="s">
        <v>1285</v>
      </c>
      <c r="U106" s="1" t="s">
        <v>1284</v>
      </c>
    </row>
    <row r="107" spans="1:21" x14ac:dyDescent="0.3">
      <c r="A107">
        <v>11</v>
      </c>
      <c r="B107" t="s">
        <v>419</v>
      </c>
      <c r="C107" s="4" t="s">
        <v>1286</v>
      </c>
      <c r="D107" t="s">
        <v>7</v>
      </c>
      <c r="E107">
        <v>1957</v>
      </c>
      <c r="F107" t="s">
        <v>1183</v>
      </c>
      <c r="G107">
        <v>1958</v>
      </c>
      <c r="H107" s="2">
        <v>46.682479999999998</v>
      </c>
      <c r="I107" s="2">
        <v>-71.921289999999999</v>
      </c>
      <c r="J107" t="s">
        <v>56</v>
      </c>
      <c r="K107" t="s">
        <v>1162</v>
      </c>
      <c r="L107" t="s">
        <v>1163</v>
      </c>
      <c r="M107">
        <f>1171*0.3048</f>
        <v>356.92080000000004</v>
      </c>
      <c r="N107" t="s">
        <v>1287</v>
      </c>
      <c r="O107" t="s">
        <v>1165</v>
      </c>
      <c r="P107" t="s">
        <v>218</v>
      </c>
      <c r="Q107" t="s">
        <v>213</v>
      </c>
      <c r="R107">
        <f>128*0.3048</f>
        <v>39.014400000000002</v>
      </c>
      <c r="S107">
        <f>1387*0.3048</f>
        <v>422.75760000000002</v>
      </c>
      <c r="T107" s="1" t="s">
        <v>1289</v>
      </c>
      <c r="U107" s="1" t="s">
        <v>1288</v>
      </c>
    </row>
    <row r="108" spans="1:21" x14ac:dyDescent="0.3">
      <c r="A108">
        <v>12</v>
      </c>
      <c r="B108" s="7" t="s">
        <v>420</v>
      </c>
      <c r="C108" s="4" t="s">
        <v>1290</v>
      </c>
      <c r="D108" t="s">
        <v>7</v>
      </c>
      <c r="E108">
        <v>1958</v>
      </c>
      <c r="F108">
        <v>1964</v>
      </c>
      <c r="G108">
        <v>1964</v>
      </c>
      <c r="H108" s="2">
        <v>46.524497777999997</v>
      </c>
      <c r="I108" s="2">
        <v>-72.339723055999997</v>
      </c>
      <c r="J108" t="s">
        <v>12</v>
      </c>
      <c r="K108" t="s">
        <v>1162</v>
      </c>
      <c r="L108" t="s">
        <v>1163</v>
      </c>
      <c r="M108">
        <f>410*0.3048</f>
        <v>124.968</v>
      </c>
      <c r="N108" t="s">
        <v>1181</v>
      </c>
      <c r="O108" t="s">
        <v>1175</v>
      </c>
      <c r="P108" t="s">
        <v>212</v>
      </c>
      <c r="Q108" t="s">
        <v>213</v>
      </c>
      <c r="R108">
        <f>98*0.3048</f>
        <v>29.8704</v>
      </c>
      <c r="S108">
        <f>1265*0.3048</f>
        <v>385.572</v>
      </c>
      <c r="T108" s="1" t="s">
        <v>1292</v>
      </c>
      <c r="U108" s="1" t="s">
        <v>1291</v>
      </c>
    </row>
    <row r="109" spans="1:21" x14ac:dyDescent="0.3">
      <c r="A109">
        <v>13</v>
      </c>
      <c r="B109" t="s">
        <v>423</v>
      </c>
      <c r="C109" t="s">
        <v>1135</v>
      </c>
      <c r="D109" t="s">
        <v>7</v>
      </c>
      <c r="E109">
        <v>1910</v>
      </c>
      <c r="F109" t="s">
        <v>1183</v>
      </c>
      <c r="G109">
        <v>1910</v>
      </c>
      <c r="H109">
        <v>45.720709999999997</v>
      </c>
      <c r="I109">
        <v>-72.956059999999994</v>
      </c>
      <c r="J109" t="s">
        <v>15</v>
      </c>
      <c r="K109" t="s">
        <v>1162</v>
      </c>
      <c r="L109" t="s">
        <v>1163</v>
      </c>
      <c r="M109">
        <f>1860*0.3048</f>
        <v>566.928</v>
      </c>
      <c r="N109" t="s">
        <v>1182</v>
      </c>
      <c r="O109" t="s">
        <v>1293</v>
      </c>
      <c r="P109" t="s">
        <v>212</v>
      </c>
      <c r="Q109" t="s">
        <v>404</v>
      </c>
      <c r="R109">
        <f>155*0.3048</f>
        <v>47.244</v>
      </c>
      <c r="S109">
        <f>1880*0.3048</f>
        <v>573.024</v>
      </c>
      <c r="T109" s="1" t="s">
        <v>1138</v>
      </c>
      <c r="U109" s="1" t="s">
        <v>1294</v>
      </c>
    </row>
    <row r="110" spans="1:21" x14ac:dyDescent="0.3">
      <c r="A110">
        <v>14</v>
      </c>
      <c r="B110" t="s">
        <v>424</v>
      </c>
      <c r="C110" t="s">
        <v>1136</v>
      </c>
      <c r="D110" t="s">
        <v>7</v>
      </c>
      <c r="E110">
        <v>1914</v>
      </c>
      <c r="F110" t="s">
        <v>1183</v>
      </c>
      <c r="G110">
        <v>1915</v>
      </c>
      <c r="H110">
        <v>45.718899999999998</v>
      </c>
      <c r="I110">
        <v>-72.953140000000005</v>
      </c>
      <c r="J110" t="s">
        <v>15</v>
      </c>
      <c r="K110" t="s">
        <v>1162</v>
      </c>
      <c r="L110" t="s">
        <v>1163</v>
      </c>
      <c r="M110">
        <f>1051*0.3048</f>
        <v>320.34480000000002</v>
      </c>
      <c r="N110" t="s">
        <v>1295</v>
      </c>
      <c r="O110" t="s">
        <v>1293</v>
      </c>
      <c r="P110" t="s">
        <v>212</v>
      </c>
      <c r="Q110" t="s">
        <v>404</v>
      </c>
      <c r="R110">
        <f>116*0.3048</f>
        <v>35.3568</v>
      </c>
      <c r="S110">
        <f>2907*0.3048</f>
        <v>886.05360000000007</v>
      </c>
      <c r="T110" s="1" t="s">
        <v>1139</v>
      </c>
      <c r="U110" s="1" t="s">
        <v>1296</v>
      </c>
    </row>
    <row r="111" spans="1:21" x14ac:dyDescent="0.3">
      <c r="A111">
        <v>15</v>
      </c>
      <c r="B111" t="s">
        <v>425</v>
      </c>
      <c r="C111" t="s">
        <v>1137</v>
      </c>
      <c r="D111" t="s">
        <v>7</v>
      </c>
      <c r="E111">
        <v>1914</v>
      </c>
      <c r="F111" t="s">
        <v>1183</v>
      </c>
      <c r="G111">
        <v>1915</v>
      </c>
      <c r="H111">
        <v>45.702910000000003</v>
      </c>
      <c r="I111">
        <v>-72.935699999999997</v>
      </c>
      <c r="J111" t="s">
        <v>15</v>
      </c>
      <c r="K111" t="s">
        <v>1162</v>
      </c>
      <c r="L111" t="s">
        <v>1163</v>
      </c>
      <c r="M111">
        <f>1200*0.3048</f>
        <v>365.76</v>
      </c>
      <c r="N111" t="s">
        <v>1181</v>
      </c>
      <c r="O111" t="s">
        <v>1293</v>
      </c>
      <c r="P111" t="s">
        <v>212</v>
      </c>
      <c r="Q111" t="s">
        <v>404</v>
      </c>
      <c r="R111">
        <f>112*0.3048</f>
        <v>34.137599999999999</v>
      </c>
      <c r="S111">
        <f>3455*0.3048</f>
        <v>1053.0840000000001</v>
      </c>
      <c r="T111" s="1" t="s">
        <v>1140</v>
      </c>
      <c r="U111" s="1" t="s">
        <v>1297</v>
      </c>
    </row>
    <row r="112" spans="1:21" x14ac:dyDescent="0.3">
      <c r="A112">
        <v>16</v>
      </c>
      <c r="B112" s="8" t="s">
        <v>426</v>
      </c>
      <c r="C112" s="4" t="s">
        <v>2570</v>
      </c>
      <c r="D112" t="s">
        <v>7</v>
      </c>
      <c r="E112">
        <v>1917</v>
      </c>
      <c r="F112" t="s">
        <v>1183</v>
      </c>
      <c r="G112">
        <v>1917</v>
      </c>
      <c r="H112">
        <v>45.7286</v>
      </c>
      <c r="I112">
        <v>-72.999200000000002</v>
      </c>
      <c r="J112" t="s">
        <v>15</v>
      </c>
      <c r="K112" t="s">
        <v>1162</v>
      </c>
      <c r="L112" t="s">
        <v>1163</v>
      </c>
      <c r="M112">
        <f>1200*0.3048</f>
        <v>365.76</v>
      </c>
      <c r="N112" t="s">
        <v>1181</v>
      </c>
      <c r="O112" t="s">
        <v>1293</v>
      </c>
      <c r="P112" t="s">
        <v>212</v>
      </c>
      <c r="Q112" t="s">
        <v>404</v>
      </c>
      <c r="R112">
        <f>106*0.3048</f>
        <v>32.308800000000005</v>
      </c>
      <c r="S112">
        <f>2380*0.3048</f>
        <v>725.42400000000009</v>
      </c>
      <c r="T112" s="1" t="s">
        <v>2572</v>
      </c>
      <c r="U112" s="1" t="s">
        <v>2573</v>
      </c>
    </row>
    <row r="113" spans="1:21" x14ac:dyDescent="0.3">
      <c r="A113">
        <v>17</v>
      </c>
      <c r="B113" s="8" t="s">
        <v>427</v>
      </c>
      <c r="C113" s="4" t="s">
        <v>2571</v>
      </c>
      <c r="D113" t="s">
        <v>7</v>
      </c>
      <c r="E113">
        <v>1914</v>
      </c>
      <c r="F113" t="s">
        <v>1183</v>
      </c>
      <c r="G113">
        <v>1917</v>
      </c>
      <c r="H113">
        <v>45.717333400000001</v>
      </c>
      <c r="I113">
        <v>-72.958543599999999</v>
      </c>
      <c r="J113" t="s">
        <v>15</v>
      </c>
      <c r="K113" t="s">
        <v>1162</v>
      </c>
      <c r="L113" t="s">
        <v>1163</v>
      </c>
      <c r="M113">
        <f>457*0.3048</f>
        <v>139.2936</v>
      </c>
      <c r="N113" t="s">
        <v>1181</v>
      </c>
      <c r="O113" t="s">
        <v>1293</v>
      </c>
      <c r="P113" t="s">
        <v>212</v>
      </c>
      <c r="Q113" t="s">
        <v>404</v>
      </c>
      <c r="R113">
        <f>116*0.3048</f>
        <v>35.3568</v>
      </c>
      <c r="S113">
        <f>2508*0.3048</f>
        <v>764.4384</v>
      </c>
      <c r="T113" s="1" t="s">
        <v>2574</v>
      </c>
      <c r="U113" s="1" t="s">
        <v>2575</v>
      </c>
    </row>
    <row r="114" spans="1:21" x14ac:dyDescent="0.3">
      <c r="A114">
        <v>18</v>
      </c>
      <c r="B114" t="s">
        <v>429</v>
      </c>
      <c r="C114" t="s">
        <v>1298</v>
      </c>
      <c r="D114" t="s">
        <v>7</v>
      </c>
      <c r="E114">
        <v>1931</v>
      </c>
      <c r="F114" t="s">
        <v>1183</v>
      </c>
      <c r="G114">
        <v>1933</v>
      </c>
      <c r="H114">
        <v>45.994900000000001</v>
      </c>
      <c r="I114">
        <v>-72.822329999999994</v>
      </c>
      <c r="J114" t="s">
        <v>15</v>
      </c>
      <c r="K114" t="s">
        <v>1162</v>
      </c>
      <c r="L114" t="s">
        <v>1176</v>
      </c>
      <c r="M114">
        <f>4849*0.3048</f>
        <v>1477.9752000000001</v>
      </c>
      <c r="N114" t="s">
        <v>1299</v>
      </c>
      <c r="O114" t="s">
        <v>1300</v>
      </c>
      <c r="P114" t="s">
        <v>212</v>
      </c>
      <c r="Q114" t="s">
        <v>213</v>
      </c>
      <c r="R114">
        <f>103*0.3048</f>
        <v>31.394400000000001</v>
      </c>
      <c r="S114">
        <f>6160*0.3048</f>
        <v>1877.568</v>
      </c>
      <c r="T114" s="1" t="s">
        <v>1301</v>
      </c>
      <c r="U114" s="1" t="s">
        <v>1302</v>
      </c>
    </row>
    <row r="115" spans="1:21" x14ac:dyDescent="0.3">
      <c r="A115">
        <v>19</v>
      </c>
      <c r="B115" t="s">
        <v>431</v>
      </c>
      <c r="C115" t="s">
        <v>1303</v>
      </c>
      <c r="D115" t="s">
        <v>7</v>
      </c>
      <c r="E115">
        <v>1957</v>
      </c>
      <c r="F115" t="s">
        <v>1183</v>
      </c>
      <c r="G115">
        <v>1957</v>
      </c>
      <c r="H115">
        <v>46.301443611000003</v>
      </c>
      <c r="I115">
        <v>-72.945492778000002</v>
      </c>
      <c r="J115" t="s">
        <v>12</v>
      </c>
      <c r="K115" t="s">
        <v>1162</v>
      </c>
      <c r="L115" t="s">
        <v>1173</v>
      </c>
      <c r="M115">
        <f>300*0.3048</f>
        <v>91.44</v>
      </c>
      <c r="N115" t="s">
        <v>1299</v>
      </c>
      <c r="O115" t="s">
        <v>1304</v>
      </c>
      <c r="P115" t="s">
        <v>212</v>
      </c>
      <c r="Q115" t="s">
        <v>213</v>
      </c>
      <c r="R115">
        <f>123*0.3048</f>
        <v>37.490400000000001</v>
      </c>
      <c r="S115">
        <f>1007*0.3048</f>
        <v>306.93360000000001</v>
      </c>
      <c r="T115" s="1" t="s">
        <v>1305</v>
      </c>
      <c r="U115" s="1" t="s">
        <v>1306</v>
      </c>
    </row>
    <row r="116" spans="1:21" x14ac:dyDescent="0.3">
      <c r="A116">
        <v>20</v>
      </c>
      <c r="B116" s="11" t="s">
        <v>432</v>
      </c>
      <c r="C116" s="4" t="s">
        <v>2675</v>
      </c>
      <c r="D116" t="s">
        <v>7</v>
      </c>
      <c r="E116">
        <v>1959</v>
      </c>
      <c r="F116">
        <v>1959</v>
      </c>
      <c r="G116">
        <v>1964</v>
      </c>
      <c r="H116">
        <v>46.3581109</v>
      </c>
      <c r="I116">
        <v>-72.580072099999995</v>
      </c>
      <c r="J116" t="s">
        <v>12</v>
      </c>
      <c r="K116" t="s">
        <v>1162</v>
      </c>
      <c r="L116" t="s">
        <v>1163</v>
      </c>
      <c r="M116">
        <f>344*0.3048</f>
        <v>104.85120000000001</v>
      </c>
      <c r="N116" t="s">
        <v>1260</v>
      </c>
      <c r="O116" t="s">
        <v>1699</v>
      </c>
      <c r="P116" t="s">
        <v>212</v>
      </c>
      <c r="Q116" t="s">
        <v>213</v>
      </c>
      <c r="R116">
        <f>157*0.3048</f>
        <v>47.8536</v>
      </c>
      <c r="S116">
        <f>1440*0.3048</f>
        <v>438.91200000000003</v>
      </c>
      <c r="T116" s="1" t="s">
        <v>2676</v>
      </c>
      <c r="U116" s="1" t="s">
        <v>2677</v>
      </c>
    </row>
    <row r="117" spans="1:21" x14ac:dyDescent="0.3">
      <c r="A117">
        <v>21</v>
      </c>
      <c r="B117" t="s">
        <v>434</v>
      </c>
      <c r="C117" t="s">
        <v>1307</v>
      </c>
      <c r="D117" t="s">
        <v>7</v>
      </c>
      <c r="E117">
        <v>1934</v>
      </c>
      <c r="F117" t="s">
        <v>1183</v>
      </c>
      <c r="G117">
        <v>1935</v>
      </c>
      <c r="H117">
        <v>45.945970000000003</v>
      </c>
      <c r="I117">
        <v>-73.249359999999996</v>
      </c>
      <c r="J117" t="s">
        <v>29</v>
      </c>
      <c r="K117" t="s">
        <v>1162</v>
      </c>
      <c r="L117" t="s">
        <v>1163</v>
      </c>
      <c r="M117">
        <f>203*0.3048</f>
        <v>61.874400000000001</v>
      </c>
      <c r="N117" t="s">
        <v>1308</v>
      </c>
      <c r="O117" t="s">
        <v>1309</v>
      </c>
      <c r="P117" t="s">
        <v>220</v>
      </c>
      <c r="Q117" t="s">
        <v>404</v>
      </c>
      <c r="R117">
        <f>80*0.3048</f>
        <v>24.384</v>
      </c>
      <c r="S117">
        <f>2500*0.3048</f>
        <v>762</v>
      </c>
      <c r="T117" s="1" t="s">
        <v>1310</v>
      </c>
      <c r="U117" s="1" t="s">
        <v>1311</v>
      </c>
    </row>
    <row r="118" spans="1:21" x14ac:dyDescent="0.3">
      <c r="A118">
        <v>22</v>
      </c>
      <c r="B118" s="7" t="s">
        <v>436</v>
      </c>
      <c r="C118" t="s">
        <v>1312</v>
      </c>
      <c r="D118" t="s">
        <v>7</v>
      </c>
      <c r="E118">
        <v>1956</v>
      </c>
      <c r="F118">
        <v>1956</v>
      </c>
      <c r="G118">
        <v>1964</v>
      </c>
      <c r="H118">
        <v>46.376220000000004</v>
      </c>
      <c r="I118">
        <v>-72.501609999999999</v>
      </c>
      <c r="J118" t="s">
        <v>12</v>
      </c>
      <c r="K118" t="s">
        <v>1162</v>
      </c>
      <c r="L118" t="s">
        <v>1167</v>
      </c>
      <c r="M118">
        <f>160*0.3048</f>
        <v>48.768000000000001</v>
      </c>
      <c r="N118" t="s">
        <v>1268</v>
      </c>
      <c r="O118" t="s">
        <v>1313</v>
      </c>
      <c r="P118" t="s">
        <v>212</v>
      </c>
      <c r="Q118" t="s">
        <v>213</v>
      </c>
      <c r="R118">
        <f>51*0.3048</f>
        <v>15.5448</v>
      </c>
      <c r="S118">
        <f>2092*0.3048</f>
        <v>637.64160000000004</v>
      </c>
      <c r="T118" s="1" t="s">
        <v>1314</v>
      </c>
      <c r="U118" s="1" t="s">
        <v>1315</v>
      </c>
    </row>
    <row r="119" spans="1:21" x14ac:dyDescent="0.3">
      <c r="A119">
        <v>23</v>
      </c>
      <c r="B119" t="s">
        <v>438</v>
      </c>
      <c r="C119" t="s">
        <v>1316</v>
      </c>
      <c r="D119" t="s">
        <v>7</v>
      </c>
      <c r="E119">
        <v>1961</v>
      </c>
      <c r="F119">
        <v>1961</v>
      </c>
      <c r="G119">
        <v>1983</v>
      </c>
      <c r="H119">
        <v>46.283321110999999</v>
      </c>
      <c r="I119">
        <v>-72.825006943999995</v>
      </c>
      <c r="J119" t="s">
        <v>12</v>
      </c>
      <c r="K119" t="s">
        <v>1162</v>
      </c>
      <c r="L119" t="s">
        <v>1173</v>
      </c>
      <c r="M119">
        <f>285*0.3048</f>
        <v>86.868000000000009</v>
      </c>
      <c r="N119" t="s">
        <v>1181</v>
      </c>
      <c r="O119" t="s">
        <v>1210</v>
      </c>
      <c r="P119" t="s">
        <v>212</v>
      </c>
      <c r="Q119" t="s">
        <v>213</v>
      </c>
      <c r="R119">
        <f>32*0.3048</f>
        <v>9.7536000000000005</v>
      </c>
      <c r="S119">
        <f>777*0.3048</f>
        <v>236.8296</v>
      </c>
      <c r="T119" s="1" t="s">
        <v>1317</v>
      </c>
      <c r="U119" s="1" t="s">
        <v>1318</v>
      </c>
    </row>
    <row r="120" spans="1:21" x14ac:dyDescent="0.3">
      <c r="A120">
        <v>24</v>
      </c>
      <c r="B120" t="s">
        <v>439</v>
      </c>
      <c r="C120" t="s">
        <v>1147</v>
      </c>
      <c r="D120" t="s">
        <v>7</v>
      </c>
      <c r="E120">
        <v>1953</v>
      </c>
      <c r="F120" t="s">
        <v>1183</v>
      </c>
      <c r="G120">
        <v>1954</v>
      </c>
      <c r="H120">
        <v>45.35022</v>
      </c>
      <c r="I120">
        <v>-73.366709999999998</v>
      </c>
      <c r="J120" t="s">
        <v>15</v>
      </c>
      <c r="K120" t="s">
        <v>1162</v>
      </c>
      <c r="L120" t="s">
        <v>1163</v>
      </c>
      <c r="M120" t="s">
        <v>1183</v>
      </c>
      <c r="N120" t="s">
        <v>1319</v>
      </c>
      <c r="O120" t="s">
        <v>1320</v>
      </c>
      <c r="P120" t="s">
        <v>212</v>
      </c>
      <c r="Q120" t="s">
        <v>404</v>
      </c>
      <c r="R120">
        <f>91*0.3048</f>
        <v>27.736800000000002</v>
      </c>
      <c r="S120">
        <f>1050*0.3048</f>
        <v>320.04000000000002</v>
      </c>
      <c r="T120" s="1" t="s">
        <v>1148</v>
      </c>
      <c r="U120" s="1" t="s">
        <v>1321</v>
      </c>
    </row>
    <row r="121" spans="1:21" x14ac:dyDescent="0.3">
      <c r="A121">
        <v>25</v>
      </c>
      <c r="B121" t="s">
        <v>440</v>
      </c>
      <c r="C121" t="s">
        <v>1322</v>
      </c>
      <c r="D121" t="s">
        <v>7</v>
      </c>
      <c r="E121">
        <v>1956</v>
      </c>
      <c r="F121" t="s">
        <v>1183</v>
      </c>
      <c r="G121" t="s">
        <v>1183</v>
      </c>
      <c r="H121">
        <v>46.244080000300002</v>
      </c>
      <c r="I121">
        <v>-72.549530000000004</v>
      </c>
      <c r="J121" t="s">
        <v>21</v>
      </c>
      <c r="K121" t="s">
        <v>1162</v>
      </c>
      <c r="L121" t="s">
        <v>1167</v>
      </c>
      <c r="M121">
        <f>2540*0.3048</f>
        <v>774.19200000000001</v>
      </c>
      <c r="N121" t="s">
        <v>1179</v>
      </c>
      <c r="O121" t="s">
        <v>1323</v>
      </c>
      <c r="P121" t="s">
        <v>220</v>
      </c>
      <c r="Q121" t="s">
        <v>404</v>
      </c>
      <c r="R121">
        <f>86*0.3048</f>
        <v>26.212800000000001</v>
      </c>
      <c r="S121">
        <f>2875*0.3048</f>
        <v>876.30000000000007</v>
      </c>
      <c r="T121" s="1" t="s">
        <v>1324</v>
      </c>
      <c r="U121" s="1" t="s">
        <v>1325</v>
      </c>
    </row>
    <row r="122" spans="1:21" x14ac:dyDescent="0.3">
      <c r="A122">
        <v>26</v>
      </c>
      <c r="B122" s="8" t="s">
        <v>441</v>
      </c>
      <c r="C122" s="4" t="s">
        <v>2586</v>
      </c>
      <c r="D122" t="s">
        <v>7</v>
      </c>
      <c r="E122">
        <v>1954</v>
      </c>
      <c r="F122">
        <v>1955</v>
      </c>
      <c r="G122">
        <v>1962</v>
      </c>
      <c r="H122">
        <v>45.244889444000002</v>
      </c>
      <c r="I122">
        <v>-73.253193611</v>
      </c>
      <c r="J122" t="s">
        <v>15</v>
      </c>
      <c r="K122" t="s">
        <v>1162</v>
      </c>
      <c r="L122" t="s">
        <v>1163</v>
      </c>
      <c r="M122">
        <f>1081*0.3048</f>
        <v>329.48880000000003</v>
      </c>
      <c r="N122" t="s">
        <v>2163</v>
      </c>
      <c r="O122" t="s">
        <v>1171</v>
      </c>
      <c r="P122" t="s">
        <v>212</v>
      </c>
      <c r="Q122" t="s">
        <v>213</v>
      </c>
      <c r="R122">
        <f>100*0.3048</f>
        <v>30.48</v>
      </c>
      <c r="S122">
        <f>4750*0.3048</f>
        <v>1447.8000000000002</v>
      </c>
      <c r="T122" s="1" t="s">
        <v>2587</v>
      </c>
      <c r="U122" s="1" t="s">
        <v>2588</v>
      </c>
    </row>
    <row r="123" spans="1:21" x14ac:dyDescent="0.3">
      <c r="A123">
        <v>27</v>
      </c>
      <c r="B123" t="s">
        <v>442</v>
      </c>
      <c r="C123" t="s">
        <v>1157</v>
      </c>
      <c r="D123" t="s">
        <v>7</v>
      </c>
      <c r="E123">
        <v>1954</v>
      </c>
      <c r="F123" t="s">
        <v>1183</v>
      </c>
      <c r="G123">
        <v>1955</v>
      </c>
      <c r="H123">
        <v>45.163530000000002</v>
      </c>
      <c r="I123">
        <v>-73.329909999999998</v>
      </c>
      <c r="J123" t="s">
        <v>15</v>
      </c>
      <c r="K123" t="s">
        <v>1162</v>
      </c>
      <c r="L123" t="s">
        <v>1163</v>
      </c>
      <c r="M123">
        <f>1381*0.3048</f>
        <v>420.92880000000002</v>
      </c>
      <c r="N123" t="s">
        <v>1326</v>
      </c>
      <c r="O123" t="s">
        <v>1171</v>
      </c>
      <c r="P123" t="s">
        <v>212</v>
      </c>
      <c r="Q123" t="s">
        <v>213</v>
      </c>
      <c r="R123">
        <f>160*0.3048</f>
        <v>48.768000000000001</v>
      </c>
      <c r="S123">
        <f>2013*0.3048</f>
        <v>613.56240000000003</v>
      </c>
      <c r="T123" s="1" t="s">
        <v>1158</v>
      </c>
      <c r="U123" s="1" t="s">
        <v>1327</v>
      </c>
    </row>
    <row r="124" spans="1:21" x14ac:dyDescent="0.3">
      <c r="A124">
        <v>28</v>
      </c>
      <c r="B124" t="s">
        <v>443</v>
      </c>
      <c r="C124" t="s">
        <v>1155</v>
      </c>
      <c r="D124" t="s">
        <v>7</v>
      </c>
      <c r="E124">
        <v>1954</v>
      </c>
      <c r="F124">
        <v>1957</v>
      </c>
      <c r="G124">
        <v>1961</v>
      </c>
      <c r="H124">
        <v>45.208970000000001</v>
      </c>
      <c r="I124">
        <v>-73.110299999999995</v>
      </c>
      <c r="J124" t="s">
        <v>15</v>
      </c>
      <c r="K124" t="s">
        <v>1162</v>
      </c>
      <c r="L124" t="s">
        <v>1163</v>
      </c>
      <c r="M124">
        <f>800*0.3048</f>
        <v>243.84</v>
      </c>
      <c r="N124" t="s">
        <v>1181</v>
      </c>
      <c r="O124" t="s">
        <v>1171</v>
      </c>
      <c r="P124" t="s">
        <v>220</v>
      </c>
      <c r="Q124" t="s">
        <v>213</v>
      </c>
      <c r="R124">
        <f>177*0.3048</f>
        <v>53.949600000000004</v>
      </c>
      <c r="S124">
        <f>4604*0.3048</f>
        <v>1403.2992000000002</v>
      </c>
      <c r="T124" s="1" t="s">
        <v>1156</v>
      </c>
      <c r="U124" s="1" t="s">
        <v>1328</v>
      </c>
    </row>
    <row r="125" spans="1:21" x14ac:dyDescent="0.3">
      <c r="A125">
        <v>29</v>
      </c>
      <c r="B125" s="8" t="s">
        <v>444</v>
      </c>
      <c r="C125" s="4" t="s">
        <v>2589</v>
      </c>
      <c r="D125" t="s">
        <v>7</v>
      </c>
      <c r="E125">
        <v>1958</v>
      </c>
      <c r="F125">
        <v>1958</v>
      </c>
      <c r="G125">
        <v>1959</v>
      </c>
      <c r="H125">
        <v>45.209600833000003</v>
      </c>
      <c r="I125">
        <v>-73.323455555999999</v>
      </c>
      <c r="J125" t="s">
        <v>15</v>
      </c>
      <c r="K125" t="s">
        <v>1162</v>
      </c>
      <c r="L125" t="s">
        <v>1173</v>
      </c>
      <c r="M125">
        <f>540*0.3048</f>
        <v>164.59200000000001</v>
      </c>
      <c r="N125" t="s">
        <v>2590</v>
      </c>
      <c r="O125" t="s">
        <v>1171</v>
      </c>
      <c r="P125" t="s">
        <v>220</v>
      </c>
      <c r="Q125" t="s">
        <v>213</v>
      </c>
      <c r="R125">
        <f>183*0.3048</f>
        <v>55.778400000000005</v>
      </c>
      <c r="S125">
        <f>2177*0.3048</f>
        <v>663.54960000000005</v>
      </c>
      <c r="T125" s="1" t="s">
        <v>2591</v>
      </c>
      <c r="U125" s="1" t="s">
        <v>2592</v>
      </c>
    </row>
    <row r="126" spans="1:21" x14ac:dyDescent="0.3">
      <c r="A126">
        <v>30</v>
      </c>
      <c r="B126" s="8" t="s">
        <v>445</v>
      </c>
      <c r="C126" s="4" t="s">
        <v>2593</v>
      </c>
      <c r="D126" t="s">
        <v>7</v>
      </c>
      <c r="E126">
        <v>1958</v>
      </c>
      <c r="F126" t="s">
        <v>1183</v>
      </c>
      <c r="G126">
        <v>1958</v>
      </c>
      <c r="H126">
        <v>45.268889999999999</v>
      </c>
      <c r="I126">
        <v>-73.251689999999996</v>
      </c>
      <c r="J126" t="s">
        <v>15</v>
      </c>
      <c r="K126" t="s">
        <v>1162</v>
      </c>
      <c r="L126" t="s">
        <v>1173</v>
      </c>
      <c r="M126">
        <f>90*0.3048</f>
        <v>27.432000000000002</v>
      </c>
      <c r="N126" t="s">
        <v>1331</v>
      </c>
      <c r="O126" t="s">
        <v>1171</v>
      </c>
      <c r="P126" t="s">
        <v>220</v>
      </c>
      <c r="Q126" t="s">
        <v>213</v>
      </c>
      <c r="R126">
        <f>99*0.3048</f>
        <v>30.1752</v>
      </c>
      <c r="S126">
        <f>835*0.3048</f>
        <v>254.50800000000001</v>
      </c>
      <c r="T126" s="1" t="s">
        <v>2594</v>
      </c>
      <c r="U126" s="1" t="s">
        <v>2595</v>
      </c>
    </row>
    <row r="127" spans="1:21" x14ac:dyDescent="0.3">
      <c r="A127">
        <v>31</v>
      </c>
      <c r="B127" t="s">
        <v>446</v>
      </c>
      <c r="C127" t="s">
        <v>1149</v>
      </c>
      <c r="D127" t="s">
        <v>7</v>
      </c>
      <c r="E127">
        <v>1958</v>
      </c>
      <c r="F127" t="s">
        <v>1183</v>
      </c>
      <c r="G127">
        <v>1958</v>
      </c>
      <c r="H127">
        <v>45.258400000000002</v>
      </c>
      <c r="I127">
        <v>-73.234859999999998</v>
      </c>
      <c r="J127" t="s">
        <v>15</v>
      </c>
      <c r="K127" t="s">
        <v>1162</v>
      </c>
      <c r="L127" t="s">
        <v>1173</v>
      </c>
      <c r="M127">
        <f>93*0.3048</f>
        <v>28.346400000000003</v>
      </c>
      <c r="N127" t="s">
        <v>1181</v>
      </c>
      <c r="O127" t="s">
        <v>1171</v>
      </c>
      <c r="P127" t="s">
        <v>220</v>
      </c>
      <c r="Q127" t="s">
        <v>213</v>
      </c>
      <c r="R127">
        <f>99*0.3048</f>
        <v>30.1752</v>
      </c>
      <c r="S127">
        <f>3940*0.3048</f>
        <v>1200.912</v>
      </c>
      <c r="T127" s="1" t="s">
        <v>1150</v>
      </c>
      <c r="U127" s="1" t="s">
        <v>1329</v>
      </c>
    </row>
    <row r="128" spans="1:21" x14ac:dyDescent="0.3">
      <c r="A128">
        <v>32</v>
      </c>
      <c r="B128" t="s">
        <v>447</v>
      </c>
      <c r="C128" t="s">
        <v>1330</v>
      </c>
      <c r="D128" t="s">
        <v>7</v>
      </c>
      <c r="E128">
        <v>1929</v>
      </c>
      <c r="F128">
        <v>1967</v>
      </c>
      <c r="G128">
        <v>1994</v>
      </c>
      <c r="H128">
        <v>45.811416667000003</v>
      </c>
      <c r="I128">
        <v>-73.430138889000006</v>
      </c>
      <c r="J128" t="s">
        <v>29</v>
      </c>
      <c r="K128" t="s">
        <v>1162</v>
      </c>
      <c r="L128" t="s">
        <v>1163</v>
      </c>
      <c r="M128">
        <f>136*0.3048</f>
        <v>41.452800000000003</v>
      </c>
      <c r="N128" t="s">
        <v>1331</v>
      </c>
      <c r="O128" t="s">
        <v>1332</v>
      </c>
      <c r="P128" t="s">
        <v>212</v>
      </c>
      <c r="Q128" t="s">
        <v>213</v>
      </c>
      <c r="R128">
        <f>51*0.3048</f>
        <v>15.5448</v>
      </c>
      <c r="S128">
        <f>1640*0.3048</f>
        <v>499.87200000000001</v>
      </c>
      <c r="T128" s="1" t="s">
        <v>1333</v>
      </c>
      <c r="U128" s="1" t="s">
        <v>1334</v>
      </c>
    </row>
    <row r="129" spans="1:21" x14ac:dyDescent="0.3">
      <c r="A129">
        <v>33</v>
      </c>
      <c r="B129" t="s">
        <v>448</v>
      </c>
      <c r="C129" t="s">
        <v>1335</v>
      </c>
      <c r="D129" t="s">
        <v>7</v>
      </c>
      <c r="E129">
        <v>1885</v>
      </c>
      <c r="F129" t="s">
        <v>1183</v>
      </c>
      <c r="G129">
        <v>1885</v>
      </c>
      <c r="H129">
        <v>46.224350000000001</v>
      </c>
      <c r="I129">
        <v>-72.487629999999996</v>
      </c>
      <c r="J129" t="s">
        <v>21</v>
      </c>
      <c r="K129" t="s">
        <v>1162</v>
      </c>
      <c r="L129" t="s">
        <v>1163</v>
      </c>
      <c r="M129" t="s">
        <v>1183</v>
      </c>
      <c r="N129" t="s">
        <v>1183</v>
      </c>
      <c r="O129" t="s">
        <v>1183</v>
      </c>
      <c r="P129" t="s">
        <v>220</v>
      </c>
      <c r="Q129" t="s">
        <v>404</v>
      </c>
      <c r="R129">
        <f>123*0.3048</f>
        <v>37.490400000000001</v>
      </c>
      <c r="S129">
        <f>2900*0.3048</f>
        <v>883.92000000000007</v>
      </c>
      <c r="T129" s="1" t="s">
        <v>1336</v>
      </c>
      <c r="U129" s="1" t="s">
        <v>1337</v>
      </c>
    </row>
    <row r="130" spans="1:21" x14ac:dyDescent="0.3">
      <c r="A130">
        <v>34</v>
      </c>
      <c r="B130" t="s">
        <v>449</v>
      </c>
      <c r="C130" t="s">
        <v>1338</v>
      </c>
      <c r="D130" t="s">
        <v>7</v>
      </c>
      <c r="E130">
        <v>1962</v>
      </c>
      <c r="F130" t="s">
        <v>1183</v>
      </c>
      <c r="G130" t="s">
        <v>1183</v>
      </c>
      <c r="H130">
        <v>46.356222222</v>
      </c>
      <c r="I130">
        <v>-72.468444443999999</v>
      </c>
      <c r="J130" t="s">
        <v>21</v>
      </c>
      <c r="K130" t="s">
        <v>1162</v>
      </c>
      <c r="L130" t="s">
        <v>1173</v>
      </c>
      <c r="M130">
        <f>40*0.3048</f>
        <v>12.192</v>
      </c>
      <c r="N130" t="s">
        <v>1179</v>
      </c>
      <c r="O130" t="s">
        <v>1339</v>
      </c>
      <c r="P130" t="s">
        <v>212</v>
      </c>
      <c r="Q130" t="s">
        <v>404</v>
      </c>
      <c r="R130" t="s">
        <v>1183</v>
      </c>
      <c r="S130">
        <f>820*0.3048</f>
        <v>249.93600000000001</v>
      </c>
      <c r="T130" s="1" t="s">
        <v>1340</v>
      </c>
      <c r="U130" s="1" t="s">
        <v>1341</v>
      </c>
    </row>
    <row r="131" spans="1:21" x14ac:dyDescent="0.3">
      <c r="A131">
        <v>35</v>
      </c>
      <c r="B131" t="s">
        <v>450</v>
      </c>
      <c r="C131" t="s">
        <v>1342</v>
      </c>
      <c r="D131" t="s">
        <v>7</v>
      </c>
      <c r="E131">
        <v>1943</v>
      </c>
      <c r="F131" t="s">
        <v>1183</v>
      </c>
      <c r="G131">
        <v>1943</v>
      </c>
      <c r="H131">
        <v>46.483409999999999</v>
      </c>
      <c r="I131">
        <v>-71.981480000000005</v>
      </c>
      <c r="J131" t="s">
        <v>21</v>
      </c>
      <c r="K131" t="s">
        <v>1162</v>
      </c>
      <c r="L131" t="s">
        <v>1167</v>
      </c>
      <c r="M131">
        <f>77*0.3048</f>
        <v>23.4696</v>
      </c>
      <c r="N131" t="s">
        <v>1179</v>
      </c>
      <c r="O131" t="s">
        <v>1343</v>
      </c>
      <c r="P131" t="s">
        <v>212</v>
      </c>
      <c r="Q131" t="s">
        <v>404</v>
      </c>
      <c r="R131">
        <f>226*0.3048</f>
        <v>68.884799999999998</v>
      </c>
      <c r="S131">
        <f>771*0.3048</f>
        <v>235.0008</v>
      </c>
      <c r="T131" s="1" t="s">
        <v>1344</v>
      </c>
      <c r="U131" s="1" t="s">
        <v>1345</v>
      </c>
    </row>
    <row r="132" spans="1:21" x14ac:dyDescent="0.3">
      <c r="A132">
        <v>36</v>
      </c>
      <c r="B132" t="s">
        <v>453</v>
      </c>
      <c r="C132" t="s">
        <v>1346</v>
      </c>
      <c r="D132" t="s">
        <v>7</v>
      </c>
      <c r="E132">
        <v>1955</v>
      </c>
      <c r="F132" t="s">
        <v>1183</v>
      </c>
      <c r="G132">
        <v>1992</v>
      </c>
      <c r="H132">
        <v>46.338639000000001</v>
      </c>
      <c r="I132">
        <v>-72.813721999999999</v>
      </c>
      <c r="J132" t="s">
        <v>12</v>
      </c>
      <c r="K132" t="s">
        <v>1162</v>
      </c>
      <c r="L132" t="s">
        <v>1163</v>
      </c>
      <c r="M132">
        <f>691*0.3048</f>
        <v>210.61680000000001</v>
      </c>
      <c r="N132" t="s">
        <v>1279</v>
      </c>
      <c r="O132" t="s">
        <v>1347</v>
      </c>
      <c r="P132" t="s">
        <v>212</v>
      </c>
      <c r="Q132" t="s">
        <v>213</v>
      </c>
      <c r="R132">
        <f>127*0.3048</f>
        <v>38.709600000000002</v>
      </c>
      <c r="S132">
        <f>909*0.3048</f>
        <v>277.06319999999999</v>
      </c>
      <c r="T132" s="1" t="s">
        <v>1348</v>
      </c>
      <c r="U132" s="1" t="s">
        <v>1349</v>
      </c>
    </row>
    <row r="133" spans="1:21" x14ac:dyDescent="0.3">
      <c r="A133">
        <v>37</v>
      </c>
      <c r="B133" s="8" t="s">
        <v>455</v>
      </c>
      <c r="C133" s="4" t="s">
        <v>2596</v>
      </c>
      <c r="D133" t="s">
        <v>7</v>
      </c>
      <c r="E133">
        <v>1958</v>
      </c>
      <c r="F133" t="s">
        <v>1183</v>
      </c>
      <c r="G133">
        <v>1958</v>
      </c>
      <c r="H133">
        <v>45.645952800000003</v>
      </c>
      <c r="I133">
        <v>-73.659667799999994</v>
      </c>
      <c r="J133" t="s">
        <v>1397</v>
      </c>
      <c r="K133" t="s">
        <v>1162</v>
      </c>
      <c r="L133" t="s">
        <v>1167</v>
      </c>
      <c r="M133">
        <f>100*0.3048</f>
        <v>30.48</v>
      </c>
      <c r="N133" t="s">
        <v>2476</v>
      </c>
      <c r="O133" t="s">
        <v>2597</v>
      </c>
      <c r="P133" t="s">
        <v>212</v>
      </c>
      <c r="Q133" t="s">
        <v>213</v>
      </c>
      <c r="R133">
        <f>116*0.3048</f>
        <v>35.3568</v>
      </c>
      <c r="S133">
        <f>3308*0.3048</f>
        <v>1008.2784</v>
      </c>
      <c r="T133" s="1" t="s">
        <v>2598</v>
      </c>
      <c r="U133" s="1" t="s">
        <v>2599</v>
      </c>
    </row>
    <row r="134" spans="1:21" x14ac:dyDescent="0.3">
      <c r="A134">
        <v>38</v>
      </c>
      <c r="B134" t="s">
        <v>459</v>
      </c>
      <c r="C134" t="s">
        <v>1350</v>
      </c>
      <c r="D134" t="s">
        <v>7</v>
      </c>
      <c r="E134">
        <v>1958</v>
      </c>
      <c r="F134" t="s">
        <v>1183</v>
      </c>
      <c r="G134">
        <v>1958</v>
      </c>
      <c r="H134">
        <v>46.171329999999998</v>
      </c>
      <c r="I134">
        <v>-72.677729999999997</v>
      </c>
      <c r="J134" t="s">
        <v>21</v>
      </c>
      <c r="K134" t="s">
        <v>1162</v>
      </c>
      <c r="L134" t="s">
        <v>1167</v>
      </c>
      <c r="M134">
        <f>168*0.3048</f>
        <v>51.206400000000002</v>
      </c>
      <c r="N134" t="s">
        <v>1181</v>
      </c>
      <c r="O134" t="s">
        <v>1175</v>
      </c>
      <c r="P134" t="s">
        <v>212</v>
      </c>
      <c r="Q134" t="s">
        <v>213</v>
      </c>
      <c r="R134">
        <f>17*0.3048</f>
        <v>5.1816000000000004</v>
      </c>
      <c r="S134">
        <f>2460*0.3048</f>
        <v>749.80799999999999</v>
      </c>
      <c r="T134" s="1" t="s">
        <v>1351</v>
      </c>
      <c r="U134" s="1" t="s">
        <v>1352</v>
      </c>
    </row>
    <row r="135" spans="1:21" x14ac:dyDescent="0.3">
      <c r="A135">
        <v>39</v>
      </c>
      <c r="B135" t="s">
        <v>460</v>
      </c>
      <c r="C135" t="s">
        <v>1353</v>
      </c>
      <c r="D135" t="s">
        <v>7</v>
      </c>
      <c r="E135">
        <v>1958</v>
      </c>
      <c r="F135">
        <v>1959</v>
      </c>
      <c r="G135">
        <v>1959</v>
      </c>
      <c r="H135">
        <v>46.170729999999999</v>
      </c>
      <c r="I135">
        <v>-72.677250000000001</v>
      </c>
      <c r="J135" t="s">
        <v>21</v>
      </c>
      <c r="K135" t="s">
        <v>1162</v>
      </c>
      <c r="L135" t="s">
        <v>1176</v>
      </c>
      <c r="M135">
        <f>153*0.3048</f>
        <v>46.634399999999999</v>
      </c>
      <c r="N135" t="s">
        <v>1181</v>
      </c>
      <c r="O135" t="s">
        <v>1175</v>
      </c>
      <c r="P135" t="s">
        <v>212</v>
      </c>
      <c r="Q135" t="s">
        <v>213</v>
      </c>
      <c r="R135">
        <f>17*0.3048</f>
        <v>5.1816000000000004</v>
      </c>
      <c r="S135">
        <f>2890*0.3048</f>
        <v>880.87200000000007</v>
      </c>
      <c r="T135" s="1" t="s">
        <v>1354</v>
      </c>
      <c r="U135" s="1" t="s">
        <v>1355</v>
      </c>
    </row>
    <row r="136" spans="1:21" x14ac:dyDescent="0.3">
      <c r="A136">
        <v>40</v>
      </c>
      <c r="B136" t="s">
        <v>461</v>
      </c>
      <c r="C136" t="s">
        <v>1356</v>
      </c>
      <c r="D136" t="s">
        <v>7</v>
      </c>
      <c r="E136">
        <v>1959</v>
      </c>
      <c r="F136" t="s">
        <v>1183</v>
      </c>
      <c r="G136">
        <v>1995</v>
      </c>
      <c r="H136">
        <v>46.171714999999999</v>
      </c>
      <c r="I136">
        <v>-72.675888999999998</v>
      </c>
      <c r="J136" t="s">
        <v>21</v>
      </c>
      <c r="K136" t="s">
        <v>1162</v>
      </c>
      <c r="L136" t="s">
        <v>1173</v>
      </c>
      <c r="M136">
        <f>2790*0.3048</f>
        <v>850.39200000000005</v>
      </c>
      <c r="N136" t="s">
        <v>1181</v>
      </c>
      <c r="O136" t="s">
        <v>1175</v>
      </c>
      <c r="P136" t="s">
        <v>212</v>
      </c>
      <c r="Q136" t="s">
        <v>213</v>
      </c>
      <c r="R136">
        <f>18*0.3048</f>
        <v>5.4864000000000006</v>
      </c>
      <c r="S136">
        <f>3020*0.3048</f>
        <v>920.49600000000009</v>
      </c>
      <c r="T136" s="1" t="s">
        <v>1357</v>
      </c>
      <c r="U136" s="1" t="s">
        <v>1358</v>
      </c>
    </row>
    <row r="137" spans="1:21" x14ac:dyDescent="0.3">
      <c r="A137">
        <v>41</v>
      </c>
      <c r="B137" t="s">
        <v>463</v>
      </c>
      <c r="C137" t="s">
        <v>1359</v>
      </c>
      <c r="D137" t="s">
        <v>7</v>
      </c>
      <c r="E137">
        <v>1962</v>
      </c>
      <c r="F137">
        <v>1970</v>
      </c>
      <c r="G137">
        <v>1995</v>
      </c>
      <c r="H137">
        <v>46.170749999999998</v>
      </c>
      <c r="I137">
        <v>-72.67398</v>
      </c>
      <c r="J137" t="s">
        <v>21</v>
      </c>
      <c r="K137" t="s">
        <v>1162</v>
      </c>
      <c r="L137" t="s">
        <v>1173</v>
      </c>
      <c r="M137">
        <f>3805*0.3048</f>
        <v>1159.7640000000001</v>
      </c>
      <c r="N137" t="s">
        <v>1360</v>
      </c>
      <c r="O137" t="s">
        <v>1175</v>
      </c>
      <c r="P137" t="s">
        <v>212</v>
      </c>
      <c r="Q137" t="s">
        <v>213</v>
      </c>
      <c r="R137">
        <f>20*0.3048</f>
        <v>6.0960000000000001</v>
      </c>
      <c r="S137">
        <f>4437*0.3048</f>
        <v>1352.3976</v>
      </c>
      <c r="T137" s="1" t="s">
        <v>1361</v>
      </c>
      <c r="U137" s="1" t="s">
        <v>1362</v>
      </c>
    </row>
    <row r="138" spans="1:21" x14ac:dyDescent="0.3">
      <c r="A138">
        <v>42</v>
      </c>
      <c r="B138" t="s">
        <v>465</v>
      </c>
      <c r="C138" t="s">
        <v>1363</v>
      </c>
      <c r="D138" t="s">
        <v>7</v>
      </c>
      <c r="E138">
        <v>1955</v>
      </c>
      <c r="F138" t="s">
        <v>1183</v>
      </c>
      <c r="G138" t="s">
        <v>1183</v>
      </c>
      <c r="H138">
        <v>45.972859999999997</v>
      </c>
      <c r="I138">
        <v>-73.251829999999998</v>
      </c>
      <c r="J138" t="s">
        <v>29</v>
      </c>
      <c r="K138" t="s">
        <v>1162</v>
      </c>
      <c r="L138" t="s">
        <v>1167</v>
      </c>
      <c r="M138" t="s">
        <v>1183</v>
      </c>
      <c r="N138" t="s">
        <v>1179</v>
      </c>
      <c r="O138" t="s">
        <v>1364</v>
      </c>
      <c r="P138" t="s">
        <v>212</v>
      </c>
      <c r="Q138" t="s">
        <v>404</v>
      </c>
      <c r="R138">
        <f>50*0.3048</f>
        <v>15.24</v>
      </c>
      <c r="S138">
        <f>1350*0.3048</f>
        <v>411.48</v>
      </c>
      <c r="T138" s="1" t="s">
        <v>1365</v>
      </c>
      <c r="U138" s="1" t="s">
        <v>1366</v>
      </c>
    </row>
    <row r="139" spans="1:21" x14ac:dyDescent="0.3">
      <c r="A139">
        <v>43</v>
      </c>
      <c r="B139" t="s">
        <v>466</v>
      </c>
      <c r="C139" t="s">
        <v>1373</v>
      </c>
      <c r="D139" t="s">
        <v>7</v>
      </c>
      <c r="E139">
        <v>1956</v>
      </c>
      <c r="F139" t="s">
        <v>1183</v>
      </c>
      <c r="G139">
        <v>1956</v>
      </c>
      <c r="H139">
        <v>46.548960000000001</v>
      </c>
      <c r="I139">
        <v>-71.998440000000002</v>
      </c>
      <c r="J139" t="s">
        <v>51</v>
      </c>
      <c r="K139" t="s">
        <v>1162</v>
      </c>
      <c r="L139" t="s">
        <v>1163</v>
      </c>
      <c r="M139">
        <f>2924*0.3048</f>
        <v>891.23520000000008</v>
      </c>
      <c r="N139" t="s">
        <v>1287</v>
      </c>
      <c r="O139" t="s">
        <v>1178</v>
      </c>
      <c r="P139" t="s">
        <v>212</v>
      </c>
      <c r="Q139" t="s">
        <v>213</v>
      </c>
      <c r="R139">
        <f>168*0.3048</f>
        <v>51.206400000000002</v>
      </c>
      <c r="S139">
        <f>3445*0.3048</f>
        <v>1050.0360000000001</v>
      </c>
      <c r="T139" s="1" t="s">
        <v>1367</v>
      </c>
      <c r="U139" s="1" t="s">
        <v>1368</v>
      </c>
    </row>
    <row r="140" spans="1:21" x14ac:dyDescent="0.3">
      <c r="A140">
        <v>44</v>
      </c>
      <c r="B140" t="s">
        <v>467</v>
      </c>
      <c r="C140" t="s">
        <v>1372</v>
      </c>
      <c r="D140" t="s">
        <v>7</v>
      </c>
      <c r="E140">
        <v>1956</v>
      </c>
      <c r="F140">
        <v>1957</v>
      </c>
      <c r="G140">
        <v>1957</v>
      </c>
      <c r="H140">
        <v>46.294750000000001</v>
      </c>
      <c r="I140">
        <v>-72.554640000000006</v>
      </c>
      <c r="J140" t="s">
        <v>21</v>
      </c>
      <c r="K140" t="s">
        <v>1162</v>
      </c>
      <c r="L140" t="s">
        <v>1176</v>
      </c>
      <c r="M140">
        <f>2256*0.3048</f>
        <v>687.62880000000007</v>
      </c>
      <c r="N140" t="s">
        <v>1308</v>
      </c>
      <c r="O140" t="s">
        <v>1178</v>
      </c>
      <c r="P140" t="s">
        <v>212</v>
      </c>
      <c r="Q140" t="s">
        <v>213</v>
      </c>
      <c r="R140">
        <f>21*0.3048</f>
        <v>6.4008000000000003</v>
      </c>
      <c r="S140">
        <f>4121*0.3048</f>
        <v>1256.0808</v>
      </c>
      <c r="T140" s="1" t="s">
        <v>1369</v>
      </c>
      <c r="U140" s="1" t="s">
        <v>1370</v>
      </c>
    </row>
    <row r="141" spans="1:21" x14ac:dyDescent="0.3">
      <c r="A141">
        <v>45</v>
      </c>
      <c r="B141" t="s">
        <v>468</v>
      </c>
      <c r="C141" t="s">
        <v>1371</v>
      </c>
      <c r="D141" t="s">
        <v>7</v>
      </c>
      <c r="E141">
        <v>1957</v>
      </c>
      <c r="F141" t="s">
        <v>1183</v>
      </c>
      <c r="G141">
        <v>1957</v>
      </c>
      <c r="H141">
        <v>46.616010000000003</v>
      </c>
      <c r="I141">
        <v>-71.867819999999995</v>
      </c>
      <c r="J141" t="s">
        <v>51</v>
      </c>
      <c r="K141" t="s">
        <v>1162</v>
      </c>
      <c r="L141" t="s">
        <v>1163</v>
      </c>
      <c r="M141">
        <f>1387*0.3048</f>
        <v>422.75760000000002</v>
      </c>
      <c r="N141" t="s">
        <v>1308</v>
      </c>
      <c r="O141" t="s">
        <v>1178</v>
      </c>
      <c r="P141" t="s">
        <v>220</v>
      </c>
      <c r="Q141" t="s">
        <v>213</v>
      </c>
      <c r="R141">
        <f>209*0.3048</f>
        <v>63.703200000000002</v>
      </c>
      <c r="S141">
        <f>1969*0.3048</f>
        <v>600.15120000000002</v>
      </c>
      <c r="T141" s="1" t="s">
        <v>1374</v>
      </c>
      <c r="U141" s="1" t="s">
        <v>1375</v>
      </c>
    </row>
    <row r="142" spans="1:21" x14ac:dyDescent="0.3">
      <c r="A142">
        <v>46</v>
      </c>
      <c r="B142" t="s">
        <v>469</v>
      </c>
      <c r="C142" t="s">
        <v>1376</v>
      </c>
      <c r="D142" t="s">
        <v>7</v>
      </c>
      <c r="E142">
        <v>1957</v>
      </c>
      <c r="F142" t="s">
        <v>1183</v>
      </c>
      <c r="G142">
        <v>1957</v>
      </c>
      <c r="H142">
        <v>46.114829999999998</v>
      </c>
      <c r="I142">
        <v>-72.503360000000001</v>
      </c>
      <c r="J142" t="s">
        <v>21</v>
      </c>
      <c r="K142" t="s">
        <v>1162</v>
      </c>
      <c r="L142" t="s">
        <v>1173</v>
      </c>
      <c r="M142">
        <f>555*0.3048</f>
        <v>169.16400000000002</v>
      </c>
      <c r="N142" t="s">
        <v>1179</v>
      </c>
      <c r="O142" t="s">
        <v>1178</v>
      </c>
      <c r="P142" t="s">
        <v>220</v>
      </c>
      <c r="Q142" t="s">
        <v>213</v>
      </c>
      <c r="R142">
        <f>202*0.3048</f>
        <v>61.569600000000001</v>
      </c>
      <c r="S142">
        <f>5046*0.3048</f>
        <v>1538.0208</v>
      </c>
      <c r="T142" s="1" t="s">
        <v>1377</v>
      </c>
      <c r="U142" s="1" t="s">
        <v>1378</v>
      </c>
    </row>
    <row r="143" spans="1:21" x14ac:dyDescent="0.3">
      <c r="A143">
        <v>47</v>
      </c>
      <c r="B143" t="s">
        <v>470</v>
      </c>
      <c r="C143" t="s">
        <v>1379</v>
      </c>
      <c r="D143" t="s">
        <v>7</v>
      </c>
      <c r="E143">
        <v>1959</v>
      </c>
      <c r="F143" t="s">
        <v>1183</v>
      </c>
      <c r="G143">
        <v>1959</v>
      </c>
      <c r="H143">
        <v>46.436670556000003</v>
      </c>
      <c r="I143">
        <v>-72.405407777999997</v>
      </c>
      <c r="J143" t="s">
        <v>12</v>
      </c>
      <c r="K143" t="s">
        <v>1162</v>
      </c>
      <c r="L143" t="s">
        <v>1163</v>
      </c>
      <c r="M143">
        <f>565*0.3048</f>
        <v>172.21200000000002</v>
      </c>
      <c r="N143" t="s">
        <v>1308</v>
      </c>
      <c r="O143" t="s">
        <v>1216</v>
      </c>
      <c r="P143" t="s">
        <v>212</v>
      </c>
      <c r="Q143" t="s">
        <v>213</v>
      </c>
      <c r="R143">
        <f>74*0.3048</f>
        <v>22.555200000000003</v>
      </c>
      <c r="S143">
        <f>3024*0.3048</f>
        <v>921.7152000000001</v>
      </c>
      <c r="T143" s="1" t="s">
        <v>1380</v>
      </c>
      <c r="U143" s="1" t="s">
        <v>1381</v>
      </c>
    </row>
    <row r="144" spans="1:21" x14ac:dyDescent="0.3">
      <c r="A144">
        <v>48</v>
      </c>
      <c r="B144" t="s">
        <v>471</v>
      </c>
      <c r="C144" t="s">
        <v>1382</v>
      </c>
      <c r="D144" t="s">
        <v>7</v>
      </c>
      <c r="E144">
        <v>1957</v>
      </c>
      <c r="F144">
        <v>1957</v>
      </c>
      <c r="G144">
        <v>1957</v>
      </c>
      <c r="H144">
        <v>45.738987999999999</v>
      </c>
      <c r="I144">
        <v>-73.368447000000003</v>
      </c>
      <c r="J144" t="s">
        <v>15</v>
      </c>
      <c r="K144" t="s">
        <v>1162</v>
      </c>
      <c r="L144" t="s">
        <v>1163</v>
      </c>
      <c r="M144">
        <f>2868*0.3048</f>
        <v>874.16640000000007</v>
      </c>
      <c r="N144" t="s">
        <v>1383</v>
      </c>
      <c r="O144" t="s">
        <v>1178</v>
      </c>
      <c r="P144" t="s">
        <v>220</v>
      </c>
      <c r="Q144" t="s">
        <v>213</v>
      </c>
      <c r="R144">
        <f>58*0.3048</f>
        <v>17.6784</v>
      </c>
      <c r="S144">
        <f>3762*0.3048</f>
        <v>1146.6576</v>
      </c>
      <c r="T144" s="1" t="s">
        <v>1384</v>
      </c>
      <c r="U144" s="1" t="s">
        <v>1385</v>
      </c>
    </row>
    <row r="145" spans="1:21" x14ac:dyDescent="0.3">
      <c r="A145">
        <v>49</v>
      </c>
      <c r="B145" t="s">
        <v>473</v>
      </c>
      <c r="C145" t="s">
        <v>1153</v>
      </c>
      <c r="D145" t="s">
        <v>7</v>
      </c>
      <c r="E145">
        <v>1953</v>
      </c>
      <c r="F145" t="s">
        <v>1183</v>
      </c>
      <c r="G145">
        <v>1958</v>
      </c>
      <c r="H145">
        <v>45.197859999999999</v>
      </c>
      <c r="I145">
        <v>-73.268069999999994</v>
      </c>
      <c r="J145" t="s">
        <v>15</v>
      </c>
      <c r="K145" t="s">
        <v>1162</v>
      </c>
      <c r="L145" t="s">
        <v>1167</v>
      </c>
      <c r="M145" t="s">
        <v>1183</v>
      </c>
      <c r="N145" t="s">
        <v>1181</v>
      </c>
      <c r="O145" t="s">
        <v>1386</v>
      </c>
      <c r="P145" t="s">
        <v>218</v>
      </c>
      <c r="Q145" t="s">
        <v>213</v>
      </c>
      <c r="R145">
        <f>99*0.3048</f>
        <v>30.1752</v>
      </c>
      <c r="S145">
        <f>3122*0.3048</f>
        <v>951.5856</v>
      </c>
      <c r="T145" s="1" t="s">
        <v>1154</v>
      </c>
      <c r="U145" s="1" t="s">
        <v>1387</v>
      </c>
    </row>
    <row r="146" spans="1:21" x14ac:dyDescent="0.3">
      <c r="A146">
        <v>50</v>
      </c>
      <c r="B146" t="s">
        <v>475</v>
      </c>
      <c r="C146" t="s">
        <v>1388</v>
      </c>
      <c r="D146" t="s">
        <v>7</v>
      </c>
      <c r="E146">
        <v>1937</v>
      </c>
      <c r="F146" t="s">
        <v>1183</v>
      </c>
      <c r="G146">
        <v>1938</v>
      </c>
      <c r="H146">
        <v>45.670332999999999</v>
      </c>
      <c r="I146">
        <v>-73.837249999999997</v>
      </c>
      <c r="J146" t="s">
        <v>1389</v>
      </c>
      <c r="K146" t="s">
        <v>1162</v>
      </c>
      <c r="L146" t="s">
        <v>1167</v>
      </c>
      <c r="M146">
        <f>20*0.3048</f>
        <v>6.0960000000000001</v>
      </c>
      <c r="N146" t="s">
        <v>1390</v>
      </c>
      <c r="O146" t="s">
        <v>1391</v>
      </c>
      <c r="P146" t="s">
        <v>218</v>
      </c>
      <c r="Q146" t="s">
        <v>404</v>
      </c>
      <c r="R146">
        <f>231*0.3048</f>
        <v>70.408799999999999</v>
      </c>
      <c r="S146">
        <f>3035*0.3048</f>
        <v>925.0680000000001</v>
      </c>
      <c r="T146" s="1" t="s">
        <v>1392</v>
      </c>
      <c r="U146" s="1" t="s">
        <v>1393</v>
      </c>
    </row>
    <row r="147" spans="1:21" x14ac:dyDescent="0.3">
      <c r="A147">
        <v>51</v>
      </c>
      <c r="B147" s="8" t="s">
        <v>477</v>
      </c>
      <c r="C147" s="4" t="s">
        <v>2617</v>
      </c>
      <c r="D147" t="s">
        <v>7</v>
      </c>
      <c r="E147">
        <v>1914</v>
      </c>
      <c r="F147" t="s">
        <v>1183</v>
      </c>
      <c r="G147">
        <v>1915</v>
      </c>
      <c r="H147">
        <v>45.700600000000001</v>
      </c>
      <c r="I147">
        <v>-72.976799999999997</v>
      </c>
      <c r="J147" t="s">
        <v>15</v>
      </c>
      <c r="K147" t="s">
        <v>1162</v>
      </c>
      <c r="L147" t="s">
        <v>1163</v>
      </c>
      <c r="M147">
        <f>1280*0.3048</f>
        <v>390.14400000000001</v>
      </c>
      <c r="N147" t="s">
        <v>1179</v>
      </c>
      <c r="O147" t="s">
        <v>1395</v>
      </c>
      <c r="P147" t="s">
        <v>212</v>
      </c>
      <c r="Q147" t="s">
        <v>404</v>
      </c>
      <c r="R147">
        <f>114*0.3048</f>
        <v>34.747199999999999</v>
      </c>
      <c r="S147">
        <f>2050*0.3048</f>
        <v>624.84</v>
      </c>
      <c r="T147" s="1" t="s">
        <v>2618</v>
      </c>
      <c r="U147" s="1" t="s">
        <v>2619</v>
      </c>
    </row>
    <row r="148" spans="1:21" x14ac:dyDescent="0.3">
      <c r="A148">
        <v>52</v>
      </c>
      <c r="B148" s="7" t="s">
        <v>478</v>
      </c>
      <c r="C148" t="s">
        <v>1133</v>
      </c>
      <c r="D148" t="s">
        <v>7</v>
      </c>
      <c r="E148">
        <v>1916</v>
      </c>
      <c r="F148" t="s">
        <v>1183</v>
      </c>
      <c r="G148">
        <v>1916</v>
      </c>
      <c r="H148">
        <v>45.706032999999998</v>
      </c>
      <c r="I148">
        <v>-72.980886999999996</v>
      </c>
      <c r="J148" t="s">
        <v>15</v>
      </c>
      <c r="K148" t="s">
        <v>1162</v>
      </c>
      <c r="L148" t="s">
        <v>1163</v>
      </c>
      <c r="M148">
        <f>1051*0.3048</f>
        <v>320.34480000000002</v>
      </c>
      <c r="N148" t="s">
        <v>1179</v>
      </c>
      <c r="O148" t="s">
        <v>1395</v>
      </c>
      <c r="P148" t="s">
        <v>212</v>
      </c>
      <c r="Q148" t="s">
        <v>404</v>
      </c>
      <c r="R148">
        <f>113*0.3048</f>
        <v>34.442399999999999</v>
      </c>
      <c r="S148">
        <f>1826*0.3048</f>
        <v>556.56479999999999</v>
      </c>
      <c r="T148" s="1" t="s">
        <v>1134</v>
      </c>
      <c r="U148" s="1" t="s">
        <v>1396</v>
      </c>
    </row>
    <row r="149" spans="1:21" x14ac:dyDescent="0.3">
      <c r="A149">
        <v>53</v>
      </c>
      <c r="B149" t="s">
        <v>480</v>
      </c>
      <c r="C149" t="s">
        <v>1105</v>
      </c>
      <c r="D149" t="s">
        <v>7</v>
      </c>
      <c r="E149">
        <v>1956</v>
      </c>
      <c r="F149" t="s">
        <v>1183</v>
      </c>
      <c r="G149">
        <v>1957</v>
      </c>
      <c r="H149">
        <v>45.683268056000003</v>
      </c>
      <c r="I149">
        <v>-73.566488888999999</v>
      </c>
      <c r="J149" t="s">
        <v>1397</v>
      </c>
      <c r="K149" t="s">
        <v>1162</v>
      </c>
      <c r="L149" t="s">
        <v>1173</v>
      </c>
      <c r="M149">
        <f>111*0.3048</f>
        <v>33.832799999999999</v>
      </c>
      <c r="N149" t="s">
        <v>1299</v>
      </c>
      <c r="O149" t="s">
        <v>1398</v>
      </c>
      <c r="P149" t="s">
        <v>212</v>
      </c>
      <c r="Q149" t="s">
        <v>213</v>
      </c>
      <c r="R149">
        <f>55*0.3048</f>
        <v>16.763999999999999</v>
      </c>
      <c r="S149">
        <f>1503*0.3048</f>
        <v>458.11440000000005</v>
      </c>
      <c r="T149" s="1" t="s">
        <v>1106</v>
      </c>
      <c r="U149" s="1" t="s">
        <v>1399</v>
      </c>
    </row>
    <row r="150" spans="1:21" x14ac:dyDescent="0.3">
      <c r="A150">
        <v>54</v>
      </c>
      <c r="B150" t="s">
        <v>481</v>
      </c>
      <c r="C150" t="s">
        <v>1103</v>
      </c>
      <c r="D150" t="s">
        <v>7</v>
      </c>
      <c r="E150">
        <v>1956</v>
      </c>
      <c r="F150">
        <v>1957</v>
      </c>
      <c r="G150">
        <v>1957</v>
      </c>
      <c r="H150">
        <v>45.683581666999999</v>
      </c>
      <c r="I150">
        <v>-73.634729167000003</v>
      </c>
      <c r="J150" t="s">
        <v>1397</v>
      </c>
      <c r="K150" t="s">
        <v>1162</v>
      </c>
      <c r="L150" t="s">
        <v>1173</v>
      </c>
      <c r="M150">
        <f>1598*0.3048</f>
        <v>487.07040000000001</v>
      </c>
      <c r="N150" t="s">
        <v>1299</v>
      </c>
      <c r="O150" t="s">
        <v>1398</v>
      </c>
      <c r="P150" t="s">
        <v>212</v>
      </c>
      <c r="Q150" t="s">
        <v>213</v>
      </c>
      <c r="R150">
        <f>56*0.3048</f>
        <v>17.0688</v>
      </c>
      <c r="S150">
        <f>2046*0.3048</f>
        <v>623.62080000000003</v>
      </c>
      <c r="T150" s="1" t="s">
        <v>1104</v>
      </c>
      <c r="U150" s="1" t="s">
        <v>1400</v>
      </c>
    </row>
    <row r="151" spans="1:21" x14ac:dyDescent="0.3">
      <c r="A151">
        <v>55</v>
      </c>
      <c r="B151" t="s">
        <v>482</v>
      </c>
      <c r="C151" t="s">
        <v>1401</v>
      </c>
      <c r="D151" t="s">
        <v>7</v>
      </c>
      <c r="E151">
        <v>1956</v>
      </c>
      <c r="F151">
        <v>1956</v>
      </c>
      <c r="G151">
        <v>1961</v>
      </c>
      <c r="H151">
        <v>45.787039999999998</v>
      </c>
      <c r="I151">
        <v>-73.531549999999996</v>
      </c>
      <c r="J151" t="s">
        <v>29</v>
      </c>
      <c r="K151" t="s">
        <v>1162</v>
      </c>
      <c r="L151" t="s">
        <v>1173</v>
      </c>
      <c r="M151">
        <f>111*0.3048</f>
        <v>33.832799999999999</v>
      </c>
      <c r="N151" t="s">
        <v>1181</v>
      </c>
      <c r="O151" t="s">
        <v>1180</v>
      </c>
      <c r="P151" t="s">
        <v>220</v>
      </c>
      <c r="Q151" t="s">
        <v>213</v>
      </c>
      <c r="R151">
        <f>52*0.3048</f>
        <v>15.849600000000001</v>
      </c>
      <c r="S151">
        <f>578*0.3048</f>
        <v>176.17440000000002</v>
      </c>
      <c r="T151" s="1" t="s">
        <v>1402</v>
      </c>
      <c r="U151" s="1" t="s">
        <v>1403</v>
      </c>
    </row>
    <row r="152" spans="1:21" x14ac:dyDescent="0.3">
      <c r="A152">
        <v>56</v>
      </c>
      <c r="B152" s="7" t="s">
        <v>484</v>
      </c>
      <c r="C152" t="s">
        <v>1404</v>
      </c>
      <c r="D152" t="s">
        <v>7</v>
      </c>
      <c r="E152">
        <v>1956</v>
      </c>
      <c r="F152" t="s">
        <v>1183</v>
      </c>
      <c r="G152">
        <v>1962</v>
      </c>
      <c r="H152">
        <v>45.834960000000002</v>
      </c>
      <c r="I152">
        <v>-73.410200000000003</v>
      </c>
      <c r="J152" t="s">
        <v>29</v>
      </c>
      <c r="K152" t="s">
        <v>1162</v>
      </c>
      <c r="L152" t="s">
        <v>1167</v>
      </c>
      <c r="M152">
        <f>1300*0.3048</f>
        <v>396.24</v>
      </c>
      <c r="N152" t="s">
        <v>1299</v>
      </c>
      <c r="O152" t="s">
        <v>1180</v>
      </c>
      <c r="P152" t="s">
        <v>220</v>
      </c>
      <c r="Q152" t="s">
        <v>213</v>
      </c>
      <c r="R152">
        <f>47*0.3048</f>
        <v>14.325600000000001</v>
      </c>
      <c r="S152">
        <f>2655*0.3048</f>
        <v>809.24400000000003</v>
      </c>
      <c r="T152" s="1" t="s">
        <v>1405</v>
      </c>
      <c r="U152" s="1" t="s">
        <v>1406</v>
      </c>
    </row>
    <row r="153" spans="1:21" x14ac:dyDescent="0.3">
      <c r="A153">
        <v>57</v>
      </c>
      <c r="B153" s="8" t="s">
        <v>486</v>
      </c>
      <c r="C153" s="4" t="s">
        <v>2623</v>
      </c>
      <c r="D153" t="s">
        <v>7</v>
      </c>
      <c r="E153">
        <v>1956</v>
      </c>
      <c r="F153">
        <v>1956</v>
      </c>
      <c r="G153">
        <v>1962</v>
      </c>
      <c r="H153">
        <v>45.816389000000001</v>
      </c>
      <c r="I153">
        <v>-73.372056000000001</v>
      </c>
      <c r="J153" t="s">
        <v>29</v>
      </c>
      <c r="K153" t="s">
        <v>1162</v>
      </c>
      <c r="L153" t="s">
        <v>1173</v>
      </c>
      <c r="M153">
        <f>83*0.3048</f>
        <v>25.298400000000001</v>
      </c>
      <c r="N153" t="s">
        <v>1179</v>
      </c>
      <c r="O153" t="s">
        <v>1180</v>
      </c>
      <c r="P153" t="s">
        <v>212</v>
      </c>
      <c r="Q153" t="s">
        <v>213</v>
      </c>
      <c r="R153">
        <f>49*0.3048</f>
        <v>14.9352</v>
      </c>
      <c r="S153">
        <f>1000*0.3048</f>
        <v>304.8</v>
      </c>
      <c r="T153" t="s">
        <v>220</v>
      </c>
      <c r="U153" s="1" t="s">
        <v>2624</v>
      </c>
    </row>
    <row r="154" spans="1:21" x14ac:dyDescent="0.3">
      <c r="A154">
        <v>58</v>
      </c>
      <c r="B154" t="s">
        <v>487</v>
      </c>
      <c r="C154" t="s">
        <v>1059</v>
      </c>
      <c r="D154" t="s">
        <v>7</v>
      </c>
      <c r="E154">
        <v>1956</v>
      </c>
      <c r="F154">
        <v>1956</v>
      </c>
      <c r="G154">
        <v>1962</v>
      </c>
      <c r="H154">
        <v>45.871859999999998</v>
      </c>
      <c r="I154">
        <v>-73.376727000000002</v>
      </c>
      <c r="J154" t="s">
        <v>29</v>
      </c>
      <c r="K154" t="s">
        <v>1162</v>
      </c>
      <c r="L154" t="s">
        <v>1173</v>
      </c>
      <c r="M154">
        <f>96*0.3048</f>
        <v>29.260800000000003</v>
      </c>
      <c r="N154" t="s">
        <v>1181</v>
      </c>
      <c r="O154" t="s">
        <v>1180</v>
      </c>
      <c r="P154" t="s">
        <v>218</v>
      </c>
      <c r="Q154" t="s">
        <v>213</v>
      </c>
      <c r="R154">
        <f>60*0.3048</f>
        <v>18.288</v>
      </c>
      <c r="S154">
        <f>1238*0.3048</f>
        <v>377.3424</v>
      </c>
      <c r="T154" s="1" t="s">
        <v>1060</v>
      </c>
      <c r="U154" s="1" t="s">
        <v>1407</v>
      </c>
    </row>
    <row r="155" spans="1:21" x14ac:dyDescent="0.3">
      <c r="A155">
        <v>59</v>
      </c>
      <c r="B155" t="s">
        <v>488</v>
      </c>
      <c r="C155" t="s">
        <v>1408</v>
      </c>
      <c r="D155" t="s">
        <v>7</v>
      </c>
      <c r="E155">
        <v>1956</v>
      </c>
      <c r="F155">
        <v>1956</v>
      </c>
      <c r="G155">
        <v>1961</v>
      </c>
      <c r="H155">
        <v>45.842089999999999</v>
      </c>
      <c r="I155">
        <v>-73.336269999999999</v>
      </c>
      <c r="J155" t="s">
        <v>29</v>
      </c>
      <c r="K155" t="s">
        <v>1162</v>
      </c>
      <c r="L155" t="s">
        <v>1173</v>
      </c>
      <c r="M155">
        <f>100*0.3048</f>
        <v>30.48</v>
      </c>
      <c r="N155" t="s">
        <v>1179</v>
      </c>
      <c r="O155" t="s">
        <v>1180</v>
      </c>
      <c r="P155" t="s">
        <v>212</v>
      </c>
      <c r="Q155" t="s">
        <v>404</v>
      </c>
      <c r="R155">
        <f>40*0.3048</f>
        <v>12.192</v>
      </c>
      <c r="S155">
        <f>1038*0.3048</f>
        <v>316.38240000000002</v>
      </c>
      <c r="T155" s="1" t="s">
        <v>1409</v>
      </c>
      <c r="U155" s="1" t="s">
        <v>1410</v>
      </c>
    </row>
    <row r="156" spans="1:21" x14ac:dyDescent="0.3">
      <c r="A156">
        <v>60</v>
      </c>
      <c r="B156" t="s">
        <v>489</v>
      </c>
      <c r="C156" t="s">
        <v>1061</v>
      </c>
      <c r="D156" t="s">
        <v>7</v>
      </c>
      <c r="E156">
        <v>1956</v>
      </c>
      <c r="F156">
        <v>1956</v>
      </c>
      <c r="G156">
        <v>1961</v>
      </c>
      <c r="H156">
        <v>45.87424</v>
      </c>
      <c r="I156">
        <v>-73.379480000000001</v>
      </c>
      <c r="J156" t="s">
        <v>29</v>
      </c>
      <c r="K156" t="s">
        <v>1162</v>
      </c>
      <c r="L156" t="s">
        <v>1173</v>
      </c>
      <c r="M156">
        <f>86*0.3048</f>
        <v>26.212800000000001</v>
      </c>
      <c r="N156" t="s">
        <v>1181</v>
      </c>
      <c r="O156" t="s">
        <v>1180</v>
      </c>
      <c r="P156" t="s">
        <v>212</v>
      </c>
      <c r="Q156" t="s">
        <v>213</v>
      </c>
      <c r="R156">
        <f>54*0.3048</f>
        <v>16.459199999999999</v>
      </c>
      <c r="S156">
        <f>1155*0.3048</f>
        <v>352.04400000000004</v>
      </c>
      <c r="T156" s="1" t="s">
        <v>1062</v>
      </c>
      <c r="U156" s="1" t="s">
        <v>1411</v>
      </c>
    </row>
    <row r="157" spans="1:21" x14ac:dyDescent="0.3">
      <c r="A157">
        <v>61</v>
      </c>
      <c r="B157" t="s">
        <v>490</v>
      </c>
      <c r="C157" t="s">
        <v>1063</v>
      </c>
      <c r="D157" t="s">
        <v>7</v>
      </c>
      <c r="E157">
        <v>1956</v>
      </c>
      <c r="F157">
        <v>1956</v>
      </c>
      <c r="G157">
        <v>1961</v>
      </c>
      <c r="H157">
        <v>45.87659</v>
      </c>
      <c r="I157">
        <v>-73.382999999999996</v>
      </c>
      <c r="J157" t="s">
        <v>29</v>
      </c>
      <c r="K157" t="s">
        <v>1162</v>
      </c>
      <c r="L157" t="s">
        <v>1167</v>
      </c>
      <c r="M157">
        <f>82*0.3048</f>
        <v>24.993600000000001</v>
      </c>
      <c r="N157" t="s">
        <v>1179</v>
      </c>
      <c r="O157" t="s">
        <v>1180</v>
      </c>
      <c r="P157" t="s">
        <v>212</v>
      </c>
      <c r="Q157" t="s">
        <v>213</v>
      </c>
      <c r="R157">
        <f>52*0.3048</f>
        <v>15.849600000000001</v>
      </c>
      <c r="S157">
        <f>676*0.3048</f>
        <v>206.04480000000001</v>
      </c>
      <c r="T157" s="1" t="s">
        <v>1064</v>
      </c>
      <c r="U157" s="1" t="s">
        <v>1412</v>
      </c>
    </row>
    <row r="158" spans="1:21" x14ac:dyDescent="0.3">
      <c r="A158">
        <v>62</v>
      </c>
      <c r="B158" t="s">
        <v>491</v>
      </c>
      <c r="C158" t="s">
        <v>1065</v>
      </c>
      <c r="D158" t="s">
        <v>7</v>
      </c>
      <c r="E158">
        <v>1956</v>
      </c>
      <c r="F158">
        <v>1956</v>
      </c>
      <c r="G158">
        <v>1962</v>
      </c>
      <c r="H158">
        <v>45.877769999999998</v>
      </c>
      <c r="I158">
        <v>-73.384659999999997</v>
      </c>
      <c r="J158" t="s">
        <v>29</v>
      </c>
      <c r="K158" t="s">
        <v>1162</v>
      </c>
      <c r="L158" t="s">
        <v>1173</v>
      </c>
      <c r="M158">
        <f>100*0.3048</f>
        <v>30.48</v>
      </c>
      <c r="N158" t="s">
        <v>1179</v>
      </c>
      <c r="O158" t="s">
        <v>1180</v>
      </c>
      <c r="P158" t="s">
        <v>212</v>
      </c>
      <c r="Q158" t="s">
        <v>213</v>
      </c>
      <c r="R158">
        <f>51*0.3048</f>
        <v>15.5448</v>
      </c>
      <c r="S158">
        <f>614*0.3048</f>
        <v>187.1472</v>
      </c>
      <c r="T158" s="1" t="s">
        <v>1066</v>
      </c>
      <c r="U158" s="1" t="s">
        <v>1413</v>
      </c>
    </row>
    <row r="159" spans="1:21" x14ac:dyDescent="0.3">
      <c r="A159">
        <v>63</v>
      </c>
      <c r="B159" t="s">
        <v>492</v>
      </c>
      <c r="C159" t="s">
        <v>1067</v>
      </c>
      <c r="D159" t="s">
        <v>7</v>
      </c>
      <c r="E159">
        <v>1956</v>
      </c>
      <c r="F159">
        <v>1957</v>
      </c>
      <c r="G159">
        <v>1962</v>
      </c>
      <c r="H159">
        <v>45.876150000000003</v>
      </c>
      <c r="I159">
        <v>-73.369330000000005</v>
      </c>
      <c r="J159" t="s">
        <v>29</v>
      </c>
      <c r="K159" t="s">
        <v>1162</v>
      </c>
      <c r="L159" t="s">
        <v>1173</v>
      </c>
      <c r="M159">
        <f>84*0.3048</f>
        <v>25.603200000000001</v>
      </c>
      <c r="N159" t="s">
        <v>1181</v>
      </c>
      <c r="O159" t="s">
        <v>1180</v>
      </c>
      <c r="P159" t="s">
        <v>220</v>
      </c>
      <c r="Q159" t="s">
        <v>213</v>
      </c>
      <c r="R159">
        <f>69*0.3048</f>
        <v>21.031200000000002</v>
      </c>
      <c r="S159">
        <f>1266*0.3048</f>
        <v>385.8768</v>
      </c>
      <c r="T159" s="1" t="s">
        <v>1068</v>
      </c>
      <c r="U159" s="1" t="s">
        <v>1414</v>
      </c>
    </row>
    <row r="160" spans="1:21" x14ac:dyDescent="0.3">
      <c r="A160">
        <v>64</v>
      </c>
      <c r="B160" t="s">
        <v>493</v>
      </c>
      <c r="C160" t="s">
        <v>1073</v>
      </c>
      <c r="D160" t="s">
        <v>7</v>
      </c>
      <c r="E160">
        <v>1956</v>
      </c>
      <c r="F160">
        <v>1956</v>
      </c>
      <c r="G160">
        <v>1962</v>
      </c>
      <c r="H160">
        <v>45.881309999999999</v>
      </c>
      <c r="I160">
        <v>-73.376630000000006</v>
      </c>
      <c r="J160" t="s">
        <v>29</v>
      </c>
      <c r="K160" t="s">
        <v>1162</v>
      </c>
      <c r="L160" t="s">
        <v>1173</v>
      </c>
      <c r="M160">
        <f>896*0.3048</f>
        <v>273.10079999999999</v>
      </c>
      <c r="N160" t="s">
        <v>1181</v>
      </c>
      <c r="O160" t="s">
        <v>1180</v>
      </c>
      <c r="P160" t="s">
        <v>212</v>
      </c>
      <c r="Q160" t="s">
        <v>213</v>
      </c>
      <c r="R160">
        <f>55*0.3048</f>
        <v>16.763999999999999</v>
      </c>
      <c r="S160">
        <f>1012*0.3048</f>
        <v>308.45760000000001</v>
      </c>
      <c r="T160" s="1" t="s">
        <v>1074</v>
      </c>
      <c r="U160" s="1" t="s">
        <v>1415</v>
      </c>
    </row>
    <row r="161" spans="1:21" x14ac:dyDescent="0.3">
      <c r="A161">
        <v>65</v>
      </c>
      <c r="B161" t="s">
        <v>494</v>
      </c>
      <c r="C161" t="s">
        <v>1079</v>
      </c>
      <c r="D161" t="s">
        <v>7</v>
      </c>
      <c r="E161">
        <v>1956</v>
      </c>
      <c r="F161">
        <v>1957</v>
      </c>
      <c r="G161">
        <v>1962</v>
      </c>
      <c r="H161">
        <v>45.889519999999997</v>
      </c>
      <c r="I161">
        <v>-73.367540000000005</v>
      </c>
      <c r="J161" t="s">
        <v>29</v>
      </c>
      <c r="K161" t="s">
        <v>1162</v>
      </c>
      <c r="L161" t="s">
        <v>1173</v>
      </c>
      <c r="M161">
        <f>240*0.3048</f>
        <v>73.152000000000001</v>
      </c>
      <c r="N161" t="s">
        <v>1181</v>
      </c>
      <c r="O161" t="s">
        <v>1180</v>
      </c>
      <c r="P161" t="s">
        <v>218</v>
      </c>
      <c r="Q161" t="s">
        <v>213</v>
      </c>
      <c r="R161">
        <f>82*0.3048</f>
        <v>24.993600000000001</v>
      </c>
      <c r="S161">
        <f>1100*0.3048</f>
        <v>335.28000000000003</v>
      </c>
      <c r="T161" s="1" t="s">
        <v>1080</v>
      </c>
      <c r="U161" s="1" t="s">
        <v>1416</v>
      </c>
    </row>
    <row r="162" spans="1:21" x14ac:dyDescent="0.3">
      <c r="A162">
        <v>66</v>
      </c>
      <c r="B162" t="s">
        <v>496</v>
      </c>
      <c r="C162" t="s">
        <v>1417</v>
      </c>
      <c r="D162" t="s">
        <v>7</v>
      </c>
      <c r="E162">
        <v>1908</v>
      </c>
      <c r="F162" t="s">
        <v>1183</v>
      </c>
      <c r="G162">
        <v>1909</v>
      </c>
      <c r="H162">
        <v>46.012745000000002</v>
      </c>
      <c r="I162">
        <v>-72.928995</v>
      </c>
      <c r="J162" t="s">
        <v>15</v>
      </c>
      <c r="K162" t="s">
        <v>1162</v>
      </c>
      <c r="L162" t="s">
        <v>1163</v>
      </c>
      <c r="M162" t="s">
        <v>1183</v>
      </c>
      <c r="N162" t="s">
        <v>1179</v>
      </c>
      <c r="O162" t="s">
        <v>1184</v>
      </c>
      <c r="P162" t="s">
        <v>212</v>
      </c>
      <c r="Q162" t="s">
        <v>404</v>
      </c>
      <c r="R162">
        <f>34*0.3048</f>
        <v>10.363200000000001</v>
      </c>
      <c r="S162">
        <f>3060*0.3048</f>
        <v>932.6880000000001</v>
      </c>
      <c r="T162" s="1" t="s">
        <v>1418</v>
      </c>
      <c r="U162" s="1" t="s">
        <v>1419</v>
      </c>
    </row>
    <row r="163" spans="1:21" x14ac:dyDescent="0.3">
      <c r="A163">
        <v>67</v>
      </c>
      <c r="B163" t="s">
        <v>497</v>
      </c>
      <c r="C163" t="s">
        <v>1420</v>
      </c>
      <c r="D163" t="s">
        <v>7</v>
      </c>
      <c r="E163">
        <v>1909</v>
      </c>
      <c r="F163" t="s">
        <v>1183</v>
      </c>
      <c r="G163">
        <v>1910</v>
      </c>
      <c r="H163">
        <v>45.797227778</v>
      </c>
      <c r="I163">
        <v>-73.325852777999998</v>
      </c>
      <c r="J163" t="s">
        <v>15</v>
      </c>
      <c r="K163" t="s">
        <v>1162</v>
      </c>
      <c r="L163" t="s">
        <v>1163</v>
      </c>
      <c r="M163" t="s">
        <v>1183</v>
      </c>
      <c r="N163" t="s">
        <v>1181</v>
      </c>
      <c r="O163" t="s">
        <v>1184</v>
      </c>
      <c r="P163" t="s">
        <v>212</v>
      </c>
      <c r="Q163" t="s">
        <v>404</v>
      </c>
      <c r="R163">
        <f>28*0.3048</f>
        <v>8.5343999999999998</v>
      </c>
      <c r="S163">
        <f>2450*0.3048</f>
        <v>746.76</v>
      </c>
      <c r="T163" s="1" t="s">
        <v>1421</v>
      </c>
      <c r="U163" s="1" t="s">
        <v>1422</v>
      </c>
    </row>
    <row r="164" spans="1:21" x14ac:dyDescent="0.3">
      <c r="A164">
        <v>68</v>
      </c>
      <c r="B164" s="7" t="s">
        <v>499</v>
      </c>
      <c r="C164" t="s">
        <v>1129</v>
      </c>
      <c r="D164" t="s">
        <v>7</v>
      </c>
      <c r="E164">
        <v>1956</v>
      </c>
      <c r="F164">
        <v>1957</v>
      </c>
      <c r="G164" t="s">
        <v>1183</v>
      </c>
      <c r="H164">
        <v>45.725436999999999</v>
      </c>
      <c r="I164">
        <v>-72.041178000000002</v>
      </c>
      <c r="J164" t="s">
        <v>15</v>
      </c>
      <c r="K164" t="s">
        <v>1162</v>
      </c>
      <c r="L164" t="s">
        <v>1163</v>
      </c>
      <c r="M164">
        <f>1138*0.3048</f>
        <v>346.86240000000004</v>
      </c>
      <c r="N164" t="s">
        <v>1179</v>
      </c>
      <c r="O164" t="s">
        <v>1423</v>
      </c>
      <c r="P164" t="s">
        <v>212</v>
      </c>
      <c r="Q164" t="s">
        <v>404</v>
      </c>
      <c r="R164">
        <f>93*0.3048</f>
        <v>28.346400000000003</v>
      </c>
      <c r="S164">
        <f>1375*0.3048</f>
        <v>419.1</v>
      </c>
      <c r="T164" s="1" t="s">
        <v>1130</v>
      </c>
      <c r="U164" s="1" t="s">
        <v>1424</v>
      </c>
    </row>
    <row r="165" spans="1:21" x14ac:dyDescent="0.3">
      <c r="A165">
        <v>69</v>
      </c>
      <c r="B165" t="s">
        <v>500</v>
      </c>
      <c r="C165" t="s">
        <v>1127</v>
      </c>
      <c r="D165" t="s">
        <v>7</v>
      </c>
      <c r="E165">
        <v>1931</v>
      </c>
      <c r="F165" t="s">
        <v>1183</v>
      </c>
      <c r="G165">
        <v>1932</v>
      </c>
      <c r="H165">
        <v>45.748390000000001</v>
      </c>
      <c r="I165">
        <v>-73.138109999999998</v>
      </c>
      <c r="J165" t="s">
        <v>15</v>
      </c>
      <c r="K165" t="s">
        <v>1162</v>
      </c>
      <c r="L165" t="s">
        <v>1163</v>
      </c>
      <c r="M165">
        <f>4100*0.3048</f>
        <v>1249.68</v>
      </c>
      <c r="N165" t="s">
        <v>1182</v>
      </c>
      <c r="O165" t="s">
        <v>1425</v>
      </c>
      <c r="P165" t="s">
        <v>212</v>
      </c>
      <c r="Q165" t="s">
        <v>213</v>
      </c>
      <c r="R165">
        <f>64*0.3048</f>
        <v>19.507200000000001</v>
      </c>
      <c r="S165">
        <f>4140*0.3048</f>
        <v>1261.8720000000001</v>
      </c>
      <c r="T165" s="1" t="s">
        <v>1128</v>
      </c>
      <c r="U165" s="1" t="s">
        <v>1426</v>
      </c>
    </row>
    <row r="166" spans="1:21" x14ac:dyDescent="0.3">
      <c r="A166">
        <v>70</v>
      </c>
      <c r="B166" s="8" t="s">
        <v>501</v>
      </c>
      <c r="C166" s="4" t="s">
        <v>2631</v>
      </c>
      <c r="D166" t="s">
        <v>7</v>
      </c>
      <c r="E166">
        <v>1940</v>
      </c>
      <c r="F166">
        <v>1943</v>
      </c>
      <c r="G166">
        <v>1943</v>
      </c>
      <c r="H166">
        <v>46.487604400000002</v>
      </c>
      <c r="I166">
        <v>-72.949473999999995</v>
      </c>
      <c r="J166" t="s">
        <v>12</v>
      </c>
      <c r="K166" t="s">
        <v>1162</v>
      </c>
      <c r="L166" t="s">
        <v>1163</v>
      </c>
      <c r="M166">
        <f>1015*0.3048</f>
        <v>309.37200000000001</v>
      </c>
      <c r="N166" t="s">
        <v>1183</v>
      </c>
      <c r="O166" t="s">
        <v>2632</v>
      </c>
      <c r="P166" t="s">
        <v>220</v>
      </c>
      <c r="Q166" t="s">
        <v>404</v>
      </c>
      <c r="R166" t="s">
        <v>1183</v>
      </c>
      <c r="S166">
        <f>1015*0.3048</f>
        <v>309.37200000000001</v>
      </c>
      <c r="T166" s="1" t="s">
        <v>2633</v>
      </c>
      <c r="U166" s="1" t="s">
        <v>2634</v>
      </c>
    </row>
    <row r="167" spans="1:21" x14ac:dyDescent="0.3">
      <c r="A167">
        <v>71</v>
      </c>
      <c r="B167" s="8" t="s">
        <v>505</v>
      </c>
      <c r="C167" s="4" t="s">
        <v>2646</v>
      </c>
      <c r="D167" t="s">
        <v>7</v>
      </c>
      <c r="E167">
        <v>1933</v>
      </c>
      <c r="F167" t="s">
        <v>1183</v>
      </c>
      <c r="G167">
        <v>1933</v>
      </c>
      <c r="H167">
        <v>45.793100000000003</v>
      </c>
      <c r="I167">
        <v>-73.601200000000006</v>
      </c>
      <c r="J167" t="s">
        <v>29</v>
      </c>
      <c r="K167" t="s">
        <v>1162</v>
      </c>
      <c r="L167" t="s">
        <v>1163</v>
      </c>
      <c r="M167" t="s">
        <v>1183</v>
      </c>
      <c r="N167" t="s">
        <v>1181</v>
      </c>
      <c r="O167" t="s">
        <v>1203</v>
      </c>
      <c r="P167" t="s">
        <v>220</v>
      </c>
      <c r="Q167" t="s">
        <v>404</v>
      </c>
      <c r="R167">
        <f>149*0.3048</f>
        <v>45.415200000000006</v>
      </c>
      <c r="S167">
        <f>445*0.3048</f>
        <v>135.636</v>
      </c>
      <c r="T167" s="1" t="s">
        <v>2647</v>
      </c>
      <c r="U167" s="1" t="s">
        <v>2648</v>
      </c>
    </row>
    <row r="168" spans="1:21" x14ac:dyDescent="0.3">
      <c r="A168">
        <v>72</v>
      </c>
      <c r="B168" t="s">
        <v>506</v>
      </c>
      <c r="C168" t="s">
        <v>1141</v>
      </c>
      <c r="D168" t="s">
        <v>7</v>
      </c>
      <c r="E168">
        <v>1954</v>
      </c>
      <c r="F168">
        <v>1955</v>
      </c>
      <c r="G168">
        <v>1955</v>
      </c>
      <c r="H168">
        <v>45.642609999999998</v>
      </c>
      <c r="I168">
        <v>-72.854349999999997</v>
      </c>
      <c r="J168" t="s">
        <v>15</v>
      </c>
      <c r="K168" t="s">
        <v>1162</v>
      </c>
      <c r="L168" t="s">
        <v>1167</v>
      </c>
      <c r="M168" t="s">
        <v>1183</v>
      </c>
      <c r="N168" t="s">
        <v>1183</v>
      </c>
      <c r="O168" t="s">
        <v>1427</v>
      </c>
      <c r="P168" t="s">
        <v>220</v>
      </c>
      <c r="Q168" t="s">
        <v>404</v>
      </c>
      <c r="R168">
        <f>162*0.3048</f>
        <v>49.377600000000001</v>
      </c>
      <c r="S168">
        <f>3569*0.3048</f>
        <v>1087.8312000000001</v>
      </c>
      <c r="T168" s="1" t="s">
        <v>1142</v>
      </c>
      <c r="U168" s="1" t="s">
        <v>1428</v>
      </c>
    </row>
    <row r="169" spans="1:21" x14ac:dyDescent="0.3">
      <c r="A169">
        <v>73</v>
      </c>
      <c r="B169" t="s">
        <v>507</v>
      </c>
      <c r="C169" t="s">
        <v>1143</v>
      </c>
      <c r="D169" t="s">
        <v>7</v>
      </c>
      <c r="E169">
        <v>1955</v>
      </c>
      <c r="F169">
        <v>1956</v>
      </c>
      <c r="G169" t="s">
        <v>1183</v>
      </c>
      <c r="H169">
        <v>45.64378</v>
      </c>
      <c r="I169">
        <v>-72.859160000000003</v>
      </c>
      <c r="J169" t="s">
        <v>15</v>
      </c>
      <c r="K169" t="s">
        <v>1162</v>
      </c>
      <c r="L169" t="s">
        <v>1167</v>
      </c>
      <c r="M169" t="s">
        <v>1183</v>
      </c>
      <c r="N169" t="s">
        <v>1429</v>
      </c>
      <c r="O169" t="s">
        <v>1427</v>
      </c>
      <c r="P169" t="s">
        <v>220</v>
      </c>
      <c r="Q169" t="s">
        <v>404</v>
      </c>
      <c r="R169">
        <f>158*0.3048</f>
        <v>48.1584</v>
      </c>
      <c r="S169">
        <f>2700*0.3048</f>
        <v>822.96</v>
      </c>
      <c r="T169" s="1" t="s">
        <v>1144</v>
      </c>
      <c r="U169" s="1" t="s">
        <v>1430</v>
      </c>
    </row>
    <row r="170" spans="1:21" x14ac:dyDescent="0.3">
      <c r="A170">
        <v>74</v>
      </c>
      <c r="B170" t="s">
        <v>508</v>
      </c>
      <c r="C170" t="s">
        <v>1431</v>
      </c>
      <c r="D170" t="s">
        <v>7</v>
      </c>
      <c r="E170">
        <v>1959</v>
      </c>
      <c r="F170" t="s">
        <v>1183</v>
      </c>
      <c r="G170">
        <v>1959</v>
      </c>
      <c r="H170">
        <v>46.469138055999998</v>
      </c>
      <c r="I170">
        <v>-72.528698055999996</v>
      </c>
      <c r="J170" t="s">
        <v>12</v>
      </c>
      <c r="K170" t="s">
        <v>1162</v>
      </c>
      <c r="L170" t="s">
        <v>1163</v>
      </c>
      <c r="M170">
        <f>560*0.3048</f>
        <v>170.68800000000002</v>
      </c>
      <c r="N170" t="s">
        <v>1181</v>
      </c>
      <c r="O170" t="s">
        <v>1216</v>
      </c>
      <c r="P170" t="s">
        <v>220</v>
      </c>
      <c r="Q170" t="s">
        <v>213</v>
      </c>
      <c r="R170">
        <f>142*0.3048</f>
        <v>43.281600000000005</v>
      </c>
      <c r="S170">
        <f>1006*0.3048</f>
        <v>306.62880000000001</v>
      </c>
      <c r="T170" s="1" t="s">
        <v>1432</v>
      </c>
      <c r="U170" s="1" t="s">
        <v>1433</v>
      </c>
    </row>
    <row r="171" spans="1:21" x14ac:dyDescent="0.3">
      <c r="A171">
        <v>75</v>
      </c>
      <c r="B171" t="s">
        <v>509</v>
      </c>
      <c r="C171" t="s">
        <v>1434</v>
      </c>
      <c r="D171" t="s">
        <v>7</v>
      </c>
      <c r="E171">
        <v>1961</v>
      </c>
      <c r="F171">
        <v>1961</v>
      </c>
      <c r="G171" t="s">
        <v>1183</v>
      </c>
      <c r="H171">
        <v>46.35716</v>
      </c>
      <c r="I171">
        <v>-72.467100000000002</v>
      </c>
      <c r="J171" t="s">
        <v>21</v>
      </c>
      <c r="K171" t="s">
        <v>1162</v>
      </c>
      <c r="L171" t="s">
        <v>1163</v>
      </c>
      <c r="M171">
        <f>579*0.3048</f>
        <v>176.47920000000002</v>
      </c>
      <c r="N171" t="s">
        <v>1429</v>
      </c>
      <c r="O171" t="s">
        <v>1185</v>
      </c>
      <c r="P171" t="s">
        <v>212</v>
      </c>
      <c r="Q171" t="s">
        <v>404</v>
      </c>
      <c r="R171" t="s">
        <v>1183</v>
      </c>
      <c r="S171">
        <f>703*0.3048</f>
        <v>214.27440000000001</v>
      </c>
      <c r="T171" s="1" t="s">
        <v>1435</v>
      </c>
      <c r="U171" s="1" t="s">
        <v>1436</v>
      </c>
    </row>
    <row r="172" spans="1:21" x14ac:dyDescent="0.3">
      <c r="A172">
        <v>76</v>
      </c>
      <c r="B172" t="s">
        <v>510</v>
      </c>
      <c r="C172" t="s">
        <v>1159</v>
      </c>
      <c r="D172" t="s">
        <v>7</v>
      </c>
      <c r="E172">
        <v>1942</v>
      </c>
      <c r="F172" t="s">
        <v>1183</v>
      </c>
      <c r="G172">
        <v>1942</v>
      </c>
      <c r="H172">
        <v>45.092559999999999</v>
      </c>
      <c r="I172">
        <v>-73.260469999999998</v>
      </c>
      <c r="J172" t="s">
        <v>15</v>
      </c>
      <c r="K172" t="s">
        <v>1162</v>
      </c>
      <c r="L172" t="s">
        <v>1167</v>
      </c>
      <c r="M172">
        <f>30*0.3048</f>
        <v>9.1440000000000001</v>
      </c>
      <c r="N172" t="s">
        <v>1181</v>
      </c>
      <c r="O172" t="s">
        <v>1391</v>
      </c>
      <c r="P172" t="s">
        <v>212</v>
      </c>
      <c r="Q172" t="s">
        <v>404</v>
      </c>
      <c r="R172">
        <f>119*0.3048</f>
        <v>36.2712</v>
      </c>
      <c r="S172">
        <f>2296*0.3048</f>
        <v>699.82080000000008</v>
      </c>
      <c r="T172" s="1" t="s">
        <v>1160</v>
      </c>
      <c r="U172" s="1" t="s">
        <v>1437</v>
      </c>
    </row>
    <row r="173" spans="1:21" x14ac:dyDescent="0.3">
      <c r="A173">
        <v>77</v>
      </c>
      <c r="B173" s="8" t="s">
        <v>512</v>
      </c>
      <c r="C173" s="4" t="s">
        <v>2653</v>
      </c>
      <c r="D173" t="s">
        <v>7</v>
      </c>
      <c r="E173">
        <v>1932</v>
      </c>
      <c r="F173" t="s">
        <v>1183</v>
      </c>
      <c r="G173">
        <v>1932</v>
      </c>
      <c r="H173">
        <v>46.110166999999997</v>
      </c>
      <c r="I173">
        <v>-72.565416999999997</v>
      </c>
      <c r="J173" t="s">
        <v>21</v>
      </c>
      <c r="K173" t="s">
        <v>1162</v>
      </c>
      <c r="L173" t="s">
        <v>1163</v>
      </c>
      <c r="M173">
        <f>4400*0.3048</f>
        <v>1341.1200000000001</v>
      </c>
      <c r="N173" t="s">
        <v>1179</v>
      </c>
      <c r="O173" t="s">
        <v>2650</v>
      </c>
      <c r="P173" t="s">
        <v>220</v>
      </c>
      <c r="Q173" t="s">
        <v>404</v>
      </c>
      <c r="R173">
        <f>99*0.3048</f>
        <v>30.1752</v>
      </c>
      <c r="S173">
        <f>4404*0.3048</f>
        <v>1342.3392000000001</v>
      </c>
      <c r="T173" s="1" t="s">
        <v>2654</v>
      </c>
      <c r="U173" s="1" t="s">
        <v>2655</v>
      </c>
    </row>
    <row r="174" spans="1:21" x14ac:dyDescent="0.3">
      <c r="A174">
        <v>78</v>
      </c>
      <c r="B174" t="s">
        <v>513</v>
      </c>
      <c r="C174" t="s">
        <v>1438</v>
      </c>
      <c r="D174" t="s">
        <v>7</v>
      </c>
      <c r="E174">
        <v>1885</v>
      </c>
      <c r="F174" t="s">
        <v>1183</v>
      </c>
      <c r="G174" t="s">
        <v>1183</v>
      </c>
      <c r="H174">
        <v>46.215359999999997</v>
      </c>
      <c r="I174">
        <v>-72.503559999999993</v>
      </c>
      <c r="J174" t="s">
        <v>21</v>
      </c>
      <c r="K174" t="s">
        <v>1162</v>
      </c>
      <c r="L174" t="s">
        <v>1163</v>
      </c>
      <c r="M174" t="s">
        <v>1183</v>
      </c>
      <c r="N174" t="s">
        <v>1179</v>
      </c>
      <c r="O174" t="s">
        <v>1439</v>
      </c>
      <c r="P174" t="s">
        <v>212</v>
      </c>
      <c r="Q174" t="s">
        <v>404</v>
      </c>
      <c r="R174">
        <f>129*0.3048</f>
        <v>39.319200000000002</v>
      </c>
      <c r="S174">
        <f>1115*0.3048</f>
        <v>339.85200000000003</v>
      </c>
      <c r="T174" s="1" t="s">
        <v>1440</v>
      </c>
      <c r="U174" s="1" t="s">
        <v>1441</v>
      </c>
    </row>
    <row r="175" spans="1:21" x14ac:dyDescent="0.3">
      <c r="A175">
        <v>79</v>
      </c>
      <c r="B175" t="s">
        <v>514</v>
      </c>
      <c r="C175" t="s">
        <v>1442</v>
      </c>
      <c r="D175" t="s">
        <v>7</v>
      </c>
      <c r="E175">
        <v>1954</v>
      </c>
      <c r="F175" t="s">
        <v>1183</v>
      </c>
      <c r="G175" t="s">
        <v>1183</v>
      </c>
      <c r="H175">
        <v>45.525193999999999</v>
      </c>
      <c r="I175">
        <v>-74.141842999999994</v>
      </c>
      <c r="J175" t="s">
        <v>1389</v>
      </c>
      <c r="K175" t="s">
        <v>1162</v>
      </c>
      <c r="L175" t="s">
        <v>1173</v>
      </c>
      <c r="M175" t="s">
        <v>1183</v>
      </c>
      <c r="N175" t="s">
        <v>1183</v>
      </c>
      <c r="O175" t="s">
        <v>1443</v>
      </c>
      <c r="P175" t="s">
        <v>220</v>
      </c>
      <c r="Q175" t="s">
        <v>404</v>
      </c>
      <c r="R175">
        <f>21*0.3048</f>
        <v>6.4008000000000003</v>
      </c>
      <c r="S175">
        <f>1660*0.3048</f>
        <v>505.96800000000002</v>
      </c>
      <c r="T175" s="1" t="s">
        <v>1444</v>
      </c>
      <c r="U175" s="1" t="s">
        <v>1445</v>
      </c>
    </row>
    <row r="176" spans="1:21" x14ac:dyDescent="0.3">
      <c r="A176">
        <v>80</v>
      </c>
      <c r="B176" t="s">
        <v>515</v>
      </c>
      <c r="C176" t="s">
        <v>1446</v>
      </c>
      <c r="D176" t="s">
        <v>7</v>
      </c>
      <c r="E176">
        <v>1963</v>
      </c>
      <c r="F176">
        <v>1963</v>
      </c>
      <c r="G176" t="s">
        <v>1183</v>
      </c>
      <c r="H176">
        <v>46.190770000000001</v>
      </c>
      <c r="I176">
        <v>-72.626149999999996</v>
      </c>
      <c r="J176" t="s">
        <v>21</v>
      </c>
      <c r="K176" t="s">
        <v>1162</v>
      </c>
      <c r="L176" t="s">
        <v>1173</v>
      </c>
      <c r="M176">
        <f>4164*0.3048</f>
        <v>1269.1872000000001</v>
      </c>
      <c r="N176" t="s">
        <v>1234</v>
      </c>
      <c r="O176" t="s">
        <v>1175</v>
      </c>
      <c r="P176" t="s">
        <v>212</v>
      </c>
      <c r="Q176" t="s">
        <v>404</v>
      </c>
      <c r="R176">
        <f>89*0.3048</f>
        <v>27.127200000000002</v>
      </c>
      <c r="S176">
        <f>4164*0.3048</f>
        <v>1269.1872000000001</v>
      </c>
      <c r="T176" s="1" t="s">
        <v>1447</v>
      </c>
      <c r="U176" s="1" t="s">
        <v>1448</v>
      </c>
    </row>
    <row r="177" spans="1:21" x14ac:dyDescent="0.3">
      <c r="A177">
        <v>81</v>
      </c>
      <c r="B177" t="s">
        <v>516</v>
      </c>
      <c r="C177" t="s">
        <v>1449</v>
      </c>
      <c r="D177" t="s">
        <v>7</v>
      </c>
      <c r="E177">
        <v>1963</v>
      </c>
      <c r="F177">
        <v>1963</v>
      </c>
      <c r="G177">
        <v>1964</v>
      </c>
      <c r="H177">
        <v>46.154299999999999</v>
      </c>
      <c r="I177">
        <v>-72.677800000000005</v>
      </c>
      <c r="J177" t="s">
        <v>21</v>
      </c>
      <c r="K177" t="s">
        <v>1162</v>
      </c>
      <c r="L177" t="s">
        <v>1173</v>
      </c>
      <c r="M177">
        <f>298*0.3048</f>
        <v>90.830400000000012</v>
      </c>
      <c r="N177" t="s">
        <v>1450</v>
      </c>
      <c r="O177" t="s">
        <v>1175</v>
      </c>
      <c r="P177" t="s">
        <v>212</v>
      </c>
      <c r="Q177" t="s">
        <v>213</v>
      </c>
      <c r="R177">
        <f>96*0.3048</f>
        <v>29.260800000000003</v>
      </c>
      <c r="S177">
        <f>4407*0.3048</f>
        <v>1343.2536</v>
      </c>
      <c r="T177" s="1" t="s">
        <v>1451</v>
      </c>
      <c r="U177" s="1" t="s">
        <v>1452</v>
      </c>
    </row>
    <row r="178" spans="1:21" x14ac:dyDescent="0.3">
      <c r="A178">
        <v>82</v>
      </c>
      <c r="B178" s="8" t="s">
        <v>519</v>
      </c>
      <c r="C178" s="4" t="s">
        <v>2656</v>
      </c>
      <c r="D178" t="s">
        <v>7</v>
      </c>
      <c r="E178">
        <v>1964</v>
      </c>
      <c r="F178" t="s">
        <v>1183</v>
      </c>
      <c r="G178">
        <v>1964</v>
      </c>
      <c r="H178">
        <v>45.662922999999999</v>
      </c>
      <c r="I178">
        <v>-73.692695700000002</v>
      </c>
      <c r="J178" t="s">
        <v>1397</v>
      </c>
      <c r="K178" t="s">
        <v>1162</v>
      </c>
      <c r="L178" t="s">
        <v>1167</v>
      </c>
      <c r="M178">
        <f>95*0.3048</f>
        <v>28.956000000000003</v>
      </c>
      <c r="N178" t="s">
        <v>2657</v>
      </c>
      <c r="O178" t="s">
        <v>1453</v>
      </c>
      <c r="P178" t="s">
        <v>212</v>
      </c>
      <c r="Q178" t="s">
        <v>213</v>
      </c>
      <c r="R178">
        <f>105*0.3048</f>
        <v>32.004000000000005</v>
      </c>
      <c r="S178">
        <f>735*0.3048</f>
        <v>224.02800000000002</v>
      </c>
      <c r="T178" s="1" t="s">
        <v>2658</v>
      </c>
      <c r="U178" s="1" t="s">
        <v>2659</v>
      </c>
    </row>
    <row r="179" spans="1:21" x14ac:dyDescent="0.3">
      <c r="A179">
        <v>83</v>
      </c>
      <c r="B179" s="8" t="s">
        <v>520</v>
      </c>
      <c r="C179" s="4" t="s">
        <v>2660</v>
      </c>
      <c r="D179" t="s">
        <v>7</v>
      </c>
      <c r="E179">
        <v>1965</v>
      </c>
      <c r="F179">
        <v>1965</v>
      </c>
      <c r="G179">
        <v>1978</v>
      </c>
      <c r="H179">
        <v>45.662478399999998</v>
      </c>
      <c r="I179">
        <v>-73.642121900000006</v>
      </c>
      <c r="J179" t="s">
        <v>1397</v>
      </c>
      <c r="K179" t="s">
        <v>1162</v>
      </c>
      <c r="L179" t="s">
        <v>1173</v>
      </c>
      <c r="M179">
        <f>1480*0.3048</f>
        <v>451.10400000000004</v>
      </c>
      <c r="N179" t="s">
        <v>1234</v>
      </c>
      <c r="O179" t="s">
        <v>1453</v>
      </c>
      <c r="P179" t="s">
        <v>220</v>
      </c>
      <c r="Q179" t="s">
        <v>213</v>
      </c>
      <c r="R179">
        <f>126*0.3048</f>
        <v>38.404800000000002</v>
      </c>
      <c r="S179">
        <f>1504*0.3048</f>
        <v>458.41920000000005</v>
      </c>
      <c r="T179" s="1" t="s">
        <v>2661</v>
      </c>
      <c r="U179" s="1" t="s">
        <v>2662</v>
      </c>
    </row>
    <row r="180" spans="1:21" x14ac:dyDescent="0.3">
      <c r="A180">
        <v>84</v>
      </c>
      <c r="B180" s="8" t="s">
        <v>521</v>
      </c>
      <c r="C180" s="4" t="s">
        <v>2663</v>
      </c>
      <c r="D180" t="s">
        <v>7</v>
      </c>
      <c r="E180">
        <v>1965</v>
      </c>
      <c r="F180">
        <v>1978</v>
      </c>
      <c r="G180">
        <v>1978</v>
      </c>
      <c r="H180">
        <v>45.643021599999997</v>
      </c>
      <c r="I180">
        <v>-73.668679100000006</v>
      </c>
      <c r="J180" t="s">
        <v>1397</v>
      </c>
      <c r="K180" t="s">
        <v>1162</v>
      </c>
      <c r="L180" t="s">
        <v>1173</v>
      </c>
      <c r="M180">
        <f>1508*0.3048</f>
        <v>459.63840000000005</v>
      </c>
      <c r="N180" t="s">
        <v>1279</v>
      </c>
      <c r="O180" t="s">
        <v>1453</v>
      </c>
      <c r="P180" t="s">
        <v>212</v>
      </c>
      <c r="Q180" t="s">
        <v>213</v>
      </c>
      <c r="R180">
        <f>111*0.3048</f>
        <v>33.832799999999999</v>
      </c>
      <c r="S180">
        <f>1518*0.3048</f>
        <v>462.68640000000005</v>
      </c>
      <c r="T180" s="1" t="s">
        <v>2664</v>
      </c>
      <c r="U180" s="1" t="s">
        <v>2665</v>
      </c>
    </row>
    <row r="181" spans="1:21" x14ac:dyDescent="0.3">
      <c r="A181">
        <v>85</v>
      </c>
      <c r="B181" s="7" t="s">
        <v>522</v>
      </c>
      <c r="C181" t="s">
        <v>1089</v>
      </c>
      <c r="D181" t="s">
        <v>7</v>
      </c>
      <c r="E181">
        <v>1965</v>
      </c>
      <c r="F181" t="s">
        <v>1183</v>
      </c>
      <c r="G181">
        <v>1978</v>
      </c>
      <c r="H181">
        <v>45.647922999999999</v>
      </c>
      <c r="I181">
        <v>-73.651972000000001</v>
      </c>
      <c r="J181" t="s">
        <v>1397</v>
      </c>
      <c r="K181" t="s">
        <v>1162</v>
      </c>
      <c r="L181" t="s">
        <v>1167</v>
      </c>
      <c r="M181">
        <f>1470*0.3048</f>
        <v>448.05600000000004</v>
      </c>
      <c r="N181" t="s">
        <v>1234</v>
      </c>
      <c r="O181" t="s">
        <v>1453</v>
      </c>
      <c r="P181" t="s">
        <v>212</v>
      </c>
      <c r="Q181" t="s">
        <v>213</v>
      </c>
      <c r="R181">
        <f>106*0.3048</f>
        <v>32.308800000000005</v>
      </c>
      <c r="S181">
        <f>1475*0.3048</f>
        <v>449.58000000000004</v>
      </c>
      <c r="T181" s="1" t="s">
        <v>1090</v>
      </c>
      <c r="U181" s="1" t="s">
        <v>1454</v>
      </c>
    </row>
    <row r="182" spans="1:21" x14ac:dyDescent="0.3">
      <c r="A182">
        <v>86</v>
      </c>
      <c r="B182" s="8" t="s">
        <v>524</v>
      </c>
      <c r="C182" s="4" t="s">
        <v>2713</v>
      </c>
      <c r="D182" t="s">
        <v>7</v>
      </c>
      <c r="E182">
        <v>1965</v>
      </c>
      <c r="F182" t="s">
        <v>1183</v>
      </c>
      <c r="G182">
        <v>1965</v>
      </c>
      <c r="H182">
        <v>45.6528001</v>
      </c>
      <c r="I182">
        <v>-73.629869600000006</v>
      </c>
      <c r="J182" t="s">
        <v>1397</v>
      </c>
      <c r="K182" t="s">
        <v>1162</v>
      </c>
      <c r="L182" t="s">
        <v>1167</v>
      </c>
      <c r="M182">
        <f>55*0.3048</f>
        <v>16.763999999999999</v>
      </c>
      <c r="N182" t="s">
        <v>1390</v>
      </c>
      <c r="O182" t="s">
        <v>1453</v>
      </c>
      <c r="P182" t="s">
        <v>212</v>
      </c>
      <c r="Q182" t="s">
        <v>213</v>
      </c>
      <c r="R182">
        <f>70*0.3048</f>
        <v>21.336000000000002</v>
      </c>
      <c r="S182">
        <f>1650*0.3048</f>
        <v>502.92</v>
      </c>
      <c r="T182" s="1" t="s">
        <v>2718</v>
      </c>
      <c r="U182" s="1" t="s">
        <v>2719</v>
      </c>
    </row>
    <row r="183" spans="1:21" x14ac:dyDescent="0.3">
      <c r="A183">
        <v>87</v>
      </c>
      <c r="B183" t="s">
        <v>525</v>
      </c>
      <c r="C183" t="s">
        <v>1095</v>
      </c>
      <c r="D183" t="s">
        <v>7</v>
      </c>
      <c r="E183">
        <v>1965</v>
      </c>
      <c r="F183" t="s">
        <v>1183</v>
      </c>
      <c r="G183">
        <v>1965</v>
      </c>
      <c r="H183">
        <v>45.664720000000003</v>
      </c>
      <c r="I183">
        <v>-73.655429999999996</v>
      </c>
      <c r="J183" t="s">
        <v>1397</v>
      </c>
      <c r="K183" t="s">
        <v>1162</v>
      </c>
      <c r="L183" t="s">
        <v>1167</v>
      </c>
      <c r="M183">
        <f>103*0.3048</f>
        <v>31.394400000000001</v>
      </c>
      <c r="N183" t="s">
        <v>1299</v>
      </c>
      <c r="O183" t="s">
        <v>1453</v>
      </c>
      <c r="P183" t="s">
        <v>220</v>
      </c>
      <c r="Q183" t="s">
        <v>213</v>
      </c>
      <c r="R183">
        <f>123*0.3048</f>
        <v>37.490400000000001</v>
      </c>
      <c r="S183">
        <f>1648*0.3048</f>
        <v>502.31040000000002</v>
      </c>
      <c r="T183" s="1" t="s">
        <v>1096</v>
      </c>
      <c r="U183" s="1" t="s">
        <v>1455</v>
      </c>
    </row>
    <row r="184" spans="1:21" x14ac:dyDescent="0.3">
      <c r="A184">
        <v>88</v>
      </c>
      <c r="B184" s="7" t="s">
        <v>526</v>
      </c>
      <c r="C184" t="s">
        <v>1099</v>
      </c>
      <c r="D184" t="s">
        <v>7</v>
      </c>
      <c r="E184">
        <v>1965</v>
      </c>
      <c r="F184" t="s">
        <v>1183</v>
      </c>
      <c r="G184">
        <v>1965</v>
      </c>
      <c r="H184">
        <v>45.668939999999999</v>
      </c>
      <c r="I184">
        <v>-73.638919999999999</v>
      </c>
      <c r="J184" t="s">
        <v>1397</v>
      </c>
      <c r="K184" t="s">
        <v>1162</v>
      </c>
      <c r="L184" t="s">
        <v>1167</v>
      </c>
      <c r="M184">
        <f>54*0.3048</f>
        <v>16.459199999999999</v>
      </c>
      <c r="N184" t="s">
        <v>1279</v>
      </c>
      <c r="O184" t="s">
        <v>1453</v>
      </c>
      <c r="P184" t="s">
        <v>220</v>
      </c>
      <c r="Q184" t="s">
        <v>213</v>
      </c>
      <c r="R184">
        <f>116*0.3048</f>
        <v>35.3568</v>
      </c>
      <c r="S184">
        <f>1562*0.3048</f>
        <v>476.0976</v>
      </c>
      <c r="T184" s="1" t="s">
        <v>1100</v>
      </c>
      <c r="U184" s="1" t="s">
        <v>1456</v>
      </c>
    </row>
    <row r="185" spans="1:21" x14ac:dyDescent="0.3">
      <c r="A185">
        <v>89</v>
      </c>
      <c r="B185" t="s">
        <v>527</v>
      </c>
      <c r="C185" t="s">
        <v>1457</v>
      </c>
      <c r="D185" t="s">
        <v>7</v>
      </c>
      <c r="E185">
        <v>1965</v>
      </c>
      <c r="F185" t="s">
        <v>1183</v>
      </c>
      <c r="G185">
        <v>1965</v>
      </c>
      <c r="H185">
        <v>45.848582</v>
      </c>
      <c r="I185">
        <v>-73.503797000000006</v>
      </c>
      <c r="J185" t="s">
        <v>29</v>
      </c>
      <c r="K185" t="s">
        <v>1162</v>
      </c>
      <c r="L185" t="s">
        <v>1167</v>
      </c>
      <c r="M185">
        <f>70*0.3048</f>
        <v>21.336000000000002</v>
      </c>
      <c r="N185" t="s">
        <v>1181</v>
      </c>
      <c r="O185" t="s">
        <v>1453</v>
      </c>
      <c r="P185" t="s">
        <v>218</v>
      </c>
      <c r="Q185" t="s">
        <v>213</v>
      </c>
      <c r="R185">
        <f>73*0.3048</f>
        <v>22.250400000000003</v>
      </c>
      <c r="S185">
        <f>653*0.3048</f>
        <v>199.03440000000001</v>
      </c>
      <c r="T185" s="1" t="s">
        <v>1458</v>
      </c>
      <c r="U185" s="1" t="s">
        <v>1459</v>
      </c>
    </row>
    <row r="186" spans="1:21" x14ac:dyDescent="0.3">
      <c r="A186">
        <v>90</v>
      </c>
      <c r="B186" t="s">
        <v>528</v>
      </c>
      <c r="C186" t="s">
        <v>1460</v>
      </c>
      <c r="D186" t="s">
        <v>7</v>
      </c>
      <c r="E186">
        <v>1965</v>
      </c>
      <c r="F186" t="s">
        <v>1183</v>
      </c>
      <c r="G186">
        <v>1966</v>
      </c>
      <c r="H186">
        <v>45.839280000000002</v>
      </c>
      <c r="I186">
        <v>-73.493579999999994</v>
      </c>
      <c r="J186" t="s">
        <v>29</v>
      </c>
      <c r="K186" t="s">
        <v>1162</v>
      </c>
      <c r="L186" t="s">
        <v>1167</v>
      </c>
      <c r="M186">
        <f>60*0.3048</f>
        <v>18.288</v>
      </c>
      <c r="N186" t="s">
        <v>1181</v>
      </c>
      <c r="O186" t="s">
        <v>1453</v>
      </c>
      <c r="P186" t="s">
        <v>218</v>
      </c>
      <c r="Q186" t="s">
        <v>213</v>
      </c>
      <c r="R186">
        <f>76*0.3048</f>
        <v>23.1648</v>
      </c>
      <c r="S186">
        <f>774*0.3048</f>
        <v>235.9152</v>
      </c>
      <c r="T186" s="1" t="s">
        <v>1461</v>
      </c>
      <c r="U186" s="1" t="s">
        <v>1462</v>
      </c>
    </row>
    <row r="187" spans="1:21" x14ac:dyDescent="0.3">
      <c r="A187">
        <v>91</v>
      </c>
      <c r="B187" t="s">
        <v>529</v>
      </c>
      <c r="C187" t="s">
        <v>1463</v>
      </c>
      <c r="D187" t="s">
        <v>7</v>
      </c>
      <c r="E187">
        <v>1965</v>
      </c>
      <c r="F187">
        <v>1965</v>
      </c>
      <c r="G187" t="s">
        <v>1183</v>
      </c>
      <c r="H187">
        <v>46.225160000000002</v>
      </c>
      <c r="I187">
        <v>-72.507570000000001</v>
      </c>
      <c r="J187" t="s">
        <v>21</v>
      </c>
      <c r="K187" t="s">
        <v>1162</v>
      </c>
      <c r="L187" t="s">
        <v>1167</v>
      </c>
      <c r="M187">
        <f>167*0.3048</f>
        <v>50.901600000000002</v>
      </c>
      <c r="N187" t="s">
        <v>1179</v>
      </c>
      <c r="O187" t="s">
        <v>1217</v>
      </c>
      <c r="P187" t="s">
        <v>212</v>
      </c>
      <c r="Q187" t="s">
        <v>404</v>
      </c>
      <c r="R187" t="s">
        <v>1183</v>
      </c>
      <c r="S187">
        <f>968*0.3048</f>
        <v>295.04640000000001</v>
      </c>
      <c r="T187" s="1" t="s">
        <v>1464</v>
      </c>
      <c r="U187" s="1" t="s">
        <v>1465</v>
      </c>
    </row>
    <row r="188" spans="1:21" x14ac:dyDescent="0.3">
      <c r="A188">
        <v>92</v>
      </c>
      <c r="B188" t="s">
        <v>530</v>
      </c>
      <c r="C188" t="s">
        <v>1077</v>
      </c>
      <c r="D188" t="s">
        <v>7</v>
      </c>
      <c r="E188">
        <v>1965</v>
      </c>
      <c r="F188">
        <v>1965</v>
      </c>
      <c r="G188">
        <v>1966</v>
      </c>
      <c r="H188">
        <v>45.884729999999998</v>
      </c>
      <c r="I188">
        <v>-73.375029999999995</v>
      </c>
      <c r="J188" t="s">
        <v>29</v>
      </c>
      <c r="K188" t="s">
        <v>1162</v>
      </c>
      <c r="L188" t="s">
        <v>1173</v>
      </c>
      <c r="M188">
        <f>132*0.3048</f>
        <v>40.233600000000003</v>
      </c>
      <c r="N188" t="s">
        <v>1181</v>
      </c>
      <c r="O188" t="s">
        <v>1221</v>
      </c>
      <c r="P188" t="s">
        <v>212</v>
      </c>
      <c r="Q188" t="s">
        <v>404</v>
      </c>
      <c r="R188">
        <f>69*0.3048</f>
        <v>21.031200000000002</v>
      </c>
      <c r="S188">
        <f>1552*0.3048</f>
        <v>473.0496</v>
      </c>
      <c r="T188" s="1" t="s">
        <v>1078</v>
      </c>
      <c r="U188" s="1" t="s">
        <v>1466</v>
      </c>
    </row>
    <row r="189" spans="1:21" x14ac:dyDescent="0.3">
      <c r="A189">
        <v>93</v>
      </c>
      <c r="B189" s="8" t="s">
        <v>531</v>
      </c>
      <c r="C189" s="4" t="s">
        <v>2720</v>
      </c>
      <c r="D189" t="s">
        <v>7</v>
      </c>
      <c r="E189">
        <v>1965</v>
      </c>
      <c r="F189" t="s">
        <v>1183</v>
      </c>
      <c r="G189">
        <v>1966</v>
      </c>
      <c r="H189">
        <v>45.880077700000001</v>
      </c>
      <c r="I189">
        <v>-73.379015999999993</v>
      </c>
      <c r="J189" t="s">
        <v>29</v>
      </c>
      <c r="K189" t="s">
        <v>1162</v>
      </c>
      <c r="L189" t="s">
        <v>1167</v>
      </c>
      <c r="M189">
        <f>160*0.3048</f>
        <v>48.768000000000001</v>
      </c>
      <c r="N189" t="s">
        <v>1181</v>
      </c>
      <c r="O189" t="s">
        <v>1221</v>
      </c>
      <c r="P189" t="s">
        <v>218</v>
      </c>
      <c r="Q189" t="s">
        <v>213</v>
      </c>
      <c r="R189">
        <f>69*0.3048</f>
        <v>21.031200000000002</v>
      </c>
      <c r="S189">
        <f>1349*0.3048</f>
        <v>411.17520000000002</v>
      </c>
      <c r="T189" s="1" t="s">
        <v>2721</v>
      </c>
      <c r="U189" s="1" t="s">
        <v>2722</v>
      </c>
    </row>
    <row r="190" spans="1:21" x14ac:dyDescent="0.3">
      <c r="A190">
        <v>94</v>
      </c>
      <c r="B190" t="s">
        <v>532</v>
      </c>
      <c r="C190" t="s">
        <v>1467</v>
      </c>
      <c r="D190" t="s">
        <v>7</v>
      </c>
      <c r="E190">
        <v>1966</v>
      </c>
      <c r="F190" t="s">
        <v>1183</v>
      </c>
      <c r="G190">
        <v>1966</v>
      </c>
      <c r="H190">
        <v>45.914839999999998</v>
      </c>
      <c r="I190">
        <v>-73.457149999999999</v>
      </c>
      <c r="J190" t="s">
        <v>29</v>
      </c>
      <c r="K190" t="s">
        <v>1162</v>
      </c>
      <c r="L190" t="s">
        <v>1167</v>
      </c>
      <c r="M190">
        <f>113*0.3048</f>
        <v>34.442399999999999</v>
      </c>
      <c r="N190" t="s">
        <v>1181</v>
      </c>
      <c r="O190" t="s">
        <v>1453</v>
      </c>
      <c r="P190" t="s">
        <v>212</v>
      </c>
      <c r="Q190" t="s">
        <v>213</v>
      </c>
      <c r="R190">
        <f>100*0.3048</f>
        <v>30.48</v>
      </c>
      <c r="S190">
        <f>767*0.3048</f>
        <v>233.78160000000003</v>
      </c>
      <c r="T190" s="1" t="s">
        <v>1468</v>
      </c>
      <c r="U190" s="1" t="s">
        <v>1469</v>
      </c>
    </row>
    <row r="191" spans="1:21" x14ac:dyDescent="0.3">
      <c r="A191">
        <v>95</v>
      </c>
      <c r="B191" t="s">
        <v>534</v>
      </c>
      <c r="C191" t="s">
        <v>1470</v>
      </c>
      <c r="D191" t="s">
        <v>7</v>
      </c>
      <c r="E191">
        <v>1966</v>
      </c>
      <c r="F191">
        <v>1966</v>
      </c>
      <c r="G191" t="s">
        <v>1183</v>
      </c>
      <c r="H191">
        <v>45.902329999999999</v>
      </c>
      <c r="I191">
        <v>-73.440420000000003</v>
      </c>
      <c r="J191" t="s">
        <v>29</v>
      </c>
      <c r="K191" t="s">
        <v>1162</v>
      </c>
      <c r="L191" t="s">
        <v>1167</v>
      </c>
      <c r="M191">
        <f>100*0.3048</f>
        <v>30.48</v>
      </c>
      <c r="N191" t="s">
        <v>1331</v>
      </c>
      <c r="O191" t="s">
        <v>1453</v>
      </c>
      <c r="P191" t="s">
        <v>212</v>
      </c>
      <c r="Q191" t="s">
        <v>213</v>
      </c>
      <c r="R191">
        <f>73*0.3048</f>
        <v>22.250400000000003</v>
      </c>
      <c r="S191">
        <f>858*0.3048</f>
        <v>261.51839999999999</v>
      </c>
      <c r="T191" s="1" t="s">
        <v>1471</v>
      </c>
      <c r="U191" s="1" t="s">
        <v>1472</v>
      </c>
    </row>
    <row r="192" spans="1:21" x14ac:dyDescent="0.3">
      <c r="A192">
        <v>96</v>
      </c>
      <c r="B192" t="s">
        <v>537</v>
      </c>
      <c r="C192" t="s">
        <v>1069</v>
      </c>
      <c r="D192" t="s">
        <v>7</v>
      </c>
      <c r="E192">
        <v>1966</v>
      </c>
      <c r="F192" t="s">
        <v>1183</v>
      </c>
      <c r="G192">
        <v>1966</v>
      </c>
      <c r="H192">
        <v>45.88017</v>
      </c>
      <c r="I192">
        <v>-73.379199999999997</v>
      </c>
      <c r="J192" t="s">
        <v>29</v>
      </c>
      <c r="K192" t="s">
        <v>1162</v>
      </c>
      <c r="L192" t="s">
        <v>1163</v>
      </c>
      <c r="M192">
        <f>1448*0.3048</f>
        <v>441.35040000000004</v>
      </c>
      <c r="N192" t="s">
        <v>1279</v>
      </c>
      <c r="O192" t="s">
        <v>1221</v>
      </c>
      <c r="P192" t="s">
        <v>218</v>
      </c>
      <c r="Q192" t="s">
        <v>213</v>
      </c>
      <c r="R192">
        <f>53*0.3048</f>
        <v>16.154400000000003</v>
      </c>
      <c r="S192">
        <f>2615*0.3048</f>
        <v>797.05200000000002</v>
      </c>
      <c r="T192" s="1" t="s">
        <v>1070</v>
      </c>
      <c r="U192" s="1" t="s">
        <v>1473</v>
      </c>
    </row>
    <row r="193" spans="1:21" x14ac:dyDescent="0.3">
      <c r="A193">
        <v>97</v>
      </c>
      <c r="B193" t="s">
        <v>538</v>
      </c>
      <c r="C193" t="s">
        <v>1474</v>
      </c>
      <c r="D193" t="s">
        <v>7</v>
      </c>
      <c r="E193">
        <v>1969</v>
      </c>
      <c r="F193" t="s">
        <v>1183</v>
      </c>
      <c r="G193">
        <v>1969</v>
      </c>
      <c r="H193">
        <v>46.121358000000001</v>
      </c>
      <c r="I193">
        <v>-72.732612099999997</v>
      </c>
      <c r="J193" t="s">
        <v>21</v>
      </c>
      <c r="K193" t="s">
        <v>1162</v>
      </c>
      <c r="L193" t="s">
        <v>1163</v>
      </c>
      <c r="M193">
        <f>2230*0.3048</f>
        <v>679.70400000000006</v>
      </c>
      <c r="N193" t="s">
        <v>1331</v>
      </c>
      <c r="O193" t="s">
        <v>1175</v>
      </c>
      <c r="P193" t="s">
        <v>212</v>
      </c>
      <c r="Q193" t="s">
        <v>213</v>
      </c>
      <c r="R193">
        <f>68*0.3048</f>
        <v>20.726400000000002</v>
      </c>
      <c r="S193">
        <f>3790*0.3048</f>
        <v>1155.192</v>
      </c>
      <c r="T193" s="1" t="s">
        <v>1475</v>
      </c>
      <c r="U193" s="1" t="s">
        <v>1476</v>
      </c>
    </row>
    <row r="194" spans="1:21" x14ac:dyDescent="0.3">
      <c r="A194">
        <v>98</v>
      </c>
      <c r="B194" t="s">
        <v>539</v>
      </c>
      <c r="C194" t="s">
        <v>1477</v>
      </c>
      <c r="D194" t="s">
        <v>7</v>
      </c>
      <c r="E194">
        <v>1967</v>
      </c>
      <c r="F194" t="s">
        <v>1183</v>
      </c>
      <c r="G194">
        <v>1967</v>
      </c>
      <c r="H194">
        <v>45.058959999999999</v>
      </c>
      <c r="I194">
        <v>-74.431939999999997</v>
      </c>
      <c r="J194" t="s">
        <v>15</v>
      </c>
      <c r="K194" t="s">
        <v>1162</v>
      </c>
      <c r="L194" t="s">
        <v>1167</v>
      </c>
      <c r="M194">
        <f>60*0.3048</f>
        <v>18.288</v>
      </c>
      <c r="N194" t="s">
        <v>1275</v>
      </c>
      <c r="O194" t="s">
        <v>1478</v>
      </c>
      <c r="P194" t="s">
        <v>212</v>
      </c>
      <c r="Q194" t="s">
        <v>213</v>
      </c>
      <c r="R194" t="s">
        <v>1183</v>
      </c>
      <c r="S194">
        <f>662*0.3048</f>
        <v>201.77760000000001</v>
      </c>
      <c r="T194" s="1" t="s">
        <v>1479</v>
      </c>
      <c r="U194" s="1" t="s">
        <v>1480</v>
      </c>
    </row>
    <row r="195" spans="1:21" x14ac:dyDescent="0.3">
      <c r="A195">
        <v>99</v>
      </c>
      <c r="B195" t="s">
        <v>540</v>
      </c>
      <c r="C195" t="s">
        <v>1481</v>
      </c>
      <c r="D195" t="s">
        <v>7</v>
      </c>
      <c r="E195">
        <v>1971</v>
      </c>
      <c r="F195" t="s">
        <v>1183</v>
      </c>
      <c r="G195">
        <v>1971</v>
      </c>
      <c r="H195">
        <v>46.358179999999997</v>
      </c>
      <c r="I195">
        <v>-72.278779999999998</v>
      </c>
      <c r="J195" t="s">
        <v>21</v>
      </c>
      <c r="K195" t="s">
        <v>1162</v>
      </c>
      <c r="L195" t="s">
        <v>1173</v>
      </c>
      <c r="M195">
        <f>6066*0.3048</f>
        <v>1848.9168000000002</v>
      </c>
      <c r="N195" t="s">
        <v>1279</v>
      </c>
      <c r="O195" t="s">
        <v>1482</v>
      </c>
      <c r="P195" t="s">
        <v>220</v>
      </c>
      <c r="Q195" t="s">
        <v>213</v>
      </c>
      <c r="R195">
        <f>126*0.3048</f>
        <v>38.404800000000002</v>
      </c>
      <c r="S195">
        <f>8570*0.3048</f>
        <v>2612.136</v>
      </c>
      <c r="T195" s="1" t="s">
        <v>1483</v>
      </c>
      <c r="U195" s="1" t="s">
        <v>1484</v>
      </c>
    </row>
    <row r="196" spans="1:21" x14ac:dyDescent="0.3">
      <c r="A196">
        <v>100</v>
      </c>
      <c r="B196" t="s">
        <v>542</v>
      </c>
      <c r="C196" t="s">
        <v>1485</v>
      </c>
      <c r="D196" t="s">
        <v>7</v>
      </c>
      <c r="E196">
        <v>1971</v>
      </c>
      <c r="F196" t="s">
        <v>1183</v>
      </c>
      <c r="G196">
        <v>1971</v>
      </c>
      <c r="H196">
        <v>46.128638889000001</v>
      </c>
      <c r="I196">
        <v>-72.754000000000005</v>
      </c>
      <c r="J196" t="s">
        <v>21</v>
      </c>
      <c r="K196" t="s">
        <v>1162</v>
      </c>
      <c r="L196" t="s">
        <v>1173</v>
      </c>
      <c r="M196">
        <f>450*0.3048</f>
        <v>137.16</v>
      </c>
      <c r="N196" t="s">
        <v>1299</v>
      </c>
      <c r="O196" t="s">
        <v>1194</v>
      </c>
      <c r="P196" t="s">
        <v>212</v>
      </c>
      <c r="Q196" t="s">
        <v>213</v>
      </c>
      <c r="R196">
        <f>30*0.3048</f>
        <v>9.1440000000000001</v>
      </c>
      <c r="S196">
        <f>4280*0.3048</f>
        <v>1304.5440000000001</v>
      </c>
      <c r="T196" s="1" t="s">
        <v>1486</v>
      </c>
      <c r="U196" s="1" t="s">
        <v>1487</v>
      </c>
    </row>
    <row r="197" spans="1:21" x14ac:dyDescent="0.3">
      <c r="A197">
        <v>101</v>
      </c>
      <c r="B197" t="s">
        <v>543</v>
      </c>
      <c r="C197" t="s">
        <v>1488</v>
      </c>
      <c r="D197" t="s">
        <v>7</v>
      </c>
      <c r="E197">
        <v>1971</v>
      </c>
      <c r="F197" t="s">
        <v>1183</v>
      </c>
      <c r="G197">
        <v>1971</v>
      </c>
      <c r="H197">
        <v>46.974742778</v>
      </c>
      <c r="I197">
        <v>-70.923141388999994</v>
      </c>
      <c r="J197" t="s">
        <v>56</v>
      </c>
      <c r="K197" t="s">
        <v>1162</v>
      </c>
      <c r="L197" t="s">
        <v>1173</v>
      </c>
      <c r="M197">
        <f>1013*0.3048</f>
        <v>308.76240000000001</v>
      </c>
      <c r="N197" t="s">
        <v>1489</v>
      </c>
      <c r="O197" t="s">
        <v>1490</v>
      </c>
      <c r="P197" t="s">
        <v>212</v>
      </c>
      <c r="Q197" t="s">
        <v>213</v>
      </c>
      <c r="R197">
        <f>436*0.3048</f>
        <v>132.89279999999999</v>
      </c>
      <c r="S197">
        <f>5950*0.3048</f>
        <v>1813.5600000000002</v>
      </c>
      <c r="T197" s="1" t="s">
        <v>1491</v>
      </c>
      <c r="U197" s="1" t="s">
        <v>1492</v>
      </c>
    </row>
    <row r="198" spans="1:21" x14ac:dyDescent="0.3">
      <c r="A198">
        <v>102</v>
      </c>
      <c r="B198" s="8" t="s">
        <v>544</v>
      </c>
      <c r="C198" s="4" t="s">
        <v>2734</v>
      </c>
      <c r="D198" t="s">
        <v>7</v>
      </c>
      <c r="E198">
        <v>1972</v>
      </c>
      <c r="F198" t="s">
        <v>1183</v>
      </c>
      <c r="G198">
        <v>1972</v>
      </c>
      <c r="H198">
        <v>45.879295999999997</v>
      </c>
      <c r="I198">
        <v>-73.091024000000004</v>
      </c>
      <c r="J198" t="s">
        <v>15</v>
      </c>
      <c r="K198" t="s">
        <v>1162</v>
      </c>
      <c r="L198" t="s">
        <v>1173</v>
      </c>
      <c r="M198">
        <f>849*0.3048</f>
        <v>258.77520000000004</v>
      </c>
      <c r="N198" t="s">
        <v>1390</v>
      </c>
      <c r="O198" t="s">
        <v>2735</v>
      </c>
      <c r="P198" t="s">
        <v>220</v>
      </c>
      <c r="Q198" t="s">
        <v>213</v>
      </c>
      <c r="R198">
        <f>68*0.3048</f>
        <v>20.726400000000002</v>
      </c>
      <c r="S198">
        <f>6156*0.3048</f>
        <v>1876.3488</v>
      </c>
      <c r="T198" s="1" t="s">
        <v>2736</v>
      </c>
      <c r="U198" s="1" t="s">
        <v>2737</v>
      </c>
    </row>
    <row r="199" spans="1:21" x14ac:dyDescent="0.3">
      <c r="A199">
        <v>103</v>
      </c>
      <c r="B199" t="s">
        <v>545</v>
      </c>
      <c r="C199" t="s">
        <v>1493</v>
      </c>
      <c r="D199" t="s">
        <v>7</v>
      </c>
      <c r="E199">
        <v>1972</v>
      </c>
      <c r="F199" t="s">
        <v>1183</v>
      </c>
      <c r="G199">
        <v>1972</v>
      </c>
      <c r="H199">
        <v>45.80171</v>
      </c>
      <c r="I199">
        <v>-72.427490000000006</v>
      </c>
      <c r="J199" t="s">
        <v>21</v>
      </c>
      <c r="K199" t="s">
        <v>1162</v>
      </c>
      <c r="L199" t="s">
        <v>1173</v>
      </c>
      <c r="M199">
        <f>9026*0.3048</f>
        <v>2751.1248000000001</v>
      </c>
      <c r="N199" t="s">
        <v>1494</v>
      </c>
      <c r="O199" t="s">
        <v>1495</v>
      </c>
      <c r="P199" t="s">
        <v>220</v>
      </c>
      <c r="Q199" t="s">
        <v>213</v>
      </c>
      <c r="R199">
        <f>380*0.3048</f>
        <v>115.82400000000001</v>
      </c>
      <c r="S199">
        <f>15010*0.3048</f>
        <v>4575.0480000000007</v>
      </c>
      <c r="T199" s="1" t="s">
        <v>1496</v>
      </c>
      <c r="U199" s="1" t="s">
        <v>1497</v>
      </c>
    </row>
    <row r="200" spans="1:21" x14ac:dyDescent="0.3">
      <c r="A200">
        <v>104</v>
      </c>
      <c r="B200" t="s">
        <v>546</v>
      </c>
      <c r="C200" t="s">
        <v>1498</v>
      </c>
      <c r="D200" t="s">
        <v>7</v>
      </c>
      <c r="E200">
        <v>1972</v>
      </c>
      <c r="F200">
        <v>1972</v>
      </c>
      <c r="G200">
        <v>1973</v>
      </c>
      <c r="H200">
        <v>46.178362499999999</v>
      </c>
      <c r="I200">
        <v>-72.627615277999993</v>
      </c>
      <c r="J200" t="s">
        <v>21</v>
      </c>
      <c r="K200" t="s">
        <v>1162</v>
      </c>
      <c r="L200" t="s">
        <v>1173</v>
      </c>
      <c r="M200">
        <f>993*0.3048</f>
        <v>302.66640000000001</v>
      </c>
      <c r="N200" t="s">
        <v>1299</v>
      </c>
      <c r="O200" t="s">
        <v>1191</v>
      </c>
      <c r="P200" t="s">
        <v>212</v>
      </c>
      <c r="Q200" t="s">
        <v>213</v>
      </c>
      <c r="R200">
        <f>116*0.3048</f>
        <v>35.3568</v>
      </c>
      <c r="S200">
        <f>7346*0.3048</f>
        <v>2239.0608000000002</v>
      </c>
      <c r="T200" s="1" t="s">
        <v>1499</v>
      </c>
      <c r="U200" s="1" t="s">
        <v>1500</v>
      </c>
    </row>
    <row r="201" spans="1:21" x14ac:dyDescent="0.3">
      <c r="A201">
        <v>105</v>
      </c>
      <c r="B201" s="8" t="s">
        <v>547</v>
      </c>
      <c r="C201" s="4" t="s">
        <v>2738</v>
      </c>
      <c r="D201" t="s">
        <v>7</v>
      </c>
      <c r="E201">
        <v>1972</v>
      </c>
      <c r="F201" t="s">
        <v>1183</v>
      </c>
      <c r="G201">
        <v>1973</v>
      </c>
      <c r="H201">
        <v>45.069801300000002</v>
      </c>
      <c r="I201">
        <v>-73.067040300000002</v>
      </c>
      <c r="J201" t="s">
        <v>15</v>
      </c>
      <c r="K201" t="s">
        <v>1162</v>
      </c>
      <c r="L201" t="s">
        <v>1173</v>
      </c>
      <c r="M201">
        <f>1522*0.3048</f>
        <v>463.90560000000005</v>
      </c>
      <c r="N201" t="s">
        <v>1390</v>
      </c>
      <c r="O201" t="s">
        <v>1190</v>
      </c>
      <c r="P201" t="s">
        <v>220</v>
      </c>
      <c r="Q201" t="s">
        <v>213</v>
      </c>
      <c r="R201">
        <f>125*0.3048</f>
        <v>38.1</v>
      </c>
      <c r="S201">
        <f>12483*0.3048</f>
        <v>3804.8184000000001</v>
      </c>
      <c r="T201" s="1" t="s">
        <v>2739</v>
      </c>
      <c r="U201" s="1" t="s">
        <v>2740</v>
      </c>
    </row>
    <row r="202" spans="1:21" x14ac:dyDescent="0.3">
      <c r="A202">
        <v>106</v>
      </c>
      <c r="B202" t="s">
        <v>548</v>
      </c>
      <c r="C202" t="s">
        <v>1501</v>
      </c>
      <c r="D202" t="s">
        <v>7</v>
      </c>
      <c r="E202">
        <v>1973</v>
      </c>
      <c r="F202" t="s">
        <v>1183</v>
      </c>
      <c r="G202">
        <v>1973</v>
      </c>
      <c r="H202">
        <v>46.621560277999997</v>
      </c>
      <c r="I202">
        <v>-71.704004166999994</v>
      </c>
      <c r="J202" t="s">
        <v>51</v>
      </c>
      <c r="K202" t="s">
        <v>1162</v>
      </c>
      <c r="L202" t="s">
        <v>1173</v>
      </c>
      <c r="M202">
        <f>1038*0.3048</f>
        <v>316.38240000000002</v>
      </c>
      <c r="N202" t="s">
        <v>1299</v>
      </c>
      <c r="O202" t="s">
        <v>1190</v>
      </c>
      <c r="P202" t="s">
        <v>212</v>
      </c>
      <c r="Q202" t="s">
        <v>213</v>
      </c>
      <c r="R202">
        <f>225*0.3048</f>
        <v>68.58</v>
      </c>
      <c r="S202">
        <f>6137*0.3048</f>
        <v>1870.5576000000001</v>
      </c>
      <c r="T202" s="1" t="s">
        <v>1502</v>
      </c>
      <c r="U202" s="1" t="s">
        <v>1503</v>
      </c>
    </row>
    <row r="203" spans="1:21" x14ac:dyDescent="0.3">
      <c r="A203">
        <v>107</v>
      </c>
      <c r="B203" t="s">
        <v>549</v>
      </c>
      <c r="C203" t="s">
        <v>1504</v>
      </c>
      <c r="D203" t="s">
        <v>7</v>
      </c>
      <c r="E203">
        <v>1974</v>
      </c>
      <c r="F203" t="s">
        <v>1183</v>
      </c>
      <c r="G203">
        <v>1974</v>
      </c>
      <c r="H203">
        <v>46.490166666999997</v>
      </c>
      <c r="I203">
        <v>-71.604805556000002</v>
      </c>
      <c r="J203" t="s">
        <v>51</v>
      </c>
      <c r="K203" t="s">
        <v>1162</v>
      </c>
      <c r="L203" t="s">
        <v>1173</v>
      </c>
      <c r="M203">
        <f>993*0.3048</f>
        <v>302.66640000000001</v>
      </c>
      <c r="N203" t="s">
        <v>1505</v>
      </c>
      <c r="O203" t="s">
        <v>1194</v>
      </c>
      <c r="P203" t="s">
        <v>212</v>
      </c>
      <c r="Q203" t="s">
        <v>213</v>
      </c>
      <c r="R203">
        <f>446*0.3048</f>
        <v>135.9408</v>
      </c>
      <c r="S203">
        <f>8230*0.3048</f>
        <v>2508.5039999999999</v>
      </c>
      <c r="T203" s="1" t="s">
        <v>1506</v>
      </c>
      <c r="U203" s="1" t="s">
        <v>1507</v>
      </c>
    </row>
    <row r="204" spans="1:21" x14ac:dyDescent="0.3">
      <c r="A204">
        <v>108</v>
      </c>
      <c r="B204" t="s">
        <v>550</v>
      </c>
      <c r="C204" t="s">
        <v>1508</v>
      </c>
      <c r="D204" t="s">
        <v>7</v>
      </c>
      <c r="E204">
        <v>1974</v>
      </c>
      <c r="F204" t="s">
        <v>1183</v>
      </c>
      <c r="G204">
        <v>1974</v>
      </c>
      <c r="H204">
        <v>46.290860000000002</v>
      </c>
      <c r="I204">
        <v>-72.901899999999998</v>
      </c>
      <c r="J204" t="s">
        <v>12</v>
      </c>
      <c r="K204" t="s">
        <v>1162</v>
      </c>
      <c r="L204" t="s">
        <v>1183</v>
      </c>
      <c r="M204">
        <f>323*0.3048</f>
        <v>98.450400000000002</v>
      </c>
      <c r="N204" t="s">
        <v>1279</v>
      </c>
      <c r="O204" t="s">
        <v>1191</v>
      </c>
      <c r="P204" t="s">
        <v>220</v>
      </c>
      <c r="Q204" t="s">
        <v>213</v>
      </c>
      <c r="R204">
        <f>24*0.3048</f>
        <v>7.3152000000000008</v>
      </c>
      <c r="S204">
        <f>1448*0.3048</f>
        <v>441.35040000000004</v>
      </c>
      <c r="T204" s="1" t="s">
        <v>1509</v>
      </c>
      <c r="U204" s="1" t="s">
        <v>1510</v>
      </c>
    </row>
    <row r="205" spans="1:21" x14ac:dyDescent="0.3">
      <c r="A205">
        <v>109</v>
      </c>
      <c r="B205" t="s">
        <v>551</v>
      </c>
      <c r="C205" t="s">
        <v>1511</v>
      </c>
      <c r="D205" t="s">
        <v>7</v>
      </c>
      <c r="E205">
        <v>1974</v>
      </c>
      <c r="F205" t="s">
        <v>1183</v>
      </c>
      <c r="G205">
        <v>1974</v>
      </c>
      <c r="H205">
        <v>46.437805556000001</v>
      </c>
      <c r="I205">
        <v>-71.697222221999994</v>
      </c>
      <c r="J205" t="s">
        <v>51</v>
      </c>
      <c r="K205" t="s">
        <v>1162</v>
      </c>
      <c r="L205" t="s">
        <v>1173</v>
      </c>
      <c r="M205">
        <f>1014*0.3048</f>
        <v>309.06720000000001</v>
      </c>
      <c r="N205" t="s">
        <v>1512</v>
      </c>
      <c r="O205" t="s">
        <v>1194</v>
      </c>
      <c r="P205" t="s">
        <v>220</v>
      </c>
      <c r="Q205" t="s">
        <v>213</v>
      </c>
      <c r="R205">
        <f>403*0.3048</f>
        <v>122.8344</v>
      </c>
      <c r="S205">
        <f>5931*0.3048</f>
        <v>1807.7688000000001</v>
      </c>
      <c r="T205" s="1" t="s">
        <v>1513</v>
      </c>
      <c r="U205" s="1" t="s">
        <v>1514</v>
      </c>
    </row>
    <row r="206" spans="1:21" x14ac:dyDescent="0.3">
      <c r="A206">
        <v>110</v>
      </c>
      <c r="B206" t="s">
        <v>552</v>
      </c>
      <c r="C206" t="s">
        <v>1515</v>
      </c>
      <c r="D206" t="s">
        <v>7</v>
      </c>
      <c r="E206">
        <v>1975</v>
      </c>
      <c r="F206" t="s">
        <v>1183</v>
      </c>
      <c r="G206">
        <v>1975</v>
      </c>
      <c r="H206">
        <v>47.001199999999997</v>
      </c>
      <c r="I206">
        <v>-70.888909999999996</v>
      </c>
      <c r="J206" t="s">
        <v>56</v>
      </c>
      <c r="K206" t="s">
        <v>1162</v>
      </c>
      <c r="L206" t="s">
        <v>1173</v>
      </c>
      <c r="M206">
        <f>741*0.3048</f>
        <v>225.85680000000002</v>
      </c>
      <c r="N206" t="s">
        <v>1179</v>
      </c>
      <c r="O206" t="s">
        <v>1194</v>
      </c>
      <c r="P206" t="s">
        <v>220</v>
      </c>
      <c r="Q206" t="s">
        <v>213</v>
      </c>
      <c r="R206">
        <f>236*0.3048</f>
        <v>71.9328</v>
      </c>
      <c r="S206">
        <f>3500*0.3048</f>
        <v>1066.8</v>
      </c>
      <c r="T206" s="1" t="s">
        <v>1516</v>
      </c>
      <c r="U206" s="1" t="s">
        <v>1517</v>
      </c>
    </row>
    <row r="207" spans="1:21" x14ac:dyDescent="0.3">
      <c r="A207">
        <v>111</v>
      </c>
      <c r="B207" t="s">
        <v>553</v>
      </c>
      <c r="C207" t="s">
        <v>1518</v>
      </c>
      <c r="D207" t="s">
        <v>7</v>
      </c>
      <c r="E207">
        <v>1975</v>
      </c>
      <c r="F207" t="s">
        <v>1183</v>
      </c>
      <c r="G207">
        <v>1975</v>
      </c>
      <c r="H207">
        <v>46.782910000000001</v>
      </c>
      <c r="I207">
        <v>-71.397085555999993</v>
      </c>
      <c r="J207" t="s">
        <v>56</v>
      </c>
      <c r="K207" t="s">
        <v>1162</v>
      </c>
      <c r="L207" t="s">
        <v>1173</v>
      </c>
      <c r="M207">
        <f>3277*0.3048</f>
        <v>998.82960000000003</v>
      </c>
      <c r="N207" t="s">
        <v>1234</v>
      </c>
      <c r="O207" t="s">
        <v>1194</v>
      </c>
      <c r="P207" t="s">
        <v>218</v>
      </c>
      <c r="Q207" t="s">
        <v>213</v>
      </c>
      <c r="R207">
        <f>234*0.3048</f>
        <v>71.3232</v>
      </c>
      <c r="S207">
        <f>3277*0.3048</f>
        <v>998.82960000000003</v>
      </c>
      <c r="T207" s="1" t="s">
        <v>1519</v>
      </c>
      <c r="U207" s="1" t="s">
        <v>1520</v>
      </c>
    </row>
    <row r="208" spans="1:21" x14ac:dyDescent="0.3">
      <c r="A208">
        <v>112</v>
      </c>
      <c r="B208" s="8" t="s">
        <v>554</v>
      </c>
      <c r="C208" s="4" t="s">
        <v>2741</v>
      </c>
      <c r="D208" t="s">
        <v>7</v>
      </c>
      <c r="E208">
        <v>1975</v>
      </c>
      <c r="F208">
        <v>1976</v>
      </c>
      <c r="G208">
        <v>1982</v>
      </c>
      <c r="H208">
        <v>46.510610999999997</v>
      </c>
      <c r="I208">
        <v>-71.546166999999997</v>
      </c>
      <c r="J208" t="s">
        <v>51</v>
      </c>
      <c r="K208" t="s">
        <v>1162</v>
      </c>
      <c r="L208" t="s">
        <v>1173</v>
      </c>
      <c r="M208">
        <f>5945*0.3048</f>
        <v>1812.0360000000001</v>
      </c>
      <c r="N208" t="s">
        <v>1601</v>
      </c>
      <c r="O208" t="s">
        <v>1194</v>
      </c>
      <c r="P208" t="s">
        <v>212</v>
      </c>
      <c r="Q208" t="s">
        <v>213</v>
      </c>
      <c r="R208">
        <f>469*0.3048</f>
        <v>142.9512</v>
      </c>
      <c r="S208">
        <f>5978*0.3048</f>
        <v>1822.0944000000002</v>
      </c>
      <c r="T208" t="s">
        <v>220</v>
      </c>
      <c r="U208" s="1" t="s">
        <v>2743</v>
      </c>
    </row>
    <row r="209" spans="1:21" x14ac:dyDescent="0.3">
      <c r="A209">
        <v>113</v>
      </c>
      <c r="B209" s="8" t="s">
        <v>555</v>
      </c>
      <c r="C209" s="4" t="s">
        <v>2744</v>
      </c>
      <c r="D209" t="s">
        <v>7</v>
      </c>
      <c r="E209">
        <v>1976</v>
      </c>
      <c r="F209" t="s">
        <v>1183</v>
      </c>
      <c r="G209">
        <v>1976</v>
      </c>
      <c r="H209">
        <v>45.759917000000002</v>
      </c>
      <c r="I209">
        <v>-72.803360999999995</v>
      </c>
      <c r="J209" t="s">
        <v>15</v>
      </c>
      <c r="K209" t="s">
        <v>1162</v>
      </c>
      <c r="L209" t="s">
        <v>1173</v>
      </c>
      <c r="M209">
        <f>1421*0.3048</f>
        <v>433.12080000000003</v>
      </c>
      <c r="N209" t="s">
        <v>1331</v>
      </c>
      <c r="O209" t="s">
        <v>1194</v>
      </c>
      <c r="P209" t="s">
        <v>212</v>
      </c>
      <c r="Q209" t="s">
        <v>213</v>
      </c>
      <c r="R209">
        <f>174*0.3048</f>
        <v>53.035200000000003</v>
      </c>
      <c r="S209">
        <f>9963*0.3048</f>
        <v>3036.7224000000001</v>
      </c>
      <c r="T209" t="s">
        <v>220</v>
      </c>
      <c r="U209" s="1" t="s">
        <v>2745</v>
      </c>
    </row>
    <row r="210" spans="1:21" x14ac:dyDescent="0.3">
      <c r="A210">
        <v>114</v>
      </c>
      <c r="B210" t="s">
        <v>556</v>
      </c>
      <c r="C210" t="s">
        <v>1521</v>
      </c>
      <c r="D210" t="s">
        <v>7</v>
      </c>
      <c r="E210">
        <v>1976</v>
      </c>
      <c r="F210" t="s">
        <v>1183</v>
      </c>
      <c r="G210">
        <v>1977</v>
      </c>
      <c r="H210">
        <v>46.495192222</v>
      </c>
      <c r="I210">
        <v>-71.566147221999998</v>
      </c>
      <c r="J210" t="s">
        <v>51</v>
      </c>
      <c r="K210" t="s">
        <v>1162</v>
      </c>
      <c r="L210" t="s">
        <v>1173</v>
      </c>
      <c r="M210">
        <f>1017*0.3048</f>
        <v>309.98160000000001</v>
      </c>
      <c r="N210" t="s">
        <v>1299</v>
      </c>
      <c r="O210" t="s">
        <v>1194</v>
      </c>
      <c r="P210" t="s">
        <v>212</v>
      </c>
      <c r="Q210" t="s">
        <v>213</v>
      </c>
      <c r="R210">
        <f>466*0.3048</f>
        <v>142.0368</v>
      </c>
      <c r="S210">
        <f>7333*0.3048</f>
        <v>2235.0984000000003</v>
      </c>
      <c r="T210" s="1" t="s">
        <v>1522</v>
      </c>
      <c r="U210" s="1" t="s">
        <v>1523</v>
      </c>
    </row>
    <row r="211" spans="1:21" x14ac:dyDescent="0.3">
      <c r="A211">
        <v>115</v>
      </c>
      <c r="B211" t="s">
        <v>557</v>
      </c>
      <c r="C211" t="s">
        <v>1145</v>
      </c>
      <c r="D211" t="s">
        <v>7</v>
      </c>
      <c r="E211">
        <v>1977</v>
      </c>
      <c r="F211" t="s">
        <v>1183</v>
      </c>
      <c r="G211">
        <v>1977</v>
      </c>
      <c r="H211">
        <v>45.736760277999998</v>
      </c>
      <c r="I211">
        <v>-72.773214999999993</v>
      </c>
      <c r="J211" t="s">
        <v>15</v>
      </c>
      <c r="K211" t="s">
        <v>1162</v>
      </c>
      <c r="L211" t="s">
        <v>1173</v>
      </c>
      <c r="M211">
        <f>1974*0.3048</f>
        <v>601.67520000000002</v>
      </c>
      <c r="N211" t="s">
        <v>1331</v>
      </c>
      <c r="O211" t="s">
        <v>1194</v>
      </c>
      <c r="P211" t="s">
        <v>212</v>
      </c>
      <c r="Q211" t="s">
        <v>213</v>
      </c>
      <c r="R211">
        <f>238*0.3048</f>
        <v>72.542400000000001</v>
      </c>
      <c r="S211">
        <f>10678*0.3048</f>
        <v>3254.6544000000004</v>
      </c>
      <c r="T211" s="1" t="s">
        <v>1146</v>
      </c>
      <c r="U211" s="1" t="s">
        <v>1524</v>
      </c>
    </row>
    <row r="212" spans="1:21" x14ac:dyDescent="0.3">
      <c r="A212">
        <v>116</v>
      </c>
      <c r="B212" s="8" t="s">
        <v>558</v>
      </c>
      <c r="C212" s="4" t="s">
        <v>2742</v>
      </c>
      <c r="D212" t="s">
        <v>7</v>
      </c>
      <c r="E212">
        <v>1977</v>
      </c>
      <c r="F212" t="s">
        <v>1183</v>
      </c>
      <c r="G212">
        <v>1977</v>
      </c>
      <c r="H212">
        <v>45.510778000000002</v>
      </c>
      <c r="I212">
        <v>-71.600916999999995</v>
      </c>
      <c r="J212" t="s">
        <v>51</v>
      </c>
      <c r="K212" t="s">
        <v>1162</v>
      </c>
      <c r="L212" t="s">
        <v>1173</v>
      </c>
      <c r="M212">
        <f>1014*0.3048</f>
        <v>309.06720000000001</v>
      </c>
      <c r="N212" t="s">
        <v>1390</v>
      </c>
      <c r="O212" t="s">
        <v>1194</v>
      </c>
      <c r="P212" t="s">
        <v>220</v>
      </c>
      <c r="Q212" t="s">
        <v>213</v>
      </c>
      <c r="R212">
        <f>427*0.3048</f>
        <v>130.14959999999999</v>
      </c>
      <c r="S212">
        <f>5212*0.3048</f>
        <v>1588.6176</v>
      </c>
      <c r="T212" t="s">
        <v>220</v>
      </c>
      <c r="U212" s="1" t="s">
        <v>2746</v>
      </c>
    </row>
    <row r="213" spans="1:21" x14ac:dyDescent="0.3">
      <c r="A213">
        <v>117</v>
      </c>
      <c r="B213" s="8" t="s">
        <v>559</v>
      </c>
      <c r="C213" s="4" t="s">
        <v>2747</v>
      </c>
      <c r="D213" t="s">
        <v>7</v>
      </c>
      <c r="E213">
        <v>1977</v>
      </c>
      <c r="F213" t="s">
        <v>1183</v>
      </c>
      <c r="G213">
        <v>1977</v>
      </c>
      <c r="H213">
        <v>46.514111</v>
      </c>
      <c r="I213">
        <v>-71.579166999999998</v>
      </c>
      <c r="J213" t="s">
        <v>51</v>
      </c>
      <c r="K213" t="s">
        <v>1162</v>
      </c>
      <c r="L213" t="s">
        <v>1173</v>
      </c>
      <c r="M213">
        <f>1020*0.3048</f>
        <v>310.89600000000002</v>
      </c>
      <c r="N213" t="s">
        <v>2748</v>
      </c>
      <c r="O213" t="s">
        <v>1194</v>
      </c>
      <c r="P213" t="s">
        <v>212</v>
      </c>
      <c r="Q213" t="s">
        <v>213</v>
      </c>
      <c r="R213">
        <f>440*0.3048</f>
        <v>134.11199999999999</v>
      </c>
      <c r="S213">
        <f>6400*0.3048</f>
        <v>1950.72</v>
      </c>
      <c r="T213" t="s">
        <v>220</v>
      </c>
      <c r="U213" s="1" t="s">
        <v>2749</v>
      </c>
    </row>
    <row r="214" spans="1:21" x14ac:dyDescent="0.3">
      <c r="A214">
        <v>118</v>
      </c>
      <c r="B214" t="s">
        <v>560</v>
      </c>
      <c r="C214" t="s">
        <v>1525</v>
      </c>
      <c r="D214" t="s">
        <v>7</v>
      </c>
      <c r="E214">
        <v>1977</v>
      </c>
      <c r="F214">
        <v>1977</v>
      </c>
      <c r="G214">
        <v>1982</v>
      </c>
      <c r="H214">
        <v>46.401138889000002</v>
      </c>
      <c r="I214">
        <v>-71.662861110999998</v>
      </c>
      <c r="J214" t="s">
        <v>21</v>
      </c>
      <c r="K214" t="s">
        <v>1162</v>
      </c>
      <c r="L214" t="s">
        <v>1173</v>
      </c>
      <c r="M214">
        <f>8347*0.3048</f>
        <v>2544.1656000000003</v>
      </c>
      <c r="N214" t="s">
        <v>1526</v>
      </c>
      <c r="O214" t="s">
        <v>1194</v>
      </c>
      <c r="P214" t="s">
        <v>212</v>
      </c>
      <c r="Q214" t="s">
        <v>213</v>
      </c>
      <c r="R214">
        <f>417*0.3048</f>
        <v>127.1016</v>
      </c>
      <c r="S214">
        <f>10059*0.3048</f>
        <v>3065.9832000000001</v>
      </c>
      <c r="T214" s="1" t="s">
        <v>1527</v>
      </c>
      <c r="U214" s="1" t="s">
        <v>1528</v>
      </c>
    </row>
    <row r="215" spans="1:21" x14ac:dyDescent="0.3">
      <c r="A215">
        <v>119</v>
      </c>
      <c r="B215" t="s">
        <v>561</v>
      </c>
      <c r="C215" t="s">
        <v>1529</v>
      </c>
      <c r="D215" t="s">
        <v>7</v>
      </c>
      <c r="E215">
        <v>1977</v>
      </c>
      <c r="F215" t="s">
        <v>1183</v>
      </c>
      <c r="G215">
        <v>1978</v>
      </c>
      <c r="H215">
        <v>46.011420000000001</v>
      </c>
      <c r="I215">
        <v>-72.338449999999995</v>
      </c>
      <c r="J215" t="s">
        <v>21</v>
      </c>
      <c r="K215" t="s">
        <v>1162</v>
      </c>
      <c r="L215" t="s">
        <v>1173</v>
      </c>
      <c r="M215">
        <f>12021*0.3048</f>
        <v>3664.0008000000003</v>
      </c>
      <c r="N215" t="s">
        <v>1331</v>
      </c>
      <c r="O215" t="s">
        <v>1194</v>
      </c>
      <c r="P215" t="s">
        <v>212</v>
      </c>
      <c r="Q215" t="s">
        <v>213</v>
      </c>
      <c r="R215">
        <f>281*0.3048</f>
        <v>85.648800000000008</v>
      </c>
      <c r="S215">
        <f>14033*0.3048</f>
        <v>4277.2584000000006</v>
      </c>
      <c r="T215" s="1" t="s">
        <v>1530</v>
      </c>
      <c r="U215" s="1" t="s">
        <v>1531</v>
      </c>
    </row>
    <row r="216" spans="1:21" x14ac:dyDescent="0.3">
      <c r="A216">
        <v>120</v>
      </c>
      <c r="B216" t="s">
        <v>562</v>
      </c>
      <c r="C216" t="s">
        <v>1532</v>
      </c>
      <c r="D216" t="s">
        <v>7</v>
      </c>
      <c r="E216">
        <v>1977</v>
      </c>
      <c r="F216">
        <v>1978</v>
      </c>
      <c r="G216">
        <v>1978</v>
      </c>
      <c r="H216">
        <v>46.185007222000003</v>
      </c>
      <c r="I216">
        <v>-72.643905278000005</v>
      </c>
      <c r="J216" t="s">
        <v>21</v>
      </c>
      <c r="K216" t="s">
        <v>1162</v>
      </c>
      <c r="L216" t="s">
        <v>1173</v>
      </c>
      <c r="M216">
        <f>4570*0.3048</f>
        <v>1392.9360000000001</v>
      </c>
      <c r="N216" t="s">
        <v>1234</v>
      </c>
      <c r="O216" t="s">
        <v>1194</v>
      </c>
      <c r="P216" t="s">
        <v>212</v>
      </c>
      <c r="Q216" t="s">
        <v>213</v>
      </c>
      <c r="R216">
        <f>80*0.3048</f>
        <v>24.384</v>
      </c>
      <c r="S216">
        <f>4572*0.3048</f>
        <v>1393.5456000000001</v>
      </c>
      <c r="T216" s="1" t="s">
        <v>1534</v>
      </c>
      <c r="U216" s="1" t="s">
        <v>1535</v>
      </c>
    </row>
    <row r="217" spans="1:21" x14ac:dyDescent="0.3">
      <c r="A217">
        <v>121</v>
      </c>
      <c r="B217" t="s">
        <v>563</v>
      </c>
      <c r="C217" t="s">
        <v>1536</v>
      </c>
      <c r="D217" t="s">
        <v>7</v>
      </c>
      <c r="E217">
        <v>1978</v>
      </c>
      <c r="F217" t="s">
        <v>1183</v>
      </c>
      <c r="G217">
        <v>1978</v>
      </c>
      <c r="H217">
        <v>46.423184167000002</v>
      </c>
      <c r="I217">
        <v>-71.840651944000001</v>
      </c>
      <c r="J217" t="s">
        <v>51</v>
      </c>
      <c r="K217" t="s">
        <v>1162</v>
      </c>
      <c r="L217" t="s">
        <v>1173</v>
      </c>
      <c r="M217">
        <f>3024*0.3048</f>
        <v>921.7152000000001</v>
      </c>
      <c r="N217" t="s">
        <v>1299</v>
      </c>
      <c r="O217" t="s">
        <v>1194</v>
      </c>
      <c r="P217" t="s">
        <v>212</v>
      </c>
      <c r="Q217" t="s">
        <v>213</v>
      </c>
      <c r="R217">
        <f>410*0.3048</f>
        <v>124.968</v>
      </c>
      <c r="S217">
        <f>10413*0.3048</f>
        <v>3173.8824</v>
      </c>
      <c r="T217" s="1" t="s">
        <v>1537</v>
      </c>
      <c r="U217" s="1" t="s">
        <v>1538</v>
      </c>
    </row>
    <row r="218" spans="1:21" x14ac:dyDescent="0.3">
      <c r="A218">
        <v>122</v>
      </c>
      <c r="B218" t="s">
        <v>564</v>
      </c>
      <c r="C218" t="s">
        <v>1533</v>
      </c>
      <c r="D218" t="s">
        <v>7</v>
      </c>
      <c r="E218">
        <v>1978</v>
      </c>
      <c r="F218">
        <v>1978</v>
      </c>
      <c r="G218">
        <v>1979</v>
      </c>
      <c r="H218">
        <v>46.208813055999997</v>
      </c>
      <c r="I218">
        <v>-72.608717499999997</v>
      </c>
      <c r="J218" t="s">
        <v>21</v>
      </c>
      <c r="K218" t="s">
        <v>1162</v>
      </c>
      <c r="L218" t="s">
        <v>1173</v>
      </c>
      <c r="M218">
        <f>4515*0.3048</f>
        <v>1376.172</v>
      </c>
      <c r="N218" t="s">
        <v>1234</v>
      </c>
      <c r="O218" t="s">
        <v>1194</v>
      </c>
      <c r="P218" t="s">
        <v>212</v>
      </c>
      <c r="Q218" t="s">
        <v>213</v>
      </c>
      <c r="R218">
        <f>83*0.3048</f>
        <v>25.298400000000001</v>
      </c>
      <c r="S218">
        <f>4623*0.3048</f>
        <v>1409.0904</v>
      </c>
      <c r="T218" s="1" t="s">
        <v>1539</v>
      </c>
      <c r="U218" s="1" t="s">
        <v>1540</v>
      </c>
    </row>
    <row r="219" spans="1:21" x14ac:dyDescent="0.3">
      <c r="A219">
        <v>123</v>
      </c>
      <c r="B219" t="s">
        <v>565</v>
      </c>
      <c r="C219" t="s">
        <v>1131</v>
      </c>
      <c r="D219" t="s">
        <v>7</v>
      </c>
      <c r="E219">
        <v>1978</v>
      </c>
      <c r="F219" t="s">
        <v>1183</v>
      </c>
      <c r="G219">
        <v>1978</v>
      </c>
      <c r="H219">
        <v>45.698181667</v>
      </c>
      <c r="I219">
        <v>-72.984811389000001</v>
      </c>
      <c r="J219" t="s">
        <v>15</v>
      </c>
      <c r="K219" t="s">
        <v>1162</v>
      </c>
      <c r="L219" t="s">
        <v>1173</v>
      </c>
      <c r="M219">
        <v>173</v>
      </c>
      <c r="N219" t="s">
        <v>1181</v>
      </c>
      <c r="O219" t="s">
        <v>1194</v>
      </c>
      <c r="P219" t="s">
        <v>212</v>
      </c>
      <c r="Q219" t="s">
        <v>213</v>
      </c>
      <c r="R219">
        <v>35</v>
      </c>
      <c r="S219">
        <v>2544</v>
      </c>
      <c r="T219" s="1" t="s">
        <v>1132</v>
      </c>
      <c r="U219" s="1" t="s">
        <v>1541</v>
      </c>
    </row>
    <row r="220" spans="1:21" x14ac:dyDescent="0.3">
      <c r="A220">
        <v>124</v>
      </c>
      <c r="B220" s="8" t="s">
        <v>566</v>
      </c>
      <c r="C220" s="4" t="s">
        <v>2750</v>
      </c>
      <c r="D220" t="s">
        <v>7</v>
      </c>
      <c r="E220">
        <v>1979</v>
      </c>
      <c r="F220" t="s">
        <v>1183</v>
      </c>
      <c r="G220">
        <v>1979</v>
      </c>
      <c r="H220">
        <v>46.466166667000003</v>
      </c>
      <c r="I220">
        <v>-71.627416667000006</v>
      </c>
      <c r="J220" t="s">
        <v>51</v>
      </c>
      <c r="K220" t="s">
        <v>1162</v>
      </c>
      <c r="L220" t="s">
        <v>1173</v>
      </c>
      <c r="M220">
        <v>465</v>
      </c>
      <c r="N220" t="s">
        <v>2476</v>
      </c>
      <c r="O220" t="s">
        <v>1194</v>
      </c>
      <c r="P220" t="s">
        <v>220</v>
      </c>
      <c r="Q220" t="s">
        <v>213</v>
      </c>
      <c r="R220">
        <v>140</v>
      </c>
      <c r="S220">
        <f>2812</f>
        <v>2812</v>
      </c>
      <c r="T220" s="1" t="s">
        <v>2751</v>
      </c>
      <c r="U220" s="1" t="s">
        <v>2752</v>
      </c>
    </row>
    <row r="221" spans="1:21" x14ac:dyDescent="0.3">
      <c r="A221">
        <v>125</v>
      </c>
      <c r="B221" t="s">
        <v>567</v>
      </c>
      <c r="C221" t="s">
        <v>1542</v>
      </c>
      <c r="D221" t="s">
        <v>7</v>
      </c>
      <c r="E221">
        <v>1979</v>
      </c>
      <c r="F221" t="s">
        <v>1183</v>
      </c>
      <c r="G221">
        <v>1979</v>
      </c>
      <c r="H221">
        <v>46.627362222000002</v>
      </c>
      <c r="I221">
        <v>-71.766991388999998</v>
      </c>
      <c r="J221" t="s">
        <v>51</v>
      </c>
      <c r="K221" t="s">
        <v>1162</v>
      </c>
      <c r="L221" t="s">
        <v>1173</v>
      </c>
      <c r="M221">
        <v>305</v>
      </c>
      <c r="N221" t="s">
        <v>1543</v>
      </c>
      <c r="O221" t="s">
        <v>1194</v>
      </c>
      <c r="P221" t="s">
        <v>220</v>
      </c>
      <c r="Q221" t="s">
        <v>213</v>
      </c>
      <c r="R221">
        <v>67</v>
      </c>
      <c r="S221">
        <v>1066</v>
      </c>
      <c r="T221" s="1" t="s">
        <v>1544</v>
      </c>
      <c r="U221" s="1" t="s">
        <v>1545</v>
      </c>
    </row>
    <row r="222" spans="1:21" x14ac:dyDescent="0.3">
      <c r="A222">
        <v>126</v>
      </c>
      <c r="B222" t="s">
        <v>568</v>
      </c>
      <c r="C222" t="s">
        <v>1546</v>
      </c>
      <c r="D222" t="s">
        <v>7</v>
      </c>
      <c r="E222">
        <v>1979</v>
      </c>
      <c r="F222" t="s">
        <v>1183</v>
      </c>
      <c r="G222">
        <v>1979</v>
      </c>
      <c r="H222">
        <v>46.494966388999998</v>
      </c>
      <c r="I222">
        <v>-71.615127221999998</v>
      </c>
      <c r="J222" t="s">
        <v>51</v>
      </c>
      <c r="K222" t="s">
        <v>1162</v>
      </c>
      <c r="L222" t="s">
        <v>1173</v>
      </c>
      <c r="M222">
        <v>111</v>
      </c>
      <c r="N222" t="s">
        <v>1299</v>
      </c>
      <c r="O222" t="s">
        <v>1194</v>
      </c>
      <c r="P222" t="s">
        <v>212</v>
      </c>
      <c r="Q222" t="s">
        <v>213</v>
      </c>
      <c r="R222">
        <v>129</v>
      </c>
      <c r="S222">
        <v>1142</v>
      </c>
      <c r="T222" s="1" t="s">
        <v>1547</v>
      </c>
      <c r="U222" s="1" t="s">
        <v>1548</v>
      </c>
    </row>
    <row r="223" spans="1:21" x14ac:dyDescent="0.3">
      <c r="A223">
        <v>127</v>
      </c>
      <c r="B223" t="s">
        <v>569</v>
      </c>
      <c r="C223" t="s">
        <v>1549</v>
      </c>
      <c r="D223" t="s">
        <v>7</v>
      </c>
      <c r="E223">
        <v>1980</v>
      </c>
      <c r="F223" t="s">
        <v>1183</v>
      </c>
      <c r="G223">
        <v>1980</v>
      </c>
      <c r="H223">
        <v>46.277329999999999</v>
      </c>
      <c r="I223">
        <v>-72.037040000000005</v>
      </c>
      <c r="J223" t="s">
        <v>21</v>
      </c>
      <c r="K223" t="s">
        <v>1162</v>
      </c>
      <c r="L223" t="s">
        <v>1173</v>
      </c>
      <c r="M223">
        <v>198</v>
      </c>
      <c r="N223" t="s">
        <v>1550</v>
      </c>
      <c r="O223" t="s">
        <v>1194</v>
      </c>
      <c r="P223" t="s">
        <v>220</v>
      </c>
      <c r="Q223" t="s">
        <v>213</v>
      </c>
      <c r="R223">
        <v>99</v>
      </c>
      <c r="S223">
        <v>1754</v>
      </c>
      <c r="T223" s="1" t="s">
        <v>1551</v>
      </c>
      <c r="U223" s="1" t="s">
        <v>1552</v>
      </c>
    </row>
    <row r="224" spans="1:21" x14ac:dyDescent="0.3">
      <c r="A224">
        <v>128</v>
      </c>
      <c r="B224" t="s">
        <v>570</v>
      </c>
      <c r="C224" t="s">
        <v>1553</v>
      </c>
      <c r="D224" t="s">
        <v>7</v>
      </c>
      <c r="E224">
        <v>1980</v>
      </c>
      <c r="F224">
        <v>1981</v>
      </c>
      <c r="G224">
        <v>1982</v>
      </c>
      <c r="H224">
        <v>46.182465278000002</v>
      </c>
      <c r="I224">
        <v>-72.671344443999999</v>
      </c>
      <c r="J224" t="s">
        <v>21</v>
      </c>
      <c r="K224" t="s">
        <v>1162</v>
      </c>
      <c r="L224" t="s">
        <v>1173</v>
      </c>
      <c r="M224">
        <v>1190</v>
      </c>
      <c r="N224" t="s">
        <v>1554</v>
      </c>
      <c r="O224" t="s">
        <v>1194</v>
      </c>
      <c r="P224" t="s">
        <v>212</v>
      </c>
      <c r="Q224" t="s">
        <v>213</v>
      </c>
      <c r="R224">
        <v>6</v>
      </c>
      <c r="S224">
        <v>1390</v>
      </c>
      <c r="T224" s="1" t="s">
        <v>1555</v>
      </c>
      <c r="U224" s="1" t="s">
        <v>1556</v>
      </c>
    </row>
    <row r="225" spans="1:21" x14ac:dyDescent="0.3">
      <c r="A225">
        <v>129</v>
      </c>
      <c r="B225" s="8" t="s">
        <v>571</v>
      </c>
      <c r="C225" s="4" t="s">
        <v>2753</v>
      </c>
      <c r="D225" t="s">
        <v>7</v>
      </c>
      <c r="E225">
        <v>1985</v>
      </c>
      <c r="F225">
        <v>1985</v>
      </c>
      <c r="G225" t="s">
        <v>1183</v>
      </c>
      <c r="H225">
        <v>45.58475</v>
      </c>
      <c r="I225">
        <v>-72.625944000000004</v>
      </c>
      <c r="J225" t="s">
        <v>15</v>
      </c>
      <c r="K225" t="s">
        <v>1162</v>
      </c>
      <c r="L225" t="s">
        <v>1173</v>
      </c>
      <c r="M225">
        <v>160</v>
      </c>
      <c r="N225" t="s">
        <v>2754</v>
      </c>
      <c r="O225" t="s">
        <v>2755</v>
      </c>
      <c r="P225" t="s">
        <v>220</v>
      </c>
      <c r="Q225" t="s">
        <v>213</v>
      </c>
      <c r="R225">
        <v>78</v>
      </c>
      <c r="S225">
        <v>342</v>
      </c>
      <c r="T225" t="s">
        <v>220</v>
      </c>
      <c r="U225" s="1" t="s">
        <v>2756</v>
      </c>
    </row>
    <row r="226" spans="1:21" x14ac:dyDescent="0.3">
      <c r="A226">
        <v>130</v>
      </c>
      <c r="B226" t="s">
        <v>572</v>
      </c>
      <c r="C226" t="s">
        <v>1557</v>
      </c>
      <c r="D226" t="s">
        <v>7</v>
      </c>
      <c r="E226">
        <v>1986</v>
      </c>
      <c r="F226" t="s">
        <v>1183</v>
      </c>
      <c r="G226">
        <v>1989</v>
      </c>
      <c r="H226">
        <v>46.036270000000002</v>
      </c>
      <c r="I226">
        <v>-73.137780000000006</v>
      </c>
      <c r="J226" t="s">
        <v>15</v>
      </c>
      <c r="K226" t="s">
        <v>1162</v>
      </c>
      <c r="L226" t="s">
        <v>1173</v>
      </c>
      <c r="M226">
        <f>2694*0.3048</f>
        <v>821.13120000000004</v>
      </c>
      <c r="N226" t="s">
        <v>1279</v>
      </c>
      <c r="O226" t="s">
        <v>1558</v>
      </c>
      <c r="P226" t="s">
        <v>212</v>
      </c>
      <c r="Q226" t="s">
        <v>213</v>
      </c>
      <c r="R226">
        <f>36*0.3048</f>
        <v>10.972800000000001</v>
      </c>
      <c r="S226">
        <f>5722*0.3048</f>
        <v>1744.0656000000001</v>
      </c>
      <c r="T226" s="1" t="s">
        <v>1559</v>
      </c>
      <c r="U226" s="1" t="s">
        <v>1560</v>
      </c>
    </row>
    <row r="227" spans="1:21" x14ac:dyDescent="0.3">
      <c r="A227">
        <v>131</v>
      </c>
      <c r="B227" s="8" t="s">
        <v>574</v>
      </c>
      <c r="C227" s="4" t="s">
        <v>2761</v>
      </c>
      <c r="D227" t="s">
        <v>7</v>
      </c>
      <c r="E227">
        <v>1986</v>
      </c>
      <c r="F227">
        <v>1986</v>
      </c>
      <c r="G227">
        <v>1990</v>
      </c>
      <c r="H227">
        <v>45.616371399999998</v>
      </c>
      <c r="I227">
        <v>-73.517585499999996</v>
      </c>
      <c r="J227" t="s">
        <v>2556</v>
      </c>
      <c r="K227" t="s">
        <v>1162</v>
      </c>
      <c r="L227" t="s">
        <v>1173</v>
      </c>
      <c r="M227">
        <v>60.4</v>
      </c>
      <c r="N227" t="s">
        <v>1182</v>
      </c>
      <c r="O227" t="s">
        <v>2758</v>
      </c>
      <c r="P227" t="s">
        <v>212</v>
      </c>
      <c r="Q227" t="s">
        <v>213</v>
      </c>
      <c r="R227">
        <v>17</v>
      </c>
      <c r="S227">
        <v>257</v>
      </c>
      <c r="T227" s="1" t="s">
        <v>2762</v>
      </c>
      <c r="U227" s="1" t="s">
        <v>2763</v>
      </c>
    </row>
    <row r="228" spans="1:21" x14ac:dyDescent="0.3">
      <c r="A228">
        <v>132</v>
      </c>
      <c r="B228" s="8" t="s">
        <v>575</v>
      </c>
      <c r="C228" s="4" t="s">
        <v>2764</v>
      </c>
      <c r="D228" t="s">
        <v>7</v>
      </c>
      <c r="E228">
        <v>1986</v>
      </c>
      <c r="F228">
        <v>1986</v>
      </c>
      <c r="G228">
        <v>1990</v>
      </c>
      <c r="H228">
        <v>45.617204800000003</v>
      </c>
      <c r="I228">
        <v>-73.507085200000006</v>
      </c>
      <c r="J228" t="s">
        <v>2556</v>
      </c>
      <c r="K228" t="s">
        <v>1162</v>
      </c>
      <c r="L228" t="s">
        <v>1173</v>
      </c>
      <c r="M228">
        <v>24</v>
      </c>
      <c r="N228" t="s">
        <v>1181</v>
      </c>
      <c r="O228" t="s">
        <v>2758</v>
      </c>
      <c r="P228" t="s">
        <v>212</v>
      </c>
      <c r="Q228" t="s">
        <v>213</v>
      </c>
      <c r="R228">
        <v>12</v>
      </c>
      <c r="S228">
        <v>184</v>
      </c>
      <c r="T228" s="1" t="s">
        <v>2765</v>
      </c>
      <c r="U228" s="1" t="s">
        <v>2766</v>
      </c>
    </row>
    <row r="229" spans="1:21" x14ac:dyDescent="0.3">
      <c r="A229">
        <v>133</v>
      </c>
      <c r="B229" t="s">
        <v>576</v>
      </c>
      <c r="C229" t="s">
        <v>1561</v>
      </c>
      <c r="D229" t="s">
        <v>7</v>
      </c>
      <c r="E229">
        <v>1988</v>
      </c>
      <c r="F229" t="s">
        <v>1183</v>
      </c>
      <c r="G229">
        <v>1995</v>
      </c>
      <c r="H229">
        <v>46.259185000000002</v>
      </c>
      <c r="I229">
        <v>-72.951845000000006</v>
      </c>
      <c r="J229" t="s">
        <v>12</v>
      </c>
      <c r="K229" t="s">
        <v>1162</v>
      </c>
      <c r="L229" t="s">
        <v>1173</v>
      </c>
      <c r="M229">
        <v>82</v>
      </c>
      <c r="N229" t="s">
        <v>1299</v>
      </c>
      <c r="O229" t="s">
        <v>1222</v>
      </c>
      <c r="P229" t="s">
        <v>220</v>
      </c>
      <c r="Q229" t="s">
        <v>213</v>
      </c>
      <c r="R229">
        <v>8</v>
      </c>
      <c r="S229">
        <v>296</v>
      </c>
      <c r="T229" s="1" t="s">
        <v>1562</v>
      </c>
      <c r="U229" s="1" t="s">
        <v>1563</v>
      </c>
    </row>
    <row r="230" spans="1:21" x14ac:dyDescent="0.3">
      <c r="A230">
        <v>134</v>
      </c>
      <c r="B230" t="s">
        <v>577</v>
      </c>
      <c r="C230" t="s">
        <v>1107</v>
      </c>
      <c r="D230" t="s">
        <v>7</v>
      </c>
      <c r="E230">
        <v>1988</v>
      </c>
      <c r="F230">
        <v>1988</v>
      </c>
      <c r="G230">
        <v>2004</v>
      </c>
      <c r="H230">
        <v>45.701925277999997</v>
      </c>
      <c r="I230">
        <v>-73.425936667000002</v>
      </c>
      <c r="J230" t="s">
        <v>15</v>
      </c>
      <c r="K230" t="s">
        <v>1162</v>
      </c>
      <c r="L230" t="s">
        <v>1173</v>
      </c>
      <c r="M230">
        <v>19.5</v>
      </c>
      <c r="N230" t="s">
        <v>1179</v>
      </c>
      <c r="O230" t="s">
        <v>1194</v>
      </c>
      <c r="P230" t="s">
        <v>220</v>
      </c>
      <c r="Q230" t="s">
        <v>213</v>
      </c>
      <c r="R230">
        <v>9</v>
      </c>
      <c r="S230">
        <v>202</v>
      </c>
      <c r="T230" s="1" t="s">
        <v>1108</v>
      </c>
      <c r="U230" s="1" t="s">
        <v>1564</v>
      </c>
    </row>
    <row r="231" spans="1:21" x14ac:dyDescent="0.3">
      <c r="A231">
        <v>135</v>
      </c>
      <c r="B231" t="s">
        <v>578</v>
      </c>
      <c r="C231" t="s">
        <v>1113</v>
      </c>
      <c r="D231" t="s">
        <v>7</v>
      </c>
      <c r="E231">
        <v>1988</v>
      </c>
      <c r="F231">
        <v>1988</v>
      </c>
      <c r="G231">
        <v>2004</v>
      </c>
      <c r="H231">
        <v>45.704861111</v>
      </c>
      <c r="I231">
        <v>-73.431444443999993</v>
      </c>
      <c r="J231" t="s">
        <v>15</v>
      </c>
      <c r="K231" t="s">
        <v>1162</v>
      </c>
      <c r="L231" t="s">
        <v>1173</v>
      </c>
      <c r="M231">
        <v>50.3</v>
      </c>
      <c r="N231" t="s">
        <v>1179</v>
      </c>
      <c r="O231" t="s">
        <v>1194</v>
      </c>
      <c r="P231" t="s">
        <v>220</v>
      </c>
      <c r="Q231" t="s">
        <v>213</v>
      </c>
      <c r="R231">
        <v>10</v>
      </c>
      <c r="S231">
        <v>211</v>
      </c>
      <c r="T231" s="1" t="s">
        <v>1115</v>
      </c>
      <c r="U231" s="1" t="s">
        <v>1565</v>
      </c>
    </row>
    <row r="232" spans="1:21" x14ac:dyDescent="0.3">
      <c r="A232">
        <v>136</v>
      </c>
      <c r="B232" t="s">
        <v>579</v>
      </c>
      <c r="C232" t="s">
        <v>1122</v>
      </c>
      <c r="D232" t="s">
        <v>7</v>
      </c>
      <c r="E232">
        <v>1988</v>
      </c>
      <c r="F232">
        <v>1988</v>
      </c>
      <c r="G232">
        <v>2004</v>
      </c>
      <c r="H232">
        <v>45.706638888999997</v>
      </c>
      <c r="I232">
        <v>-73.428194443999999</v>
      </c>
      <c r="J232" t="s">
        <v>15</v>
      </c>
      <c r="K232" t="s">
        <v>1162</v>
      </c>
      <c r="L232" t="s">
        <v>1173</v>
      </c>
      <c r="M232">
        <v>42.7</v>
      </c>
      <c r="N232" t="s">
        <v>1179</v>
      </c>
      <c r="O232" t="s">
        <v>1194</v>
      </c>
      <c r="P232" t="s">
        <v>220</v>
      </c>
      <c r="Q232" t="s">
        <v>213</v>
      </c>
      <c r="R232">
        <v>9</v>
      </c>
      <c r="S232">
        <v>211</v>
      </c>
      <c r="T232" s="1" t="s">
        <v>1123</v>
      </c>
      <c r="U232" s="1" t="s">
        <v>1566</v>
      </c>
    </row>
    <row r="233" spans="1:21" x14ac:dyDescent="0.3">
      <c r="A233">
        <v>137</v>
      </c>
      <c r="B233" t="s">
        <v>580</v>
      </c>
      <c r="C233" t="s">
        <v>1124</v>
      </c>
      <c r="D233" t="s">
        <v>7</v>
      </c>
      <c r="E233">
        <v>1988</v>
      </c>
      <c r="F233">
        <v>1988</v>
      </c>
      <c r="G233">
        <v>2004</v>
      </c>
      <c r="H233">
        <v>45.707728332999999</v>
      </c>
      <c r="I233">
        <v>-73.430143333000004</v>
      </c>
      <c r="J233" t="s">
        <v>15</v>
      </c>
      <c r="K233" t="s">
        <v>1162</v>
      </c>
      <c r="L233" t="s">
        <v>1173</v>
      </c>
      <c r="M233">
        <v>50.5</v>
      </c>
      <c r="N233" t="s">
        <v>1179</v>
      </c>
      <c r="O233" t="s">
        <v>1194</v>
      </c>
      <c r="P233" t="s">
        <v>220</v>
      </c>
      <c r="Q233" t="s">
        <v>213</v>
      </c>
      <c r="R233">
        <v>8</v>
      </c>
      <c r="S233">
        <v>150</v>
      </c>
      <c r="T233" s="1" t="s">
        <v>1125</v>
      </c>
      <c r="U233" s="1" t="s">
        <v>1567</v>
      </c>
    </row>
    <row r="234" spans="1:21" x14ac:dyDescent="0.3">
      <c r="A234">
        <v>138</v>
      </c>
      <c r="B234" t="s">
        <v>581</v>
      </c>
      <c r="C234" t="s">
        <v>1111</v>
      </c>
      <c r="D234" t="s">
        <v>7</v>
      </c>
      <c r="E234">
        <v>1988</v>
      </c>
      <c r="F234">
        <v>1988</v>
      </c>
      <c r="G234">
        <v>2003</v>
      </c>
      <c r="H234">
        <v>45.704222221999999</v>
      </c>
      <c r="I234">
        <v>-73.428388889000004</v>
      </c>
      <c r="J234" t="s">
        <v>15</v>
      </c>
      <c r="K234" t="s">
        <v>1162</v>
      </c>
      <c r="L234" t="s">
        <v>1173</v>
      </c>
      <c r="M234">
        <v>40.4</v>
      </c>
      <c r="N234" t="s">
        <v>1179</v>
      </c>
      <c r="O234" t="s">
        <v>1194</v>
      </c>
      <c r="P234" t="s">
        <v>220</v>
      </c>
      <c r="Q234" t="s">
        <v>213</v>
      </c>
      <c r="R234">
        <v>9</v>
      </c>
      <c r="S234">
        <v>100</v>
      </c>
      <c r="T234" s="1" t="s">
        <v>1112</v>
      </c>
      <c r="U234" s="1" t="s">
        <v>1568</v>
      </c>
    </row>
    <row r="235" spans="1:21" x14ac:dyDescent="0.3">
      <c r="A235">
        <v>139</v>
      </c>
      <c r="B235" t="s">
        <v>582</v>
      </c>
      <c r="C235" t="s">
        <v>1114</v>
      </c>
      <c r="D235" t="s">
        <v>7</v>
      </c>
      <c r="E235">
        <v>1988</v>
      </c>
      <c r="F235">
        <v>1988</v>
      </c>
      <c r="G235">
        <v>2004</v>
      </c>
      <c r="H235">
        <v>45.707713056000003</v>
      </c>
      <c r="I235">
        <v>-73.430249166999999</v>
      </c>
      <c r="J235" t="s">
        <v>15</v>
      </c>
      <c r="K235" t="s">
        <v>1162</v>
      </c>
      <c r="L235" t="s">
        <v>1173</v>
      </c>
      <c r="M235">
        <v>40.4</v>
      </c>
      <c r="N235" t="s">
        <v>1179</v>
      </c>
      <c r="O235" t="s">
        <v>1194</v>
      </c>
      <c r="P235" t="s">
        <v>220</v>
      </c>
      <c r="Q235" t="s">
        <v>213</v>
      </c>
      <c r="R235">
        <v>8</v>
      </c>
      <c r="S235">
        <v>200</v>
      </c>
      <c r="T235" s="1" t="s">
        <v>1126</v>
      </c>
      <c r="U235" s="1" t="s">
        <v>1569</v>
      </c>
    </row>
    <row r="236" spans="1:21" x14ac:dyDescent="0.3">
      <c r="A236">
        <v>140</v>
      </c>
      <c r="B236" t="s">
        <v>583</v>
      </c>
      <c r="C236" t="s">
        <v>1120</v>
      </c>
      <c r="D236" t="s">
        <v>7</v>
      </c>
      <c r="E236">
        <v>1992</v>
      </c>
      <c r="F236">
        <v>1992</v>
      </c>
      <c r="G236">
        <v>2004</v>
      </c>
      <c r="H236">
        <v>45.706051944000002</v>
      </c>
      <c r="I236">
        <v>-73.426731666999999</v>
      </c>
      <c r="J236" t="s">
        <v>15</v>
      </c>
      <c r="K236" t="s">
        <v>1162</v>
      </c>
      <c r="L236" t="s">
        <v>1183</v>
      </c>
      <c r="M236">
        <v>32.299999999999997</v>
      </c>
      <c r="N236" t="s">
        <v>1179</v>
      </c>
      <c r="O236" t="s">
        <v>1570</v>
      </c>
      <c r="P236" t="s">
        <v>212</v>
      </c>
      <c r="Q236" t="s">
        <v>213</v>
      </c>
      <c r="R236">
        <v>9</v>
      </c>
      <c r="S236">
        <v>209</v>
      </c>
      <c r="T236" s="1" t="s">
        <v>1121</v>
      </c>
      <c r="U236" s="1" t="s">
        <v>1571</v>
      </c>
    </row>
    <row r="237" spans="1:21" x14ac:dyDescent="0.3">
      <c r="A237">
        <v>141</v>
      </c>
      <c r="B237" t="s">
        <v>584</v>
      </c>
      <c r="C237" t="s">
        <v>1116</v>
      </c>
      <c r="D237" t="s">
        <v>7</v>
      </c>
      <c r="E237">
        <v>1992</v>
      </c>
      <c r="F237">
        <v>1992</v>
      </c>
      <c r="G237">
        <v>2004</v>
      </c>
      <c r="H237">
        <v>45.704861111</v>
      </c>
      <c r="I237">
        <v>-73.427555556000002</v>
      </c>
      <c r="J237" t="s">
        <v>15</v>
      </c>
      <c r="K237" t="s">
        <v>1162</v>
      </c>
      <c r="L237" t="s">
        <v>1183</v>
      </c>
      <c r="M237">
        <v>37.5</v>
      </c>
      <c r="N237" t="s">
        <v>1179</v>
      </c>
      <c r="O237" t="s">
        <v>1570</v>
      </c>
      <c r="P237" t="s">
        <v>212</v>
      </c>
      <c r="Q237" t="s">
        <v>213</v>
      </c>
      <c r="R237">
        <v>9</v>
      </c>
      <c r="S237">
        <v>214</v>
      </c>
      <c r="T237" s="1" t="s">
        <v>1118</v>
      </c>
      <c r="U237" s="1" t="s">
        <v>1572</v>
      </c>
    </row>
    <row r="238" spans="1:21" x14ac:dyDescent="0.3">
      <c r="A238">
        <v>142</v>
      </c>
      <c r="B238" t="s">
        <v>585</v>
      </c>
      <c r="C238" t="s">
        <v>1117</v>
      </c>
      <c r="D238" t="s">
        <v>7</v>
      </c>
      <c r="E238">
        <v>1992</v>
      </c>
      <c r="F238">
        <v>1992</v>
      </c>
      <c r="G238">
        <v>2003</v>
      </c>
      <c r="H238">
        <v>45.705500000000001</v>
      </c>
      <c r="I238">
        <v>-73.428166666999999</v>
      </c>
      <c r="J238" t="s">
        <v>15</v>
      </c>
      <c r="K238" t="s">
        <v>1162</v>
      </c>
      <c r="L238" t="s">
        <v>1183</v>
      </c>
      <c r="M238">
        <v>23.9</v>
      </c>
      <c r="N238" t="s">
        <v>1179</v>
      </c>
      <c r="O238" t="s">
        <v>1570</v>
      </c>
      <c r="P238" t="s">
        <v>220</v>
      </c>
      <c r="Q238" t="s">
        <v>213</v>
      </c>
      <c r="R238">
        <v>9</v>
      </c>
      <c r="S238">
        <v>151</v>
      </c>
      <c r="T238" s="1" t="s">
        <v>1119</v>
      </c>
      <c r="U238" s="1" t="s">
        <v>1573</v>
      </c>
    </row>
    <row r="239" spans="1:21" x14ac:dyDescent="0.3">
      <c r="A239">
        <v>143</v>
      </c>
      <c r="B239" t="s">
        <v>586</v>
      </c>
      <c r="C239" t="s">
        <v>1109</v>
      </c>
      <c r="D239" t="s">
        <v>7</v>
      </c>
      <c r="E239">
        <v>1992</v>
      </c>
      <c r="F239">
        <v>1992</v>
      </c>
      <c r="G239">
        <v>2003</v>
      </c>
      <c r="H239">
        <v>45.704053610999999</v>
      </c>
      <c r="I239">
        <v>-73.428391943999998</v>
      </c>
      <c r="J239" t="s">
        <v>15</v>
      </c>
      <c r="K239" t="s">
        <v>1162</v>
      </c>
      <c r="L239" t="s">
        <v>1183</v>
      </c>
      <c r="M239">
        <v>121</v>
      </c>
      <c r="N239" t="s">
        <v>1179</v>
      </c>
      <c r="O239" t="s">
        <v>1570</v>
      </c>
      <c r="P239" t="s">
        <v>212</v>
      </c>
      <c r="Q239" t="s">
        <v>213</v>
      </c>
      <c r="R239">
        <v>9</v>
      </c>
      <c r="S239">
        <v>155</v>
      </c>
      <c r="T239" s="1" t="s">
        <v>1110</v>
      </c>
      <c r="U239" s="1" t="s">
        <v>1574</v>
      </c>
    </row>
    <row r="240" spans="1:21" x14ac:dyDescent="0.3">
      <c r="A240">
        <v>144</v>
      </c>
      <c r="B240" t="s">
        <v>587</v>
      </c>
      <c r="C240" t="s">
        <v>1575</v>
      </c>
      <c r="D240" t="s">
        <v>7</v>
      </c>
      <c r="E240">
        <v>1993</v>
      </c>
      <c r="F240" t="s">
        <v>1183</v>
      </c>
      <c r="G240">
        <v>1993</v>
      </c>
      <c r="H240">
        <v>46.182369999999999</v>
      </c>
      <c r="I240">
        <v>-72.319310000000002</v>
      </c>
      <c r="J240" t="s">
        <v>21</v>
      </c>
      <c r="K240" t="s">
        <v>1162</v>
      </c>
      <c r="L240" t="s">
        <v>1173</v>
      </c>
      <c r="M240">
        <v>2500</v>
      </c>
      <c r="N240" t="s">
        <v>1450</v>
      </c>
      <c r="O240" t="s">
        <v>1200</v>
      </c>
      <c r="P240" t="s">
        <v>212</v>
      </c>
      <c r="Q240" t="s">
        <v>213</v>
      </c>
      <c r="R240">
        <v>91</v>
      </c>
      <c r="S240">
        <v>3454</v>
      </c>
      <c r="T240" s="1" t="s">
        <v>1576</v>
      </c>
      <c r="U240" s="1" t="s">
        <v>1577</v>
      </c>
    </row>
    <row r="241" spans="1:21" x14ac:dyDescent="0.3">
      <c r="A241">
        <v>145</v>
      </c>
      <c r="B241" s="7" t="s">
        <v>588</v>
      </c>
      <c r="C241" t="s">
        <v>1578</v>
      </c>
      <c r="D241" t="s">
        <v>7</v>
      </c>
      <c r="E241">
        <v>1993</v>
      </c>
      <c r="F241" t="s">
        <v>1183</v>
      </c>
      <c r="G241">
        <v>1993</v>
      </c>
      <c r="H241">
        <v>46.37876</v>
      </c>
      <c r="I241">
        <v>-72.402159999999995</v>
      </c>
      <c r="J241" t="s">
        <v>21</v>
      </c>
      <c r="K241" t="s">
        <v>1162</v>
      </c>
      <c r="L241" t="s">
        <v>1173</v>
      </c>
      <c r="M241">
        <v>150</v>
      </c>
      <c r="N241" t="s">
        <v>1579</v>
      </c>
      <c r="O241" t="s">
        <v>1195</v>
      </c>
      <c r="P241" t="s">
        <v>218</v>
      </c>
      <c r="Q241" t="s">
        <v>213</v>
      </c>
      <c r="R241">
        <v>8</v>
      </c>
      <c r="S241">
        <v>1001</v>
      </c>
      <c r="T241" s="1" t="s">
        <v>1580</v>
      </c>
      <c r="U241" s="1" t="s">
        <v>1581</v>
      </c>
    </row>
    <row r="242" spans="1:21" x14ac:dyDescent="0.3">
      <c r="A242">
        <v>146</v>
      </c>
      <c r="B242" t="s">
        <v>589</v>
      </c>
      <c r="C242" t="s">
        <v>1582</v>
      </c>
      <c r="D242" t="s">
        <v>7</v>
      </c>
      <c r="E242">
        <v>1993</v>
      </c>
      <c r="F242">
        <v>1998</v>
      </c>
      <c r="G242">
        <v>2007</v>
      </c>
      <c r="H242">
        <v>46.365473999999999</v>
      </c>
      <c r="I242">
        <v>-72.407976000000005</v>
      </c>
      <c r="J242" t="s">
        <v>21</v>
      </c>
      <c r="K242" t="s">
        <v>1162</v>
      </c>
      <c r="L242" t="s">
        <v>1173</v>
      </c>
      <c r="M242">
        <v>152</v>
      </c>
      <c r="N242" t="s">
        <v>1172</v>
      </c>
      <c r="O242" t="s">
        <v>1195</v>
      </c>
      <c r="P242" t="s">
        <v>212</v>
      </c>
      <c r="Q242" t="s">
        <v>213</v>
      </c>
      <c r="R242">
        <v>8</v>
      </c>
      <c r="S242">
        <v>1003</v>
      </c>
      <c r="T242" s="1" t="s">
        <v>1583</v>
      </c>
      <c r="U242" s="1" t="s">
        <v>1584</v>
      </c>
    </row>
    <row r="243" spans="1:21" x14ac:dyDescent="0.3">
      <c r="A243">
        <v>147</v>
      </c>
      <c r="B243" t="s">
        <v>590</v>
      </c>
      <c r="C243" t="s">
        <v>1585</v>
      </c>
      <c r="D243" t="s">
        <v>7</v>
      </c>
      <c r="E243">
        <v>2000</v>
      </c>
      <c r="F243" t="s">
        <v>1183</v>
      </c>
      <c r="G243" t="s">
        <v>1183</v>
      </c>
      <c r="H243">
        <v>46.366399999999999</v>
      </c>
      <c r="I243">
        <v>-72.410600000000002</v>
      </c>
      <c r="J243" t="s">
        <v>21</v>
      </c>
      <c r="K243" t="s">
        <v>1162</v>
      </c>
      <c r="L243" t="s">
        <v>1173</v>
      </c>
      <c r="M243">
        <v>830</v>
      </c>
      <c r="N243" t="s">
        <v>1181</v>
      </c>
      <c r="O243" t="s">
        <v>1586</v>
      </c>
      <c r="P243" t="s">
        <v>212</v>
      </c>
      <c r="Q243" t="s">
        <v>404</v>
      </c>
      <c r="R243">
        <v>8</v>
      </c>
      <c r="S243">
        <v>858</v>
      </c>
      <c r="T243" s="1" t="s">
        <v>1587</v>
      </c>
      <c r="U243" s="1" t="s">
        <v>1588</v>
      </c>
    </row>
    <row r="244" spans="1:21" x14ac:dyDescent="0.3">
      <c r="A244">
        <v>148</v>
      </c>
      <c r="B244" s="7" t="s">
        <v>591</v>
      </c>
      <c r="C244" t="s">
        <v>1589</v>
      </c>
      <c r="D244" t="s">
        <v>7</v>
      </c>
      <c r="E244">
        <v>2002</v>
      </c>
      <c r="F244" t="s">
        <v>1183</v>
      </c>
      <c r="G244">
        <v>2003</v>
      </c>
      <c r="H244">
        <v>45.085807778000003</v>
      </c>
      <c r="I244">
        <v>-74.261157499999996</v>
      </c>
      <c r="J244" t="s">
        <v>15</v>
      </c>
      <c r="K244" t="s">
        <v>1162</v>
      </c>
      <c r="L244" t="s">
        <v>1167</v>
      </c>
      <c r="M244">
        <v>60.6</v>
      </c>
      <c r="N244" t="s">
        <v>1299</v>
      </c>
      <c r="O244" t="s">
        <v>1590</v>
      </c>
      <c r="P244" t="s">
        <v>220</v>
      </c>
      <c r="Q244" t="s">
        <v>213</v>
      </c>
      <c r="R244">
        <v>101</v>
      </c>
      <c r="S244">
        <v>411</v>
      </c>
      <c r="T244" s="1" t="s">
        <v>1591</v>
      </c>
      <c r="U244" s="1" t="s">
        <v>1592</v>
      </c>
    </row>
    <row r="245" spans="1:21" x14ac:dyDescent="0.3">
      <c r="A245">
        <v>149</v>
      </c>
      <c r="B245" t="s">
        <v>592</v>
      </c>
      <c r="C245" t="s">
        <v>1593</v>
      </c>
      <c r="D245" t="s">
        <v>7</v>
      </c>
      <c r="E245">
        <v>2002</v>
      </c>
      <c r="F245" t="s">
        <v>1183</v>
      </c>
      <c r="G245">
        <v>2004</v>
      </c>
      <c r="H245">
        <v>45.064413999999999</v>
      </c>
      <c r="I245">
        <v>-74.433825999999996</v>
      </c>
      <c r="J245" t="s">
        <v>15</v>
      </c>
      <c r="K245" t="s">
        <v>1162</v>
      </c>
      <c r="L245" t="s">
        <v>1167</v>
      </c>
      <c r="M245">
        <v>62.4</v>
      </c>
      <c r="N245" t="s">
        <v>1494</v>
      </c>
      <c r="O245" t="s">
        <v>1590</v>
      </c>
      <c r="P245" t="s">
        <v>212</v>
      </c>
      <c r="Q245" t="s">
        <v>213</v>
      </c>
      <c r="R245">
        <v>49</v>
      </c>
      <c r="S245">
        <v>423</v>
      </c>
      <c r="T245" s="1" t="s">
        <v>1594</v>
      </c>
      <c r="U245" s="1" t="s">
        <v>1595</v>
      </c>
    </row>
    <row r="246" spans="1:21" x14ac:dyDescent="0.3">
      <c r="A246">
        <v>150</v>
      </c>
      <c r="B246" t="s">
        <v>593</v>
      </c>
      <c r="C246" t="s">
        <v>1596</v>
      </c>
      <c r="D246" t="s">
        <v>7</v>
      </c>
      <c r="E246">
        <v>2002</v>
      </c>
      <c r="F246" t="s">
        <v>1183</v>
      </c>
      <c r="G246">
        <v>2006</v>
      </c>
      <c r="H246">
        <v>46.374760000000002</v>
      </c>
      <c r="I246">
        <v>-72.401070000000004</v>
      </c>
      <c r="J246" t="s">
        <v>21</v>
      </c>
      <c r="K246" t="s">
        <v>1162</v>
      </c>
      <c r="L246" t="s">
        <v>1173</v>
      </c>
      <c r="M246">
        <v>748.3</v>
      </c>
      <c r="N246" t="s">
        <v>1597</v>
      </c>
      <c r="O246" t="s">
        <v>1586</v>
      </c>
      <c r="P246" t="s">
        <v>212</v>
      </c>
      <c r="Q246" t="s">
        <v>213</v>
      </c>
      <c r="R246">
        <v>8</v>
      </c>
      <c r="S246">
        <v>921</v>
      </c>
      <c r="T246" s="1" t="s">
        <v>1598</v>
      </c>
      <c r="U246" s="1" t="s">
        <v>1599</v>
      </c>
    </row>
    <row r="247" spans="1:21" x14ac:dyDescent="0.3">
      <c r="A247">
        <v>151</v>
      </c>
      <c r="B247" t="s">
        <v>594</v>
      </c>
      <c r="C247" t="s">
        <v>1600</v>
      </c>
      <c r="D247" t="s">
        <v>7</v>
      </c>
      <c r="E247">
        <v>2004</v>
      </c>
      <c r="F247" t="s">
        <v>1183</v>
      </c>
      <c r="G247">
        <v>2004</v>
      </c>
      <c r="H247">
        <v>45.067534444000003</v>
      </c>
      <c r="I247">
        <v>-74.437911666999995</v>
      </c>
      <c r="J247" t="s">
        <v>15</v>
      </c>
      <c r="K247" t="s">
        <v>1162</v>
      </c>
      <c r="L247" t="s">
        <v>1167</v>
      </c>
      <c r="M247">
        <v>85.6</v>
      </c>
      <c r="N247" t="s">
        <v>1601</v>
      </c>
      <c r="O247" t="s">
        <v>1602</v>
      </c>
      <c r="P247" t="s">
        <v>212</v>
      </c>
      <c r="Q247" t="s">
        <v>213</v>
      </c>
      <c r="R247">
        <v>51</v>
      </c>
      <c r="S247">
        <v>374</v>
      </c>
      <c r="T247" s="1" t="s">
        <v>1603</v>
      </c>
      <c r="U247" s="1" t="s">
        <v>1604</v>
      </c>
    </row>
    <row r="248" spans="1:21" x14ac:dyDescent="0.3">
      <c r="A248">
        <v>152</v>
      </c>
      <c r="B248" t="s">
        <v>595</v>
      </c>
      <c r="C248" t="s">
        <v>1605</v>
      </c>
      <c r="D248" t="s">
        <v>7</v>
      </c>
      <c r="E248">
        <v>2007</v>
      </c>
      <c r="F248" t="s">
        <v>1183</v>
      </c>
      <c r="G248">
        <v>2009</v>
      </c>
      <c r="H248">
        <v>46.45346</v>
      </c>
      <c r="I248">
        <v>-71.675129999999996</v>
      </c>
      <c r="J248" t="s">
        <v>51</v>
      </c>
      <c r="K248" t="s">
        <v>1162</v>
      </c>
      <c r="L248" t="s">
        <v>1173</v>
      </c>
      <c r="M248">
        <v>1016</v>
      </c>
      <c r="N248" t="s">
        <v>1183</v>
      </c>
      <c r="O248" t="s">
        <v>1602</v>
      </c>
      <c r="P248" t="s">
        <v>212</v>
      </c>
      <c r="Q248" t="s">
        <v>213</v>
      </c>
      <c r="R248">
        <v>121</v>
      </c>
      <c r="S248">
        <v>1016</v>
      </c>
      <c r="T248" s="1" t="s">
        <v>1606</v>
      </c>
      <c r="U248" s="1" t="s">
        <v>1607</v>
      </c>
    </row>
    <row r="249" spans="1:21" x14ac:dyDescent="0.3">
      <c r="A249">
        <v>153</v>
      </c>
      <c r="B249" t="s">
        <v>596</v>
      </c>
      <c r="C249" t="s">
        <v>1151</v>
      </c>
      <c r="D249" t="s">
        <v>7</v>
      </c>
      <c r="E249">
        <v>2009</v>
      </c>
      <c r="F249">
        <v>2009</v>
      </c>
      <c r="G249">
        <v>2015</v>
      </c>
      <c r="H249">
        <v>45.272449999999999</v>
      </c>
      <c r="I249">
        <v>-73.006129999999999</v>
      </c>
      <c r="J249" t="s">
        <v>15</v>
      </c>
      <c r="K249" t="s">
        <v>1162</v>
      </c>
      <c r="L249" t="s">
        <v>1173</v>
      </c>
      <c r="M249">
        <v>1795</v>
      </c>
      <c r="N249" t="s">
        <v>1512</v>
      </c>
      <c r="O249" t="s">
        <v>1608</v>
      </c>
      <c r="P249" t="s">
        <v>220</v>
      </c>
      <c r="Q249" t="s">
        <v>404</v>
      </c>
      <c r="R249">
        <v>54</v>
      </c>
      <c r="S249">
        <v>2507</v>
      </c>
      <c r="T249" s="1" t="s">
        <v>1152</v>
      </c>
      <c r="U249" s="1" t="s">
        <v>1609</v>
      </c>
    </row>
    <row r="250" spans="1:21" x14ac:dyDescent="0.3">
      <c r="A250">
        <v>154</v>
      </c>
      <c r="B250" t="s">
        <v>597</v>
      </c>
      <c r="C250" t="s">
        <v>1610</v>
      </c>
      <c r="D250" t="s">
        <v>7</v>
      </c>
      <c r="E250">
        <v>2009</v>
      </c>
      <c r="F250" t="s">
        <v>1183</v>
      </c>
      <c r="G250">
        <v>2010</v>
      </c>
      <c r="H250">
        <v>45.739112777999999</v>
      </c>
      <c r="I250">
        <v>-71.801445278000003</v>
      </c>
      <c r="J250" t="s">
        <v>1611</v>
      </c>
      <c r="K250" t="s">
        <v>1162</v>
      </c>
      <c r="L250" t="s">
        <v>1173</v>
      </c>
      <c r="M250">
        <v>268.60000000000002</v>
      </c>
      <c r="N250" t="s">
        <v>1183</v>
      </c>
      <c r="O250" t="s">
        <v>1586</v>
      </c>
      <c r="P250" t="s">
        <v>220</v>
      </c>
      <c r="Q250" t="s">
        <v>213</v>
      </c>
      <c r="R250">
        <v>263</v>
      </c>
      <c r="S250">
        <v>510</v>
      </c>
      <c r="T250" s="1" t="s">
        <v>1612</v>
      </c>
      <c r="U250" s="1" t="s">
        <v>1613</v>
      </c>
    </row>
    <row r="251" spans="1:21" x14ac:dyDescent="0.3">
      <c r="A251">
        <v>155</v>
      </c>
      <c r="B251" t="s">
        <v>598</v>
      </c>
      <c r="C251" t="s">
        <v>1614</v>
      </c>
      <c r="D251" t="s">
        <v>7</v>
      </c>
      <c r="E251" t="s">
        <v>1183</v>
      </c>
      <c r="F251" t="s">
        <v>1183</v>
      </c>
      <c r="G251" t="s">
        <v>1183</v>
      </c>
      <c r="H251">
        <v>46.489550000000001</v>
      </c>
      <c r="I251">
        <v>-71.639290000000003</v>
      </c>
      <c r="J251" t="s">
        <v>51</v>
      </c>
      <c r="K251" t="s">
        <v>1162</v>
      </c>
      <c r="L251" t="s">
        <v>1173</v>
      </c>
      <c r="M251" t="s">
        <v>1183</v>
      </c>
      <c r="N251" t="s">
        <v>1183</v>
      </c>
      <c r="O251" t="s">
        <v>1602</v>
      </c>
      <c r="P251" t="s">
        <v>220</v>
      </c>
      <c r="Q251" t="s">
        <v>404</v>
      </c>
      <c r="R251" t="s">
        <v>1183</v>
      </c>
      <c r="S251">
        <v>0</v>
      </c>
      <c r="T251" s="1" t="s">
        <v>1615</v>
      </c>
      <c r="U251" s="1" t="s">
        <v>1616</v>
      </c>
    </row>
    <row r="252" spans="1:21" x14ac:dyDescent="0.3">
      <c r="A252">
        <v>156</v>
      </c>
      <c r="B252" s="8" t="s">
        <v>604</v>
      </c>
      <c r="C252" s="4" t="s">
        <v>2784</v>
      </c>
      <c r="D252" t="s">
        <v>7</v>
      </c>
      <c r="E252" t="s">
        <v>1183</v>
      </c>
      <c r="F252" t="s">
        <v>1183</v>
      </c>
      <c r="G252" t="s">
        <v>1183</v>
      </c>
      <c r="H252">
        <v>45.4</v>
      </c>
      <c r="I252">
        <v>-72.766199999999998</v>
      </c>
      <c r="J252" t="s">
        <v>15</v>
      </c>
      <c r="K252" t="s">
        <v>1162</v>
      </c>
      <c r="L252" t="s">
        <v>1183</v>
      </c>
      <c r="M252" t="s">
        <v>1183</v>
      </c>
      <c r="N252" t="s">
        <v>1183</v>
      </c>
      <c r="O252" t="s">
        <v>1183</v>
      </c>
      <c r="P252" t="s">
        <v>220</v>
      </c>
      <c r="Q252" t="s">
        <v>404</v>
      </c>
      <c r="R252" t="s">
        <v>1183</v>
      </c>
      <c r="S252">
        <f>760*0.3048</f>
        <v>231.64800000000002</v>
      </c>
      <c r="T252" s="1" t="s">
        <v>2785</v>
      </c>
      <c r="U252" s="1" t="s">
        <v>2786</v>
      </c>
    </row>
    <row r="253" spans="1:21" x14ac:dyDescent="0.3">
      <c r="A253">
        <v>157</v>
      </c>
      <c r="B253" s="8" t="s">
        <v>606</v>
      </c>
      <c r="C253" s="4" t="s">
        <v>2790</v>
      </c>
      <c r="D253" t="s">
        <v>7</v>
      </c>
      <c r="E253" t="s">
        <v>1183</v>
      </c>
      <c r="F253" t="s">
        <v>1183</v>
      </c>
      <c r="G253" t="s">
        <v>1183</v>
      </c>
      <c r="H253">
        <v>45.833399999999997</v>
      </c>
      <c r="I253">
        <v>-72.532899999999998</v>
      </c>
      <c r="J253" t="s">
        <v>21</v>
      </c>
      <c r="K253" t="s">
        <v>1162</v>
      </c>
      <c r="L253" t="s">
        <v>1183</v>
      </c>
      <c r="M253">
        <f>63*0.3048</f>
        <v>19.202400000000001</v>
      </c>
      <c r="N253" t="s">
        <v>1237</v>
      </c>
      <c r="O253" t="s">
        <v>2792</v>
      </c>
      <c r="P253" t="s">
        <v>220</v>
      </c>
      <c r="Q253" t="s">
        <v>404</v>
      </c>
      <c r="R253" t="s">
        <v>1183</v>
      </c>
      <c r="S253">
        <f>78*0.3048</f>
        <v>23.7744</v>
      </c>
      <c r="T253" s="1" t="s">
        <v>2793</v>
      </c>
      <c r="U253" s="1" t="s">
        <v>2794</v>
      </c>
    </row>
    <row r="254" spans="1:21" x14ac:dyDescent="0.3">
      <c r="A254">
        <v>158</v>
      </c>
      <c r="B254" s="8" t="s">
        <v>607</v>
      </c>
      <c r="C254" s="4" t="s">
        <v>2791</v>
      </c>
      <c r="D254" t="s">
        <v>7</v>
      </c>
      <c r="E254" t="s">
        <v>1183</v>
      </c>
      <c r="F254" t="s">
        <v>1183</v>
      </c>
      <c r="G254" t="s">
        <v>1183</v>
      </c>
      <c r="H254">
        <v>45.833399999999997</v>
      </c>
      <c r="I254">
        <v>-72.532899999999998</v>
      </c>
      <c r="J254" t="s">
        <v>21</v>
      </c>
      <c r="K254" t="s">
        <v>1162</v>
      </c>
      <c r="L254" t="s">
        <v>1183</v>
      </c>
      <c r="M254">
        <f>113*0.3048</f>
        <v>34.442399999999999</v>
      </c>
      <c r="N254" t="s">
        <v>1179</v>
      </c>
      <c r="O254" t="s">
        <v>2792</v>
      </c>
      <c r="P254" t="s">
        <v>220</v>
      </c>
      <c r="Q254" t="s">
        <v>404</v>
      </c>
      <c r="R254" t="s">
        <v>1183</v>
      </c>
      <c r="S254">
        <f>114*0.3048</f>
        <v>34.747199999999999</v>
      </c>
      <c r="T254" s="1" t="s">
        <v>2795</v>
      </c>
      <c r="U254" s="1" t="s">
        <v>2796</v>
      </c>
    </row>
    <row r="255" spans="1:21" x14ac:dyDescent="0.3">
      <c r="A255">
        <v>159</v>
      </c>
      <c r="B255" s="8" t="s">
        <v>616</v>
      </c>
      <c r="C255" s="4" t="s">
        <v>2823</v>
      </c>
      <c r="D255" t="s">
        <v>7</v>
      </c>
      <c r="E255" t="s">
        <v>1183</v>
      </c>
      <c r="F255" t="s">
        <v>1183</v>
      </c>
      <c r="G255" t="s">
        <v>1183</v>
      </c>
      <c r="H255">
        <v>45.2583889</v>
      </c>
      <c r="I255">
        <v>-74.066277799999995</v>
      </c>
      <c r="J255" t="s">
        <v>15</v>
      </c>
      <c r="K255" t="s">
        <v>1162</v>
      </c>
      <c r="L255" t="s">
        <v>1183</v>
      </c>
      <c r="M255" t="s">
        <v>1183</v>
      </c>
      <c r="N255" t="s">
        <v>1183</v>
      </c>
      <c r="O255" t="s">
        <v>1183</v>
      </c>
      <c r="P255" t="s">
        <v>220</v>
      </c>
      <c r="Q255" t="s">
        <v>404</v>
      </c>
      <c r="R255" t="s">
        <v>1183</v>
      </c>
      <c r="S255">
        <f>227*0.3048</f>
        <v>69.189599999999999</v>
      </c>
      <c r="T255" s="1" t="s">
        <v>2824</v>
      </c>
      <c r="U255" s="1" t="s">
        <v>2825</v>
      </c>
    </row>
    <row r="256" spans="1:21" x14ac:dyDescent="0.3">
      <c r="A256">
        <v>160</v>
      </c>
      <c r="B256" s="8" t="s">
        <v>618</v>
      </c>
      <c r="C256" s="4" t="s">
        <v>2830</v>
      </c>
      <c r="D256" t="s">
        <v>7</v>
      </c>
      <c r="E256">
        <v>1956</v>
      </c>
      <c r="F256" t="s">
        <v>1183</v>
      </c>
      <c r="G256" t="s">
        <v>1183</v>
      </c>
      <c r="H256">
        <v>46.044260000000001</v>
      </c>
      <c r="I256">
        <v>-72.785319999999999</v>
      </c>
      <c r="J256" t="s">
        <v>21</v>
      </c>
      <c r="K256" t="s">
        <v>1162</v>
      </c>
      <c r="L256" t="s">
        <v>1183</v>
      </c>
      <c r="M256" t="s">
        <v>1183</v>
      </c>
      <c r="N256" t="s">
        <v>1260</v>
      </c>
      <c r="O256" t="s">
        <v>1178</v>
      </c>
      <c r="P256" t="s">
        <v>220</v>
      </c>
      <c r="Q256" t="s">
        <v>404</v>
      </c>
      <c r="R256" t="s">
        <v>1183</v>
      </c>
      <c r="S256">
        <f>1300*0.3048</f>
        <v>396.24</v>
      </c>
      <c r="T256" s="1" t="s">
        <v>2831</v>
      </c>
      <c r="U256" s="1" t="s">
        <v>2832</v>
      </c>
    </row>
    <row r="257" spans="1:21" x14ac:dyDescent="0.3">
      <c r="A257">
        <v>161</v>
      </c>
      <c r="B257" t="s">
        <v>619</v>
      </c>
      <c r="C257" t="s">
        <v>1617</v>
      </c>
      <c r="D257" t="s">
        <v>7</v>
      </c>
      <c r="E257">
        <v>1942</v>
      </c>
      <c r="F257" t="s">
        <v>1183</v>
      </c>
      <c r="G257" t="s">
        <v>1183</v>
      </c>
      <c r="H257">
        <v>46.122169999999997</v>
      </c>
      <c r="I257">
        <v>-70.665710000000004</v>
      </c>
      <c r="J257" t="s">
        <v>51</v>
      </c>
      <c r="K257" t="s">
        <v>1162</v>
      </c>
      <c r="L257" t="s">
        <v>1163</v>
      </c>
      <c r="M257">
        <f>208*0.3048</f>
        <v>63.398400000000002</v>
      </c>
      <c r="N257" t="s">
        <v>1181</v>
      </c>
      <c r="O257" t="s">
        <v>1618</v>
      </c>
      <c r="P257" t="s">
        <v>220</v>
      </c>
      <c r="Q257" t="s">
        <v>404</v>
      </c>
      <c r="R257" t="s">
        <v>1183</v>
      </c>
      <c r="S257">
        <f>1860*0.3048</f>
        <v>566.928</v>
      </c>
      <c r="T257" s="1" t="s">
        <v>1619</v>
      </c>
      <c r="U257" s="1" t="s">
        <v>1620</v>
      </c>
    </row>
    <row r="258" spans="1:21" x14ac:dyDescent="0.3">
      <c r="A258">
        <v>162</v>
      </c>
      <c r="B258" s="8" t="s">
        <v>620</v>
      </c>
      <c r="C258" s="4" t="s">
        <v>2833</v>
      </c>
      <c r="D258" t="s">
        <v>7</v>
      </c>
      <c r="E258">
        <v>1957</v>
      </c>
      <c r="F258" t="s">
        <v>1183</v>
      </c>
      <c r="G258">
        <v>1957</v>
      </c>
      <c r="H258">
        <v>46.020277100000001</v>
      </c>
      <c r="I258">
        <v>-72.980406400000007</v>
      </c>
      <c r="J258" t="s">
        <v>15</v>
      </c>
      <c r="K258" t="s">
        <v>1162</v>
      </c>
      <c r="L258" t="s">
        <v>1183</v>
      </c>
      <c r="M258" t="s">
        <v>1183</v>
      </c>
      <c r="N258" t="s">
        <v>1179</v>
      </c>
      <c r="O258" t="s">
        <v>1178</v>
      </c>
      <c r="P258" t="s">
        <v>220</v>
      </c>
      <c r="Q258" t="s">
        <v>213</v>
      </c>
      <c r="R258" t="s">
        <v>1183</v>
      </c>
      <c r="S258">
        <f>200*0.3048</f>
        <v>60.96</v>
      </c>
      <c r="T258" s="1" t="s">
        <v>2834</v>
      </c>
      <c r="U258" s="1" t="s">
        <v>2835</v>
      </c>
    </row>
    <row r="259" spans="1:21" x14ac:dyDescent="0.3">
      <c r="A259">
        <v>163</v>
      </c>
      <c r="B259" s="8" t="s">
        <v>621</v>
      </c>
      <c r="C259" s="4" t="s">
        <v>2836</v>
      </c>
      <c r="D259" t="s">
        <v>7</v>
      </c>
      <c r="E259">
        <v>1956</v>
      </c>
      <c r="F259" t="s">
        <v>1183</v>
      </c>
      <c r="G259" t="s">
        <v>1183</v>
      </c>
      <c r="H259">
        <v>46.0333611</v>
      </c>
      <c r="I259">
        <v>-72.8328889</v>
      </c>
      <c r="J259" t="s">
        <v>21</v>
      </c>
      <c r="K259" t="s">
        <v>1162</v>
      </c>
      <c r="L259" t="s">
        <v>1163</v>
      </c>
      <c r="M259" t="s">
        <v>1183</v>
      </c>
      <c r="N259" t="s">
        <v>1229</v>
      </c>
      <c r="O259" t="s">
        <v>1178</v>
      </c>
      <c r="P259" t="s">
        <v>212</v>
      </c>
      <c r="Q259" t="s">
        <v>404</v>
      </c>
      <c r="R259">
        <f>75*0.3048</f>
        <v>22.86</v>
      </c>
      <c r="S259">
        <f>1047*0.3048</f>
        <v>319.12560000000002</v>
      </c>
      <c r="T259" s="1" t="s">
        <v>2837</v>
      </c>
      <c r="U259" s="1" t="s">
        <v>2838</v>
      </c>
    </row>
    <row r="260" spans="1:21" x14ac:dyDescent="0.3">
      <c r="A260">
        <v>164</v>
      </c>
      <c r="B260" t="s">
        <v>627</v>
      </c>
      <c r="C260" t="s">
        <v>1621</v>
      </c>
      <c r="D260" t="s">
        <v>7</v>
      </c>
      <c r="E260">
        <v>1933</v>
      </c>
      <c r="F260" t="s">
        <v>1183</v>
      </c>
      <c r="G260">
        <v>1933</v>
      </c>
      <c r="H260">
        <v>46.052840000000003</v>
      </c>
      <c r="I260">
        <v>-73.284260000000003</v>
      </c>
      <c r="J260" t="s">
        <v>29</v>
      </c>
      <c r="K260" t="s">
        <v>1162</v>
      </c>
      <c r="L260" t="s">
        <v>1183</v>
      </c>
      <c r="M260">
        <f>500*0.3048</f>
        <v>152.4</v>
      </c>
      <c r="N260" t="s">
        <v>1179</v>
      </c>
      <c r="O260" t="s">
        <v>1622</v>
      </c>
      <c r="P260" t="s">
        <v>212</v>
      </c>
      <c r="Q260" t="s">
        <v>404</v>
      </c>
      <c r="R260" t="s">
        <v>1183</v>
      </c>
      <c r="S260">
        <f>608*0.3048</f>
        <v>185.3184</v>
      </c>
      <c r="T260" s="1" t="s">
        <v>1623</v>
      </c>
      <c r="U260" s="1" t="s">
        <v>1624</v>
      </c>
    </row>
    <row r="261" spans="1:21" x14ac:dyDescent="0.3">
      <c r="A261">
        <v>165</v>
      </c>
      <c r="B261" s="7" t="s">
        <v>632</v>
      </c>
      <c r="C261" t="s">
        <v>1625</v>
      </c>
      <c r="D261" t="s">
        <v>7</v>
      </c>
      <c r="E261">
        <v>1943</v>
      </c>
      <c r="F261" t="s">
        <v>1183</v>
      </c>
      <c r="G261" t="s">
        <v>1183</v>
      </c>
      <c r="H261">
        <v>45.856059999999999</v>
      </c>
      <c r="I261">
        <v>-73.40361</v>
      </c>
      <c r="J261" t="s">
        <v>29</v>
      </c>
      <c r="K261" t="s">
        <v>1162</v>
      </c>
      <c r="L261" t="s">
        <v>1183</v>
      </c>
      <c r="M261" t="s">
        <v>1183</v>
      </c>
      <c r="N261" t="s">
        <v>1209</v>
      </c>
      <c r="O261" t="s">
        <v>1226</v>
      </c>
      <c r="P261" t="s">
        <v>212</v>
      </c>
      <c r="Q261" t="s">
        <v>404</v>
      </c>
      <c r="R261" t="s">
        <v>1183</v>
      </c>
      <c r="S261">
        <f>510*0.3048</f>
        <v>155.44800000000001</v>
      </c>
      <c r="T261" s="1" t="s">
        <v>1626</v>
      </c>
      <c r="U261" s="1" t="s">
        <v>1627</v>
      </c>
    </row>
    <row r="262" spans="1:21" x14ac:dyDescent="0.3">
      <c r="A262">
        <v>166</v>
      </c>
      <c r="B262" s="8" t="s">
        <v>634</v>
      </c>
      <c r="C262" s="4" t="s">
        <v>2871</v>
      </c>
      <c r="D262" t="s">
        <v>7</v>
      </c>
      <c r="E262">
        <v>1958</v>
      </c>
      <c r="F262" t="s">
        <v>1183</v>
      </c>
      <c r="G262" t="s">
        <v>1183</v>
      </c>
      <c r="H262">
        <v>46.291694399999997</v>
      </c>
      <c r="I262">
        <v>-72.694000000000003</v>
      </c>
      <c r="J262" t="s">
        <v>12</v>
      </c>
      <c r="K262" t="s">
        <v>1162</v>
      </c>
      <c r="L262" t="s">
        <v>1167</v>
      </c>
      <c r="M262" t="s">
        <v>1183</v>
      </c>
      <c r="N262" t="s">
        <v>2115</v>
      </c>
      <c r="O262" t="s">
        <v>1630</v>
      </c>
      <c r="P262" t="s">
        <v>220</v>
      </c>
      <c r="Q262" t="s">
        <v>404</v>
      </c>
      <c r="R262" t="s">
        <v>1183</v>
      </c>
      <c r="S262">
        <f>445*0.3048</f>
        <v>135.636</v>
      </c>
      <c r="T262" s="1" t="s">
        <v>2872</v>
      </c>
      <c r="U262" s="1" t="s">
        <v>2873</v>
      </c>
    </row>
    <row r="263" spans="1:21" x14ac:dyDescent="0.3">
      <c r="A263">
        <v>167</v>
      </c>
      <c r="B263" t="s">
        <v>635</v>
      </c>
      <c r="C263" t="s">
        <v>1628</v>
      </c>
      <c r="D263" t="s">
        <v>7</v>
      </c>
      <c r="E263">
        <v>1960</v>
      </c>
      <c r="F263" t="s">
        <v>1183</v>
      </c>
      <c r="G263" t="s">
        <v>1183</v>
      </c>
      <c r="H263">
        <v>46.290083000000003</v>
      </c>
      <c r="I263">
        <v>-72.69059</v>
      </c>
      <c r="J263" t="s">
        <v>12</v>
      </c>
      <c r="K263" t="s">
        <v>1162</v>
      </c>
      <c r="L263" t="s">
        <v>1167</v>
      </c>
      <c r="M263" t="s">
        <v>1183</v>
      </c>
      <c r="N263" t="s">
        <v>1629</v>
      </c>
      <c r="O263" t="s">
        <v>1630</v>
      </c>
      <c r="P263" t="s">
        <v>212</v>
      </c>
      <c r="Q263" t="s">
        <v>404</v>
      </c>
      <c r="R263" t="s">
        <v>1183</v>
      </c>
      <c r="S263">
        <f>530*0.3048</f>
        <v>161.54400000000001</v>
      </c>
      <c r="T263" s="1" t="s">
        <v>1631</v>
      </c>
      <c r="U263" s="1" t="s">
        <v>1632</v>
      </c>
    </row>
    <row r="264" spans="1:21" x14ac:dyDescent="0.3">
      <c r="A264">
        <v>168</v>
      </c>
      <c r="B264" s="7" t="s">
        <v>642</v>
      </c>
      <c r="C264" t="s">
        <v>1633</v>
      </c>
      <c r="D264" t="s">
        <v>7</v>
      </c>
      <c r="E264">
        <v>1958</v>
      </c>
      <c r="F264" t="s">
        <v>1183</v>
      </c>
      <c r="G264">
        <v>1960</v>
      </c>
      <c r="H264">
        <v>46.291748611000003</v>
      </c>
      <c r="I264">
        <v>-72.699293890000007</v>
      </c>
      <c r="J264" t="s">
        <v>12</v>
      </c>
      <c r="K264" t="s">
        <v>1634</v>
      </c>
      <c r="L264" t="s">
        <v>1205</v>
      </c>
      <c r="M264">
        <f>160*0.3048</f>
        <v>48.768000000000001</v>
      </c>
      <c r="N264" t="s">
        <v>1219</v>
      </c>
      <c r="O264" t="s">
        <v>1207</v>
      </c>
      <c r="P264" t="s">
        <v>212</v>
      </c>
      <c r="Q264" t="s">
        <v>404</v>
      </c>
      <c r="R264">
        <f>45*0.3048</f>
        <v>13.716000000000001</v>
      </c>
      <c r="S264">
        <f>240*0.3048</f>
        <v>73.152000000000001</v>
      </c>
      <c r="T264" s="1" t="s">
        <v>1635</v>
      </c>
      <c r="U264" s="1" t="s">
        <v>1636</v>
      </c>
    </row>
    <row r="265" spans="1:21" x14ac:dyDescent="0.3">
      <c r="A265">
        <v>169</v>
      </c>
      <c r="B265" t="s">
        <v>644</v>
      </c>
      <c r="C265" t="s">
        <v>1637</v>
      </c>
      <c r="D265" t="s">
        <v>7</v>
      </c>
      <c r="E265">
        <v>1961</v>
      </c>
      <c r="F265" t="s">
        <v>1183</v>
      </c>
      <c r="G265">
        <v>1961</v>
      </c>
      <c r="H265">
        <v>46.287722000000002</v>
      </c>
      <c r="I265">
        <v>-72.698860999999994</v>
      </c>
      <c r="J265" t="s">
        <v>12</v>
      </c>
      <c r="K265" t="s">
        <v>1634</v>
      </c>
      <c r="L265" t="s">
        <v>1173</v>
      </c>
      <c r="M265">
        <f>206*0.3048</f>
        <v>62.788800000000002</v>
      </c>
      <c r="N265" t="s">
        <v>1219</v>
      </c>
      <c r="O265" t="s">
        <v>1165</v>
      </c>
      <c r="P265" t="s">
        <v>212</v>
      </c>
      <c r="Q265" t="s">
        <v>213</v>
      </c>
      <c r="R265">
        <f>15*0.3048</f>
        <v>4.5720000000000001</v>
      </c>
      <c r="S265">
        <f>240*0.3048</f>
        <v>73.152000000000001</v>
      </c>
      <c r="T265" s="1" t="s">
        <v>1638</v>
      </c>
      <c r="U265" s="1" t="s">
        <v>1639</v>
      </c>
    </row>
    <row r="266" spans="1:21" x14ac:dyDescent="0.3">
      <c r="A266">
        <v>170</v>
      </c>
      <c r="B266" t="s">
        <v>645</v>
      </c>
      <c r="C266" t="s">
        <v>1640</v>
      </c>
      <c r="D266" t="s">
        <v>7</v>
      </c>
      <c r="E266">
        <v>1961</v>
      </c>
      <c r="F266" t="s">
        <v>1183</v>
      </c>
      <c r="G266">
        <v>1962</v>
      </c>
      <c r="H266">
        <v>46.289056000000002</v>
      </c>
      <c r="I266">
        <v>-72.703277999999997</v>
      </c>
      <c r="J266" t="s">
        <v>12</v>
      </c>
      <c r="K266" t="s">
        <v>1634</v>
      </c>
      <c r="L266" t="s">
        <v>1173</v>
      </c>
      <c r="M266">
        <f>202*0.3048</f>
        <v>61.569600000000001</v>
      </c>
      <c r="N266" t="s">
        <v>1219</v>
      </c>
      <c r="O266" t="s">
        <v>1165</v>
      </c>
      <c r="P266" t="s">
        <v>212</v>
      </c>
      <c r="Q266" t="s">
        <v>213</v>
      </c>
      <c r="R266">
        <f>16*0.3048</f>
        <v>4.8768000000000002</v>
      </c>
      <c r="S266">
        <f>213*0.3048</f>
        <v>64.92240000000001</v>
      </c>
      <c r="T266" s="1" t="s">
        <v>1641</v>
      </c>
      <c r="U266" s="1" t="s">
        <v>1642</v>
      </c>
    </row>
    <row r="267" spans="1:21" x14ac:dyDescent="0.3">
      <c r="A267">
        <v>171</v>
      </c>
      <c r="B267" t="s">
        <v>646</v>
      </c>
      <c r="C267" t="s">
        <v>1645</v>
      </c>
      <c r="D267" t="s">
        <v>7</v>
      </c>
      <c r="E267">
        <v>1961</v>
      </c>
      <c r="F267" t="s">
        <v>1183</v>
      </c>
      <c r="G267">
        <v>1962</v>
      </c>
      <c r="H267">
        <v>46.289639000000001</v>
      </c>
      <c r="I267">
        <v>-72.706277999999998</v>
      </c>
      <c r="J267" t="s">
        <v>12</v>
      </c>
      <c r="K267" t="s">
        <v>1634</v>
      </c>
      <c r="L267" t="s">
        <v>1173</v>
      </c>
      <c r="M267">
        <f>195*0.3048</f>
        <v>59.436</v>
      </c>
      <c r="N267" t="s">
        <v>1219</v>
      </c>
      <c r="O267" t="s">
        <v>1165</v>
      </c>
      <c r="P267" t="s">
        <v>212</v>
      </c>
      <c r="Q267" t="s">
        <v>213</v>
      </c>
      <c r="R267">
        <f>13*0.3048</f>
        <v>3.9624000000000001</v>
      </c>
      <c r="S267">
        <f>200*0.3048</f>
        <v>60.96</v>
      </c>
      <c r="T267" s="1" t="s">
        <v>1643</v>
      </c>
      <c r="U267" s="1" t="s">
        <v>1644</v>
      </c>
    </row>
    <row r="268" spans="1:21" x14ac:dyDescent="0.3">
      <c r="A268">
        <v>172</v>
      </c>
      <c r="B268" t="s">
        <v>647</v>
      </c>
      <c r="C268" t="s">
        <v>1646</v>
      </c>
      <c r="D268" t="s">
        <v>7</v>
      </c>
      <c r="E268">
        <v>1961</v>
      </c>
      <c r="F268" t="s">
        <v>1183</v>
      </c>
      <c r="G268">
        <v>1962</v>
      </c>
      <c r="H268">
        <v>46.291167000000002</v>
      </c>
      <c r="I268">
        <v>-72.710389000000006</v>
      </c>
      <c r="J268" t="s">
        <v>12</v>
      </c>
      <c r="K268" t="s">
        <v>1634</v>
      </c>
      <c r="L268" t="s">
        <v>1173</v>
      </c>
      <c r="M268">
        <f>185*0.3048</f>
        <v>56.388000000000005</v>
      </c>
      <c r="N268" t="s">
        <v>1219</v>
      </c>
      <c r="O268" t="s">
        <v>1165</v>
      </c>
      <c r="P268" t="s">
        <v>212</v>
      </c>
      <c r="Q268" t="s">
        <v>213</v>
      </c>
      <c r="R268">
        <f>15*0.3048</f>
        <v>4.5720000000000001</v>
      </c>
      <c r="S268">
        <f>186*0.3048</f>
        <v>56.692800000000005</v>
      </c>
      <c r="T268" s="1" t="s">
        <v>1647</v>
      </c>
      <c r="U268" s="1" t="s">
        <v>1648</v>
      </c>
    </row>
    <row r="269" spans="1:21" x14ac:dyDescent="0.3">
      <c r="A269">
        <v>173</v>
      </c>
      <c r="B269" t="s">
        <v>648</v>
      </c>
      <c r="C269" t="s">
        <v>1649</v>
      </c>
      <c r="D269" t="s">
        <v>7</v>
      </c>
      <c r="E269">
        <v>1961</v>
      </c>
      <c r="F269" t="s">
        <v>1183</v>
      </c>
      <c r="G269">
        <v>1961</v>
      </c>
      <c r="H269">
        <v>46.291333000000002</v>
      </c>
      <c r="I269">
        <v>-72.714639000000005</v>
      </c>
      <c r="J269" t="s">
        <v>12</v>
      </c>
      <c r="K269" t="s">
        <v>1634</v>
      </c>
      <c r="L269" t="s">
        <v>1173</v>
      </c>
      <c r="M269" t="s">
        <v>1183</v>
      </c>
      <c r="N269" t="s">
        <v>1650</v>
      </c>
      <c r="O269" t="s">
        <v>1165</v>
      </c>
      <c r="P269" t="s">
        <v>212</v>
      </c>
      <c r="Q269" t="s">
        <v>213</v>
      </c>
      <c r="R269">
        <f>12*0.3048</f>
        <v>3.6576000000000004</v>
      </c>
      <c r="S269">
        <f>330*0.3048</f>
        <v>100.584</v>
      </c>
      <c r="T269" s="1" t="s">
        <v>1651</v>
      </c>
      <c r="U269" s="1" t="s">
        <v>1652</v>
      </c>
    </row>
    <row r="270" spans="1:21" x14ac:dyDescent="0.3">
      <c r="A270">
        <v>174</v>
      </c>
      <c r="B270" t="s">
        <v>649</v>
      </c>
      <c r="C270" t="s">
        <v>1653</v>
      </c>
      <c r="D270" t="s">
        <v>7</v>
      </c>
      <c r="E270">
        <v>1961</v>
      </c>
      <c r="F270" t="s">
        <v>1183</v>
      </c>
      <c r="G270">
        <v>1962</v>
      </c>
      <c r="H270">
        <v>46.288083</v>
      </c>
      <c r="I270">
        <v>-72.706917000000004</v>
      </c>
      <c r="J270" t="s">
        <v>12</v>
      </c>
      <c r="K270" t="s">
        <v>1634</v>
      </c>
      <c r="L270" t="s">
        <v>1173</v>
      </c>
      <c r="M270">
        <f>130*0.3048</f>
        <v>39.624000000000002</v>
      </c>
      <c r="N270" t="s">
        <v>1219</v>
      </c>
      <c r="O270" t="s">
        <v>1165</v>
      </c>
      <c r="P270" t="s">
        <v>212</v>
      </c>
      <c r="Q270" t="s">
        <v>213</v>
      </c>
      <c r="R270">
        <f>13*0.3048</f>
        <v>3.9624000000000001</v>
      </c>
      <c r="S270">
        <f>205*0.3048</f>
        <v>62.484000000000002</v>
      </c>
      <c r="T270" s="1" t="s">
        <v>1654</v>
      </c>
      <c r="U270" s="1" t="s">
        <v>1655</v>
      </c>
    </row>
    <row r="271" spans="1:21" x14ac:dyDescent="0.3">
      <c r="A271">
        <v>175</v>
      </c>
      <c r="B271" t="s">
        <v>650</v>
      </c>
      <c r="C271" t="s">
        <v>1656</v>
      </c>
      <c r="D271" t="s">
        <v>7</v>
      </c>
      <c r="E271">
        <v>1961</v>
      </c>
      <c r="F271" t="s">
        <v>1183</v>
      </c>
      <c r="G271">
        <v>1962</v>
      </c>
      <c r="H271">
        <v>46.289332999999999</v>
      </c>
      <c r="I271">
        <v>-72.709999999999994</v>
      </c>
      <c r="J271" t="s">
        <v>12</v>
      </c>
      <c r="K271" t="s">
        <v>1634</v>
      </c>
      <c r="L271" t="s">
        <v>1173</v>
      </c>
      <c r="M271">
        <f>211*0.3048</f>
        <v>64.31280000000001</v>
      </c>
      <c r="N271" t="s">
        <v>1219</v>
      </c>
      <c r="O271" t="s">
        <v>1165</v>
      </c>
      <c r="P271" t="s">
        <v>212</v>
      </c>
      <c r="Q271" t="s">
        <v>213</v>
      </c>
      <c r="R271">
        <f>13*0.3048</f>
        <v>3.9624000000000001</v>
      </c>
      <c r="S271">
        <f>215*0.3048</f>
        <v>65.531999999999996</v>
      </c>
      <c r="T271" s="1" t="s">
        <v>1657</v>
      </c>
      <c r="U271" s="1" t="s">
        <v>1658</v>
      </c>
    </row>
    <row r="272" spans="1:21" x14ac:dyDescent="0.3">
      <c r="A272">
        <v>176</v>
      </c>
      <c r="B272" t="s">
        <v>651</v>
      </c>
      <c r="C272" t="s">
        <v>1659</v>
      </c>
      <c r="D272" t="s">
        <v>7</v>
      </c>
      <c r="E272">
        <v>1962</v>
      </c>
      <c r="F272" t="s">
        <v>1183</v>
      </c>
      <c r="G272">
        <v>1962</v>
      </c>
      <c r="H272">
        <v>46.288139000000001</v>
      </c>
      <c r="I272">
        <v>-72.705805999999995</v>
      </c>
      <c r="J272" t="s">
        <v>12</v>
      </c>
      <c r="K272" t="s">
        <v>1634</v>
      </c>
      <c r="L272" t="s">
        <v>1173</v>
      </c>
      <c r="M272">
        <f>209*0.3048</f>
        <v>63.703200000000002</v>
      </c>
      <c r="N272" t="s">
        <v>1208</v>
      </c>
      <c r="O272" t="s">
        <v>1165</v>
      </c>
      <c r="P272" t="s">
        <v>212</v>
      </c>
      <c r="Q272" t="s">
        <v>213</v>
      </c>
      <c r="R272">
        <f>14*0.3048</f>
        <v>4.2671999999999999</v>
      </c>
      <c r="S272">
        <f>211*0.3048</f>
        <v>64.31280000000001</v>
      </c>
      <c r="T272" s="1" t="s">
        <v>1660</v>
      </c>
      <c r="U272" s="1" t="s">
        <v>1661</v>
      </c>
    </row>
    <row r="273" spans="1:21" x14ac:dyDescent="0.3">
      <c r="A273">
        <v>177</v>
      </c>
      <c r="B273" t="s">
        <v>652</v>
      </c>
      <c r="C273" t="s">
        <v>1662</v>
      </c>
      <c r="D273" t="s">
        <v>7</v>
      </c>
      <c r="E273">
        <v>1962</v>
      </c>
      <c r="F273" t="s">
        <v>1183</v>
      </c>
      <c r="G273">
        <v>1962</v>
      </c>
      <c r="H273">
        <v>46.286472000000003</v>
      </c>
      <c r="I273">
        <v>-72.708250000000007</v>
      </c>
      <c r="J273" t="s">
        <v>12</v>
      </c>
      <c r="K273" t="s">
        <v>1634</v>
      </c>
      <c r="L273" t="s">
        <v>1173</v>
      </c>
      <c r="M273">
        <f>206*0.3048</f>
        <v>62.788800000000002</v>
      </c>
      <c r="N273" t="s">
        <v>1208</v>
      </c>
      <c r="O273" t="s">
        <v>1165</v>
      </c>
      <c r="P273" t="s">
        <v>212</v>
      </c>
      <c r="Q273" t="s">
        <v>213</v>
      </c>
      <c r="R273">
        <f>13*0.3048</f>
        <v>3.9624000000000001</v>
      </c>
      <c r="S273">
        <f>209*0.3048</f>
        <v>63.703200000000002</v>
      </c>
      <c r="T273" s="1" t="s">
        <v>1663</v>
      </c>
      <c r="U273" s="1" t="s">
        <v>1664</v>
      </c>
    </row>
    <row r="274" spans="1:21" x14ac:dyDescent="0.3">
      <c r="A274">
        <v>178</v>
      </c>
      <c r="B274" t="s">
        <v>653</v>
      </c>
      <c r="C274" t="s">
        <v>1669</v>
      </c>
      <c r="D274" t="s">
        <v>7</v>
      </c>
      <c r="E274">
        <v>1962</v>
      </c>
      <c r="F274" t="s">
        <v>1183</v>
      </c>
      <c r="G274">
        <v>1962</v>
      </c>
      <c r="H274">
        <v>46.284860999999999</v>
      </c>
      <c r="I274">
        <v>-72.709500000000006</v>
      </c>
      <c r="J274" t="s">
        <v>12</v>
      </c>
      <c r="K274" t="s">
        <v>1634</v>
      </c>
      <c r="L274" t="s">
        <v>1173</v>
      </c>
      <c r="M274">
        <f>210*0.3048</f>
        <v>64.00800000000001</v>
      </c>
      <c r="N274" t="s">
        <v>1665</v>
      </c>
      <c r="O274" t="s">
        <v>1165</v>
      </c>
      <c r="P274" t="s">
        <v>212</v>
      </c>
      <c r="Q274" t="s">
        <v>213</v>
      </c>
      <c r="R274">
        <f>13*0.3048</f>
        <v>3.9624000000000001</v>
      </c>
      <c r="S274">
        <f>292*0.3048</f>
        <v>89.00160000000001</v>
      </c>
      <c r="T274" s="1" t="s">
        <v>1666</v>
      </c>
      <c r="U274" s="1" t="s">
        <v>1667</v>
      </c>
    </row>
    <row r="275" spans="1:21" x14ac:dyDescent="0.3">
      <c r="A275">
        <v>179</v>
      </c>
      <c r="B275" t="s">
        <v>654</v>
      </c>
      <c r="C275" t="s">
        <v>1668</v>
      </c>
      <c r="D275" t="s">
        <v>7</v>
      </c>
      <c r="E275">
        <v>1962</v>
      </c>
      <c r="F275" t="s">
        <v>1183</v>
      </c>
      <c r="G275">
        <v>1962</v>
      </c>
      <c r="H275">
        <v>46.287722000000002</v>
      </c>
      <c r="I275">
        <v>-72.711472000000001</v>
      </c>
      <c r="J275" t="s">
        <v>12</v>
      </c>
      <c r="K275" t="s">
        <v>1634</v>
      </c>
      <c r="L275" t="s">
        <v>1173</v>
      </c>
      <c r="M275">
        <f>205*0.3048</f>
        <v>62.484000000000002</v>
      </c>
      <c r="N275" t="s">
        <v>1208</v>
      </c>
      <c r="O275" t="s">
        <v>1165</v>
      </c>
      <c r="P275" t="s">
        <v>212</v>
      </c>
      <c r="Q275" t="s">
        <v>213</v>
      </c>
      <c r="R275">
        <f>12*0.3048</f>
        <v>3.6576000000000004</v>
      </c>
      <c r="S275">
        <f>213*0.3048</f>
        <v>64.92240000000001</v>
      </c>
      <c r="T275" s="1" t="s">
        <v>1670</v>
      </c>
      <c r="U275" s="1" t="s">
        <v>1671</v>
      </c>
    </row>
    <row r="276" spans="1:21" x14ac:dyDescent="0.3">
      <c r="A276">
        <v>180</v>
      </c>
      <c r="B276" t="s">
        <v>655</v>
      </c>
      <c r="C276" t="s">
        <v>1672</v>
      </c>
      <c r="D276" t="s">
        <v>7</v>
      </c>
      <c r="E276">
        <v>1962</v>
      </c>
      <c r="F276" t="s">
        <v>1183</v>
      </c>
      <c r="G276">
        <v>1962</v>
      </c>
      <c r="H276">
        <v>46.285556</v>
      </c>
      <c r="I276">
        <v>-72.715638999999996</v>
      </c>
      <c r="J276" t="s">
        <v>12</v>
      </c>
      <c r="K276" t="s">
        <v>1634</v>
      </c>
      <c r="L276" t="s">
        <v>1173</v>
      </c>
      <c r="M276">
        <f>211*0.3048</f>
        <v>64.31280000000001</v>
      </c>
      <c r="N276" t="s">
        <v>1665</v>
      </c>
      <c r="O276" t="s">
        <v>1165</v>
      </c>
      <c r="P276" t="s">
        <v>212</v>
      </c>
      <c r="Q276" t="s">
        <v>213</v>
      </c>
      <c r="R276">
        <f>13*0.3048</f>
        <v>3.9624000000000001</v>
      </c>
      <c r="S276">
        <f>256*0.3048</f>
        <v>78.028800000000004</v>
      </c>
      <c r="T276" s="1" t="s">
        <v>1673</v>
      </c>
      <c r="U276" s="1" t="s">
        <v>1674</v>
      </c>
    </row>
    <row r="277" spans="1:21" x14ac:dyDescent="0.3">
      <c r="A277">
        <v>181</v>
      </c>
      <c r="B277" t="s">
        <v>656</v>
      </c>
      <c r="C277" t="s">
        <v>1678</v>
      </c>
      <c r="D277" t="s">
        <v>7</v>
      </c>
      <c r="E277">
        <v>1963</v>
      </c>
      <c r="F277" t="s">
        <v>1183</v>
      </c>
      <c r="G277">
        <v>1963</v>
      </c>
      <c r="H277">
        <v>46.284222</v>
      </c>
      <c r="I277">
        <v>-72.717917</v>
      </c>
      <c r="J277" t="s">
        <v>12</v>
      </c>
      <c r="K277" t="s">
        <v>1634</v>
      </c>
      <c r="L277" t="s">
        <v>1173</v>
      </c>
      <c r="M277">
        <f>200*0.3048</f>
        <v>60.96</v>
      </c>
      <c r="N277" t="s">
        <v>1665</v>
      </c>
      <c r="O277" t="s">
        <v>1165</v>
      </c>
      <c r="P277" t="s">
        <v>220</v>
      </c>
      <c r="Q277" t="s">
        <v>213</v>
      </c>
      <c r="R277">
        <f>13*0.3048</f>
        <v>3.9624000000000001</v>
      </c>
      <c r="S277">
        <f>263*0.3048</f>
        <v>80.162400000000005</v>
      </c>
      <c r="T277" s="1" t="s">
        <v>1675</v>
      </c>
      <c r="U277" s="1" t="s">
        <v>1676</v>
      </c>
    </row>
    <row r="278" spans="1:21" x14ac:dyDescent="0.3">
      <c r="A278">
        <v>182</v>
      </c>
      <c r="B278" t="s">
        <v>657</v>
      </c>
      <c r="C278" t="s">
        <v>1677</v>
      </c>
      <c r="D278" t="s">
        <v>7</v>
      </c>
      <c r="E278">
        <v>1963</v>
      </c>
      <c r="F278" t="s">
        <v>1183</v>
      </c>
      <c r="G278">
        <v>1963</v>
      </c>
      <c r="H278">
        <v>46.283028000000002</v>
      </c>
      <c r="I278">
        <v>-72.719806000000005</v>
      </c>
      <c r="J278" t="s">
        <v>12</v>
      </c>
      <c r="K278" t="s">
        <v>1634</v>
      </c>
      <c r="L278" t="s">
        <v>1173</v>
      </c>
      <c r="M278">
        <f>205*0.3048</f>
        <v>62.484000000000002</v>
      </c>
      <c r="N278" t="s">
        <v>1665</v>
      </c>
      <c r="O278" t="s">
        <v>1165</v>
      </c>
      <c r="P278" t="s">
        <v>220</v>
      </c>
      <c r="Q278" t="s">
        <v>213</v>
      </c>
      <c r="R278">
        <f>12*0.3048</f>
        <v>3.6576000000000004</v>
      </c>
      <c r="S278">
        <f>282*0.3048</f>
        <v>85.953600000000009</v>
      </c>
      <c r="T278" s="1" t="s">
        <v>1679</v>
      </c>
      <c r="U278" s="1" t="s">
        <v>1680</v>
      </c>
    </row>
    <row r="279" spans="1:21" x14ac:dyDescent="0.3">
      <c r="A279">
        <v>183</v>
      </c>
      <c r="B279" t="s">
        <v>658</v>
      </c>
      <c r="C279" t="s">
        <v>1681</v>
      </c>
      <c r="D279" t="s">
        <v>7</v>
      </c>
      <c r="E279">
        <v>1963</v>
      </c>
      <c r="F279" t="s">
        <v>1183</v>
      </c>
      <c r="G279">
        <v>1963</v>
      </c>
      <c r="H279">
        <v>46.287444000000001</v>
      </c>
      <c r="I279">
        <v>-72.715861000000004</v>
      </c>
      <c r="J279" t="s">
        <v>12</v>
      </c>
      <c r="K279" t="s">
        <v>1634</v>
      </c>
      <c r="L279" t="s">
        <v>1173</v>
      </c>
      <c r="M279">
        <f>159*0.3048</f>
        <v>48.463200000000001</v>
      </c>
      <c r="N279" t="s">
        <v>1665</v>
      </c>
      <c r="O279" t="s">
        <v>1165</v>
      </c>
      <c r="P279" t="s">
        <v>220</v>
      </c>
      <c r="Q279" t="s">
        <v>213</v>
      </c>
      <c r="R279">
        <f>13*0.3048</f>
        <v>3.9624000000000001</v>
      </c>
      <c r="S279">
        <f>253*0.3048</f>
        <v>77.114400000000003</v>
      </c>
      <c r="T279" s="1" t="s">
        <v>1682</v>
      </c>
      <c r="U279" s="1" t="s">
        <v>1683</v>
      </c>
    </row>
    <row r="280" spans="1:21" x14ac:dyDescent="0.3">
      <c r="A280">
        <v>184</v>
      </c>
      <c r="B280" t="s">
        <v>659</v>
      </c>
      <c r="C280" t="s">
        <v>1684</v>
      </c>
      <c r="D280" t="s">
        <v>7</v>
      </c>
      <c r="E280">
        <v>1963</v>
      </c>
      <c r="F280" t="s">
        <v>1183</v>
      </c>
      <c r="G280">
        <v>1963</v>
      </c>
      <c r="H280">
        <v>46.284889</v>
      </c>
      <c r="I280">
        <v>-72.713471999999996</v>
      </c>
      <c r="J280" t="s">
        <v>12</v>
      </c>
      <c r="K280" t="s">
        <v>1634</v>
      </c>
      <c r="L280" t="s">
        <v>1173</v>
      </c>
      <c r="M280">
        <f>212*0.3048</f>
        <v>64.61760000000001</v>
      </c>
      <c r="N280" t="s">
        <v>1685</v>
      </c>
      <c r="O280" t="s">
        <v>1165</v>
      </c>
      <c r="P280" t="s">
        <v>220</v>
      </c>
      <c r="Q280" t="s">
        <v>213</v>
      </c>
      <c r="R280">
        <f>14*0.3048</f>
        <v>4.2671999999999999</v>
      </c>
      <c r="S280">
        <f>276*0.3048</f>
        <v>84.124800000000008</v>
      </c>
      <c r="T280" s="1" t="s">
        <v>1686</v>
      </c>
      <c r="U280" s="1" t="s">
        <v>1687</v>
      </c>
    </row>
    <row r="281" spans="1:21" x14ac:dyDescent="0.3">
      <c r="A281">
        <v>185</v>
      </c>
      <c r="B281" t="s">
        <v>660</v>
      </c>
      <c r="C281" t="s">
        <v>1688</v>
      </c>
      <c r="D281" t="s">
        <v>7</v>
      </c>
      <c r="E281">
        <v>1957</v>
      </c>
      <c r="F281" t="s">
        <v>1183</v>
      </c>
      <c r="G281">
        <v>1958</v>
      </c>
      <c r="H281">
        <v>46.603029999999997</v>
      </c>
      <c r="I281">
        <v>-72.205699999999993</v>
      </c>
      <c r="J281" t="s">
        <v>12</v>
      </c>
      <c r="K281" t="s">
        <v>1634</v>
      </c>
      <c r="L281" t="s">
        <v>1163</v>
      </c>
      <c r="M281">
        <f>280*0.3048</f>
        <v>85.344000000000008</v>
      </c>
      <c r="N281" t="s">
        <v>1183</v>
      </c>
      <c r="O281" t="s">
        <v>1165</v>
      </c>
      <c r="P281" t="s">
        <v>220</v>
      </c>
      <c r="Q281" t="s">
        <v>213</v>
      </c>
      <c r="R281" t="s">
        <v>1183</v>
      </c>
      <c r="S281">
        <f>280*0.3048</f>
        <v>85.344000000000008</v>
      </c>
      <c r="T281" s="1" t="s">
        <v>1689</v>
      </c>
      <c r="U281" s="1" t="s">
        <v>1690</v>
      </c>
    </row>
    <row r="282" spans="1:21" x14ac:dyDescent="0.3">
      <c r="A282">
        <v>186</v>
      </c>
      <c r="B282" s="8" t="s">
        <v>662</v>
      </c>
      <c r="C282" s="4" t="s">
        <v>2899</v>
      </c>
      <c r="D282" t="s">
        <v>7</v>
      </c>
      <c r="E282">
        <v>1961</v>
      </c>
      <c r="F282" t="s">
        <v>1183</v>
      </c>
      <c r="G282">
        <v>1963</v>
      </c>
      <c r="H282">
        <v>46.047875599999998</v>
      </c>
      <c r="I282">
        <v>-73.104444799999996</v>
      </c>
      <c r="J282" t="s">
        <v>15</v>
      </c>
      <c r="K282" t="s">
        <v>1634</v>
      </c>
      <c r="L282" t="s">
        <v>1173</v>
      </c>
      <c r="M282">
        <f>180*0.3048</f>
        <v>54.864000000000004</v>
      </c>
      <c r="N282" t="s">
        <v>1685</v>
      </c>
      <c r="O282" t="s">
        <v>1165</v>
      </c>
      <c r="P282" t="s">
        <v>212</v>
      </c>
      <c r="Q282" t="s">
        <v>213</v>
      </c>
      <c r="R282" t="s">
        <v>1183</v>
      </c>
      <c r="S282">
        <f>195*0.3048</f>
        <v>59.436</v>
      </c>
      <c r="T282" s="1" t="s">
        <v>2900</v>
      </c>
      <c r="U282" s="1" t="s">
        <v>2901</v>
      </c>
    </row>
    <row r="283" spans="1:21" x14ac:dyDescent="0.3">
      <c r="A283">
        <v>187</v>
      </c>
      <c r="B283" t="s">
        <v>663</v>
      </c>
      <c r="C283" t="s">
        <v>1691</v>
      </c>
      <c r="D283" t="s">
        <v>7</v>
      </c>
      <c r="E283">
        <v>1961</v>
      </c>
      <c r="F283" t="s">
        <v>1183</v>
      </c>
      <c r="G283">
        <v>1963</v>
      </c>
      <c r="H283">
        <v>46.049166999999997</v>
      </c>
      <c r="I283">
        <v>-73.095332999999997</v>
      </c>
      <c r="J283" t="s">
        <v>15</v>
      </c>
      <c r="K283" t="s">
        <v>1634</v>
      </c>
      <c r="L283" t="s">
        <v>1173</v>
      </c>
      <c r="M283" t="s">
        <v>1183</v>
      </c>
      <c r="N283" t="s">
        <v>1665</v>
      </c>
      <c r="O283" t="s">
        <v>1165</v>
      </c>
      <c r="P283" t="s">
        <v>212</v>
      </c>
      <c r="Q283" t="s">
        <v>213</v>
      </c>
      <c r="R283">
        <f>16*0.3048</f>
        <v>4.8768000000000002</v>
      </c>
      <c r="S283">
        <f>183*0.3048</f>
        <v>55.778400000000005</v>
      </c>
      <c r="T283" s="1" t="s">
        <v>1692</v>
      </c>
      <c r="U283" s="1" t="s">
        <v>1693</v>
      </c>
    </row>
    <row r="284" spans="1:21" x14ac:dyDescent="0.3">
      <c r="A284">
        <v>188</v>
      </c>
      <c r="B284" t="s">
        <v>667</v>
      </c>
      <c r="C284" t="s">
        <v>1694</v>
      </c>
      <c r="D284" t="s">
        <v>7</v>
      </c>
      <c r="E284">
        <v>1883</v>
      </c>
      <c r="F284" t="s">
        <v>1183</v>
      </c>
      <c r="G284" t="s">
        <v>1183</v>
      </c>
      <c r="H284">
        <v>45.790362000000002</v>
      </c>
      <c r="I284">
        <v>-73.537139999999894</v>
      </c>
      <c r="J284" t="s">
        <v>29</v>
      </c>
      <c r="K284" t="s">
        <v>1634</v>
      </c>
      <c r="L284" t="s">
        <v>1163</v>
      </c>
      <c r="M284" t="s">
        <v>1183</v>
      </c>
      <c r="N284" t="s">
        <v>1179</v>
      </c>
      <c r="O284" t="s">
        <v>1695</v>
      </c>
      <c r="P284" t="s">
        <v>212</v>
      </c>
      <c r="Q284" t="s">
        <v>404</v>
      </c>
      <c r="R284" t="s">
        <v>1183</v>
      </c>
      <c r="S284">
        <f>127*0.3048</f>
        <v>38.709600000000002</v>
      </c>
      <c r="T284" s="1" t="s">
        <v>1696</v>
      </c>
      <c r="U284" s="1" t="s">
        <v>1697</v>
      </c>
    </row>
    <row r="285" spans="1:21" x14ac:dyDescent="0.3">
      <c r="A285">
        <v>189</v>
      </c>
      <c r="B285" s="7" t="s">
        <v>669</v>
      </c>
      <c r="C285" t="s">
        <v>1698</v>
      </c>
      <c r="D285" t="s">
        <v>7</v>
      </c>
      <c r="E285">
        <v>1959</v>
      </c>
      <c r="F285" t="s">
        <v>1183</v>
      </c>
      <c r="G285">
        <v>1959</v>
      </c>
      <c r="H285">
        <v>46.358217000000003</v>
      </c>
      <c r="I285">
        <v>-72.579916999999995</v>
      </c>
      <c r="J285" t="s">
        <v>12</v>
      </c>
      <c r="K285" t="s">
        <v>1634</v>
      </c>
      <c r="L285" t="s">
        <v>1163</v>
      </c>
      <c r="M285">
        <f>285*0.3048</f>
        <v>86.868000000000009</v>
      </c>
      <c r="N285" t="s">
        <v>1208</v>
      </c>
      <c r="O285" t="s">
        <v>1699</v>
      </c>
      <c r="P285" t="s">
        <v>220</v>
      </c>
      <c r="Q285" t="s">
        <v>404</v>
      </c>
      <c r="R285" t="s">
        <v>1183</v>
      </c>
      <c r="S285">
        <f>300*0.3048</f>
        <v>91.44</v>
      </c>
      <c r="T285" s="1" t="s">
        <v>1700</v>
      </c>
      <c r="U285" s="1" t="s">
        <v>1701</v>
      </c>
    </row>
    <row r="286" spans="1:21" x14ac:dyDescent="0.3">
      <c r="A286">
        <v>190</v>
      </c>
      <c r="B286" t="s">
        <v>670</v>
      </c>
      <c r="C286" t="s">
        <v>1702</v>
      </c>
      <c r="D286" t="s">
        <v>7</v>
      </c>
      <c r="E286">
        <v>1961</v>
      </c>
      <c r="F286" t="s">
        <v>1183</v>
      </c>
      <c r="G286">
        <v>1992</v>
      </c>
      <c r="H286">
        <v>46.292194444000003</v>
      </c>
      <c r="I286">
        <v>-72.705583333000007</v>
      </c>
      <c r="J286" t="s">
        <v>12</v>
      </c>
      <c r="K286" t="s">
        <v>1634</v>
      </c>
      <c r="L286" t="s">
        <v>1173</v>
      </c>
      <c r="M286">
        <v>62</v>
      </c>
      <c r="N286" t="s">
        <v>1219</v>
      </c>
      <c r="O286" t="s">
        <v>1703</v>
      </c>
      <c r="P286" t="s">
        <v>212</v>
      </c>
      <c r="Q286" t="s">
        <v>213</v>
      </c>
      <c r="R286">
        <f>34*0.3048</f>
        <v>10.363200000000001</v>
      </c>
      <c r="S286">
        <f>219*0.3048</f>
        <v>66.751199999999997</v>
      </c>
      <c r="T286" s="1" t="s">
        <v>1704</v>
      </c>
      <c r="U286" s="1" t="s">
        <v>1705</v>
      </c>
    </row>
    <row r="287" spans="1:21" x14ac:dyDescent="0.3">
      <c r="A287">
        <v>191</v>
      </c>
      <c r="B287" t="s">
        <v>671</v>
      </c>
      <c r="C287" t="s">
        <v>1706</v>
      </c>
      <c r="D287" t="s">
        <v>7</v>
      </c>
      <c r="E287">
        <v>1961</v>
      </c>
      <c r="F287" t="s">
        <v>1183</v>
      </c>
      <c r="G287">
        <v>1961</v>
      </c>
      <c r="H287">
        <v>46.303919999999998</v>
      </c>
      <c r="I287">
        <v>-72.726889999999997</v>
      </c>
      <c r="J287" t="s">
        <v>12</v>
      </c>
      <c r="K287" t="s">
        <v>1634</v>
      </c>
      <c r="L287" t="s">
        <v>1173</v>
      </c>
      <c r="M287">
        <f>183*0.3048</f>
        <v>55.778400000000005</v>
      </c>
      <c r="N287" t="s">
        <v>1665</v>
      </c>
      <c r="O287" t="s">
        <v>1210</v>
      </c>
      <c r="P287" t="s">
        <v>212</v>
      </c>
      <c r="Q287" t="s">
        <v>213</v>
      </c>
      <c r="R287">
        <f>48*0.3048</f>
        <v>14.630400000000002</v>
      </c>
      <c r="S287">
        <f>310*0.3048</f>
        <v>94.488</v>
      </c>
      <c r="T287" s="1" t="s">
        <v>1707</v>
      </c>
      <c r="U287" s="1" t="s">
        <v>1708</v>
      </c>
    </row>
    <row r="288" spans="1:21" x14ac:dyDescent="0.3">
      <c r="A288">
        <v>192</v>
      </c>
      <c r="B288" t="s">
        <v>672</v>
      </c>
      <c r="C288" t="s">
        <v>1709</v>
      </c>
      <c r="D288" t="s">
        <v>7</v>
      </c>
      <c r="E288">
        <v>1961</v>
      </c>
      <c r="F288">
        <v>1961</v>
      </c>
      <c r="G288">
        <v>1963</v>
      </c>
      <c r="H288">
        <v>46.303813333000001</v>
      </c>
      <c r="I288">
        <v>-72.726776666999996</v>
      </c>
      <c r="J288" t="s">
        <v>12</v>
      </c>
      <c r="K288" t="s">
        <v>1634</v>
      </c>
      <c r="L288" t="s">
        <v>1173</v>
      </c>
      <c r="M288">
        <f>114*0.3048</f>
        <v>34.747199999999999</v>
      </c>
      <c r="N288" t="s">
        <v>1219</v>
      </c>
      <c r="O288" t="s">
        <v>1210</v>
      </c>
      <c r="P288" t="s">
        <v>212</v>
      </c>
      <c r="Q288" t="s">
        <v>213</v>
      </c>
      <c r="R288">
        <f>48*0.3048</f>
        <v>14.630400000000002</v>
      </c>
      <c r="S288">
        <f>185*0.3048</f>
        <v>56.388000000000005</v>
      </c>
      <c r="T288" s="1" t="s">
        <v>1710</v>
      </c>
      <c r="U288" s="1" t="s">
        <v>1711</v>
      </c>
    </row>
    <row r="289" spans="1:21" x14ac:dyDescent="0.3">
      <c r="A289">
        <v>193</v>
      </c>
      <c r="B289" t="s">
        <v>673</v>
      </c>
      <c r="C289" t="s">
        <v>1712</v>
      </c>
      <c r="D289" t="s">
        <v>7</v>
      </c>
      <c r="E289">
        <v>1961</v>
      </c>
      <c r="F289">
        <v>1961</v>
      </c>
      <c r="G289">
        <v>1963</v>
      </c>
      <c r="H289">
        <v>46.303660000000001</v>
      </c>
      <c r="I289">
        <v>-72.691000000000003</v>
      </c>
      <c r="J289" t="s">
        <v>12</v>
      </c>
      <c r="K289" t="s">
        <v>1634</v>
      </c>
      <c r="L289" t="s">
        <v>1173</v>
      </c>
      <c r="M289">
        <f>303*0.3048</f>
        <v>92.354399999999998</v>
      </c>
      <c r="N289" t="s">
        <v>1713</v>
      </c>
      <c r="O289" t="s">
        <v>1210</v>
      </c>
      <c r="P289" t="s">
        <v>220</v>
      </c>
      <c r="Q289" t="s">
        <v>213</v>
      </c>
      <c r="R289">
        <f>91*0.3048</f>
        <v>27.736800000000002</v>
      </c>
      <c r="S289">
        <f>312*0.3048</f>
        <v>95.0976</v>
      </c>
      <c r="T289" s="1" t="s">
        <v>1714</v>
      </c>
      <c r="U289" s="1" t="s">
        <v>1715</v>
      </c>
    </row>
    <row r="290" spans="1:21" x14ac:dyDescent="0.3">
      <c r="A290">
        <v>194</v>
      </c>
      <c r="B290" t="s">
        <v>674</v>
      </c>
      <c r="C290" t="s">
        <v>1716</v>
      </c>
      <c r="D290" t="s">
        <v>7</v>
      </c>
      <c r="E290">
        <v>1961</v>
      </c>
      <c r="F290" t="s">
        <v>1183</v>
      </c>
      <c r="G290">
        <v>1961</v>
      </c>
      <c r="H290">
        <v>46.304000000000002</v>
      </c>
      <c r="I290">
        <v>-72.691299999999998</v>
      </c>
      <c r="J290" t="s">
        <v>12</v>
      </c>
      <c r="K290" t="s">
        <v>1634</v>
      </c>
      <c r="L290" t="s">
        <v>1173</v>
      </c>
      <c r="M290">
        <f>56*0.3048</f>
        <v>17.0688</v>
      </c>
      <c r="N290" t="s">
        <v>1219</v>
      </c>
      <c r="O290" t="s">
        <v>1210</v>
      </c>
      <c r="P290" t="s">
        <v>220</v>
      </c>
      <c r="Q290" t="s">
        <v>213</v>
      </c>
      <c r="R290">
        <f>91*0.3048</f>
        <v>27.736800000000002</v>
      </c>
      <c r="S290">
        <f>90*0.3048</f>
        <v>27.432000000000002</v>
      </c>
      <c r="T290" s="1" t="s">
        <v>1717</v>
      </c>
      <c r="U290" s="1" t="s">
        <v>1718</v>
      </c>
    </row>
    <row r="291" spans="1:21" x14ac:dyDescent="0.3">
      <c r="A291">
        <v>195</v>
      </c>
      <c r="B291" t="s">
        <v>676</v>
      </c>
      <c r="C291" t="s">
        <v>1719</v>
      </c>
      <c r="D291" t="s">
        <v>7</v>
      </c>
      <c r="E291">
        <v>1961</v>
      </c>
      <c r="F291" t="s">
        <v>1183</v>
      </c>
      <c r="G291">
        <v>1961</v>
      </c>
      <c r="H291">
        <v>46.296771389</v>
      </c>
      <c r="I291">
        <v>-72.735864722000002</v>
      </c>
      <c r="J291" t="s">
        <v>12</v>
      </c>
      <c r="K291" t="s">
        <v>1634</v>
      </c>
      <c r="L291" t="s">
        <v>1173</v>
      </c>
      <c r="M291">
        <f>197*0.3048</f>
        <v>60.0456</v>
      </c>
      <c r="N291" t="s">
        <v>1665</v>
      </c>
      <c r="O291" t="s">
        <v>1210</v>
      </c>
      <c r="P291" t="s">
        <v>212</v>
      </c>
      <c r="Q291" t="s">
        <v>213</v>
      </c>
      <c r="R291">
        <f>26*0.3048</f>
        <v>7.9248000000000003</v>
      </c>
      <c r="S291">
        <f>310*0.3048</f>
        <v>94.488</v>
      </c>
      <c r="T291" s="1" t="s">
        <v>1720</v>
      </c>
      <c r="U291" s="1" t="s">
        <v>1721</v>
      </c>
    </row>
    <row r="292" spans="1:21" x14ac:dyDescent="0.3">
      <c r="A292">
        <v>196</v>
      </c>
      <c r="B292" t="s">
        <v>677</v>
      </c>
      <c r="C292" t="s">
        <v>1722</v>
      </c>
      <c r="D292" t="s">
        <v>7</v>
      </c>
      <c r="E292">
        <v>1961</v>
      </c>
      <c r="F292" t="s">
        <v>1183</v>
      </c>
      <c r="G292">
        <v>1961</v>
      </c>
      <c r="H292">
        <v>46.296548332999997</v>
      </c>
      <c r="I292">
        <v>-72.736093332999999</v>
      </c>
      <c r="J292" t="s">
        <v>12</v>
      </c>
      <c r="K292" t="s">
        <v>1634</v>
      </c>
      <c r="L292" t="s">
        <v>1173</v>
      </c>
      <c r="M292">
        <f>245*0.3048</f>
        <v>74.676000000000002</v>
      </c>
      <c r="N292" t="s">
        <v>1183</v>
      </c>
      <c r="O292" t="s">
        <v>1210</v>
      </c>
      <c r="P292" t="s">
        <v>220</v>
      </c>
      <c r="Q292" t="s">
        <v>213</v>
      </c>
      <c r="R292">
        <f>26*0.3048</f>
        <v>7.9248000000000003</v>
      </c>
      <c r="S292">
        <f>259*0.3048</f>
        <v>78.943200000000004</v>
      </c>
      <c r="T292" s="1" t="s">
        <v>1723</v>
      </c>
      <c r="U292" s="1" t="s">
        <v>1724</v>
      </c>
    </row>
    <row r="293" spans="1:21" x14ac:dyDescent="0.3">
      <c r="A293">
        <v>197</v>
      </c>
      <c r="B293" t="s">
        <v>678</v>
      </c>
      <c r="C293" t="s">
        <v>1725</v>
      </c>
      <c r="D293" t="s">
        <v>7</v>
      </c>
      <c r="E293">
        <v>1961</v>
      </c>
      <c r="F293" t="s">
        <v>1183</v>
      </c>
      <c r="G293">
        <v>1963</v>
      </c>
      <c r="H293">
        <v>46.288200277999998</v>
      </c>
      <c r="I293">
        <v>-72.694060277999995</v>
      </c>
      <c r="J293" t="s">
        <v>12</v>
      </c>
      <c r="K293" t="s">
        <v>1634</v>
      </c>
      <c r="L293" t="s">
        <v>1173</v>
      </c>
      <c r="M293">
        <f>245*0.3048</f>
        <v>74.676000000000002</v>
      </c>
      <c r="N293" t="s">
        <v>1685</v>
      </c>
      <c r="O293" t="s">
        <v>1210</v>
      </c>
      <c r="P293" t="s">
        <v>220</v>
      </c>
      <c r="Q293" t="s">
        <v>213</v>
      </c>
      <c r="R293">
        <f>32*0.3048</f>
        <v>9.7536000000000005</v>
      </c>
      <c r="S293">
        <f>258*0.3048</f>
        <v>78.638400000000004</v>
      </c>
      <c r="T293" s="1" t="s">
        <v>1726</v>
      </c>
      <c r="U293" s="1" t="s">
        <v>1727</v>
      </c>
    </row>
    <row r="294" spans="1:21" x14ac:dyDescent="0.3">
      <c r="A294">
        <v>198</v>
      </c>
      <c r="B294" s="8" t="s">
        <v>679</v>
      </c>
      <c r="C294" s="4" t="s">
        <v>2918</v>
      </c>
      <c r="D294" t="s">
        <v>7</v>
      </c>
      <c r="E294">
        <v>1961</v>
      </c>
      <c r="F294" t="s">
        <v>1183</v>
      </c>
      <c r="G294">
        <v>1961</v>
      </c>
      <c r="H294">
        <v>46.305609799999999</v>
      </c>
      <c r="I294">
        <v>-72.744383099999993</v>
      </c>
      <c r="J294" t="s">
        <v>12</v>
      </c>
      <c r="K294" t="s">
        <v>1634</v>
      </c>
      <c r="L294" t="s">
        <v>1173</v>
      </c>
      <c r="M294">
        <f>105*0.3048</f>
        <v>32.004000000000005</v>
      </c>
      <c r="N294" t="s">
        <v>2919</v>
      </c>
      <c r="O294" t="s">
        <v>1210</v>
      </c>
      <c r="P294" t="s">
        <v>220</v>
      </c>
      <c r="Q294" t="s">
        <v>213</v>
      </c>
      <c r="R294">
        <f>55*0.3048</f>
        <v>16.763999999999999</v>
      </c>
      <c r="S294">
        <f>325*0.3048</f>
        <v>99.06</v>
      </c>
      <c r="T294" s="1" t="s">
        <v>2920</v>
      </c>
      <c r="U294" s="1" t="s">
        <v>2921</v>
      </c>
    </row>
    <row r="295" spans="1:21" x14ac:dyDescent="0.3">
      <c r="A295">
        <v>199</v>
      </c>
      <c r="B295" t="s">
        <v>680</v>
      </c>
      <c r="C295" t="s">
        <v>1730</v>
      </c>
      <c r="D295" t="s">
        <v>7</v>
      </c>
      <c r="E295">
        <v>1961</v>
      </c>
      <c r="F295" t="s">
        <v>1183</v>
      </c>
      <c r="G295">
        <v>1992</v>
      </c>
      <c r="H295">
        <v>46.298099999999998</v>
      </c>
      <c r="I295">
        <v>-72.708100000000002</v>
      </c>
      <c r="J295" t="s">
        <v>12</v>
      </c>
      <c r="K295" t="s">
        <v>1634</v>
      </c>
      <c r="L295" t="s">
        <v>1173</v>
      </c>
      <c r="M295">
        <v>69</v>
      </c>
      <c r="N295" t="s">
        <v>1685</v>
      </c>
      <c r="O295" t="s">
        <v>1703</v>
      </c>
      <c r="P295" t="s">
        <v>212</v>
      </c>
      <c r="Q295" t="s">
        <v>213</v>
      </c>
      <c r="R295">
        <f>52*0.3048</f>
        <v>15.849600000000001</v>
      </c>
      <c r="S295">
        <f>255*0.3048</f>
        <v>77.724000000000004</v>
      </c>
      <c r="T295" s="1" t="s">
        <v>1728</v>
      </c>
      <c r="U295" s="1" t="s">
        <v>1729</v>
      </c>
    </row>
    <row r="296" spans="1:21" x14ac:dyDescent="0.3">
      <c r="A296">
        <v>200</v>
      </c>
      <c r="B296" t="s">
        <v>681</v>
      </c>
      <c r="C296" t="s">
        <v>1731</v>
      </c>
      <c r="D296" t="s">
        <v>7</v>
      </c>
      <c r="E296">
        <v>1961</v>
      </c>
      <c r="F296" t="s">
        <v>1183</v>
      </c>
      <c r="G296">
        <v>1992</v>
      </c>
      <c r="H296">
        <v>46.305100000000003</v>
      </c>
      <c r="I296">
        <v>-72.704400000000007</v>
      </c>
      <c r="J296" t="s">
        <v>12</v>
      </c>
      <c r="K296" t="s">
        <v>1634</v>
      </c>
      <c r="L296" t="s">
        <v>1173</v>
      </c>
      <c r="M296">
        <v>78</v>
      </c>
      <c r="N296" t="s">
        <v>1685</v>
      </c>
      <c r="O296" t="s">
        <v>1703</v>
      </c>
      <c r="P296" t="s">
        <v>212</v>
      </c>
      <c r="Q296" t="s">
        <v>213</v>
      </c>
      <c r="R296">
        <f>76*0.3048</f>
        <v>23.1648</v>
      </c>
      <c r="S296">
        <f>278*0.3048</f>
        <v>84.734400000000008</v>
      </c>
      <c r="T296" s="1" t="s">
        <v>1734</v>
      </c>
      <c r="U296" s="1" t="s">
        <v>1735</v>
      </c>
    </row>
    <row r="297" spans="1:21" x14ac:dyDescent="0.3">
      <c r="A297">
        <v>201</v>
      </c>
      <c r="B297" t="s">
        <v>682</v>
      </c>
      <c r="C297" t="s">
        <v>1732</v>
      </c>
      <c r="D297" t="s">
        <v>7</v>
      </c>
      <c r="E297">
        <v>1961</v>
      </c>
      <c r="F297" t="s">
        <v>1183</v>
      </c>
      <c r="G297">
        <v>1963</v>
      </c>
      <c r="H297">
        <v>46.315249721999997</v>
      </c>
      <c r="I297">
        <v>-72.707590832999998</v>
      </c>
      <c r="J297" t="s">
        <v>12</v>
      </c>
      <c r="K297" t="s">
        <v>1634</v>
      </c>
      <c r="L297" t="s">
        <v>1173</v>
      </c>
      <c r="M297">
        <f>191*0.3048</f>
        <v>58.216800000000006</v>
      </c>
      <c r="N297" t="s">
        <v>1665</v>
      </c>
      <c r="O297" t="s">
        <v>1210</v>
      </c>
      <c r="P297" t="s">
        <v>220</v>
      </c>
      <c r="Q297" t="s">
        <v>213</v>
      </c>
      <c r="R297">
        <f>129*0.3048</f>
        <v>39.319200000000002</v>
      </c>
      <c r="S297">
        <f>350*0.3048</f>
        <v>106.68</v>
      </c>
      <c r="T297" s="1" t="s">
        <v>1736</v>
      </c>
      <c r="U297" s="1" t="s">
        <v>1737</v>
      </c>
    </row>
    <row r="298" spans="1:21" x14ac:dyDescent="0.3">
      <c r="A298">
        <v>202</v>
      </c>
      <c r="B298" t="s">
        <v>683</v>
      </c>
      <c r="C298" t="s">
        <v>1733</v>
      </c>
      <c r="D298" t="s">
        <v>7</v>
      </c>
      <c r="E298">
        <v>1961</v>
      </c>
      <c r="F298" t="s">
        <v>1183</v>
      </c>
      <c r="G298">
        <v>1963</v>
      </c>
      <c r="H298">
        <v>46.319279999999999</v>
      </c>
      <c r="I298">
        <v>-72.720969999999994</v>
      </c>
      <c r="J298" t="s">
        <v>12</v>
      </c>
      <c r="K298" t="s">
        <v>1634</v>
      </c>
      <c r="L298" t="s">
        <v>1173</v>
      </c>
      <c r="M298">
        <f>207*0.3048</f>
        <v>63.093600000000002</v>
      </c>
      <c r="N298" t="s">
        <v>1738</v>
      </c>
      <c r="O298" t="s">
        <v>1210</v>
      </c>
      <c r="P298" t="s">
        <v>220</v>
      </c>
      <c r="Q298" t="s">
        <v>213</v>
      </c>
      <c r="R298">
        <f>144*0.3048</f>
        <v>43.891200000000005</v>
      </c>
      <c r="S298">
        <f>375*0.3048</f>
        <v>114.30000000000001</v>
      </c>
      <c r="T298" s="1" t="s">
        <v>1739</v>
      </c>
      <c r="U298" s="1" t="s">
        <v>1740</v>
      </c>
    </row>
    <row r="299" spans="1:21" x14ac:dyDescent="0.3">
      <c r="A299">
        <v>203</v>
      </c>
      <c r="B299" t="s">
        <v>684</v>
      </c>
      <c r="C299" t="s">
        <v>1741</v>
      </c>
      <c r="D299" t="s">
        <v>7</v>
      </c>
      <c r="E299">
        <v>1961</v>
      </c>
      <c r="F299" t="s">
        <v>1183</v>
      </c>
      <c r="G299">
        <v>1992</v>
      </c>
      <c r="H299">
        <v>46.308291943999997</v>
      </c>
      <c r="I299">
        <v>-72.693932222000001</v>
      </c>
      <c r="J299" t="s">
        <v>12</v>
      </c>
      <c r="K299" t="s">
        <v>1634</v>
      </c>
      <c r="L299" t="s">
        <v>1173</v>
      </c>
      <c r="M299">
        <f>223*0.3048</f>
        <v>67.970399999999998</v>
      </c>
      <c r="N299" t="s">
        <v>1685</v>
      </c>
      <c r="O299" t="s">
        <v>1210</v>
      </c>
      <c r="P299" t="s">
        <v>212</v>
      </c>
      <c r="Q299" t="s">
        <v>213</v>
      </c>
      <c r="R299">
        <f>144*0.3048</f>
        <v>43.891200000000005</v>
      </c>
      <c r="S299">
        <f>340*0.3048</f>
        <v>103.63200000000001</v>
      </c>
      <c r="T299" s="1" t="s">
        <v>1742</v>
      </c>
      <c r="U299" s="1" t="s">
        <v>1743</v>
      </c>
    </row>
    <row r="300" spans="1:21" x14ac:dyDescent="0.3">
      <c r="A300">
        <v>204</v>
      </c>
      <c r="B300" t="s">
        <v>685</v>
      </c>
      <c r="C300" t="s">
        <v>1744</v>
      </c>
      <c r="D300" t="s">
        <v>7</v>
      </c>
      <c r="E300">
        <v>1961</v>
      </c>
      <c r="F300" t="s">
        <v>1183</v>
      </c>
      <c r="G300">
        <v>1963</v>
      </c>
      <c r="H300">
        <v>46.299162500000001</v>
      </c>
      <c r="I300">
        <v>-72.828266111000005</v>
      </c>
      <c r="J300" t="s">
        <v>12</v>
      </c>
      <c r="K300" t="s">
        <v>1634</v>
      </c>
      <c r="L300" t="s">
        <v>1173</v>
      </c>
      <c r="M300">
        <f>212*0.3048</f>
        <v>64.61760000000001</v>
      </c>
      <c r="N300" t="s">
        <v>1665</v>
      </c>
      <c r="O300" t="s">
        <v>1210</v>
      </c>
      <c r="P300" t="s">
        <v>212</v>
      </c>
      <c r="Q300" t="s">
        <v>213</v>
      </c>
      <c r="R300" t="s">
        <v>1183</v>
      </c>
      <c r="S300">
        <f>276*0.3048</f>
        <v>84.124800000000008</v>
      </c>
      <c r="T300" s="1" t="s">
        <v>1745</v>
      </c>
      <c r="U300" s="1" t="s">
        <v>1746</v>
      </c>
    </row>
    <row r="301" spans="1:21" x14ac:dyDescent="0.3">
      <c r="A301">
        <v>205</v>
      </c>
      <c r="B301" t="s">
        <v>686</v>
      </c>
      <c r="C301" t="s">
        <v>1747</v>
      </c>
      <c r="D301" t="s">
        <v>7</v>
      </c>
      <c r="E301">
        <v>1961</v>
      </c>
      <c r="F301" t="s">
        <v>1183</v>
      </c>
      <c r="G301">
        <v>1963</v>
      </c>
      <c r="H301">
        <v>46.325144444000003</v>
      </c>
      <c r="I301">
        <v>-72.802472222000006</v>
      </c>
      <c r="J301" t="s">
        <v>12</v>
      </c>
      <c r="K301" t="s">
        <v>1634</v>
      </c>
      <c r="L301" t="s">
        <v>1173</v>
      </c>
      <c r="M301">
        <f>99*0.3048</f>
        <v>30.1752</v>
      </c>
      <c r="N301" t="s">
        <v>1665</v>
      </c>
      <c r="O301" t="s">
        <v>1210</v>
      </c>
      <c r="P301" t="s">
        <v>220</v>
      </c>
      <c r="Q301" t="s">
        <v>213</v>
      </c>
      <c r="R301">
        <f>101*0.3048</f>
        <v>30.784800000000001</v>
      </c>
      <c r="S301">
        <f>330*0.3048</f>
        <v>100.584</v>
      </c>
      <c r="T301" s="1" t="s">
        <v>1748</v>
      </c>
      <c r="U301" s="1" t="s">
        <v>1749</v>
      </c>
    </row>
    <row r="302" spans="1:21" x14ac:dyDescent="0.3">
      <c r="A302">
        <v>206</v>
      </c>
      <c r="B302" t="s">
        <v>688</v>
      </c>
      <c r="C302" t="s">
        <v>1750</v>
      </c>
      <c r="D302" t="s">
        <v>7</v>
      </c>
      <c r="E302">
        <v>1954</v>
      </c>
      <c r="F302" t="s">
        <v>1183</v>
      </c>
      <c r="G302" t="s">
        <v>1183</v>
      </c>
      <c r="H302">
        <v>46.35716</v>
      </c>
      <c r="I302">
        <v>-72.469499999999996</v>
      </c>
      <c r="J302" t="s">
        <v>21</v>
      </c>
      <c r="K302" t="s">
        <v>1634</v>
      </c>
      <c r="L302" t="s">
        <v>1167</v>
      </c>
      <c r="M302" t="s">
        <v>1183</v>
      </c>
      <c r="N302" t="s">
        <v>1237</v>
      </c>
      <c r="O302" t="s">
        <v>1339</v>
      </c>
      <c r="P302" t="s">
        <v>220</v>
      </c>
      <c r="Q302" t="s">
        <v>404</v>
      </c>
      <c r="R302" t="s">
        <v>1183</v>
      </c>
      <c r="S302">
        <f>315*0.3048</f>
        <v>96.012</v>
      </c>
      <c r="T302" s="1" t="s">
        <v>1751</v>
      </c>
      <c r="U302" s="1" t="s">
        <v>1752</v>
      </c>
    </row>
    <row r="303" spans="1:21" x14ac:dyDescent="0.3">
      <c r="A303">
        <v>207</v>
      </c>
      <c r="B303" t="s">
        <v>689</v>
      </c>
      <c r="C303" t="s">
        <v>1753</v>
      </c>
      <c r="D303" t="s">
        <v>7</v>
      </c>
      <c r="E303">
        <v>1955</v>
      </c>
      <c r="F303" t="s">
        <v>1183</v>
      </c>
      <c r="G303">
        <v>1955</v>
      </c>
      <c r="H303">
        <v>46.299503000000001</v>
      </c>
      <c r="I303">
        <v>-72.828548999999995</v>
      </c>
      <c r="J303" t="s">
        <v>12</v>
      </c>
      <c r="K303" t="s">
        <v>1634</v>
      </c>
      <c r="L303" t="s">
        <v>1163</v>
      </c>
      <c r="M303">
        <f>464*0.3048</f>
        <v>141.4272</v>
      </c>
      <c r="N303" t="s">
        <v>1183</v>
      </c>
      <c r="O303" t="s">
        <v>1347</v>
      </c>
      <c r="P303" t="s">
        <v>212</v>
      </c>
      <c r="Q303" t="s">
        <v>404</v>
      </c>
      <c r="R303" t="s">
        <v>1183</v>
      </c>
      <c r="S303">
        <f>464*0.3048</f>
        <v>141.4272</v>
      </c>
      <c r="T303" s="1" t="s">
        <v>1754</v>
      </c>
      <c r="U303" s="1" t="s">
        <v>1755</v>
      </c>
    </row>
    <row r="304" spans="1:21" x14ac:dyDescent="0.3">
      <c r="A304">
        <v>208</v>
      </c>
      <c r="B304" t="s">
        <v>691</v>
      </c>
      <c r="C304" t="s">
        <v>1756</v>
      </c>
      <c r="D304" t="s">
        <v>7</v>
      </c>
      <c r="E304">
        <v>1956</v>
      </c>
      <c r="F304" t="s">
        <v>1183</v>
      </c>
      <c r="G304">
        <v>1956</v>
      </c>
      <c r="H304">
        <v>46.29278</v>
      </c>
      <c r="I304">
        <v>-72.632710000000003</v>
      </c>
      <c r="J304" t="s">
        <v>12</v>
      </c>
      <c r="K304" t="s">
        <v>1634</v>
      </c>
      <c r="L304" t="s">
        <v>1173</v>
      </c>
      <c r="M304">
        <v>143</v>
      </c>
      <c r="N304" t="s">
        <v>1183</v>
      </c>
      <c r="O304" t="s">
        <v>1304</v>
      </c>
      <c r="P304" t="s">
        <v>220</v>
      </c>
      <c r="Q304" t="s">
        <v>213</v>
      </c>
      <c r="R304">
        <f>30*0.3048</f>
        <v>9.1440000000000001</v>
      </c>
      <c r="S304">
        <f>405*0.3048</f>
        <v>123.444</v>
      </c>
      <c r="T304" s="1" t="s">
        <v>1757</v>
      </c>
      <c r="U304" s="1" t="s">
        <v>1758</v>
      </c>
    </row>
    <row r="305" spans="1:21" x14ac:dyDescent="0.3">
      <c r="A305">
        <v>209</v>
      </c>
      <c r="B305" t="s">
        <v>692</v>
      </c>
      <c r="C305" t="s">
        <v>1759</v>
      </c>
      <c r="D305" t="s">
        <v>7</v>
      </c>
      <c r="E305">
        <v>1956</v>
      </c>
      <c r="F305" t="s">
        <v>1183</v>
      </c>
      <c r="G305">
        <v>1957</v>
      </c>
      <c r="H305">
        <v>46.27129</v>
      </c>
      <c r="I305">
        <v>-72.800843056000005</v>
      </c>
      <c r="J305" t="s">
        <v>12</v>
      </c>
      <c r="K305" t="s">
        <v>1634</v>
      </c>
      <c r="L305" t="s">
        <v>1173</v>
      </c>
      <c r="M305">
        <f>367*0.3048</f>
        <v>111.86160000000001</v>
      </c>
      <c r="N305" t="s">
        <v>1183</v>
      </c>
      <c r="O305" t="s">
        <v>1304</v>
      </c>
      <c r="P305" t="s">
        <v>220</v>
      </c>
      <c r="Q305" t="s">
        <v>404</v>
      </c>
      <c r="R305">
        <f>34*0.3048</f>
        <v>10.363200000000001</v>
      </c>
      <c r="S305">
        <f>405*0.3048</f>
        <v>123.444</v>
      </c>
      <c r="T305" s="1" t="s">
        <v>1760</v>
      </c>
      <c r="U305" s="1" t="s">
        <v>1761</v>
      </c>
    </row>
    <row r="306" spans="1:21" x14ac:dyDescent="0.3">
      <c r="A306">
        <v>210</v>
      </c>
      <c r="B306" t="s">
        <v>693</v>
      </c>
      <c r="C306" t="s">
        <v>1762</v>
      </c>
      <c r="D306" t="s">
        <v>7</v>
      </c>
      <c r="E306">
        <v>1956</v>
      </c>
      <c r="F306" t="s">
        <v>1183</v>
      </c>
      <c r="G306">
        <v>1983</v>
      </c>
      <c r="H306">
        <v>46.292274444</v>
      </c>
      <c r="I306">
        <v>-72.749313611000005</v>
      </c>
      <c r="J306" t="s">
        <v>12</v>
      </c>
      <c r="K306" t="s">
        <v>1634</v>
      </c>
      <c r="L306" t="s">
        <v>1173</v>
      </c>
      <c r="M306">
        <f>311*0.3048</f>
        <v>94.7928</v>
      </c>
      <c r="N306" t="s">
        <v>1183</v>
      </c>
      <c r="O306" t="s">
        <v>1304</v>
      </c>
      <c r="P306" t="s">
        <v>212</v>
      </c>
      <c r="Q306" t="s">
        <v>213</v>
      </c>
      <c r="R306">
        <f>20*0.3048</f>
        <v>6.0960000000000001</v>
      </c>
      <c r="S306">
        <f>330*0.3048</f>
        <v>100.584</v>
      </c>
      <c r="T306" s="1" t="s">
        <v>1763</v>
      </c>
      <c r="U306" s="1" t="s">
        <v>1764</v>
      </c>
    </row>
    <row r="307" spans="1:21" x14ac:dyDescent="0.3">
      <c r="A307">
        <v>211</v>
      </c>
      <c r="B307" t="s">
        <v>696</v>
      </c>
      <c r="C307" t="s">
        <v>1765</v>
      </c>
      <c r="D307" t="s">
        <v>7</v>
      </c>
      <c r="E307">
        <v>1961</v>
      </c>
      <c r="F307" t="s">
        <v>1183</v>
      </c>
      <c r="G307">
        <v>1961</v>
      </c>
      <c r="H307">
        <v>46.475082221999998</v>
      </c>
      <c r="I307">
        <v>-72.345378889000003</v>
      </c>
      <c r="J307" t="s">
        <v>12</v>
      </c>
      <c r="K307" t="s">
        <v>1634</v>
      </c>
      <c r="L307" t="s">
        <v>1173</v>
      </c>
      <c r="M307">
        <f>104*0.3048</f>
        <v>31.699200000000001</v>
      </c>
      <c r="N307" t="s">
        <v>1766</v>
      </c>
      <c r="O307" t="s">
        <v>1175</v>
      </c>
      <c r="P307" t="s">
        <v>220</v>
      </c>
      <c r="Q307" t="s">
        <v>213</v>
      </c>
      <c r="R307" t="s">
        <v>1183</v>
      </c>
      <c r="S307">
        <f>416*0.3048</f>
        <v>126.7968</v>
      </c>
      <c r="T307" s="1" t="s">
        <v>1767</v>
      </c>
      <c r="U307" s="1" t="s">
        <v>1768</v>
      </c>
    </row>
    <row r="308" spans="1:21" x14ac:dyDescent="0.3">
      <c r="A308">
        <v>212</v>
      </c>
      <c r="B308" t="s">
        <v>697</v>
      </c>
      <c r="C308" t="s">
        <v>1769</v>
      </c>
      <c r="D308" t="s">
        <v>7</v>
      </c>
      <c r="E308">
        <v>1961</v>
      </c>
      <c r="F308" t="s">
        <v>1183</v>
      </c>
      <c r="G308">
        <v>1963</v>
      </c>
      <c r="H308">
        <v>46.468940000000003</v>
      </c>
      <c r="I308">
        <v>-72.336460000000002</v>
      </c>
      <c r="J308" t="s">
        <v>12</v>
      </c>
      <c r="K308" t="s">
        <v>1634</v>
      </c>
      <c r="L308" t="s">
        <v>1173</v>
      </c>
      <c r="M308">
        <f>65*0.3048</f>
        <v>19.812000000000001</v>
      </c>
      <c r="N308" t="s">
        <v>1770</v>
      </c>
      <c r="O308" t="s">
        <v>1175</v>
      </c>
      <c r="P308" t="s">
        <v>220</v>
      </c>
      <c r="Q308" t="s">
        <v>213</v>
      </c>
      <c r="R308" t="s">
        <v>1183</v>
      </c>
      <c r="S308">
        <f>457*0.3048</f>
        <v>139.2936</v>
      </c>
      <c r="T308" s="1" t="s">
        <v>1771</v>
      </c>
      <c r="U308" s="1" t="s">
        <v>1772</v>
      </c>
    </row>
    <row r="309" spans="1:21" x14ac:dyDescent="0.3">
      <c r="A309">
        <v>213</v>
      </c>
      <c r="B309" t="s">
        <v>698</v>
      </c>
      <c r="C309" t="s">
        <v>1773</v>
      </c>
      <c r="D309" t="s">
        <v>7</v>
      </c>
      <c r="E309">
        <v>1961</v>
      </c>
      <c r="F309" t="s">
        <v>1183</v>
      </c>
      <c r="G309">
        <v>1963</v>
      </c>
      <c r="H309">
        <v>46.441972221999997</v>
      </c>
      <c r="I309">
        <v>-72.400666666999996</v>
      </c>
      <c r="J309" t="s">
        <v>12</v>
      </c>
      <c r="K309" t="s">
        <v>1634</v>
      </c>
      <c r="L309" t="s">
        <v>1173</v>
      </c>
      <c r="M309">
        <f>67*0.3048</f>
        <v>20.421600000000002</v>
      </c>
      <c r="N309" t="s">
        <v>1774</v>
      </c>
      <c r="O309" t="s">
        <v>1175</v>
      </c>
      <c r="P309" t="s">
        <v>220</v>
      </c>
      <c r="Q309" t="s">
        <v>213</v>
      </c>
      <c r="R309">
        <f>81*0.3048</f>
        <v>24.688800000000001</v>
      </c>
      <c r="S309">
        <f>457*0.3048</f>
        <v>139.2936</v>
      </c>
      <c r="T309" s="1" t="s">
        <v>1775</v>
      </c>
      <c r="U309" s="1" t="s">
        <v>1776</v>
      </c>
    </row>
    <row r="310" spans="1:21" x14ac:dyDescent="0.3">
      <c r="A310">
        <v>214</v>
      </c>
      <c r="B310" t="s">
        <v>699</v>
      </c>
      <c r="C310" t="s">
        <v>1777</v>
      </c>
      <c r="D310" t="s">
        <v>7</v>
      </c>
      <c r="E310">
        <v>1957</v>
      </c>
      <c r="F310" t="s">
        <v>1183</v>
      </c>
      <c r="G310">
        <v>1957</v>
      </c>
      <c r="H310">
        <v>46.302370000000003</v>
      </c>
      <c r="I310">
        <v>-72.832507000000007</v>
      </c>
      <c r="J310" t="s">
        <v>12</v>
      </c>
      <c r="K310" t="s">
        <v>1634</v>
      </c>
      <c r="L310" t="s">
        <v>1173</v>
      </c>
      <c r="M310">
        <f>140*0.3048</f>
        <v>42.672000000000004</v>
      </c>
      <c r="N310" t="s">
        <v>1183</v>
      </c>
      <c r="O310" t="s">
        <v>1214</v>
      </c>
      <c r="P310" t="s">
        <v>212</v>
      </c>
      <c r="Q310" t="s">
        <v>213</v>
      </c>
      <c r="R310" t="s">
        <v>1183</v>
      </c>
      <c r="S310">
        <f>308*0.3048</f>
        <v>93.878399999999999</v>
      </c>
      <c r="T310" s="1" t="s">
        <v>1778</v>
      </c>
      <c r="U310" s="1" t="s">
        <v>1779</v>
      </c>
    </row>
    <row r="311" spans="1:21" x14ac:dyDescent="0.3">
      <c r="A311">
        <v>215</v>
      </c>
      <c r="B311" t="s">
        <v>700</v>
      </c>
      <c r="C311" t="s">
        <v>1780</v>
      </c>
      <c r="D311" t="s">
        <v>7</v>
      </c>
      <c r="E311">
        <v>1957</v>
      </c>
      <c r="F311" t="s">
        <v>1183</v>
      </c>
      <c r="G311">
        <v>1957</v>
      </c>
      <c r="H311">
        <v>46.295859722000003</v>
      </c>
      <c r="I311">
        <v>-72.728948611000007</v>
      </c>
      <c r="J311" t="s">
        <v>12</v>
      </c>
      <c r="K311" t="s">
        <v>1634</v>
      </c>
      <c r="L311" t="s">
        <v>1173</v>
      </c>
      <c r="M311">
        <f>21*0.3048</f>
        <v>6.4008000000000003</v>
      </c>
      <c r="N311" t="s">
        <v>1183</v>
      </c>
      <c r="O311" t="s">
        <v>1214</v>
      </c>
      <c r="P311" t="s">
        <v>212</v>
      </c>
      <c r="Q311" t="s">
        <v>213</v>
      </c>
      <c r="R311" t="s">
        <v>1183</v>
      </c>
      <c r="S311">
        <f>416*0.3048</f>
        <v>126.7968</v>
      </c>
      <c r="T311" s="1" t="s">
        <v>1781</v>
      </c>
      <c r="U311" s="1" t="s">
        <v>1782</v>
      </c>
    </row>
    <row r="312" spans="1:21" x14ac:dyDescent="0.3">
      <c r="A312">
        <v>216</v>
      </c>
      <c r="B312" t="s">
        <v>701</v>
      </c>
      <c r="C312" t="s">
        <v>1783</v>
      </c>
      <c r="D312" t="s">
        <v>7</v>
      </c>
      <c r="E312">
        <v>1957</v>
      </c>
      <c r="F312" t="s">
        <v>1183</v>
      </c>
      <c r="G312">
        <v>1957</v>
      </c>
      <c r="H312">
        <v>46.296694444000003</v>
      </c>
      <c r="I312">
        <v>-72.800944443999995</v>
      </c>
      <c r="J312" t="s">
        <v>12</v>
      </c>
      <c r="K312" t="s">
        <v>1634</v>
      </c>
      <c r="L312" t="s">
        <v>1173</v>
      </c>
      <c r="M312">
        <f>280*0.3048</f>
        <v>85.344000000000008</v>
      </c>
      <c r="N312" t="s">
        <v>1183</v>
      </c>
      <c r="O312" t="s">
        <v>1214</v>
      </c>
      <c r="P312" t="s">
        <v>212</v>
      </c>
      <c r="Q312" t="s">
        <v>213</v>
      </c>
      <c r="R312" t="s">
        <v>1183</v>
      </c>
      <c r="S312">
        <f>340*0.3048</f>
        <v>103.63200000000001</v>
      </c>
      <c r="T312" s="1" t="s">
        <v>1784</v>
      </c>
      <c r="U312" s="1" t="s">
        <v>1785</v>
      </c>
    </row>
    <row r="313" spans="1:21" x14ac:dyDescent="0.3">
      <c r="A313">
        <v>217</v>
      </c>
      <c r="B313" t="s">
        <v>702</v>
      </c>
      <c r="C313" t="s">
        <v>1786</v>
      </c>
      <c r="D313" t="s">
        <v>7</v>
      </c>
      <c r="E313">
        <v>1957</v>
      </c>
      <c r="F313" t="s">
        <v>1183</v>
      </c>
      <c r="G313">
        <v>1957</v>
      </c>
      <c r="H313">
        <v>46.304600000000001</v>
      </c>
      <c r="I313">
        <v>-72.712639999999993</v>
      </c>
      <c r="J313" t="s">
        <v>12</v>
      </c>
      <c r="K313" t="s">
        <v>1634</v>
      </c>
      <c r="L313" t="s">
        <v>1173</v>
      </c>
      <c r="M313">
        <f>3*0.3048</f>
        <v>0.9144000000000001</v>
      </c>
      <c r="N313" t="s">
        <v>1183</v>
      </c>
      <c r="O313" t="s">
        <v>1214</v>
      </c>
      <c r="P313" t="s">
        <v>212</v>
      </c>
      <c r="Q313" t="s">
        <v>213</v>
      </c>
      <c r="R313" t="s">
        <v>1183</v>
      </c>
      <c r="S313">
        <f>303*0.3048</f>
        <v>92.354399999999998</v>
      </c>
      <c r="T313" s="1" t="s">
        <v>1787</v>
      </c>
      <c r="U313" s="1" t="s">
        <v>1788</v>
      </c>
    </row>
    <row r="314" spans="1:21" x14ac:dyDescent="0.3">
      <c r="A314">
        <v>218</v>
      </c>
      <c r="B314" t="s">
        <v>703</v>
      </c>
      <c r="C314" t="s">
        <v>1789</v>
      </c>
      <c r="D314" t="s">
        <v>7</v>
      </c>
      <c r="E314">
        <v>1957</v>
      </c>
      <c r="F314" t="s">
        <v>1183</v>
      </c>
      <c r="G314">
        <v>1957</v>
      </c>
      <c r="H314">
        <v>46.290861110999998</v>
      </c>
      <c r="I314">
        <v>-72.817055556</v>
      </c>
      <c r="J314" t="s">
        <v>12</v>
      </c>
      <c r="K314" t="s">
        <v>1634</v>
      </c>
      <c r="L314" t="s">
        <v>1173</v>
      </c>
      <c r="M314">
        <f>280*0.3048</f>
        <v>85.344000000000008</v>
      </c>
      <c r="N314" t="s">
        <v>1183</v>
      </c>
      <c r="O314" t="s">
        <v>1214</v>
      </c>
      <c r="P314" t="s">
        <v>212</v>
      </c>
      <c r="Q314" t="s">
        <v>213</v>
      </c>
      <c r="R314" t="s">
        <v>1183</v>
      </c>
      <c r="S314">
        <f>299*0.3048</f>
        <v>91.135199999999998</v>
      </c>
      <c r="T314" s="1" t="s">
        <v>1790</v>
      </c>
      <c r="U314" s="1" t="s">
        <v>1791</v>
      </c>
    </row>
    <row r="315" spans="1:21" x14ac:dyDescent="0.3">
      <c r="A315">
        <v>219</v>
      </c>
      <c r="B315" t="s">
        <v>704</v>
      </c>
      <c r="C315" t="s">
        <v>1792</v>
      </c>
      <c r="D315" t="s">
        <v>7</v>
      </c>
      <c r="E315">
        <v>1957</v>
      </c>
      <c r="F315" t="s">
        <v>1183</v>
      </c>
      <c r="G315">
        <v>1957</v>
      </c>
      <c r="H315">
        <v>46.302908889000001</v>
      </c>
      <c r="I315">
        <v>-72.729013610999999</v>
      </c>
      <c r="J315" t="s">
        <v>12</v>
      </c>
      <c r="K315" t="s">
        <v>1634</v>
      </c>
      <c r="L315" t="s">
        <v>1173</v>
      </c>
      <c r="M315">
        <f>4*0.3048</f>
        <v>1.2192000000000001</v>
      </c>
      <c r="N315" t="s">
        <v>1183</v>
      </c>
      <c r="O315" t="s">
        <v>1214</v>
      </c>
      <c r="P315" t="s">
        <v>212</v>
      </c>
      <c r="Q315" t="s">
        <v>213</v>
      </c>
      <c r="R315" t="s">
        <v>1183</v>
      </c>
      <c r="S315">
        <f>307*0.3048</f>
        <v>93.573599999999999</v>
      </c>
      <c r="T315" s="1" t="s">
        <v>1793</v>
      </c>
      <c r="U315" s="1" t="s">
        <v>1794</v>
      </c>
    </row>
    <row r="316" spans="1:21" x14ac:dyDescent="0.3">
      <c r="A316">
        <v>220</v>
      </c>
      <c r="B316" t="s">
        <v>705</v>
      </c>
      <c r="C316" t="s">
        <v>1795</v>
      </c>
      <c r="D316" t="s">
        <v>7</v>
      </c>
      <c r="E316">
        <v>1957</v>
      </c>
      <c r="F316" t="s">
        <v>1183</v>
      </c>
      <c r="G316">
        <v>1957</v>
      </c>
      <c r="H316">
        <v>46.303249999999998</v>
      </c>
      <c r="I316">
        <v>-72.709339999999997</v>
      </c>
      <c r="J316" t="s">
        <v>12</v>
      </c>
      <c r="K316" t="s">
        <v>1634</v>
      </c>
      <c r="L316" t="s">
        <v>1173</v>
      </c>
      <c r="M316">
        <f>94*0.3048</f>
        <v>28.651200000000003</v>
      </c>
      <c r="N316" t="s">
        <v>1183</v>
      </c>
      <c r="O316" t="s">
        <v>1214</v>
      </c>
      <c r="P316" t="s">
        <v>212</v>
      </c>
      <c r="Q316" t="s">
        <v>213</v>
      </c>
      <c r="R316" t="s">
        <v>1183</v>
      </c>
      <c r="S316">
        <f>160*0.3048</f>
        <v>48.768000000000001</v>
      </c>
      <c r="T316" s="1" t="s">
        <v>1796</v>
      </c>
      <c r="U316" s="1" t="s">
        <v>1797</v>
      </c>
    </row>
    <row r="317" spans="1:21" x14ac:dyDescent="0.3">
      <c r="A317">
        <v>221</v>
      </c>
      <c r="B317" s="8" t="s">
        <v>708</v>
      </c>
      <c r="C317" s="4" t="s">
        <v>2942</v>
      </c>
      <c r="D317" t="s">
        <v>7</v>
      </c>
      <c r="E317">
        <v>1963</v>
      </c>
      <c r="F317" t="s">
        <v>1183</v>
      </c>
      <c r="G317">
        <v>1963</v>
      </c>
      <c r="H317">
        <v>46.052239999999998</v>
      </c>
      <c r="I317">
        <v>-73.078149999999994</v>
      </c>
      <c r="J317" t="s">
        <v>15</v>
      </c>
      <c r="K317" t="s">
        <v>1634</v>
      </c>
      <c r="L317" t="s">
        <v>1173</v>
      </c>
      <c r="M317">
        <f>201*0.3048</f>
        <v>61.264800000000001</v>
      </c>
      <c r="N317" t="s">
        <v>2007</v>
      </c>
      <c r="O317" t="s">
        <v>2936</v>
      </c>
      <c r="P317" t="s">
        <v>220</v>
      </c>
      <c r="Q317" t="s">
        <v>213</v>
      </c>
      <c r="R317" t="s">
        <v>1183</v>
      </c>
      <c r="S317">
        <f>210*0.3048</f>
        <v>64.00800000000001</v>
      </c>
      <c r="T317" s="1" t="s">
        <v>2943</v>
      </c>
      <c r="U317" s="1" t="s">
        <v>2944</v>
      </c>
    </row>
    <row r="318" spans="1:21" x14ac:dyDescent="0.3">
      <c r="A318">
        <v>222</v>
      </c>
      <c r="B318" s="11" t="s">
        <v>709</v>
      </c>
      <c r="C318" s="4" t="s">
        <v>2945</v>
      </c>
      <c r="D318" t="s">
        <v>7</v>
      </c>
      <c r="E318">
        <v>1961</v>
      </c>
      <c r="F318" t="s">
        <v>1183</v>
      </c>
      <c r="G318">
        <v>1961</v>
      </c>
      <c r="H318">
        <v>46.21996</v>
      </c>
      <c r="I318">
        <v>-72.922120000000007</v>
      </c>
      <c r="J318" t="s">
        <v>12</v>
      </c>
      <c r="K318" t="s">
        <v>1634</v>
      </c>
      <c r="L318" t="s">
        <v>1173</v>
      </c>
      <c r="M318">
        <f>83*0.3048</f>
        <v>25.298400000000001</v>
      </c>
      <c r="N318" t="s">
        <v>1738</v>
      </c>
      <c r="O318" t="s">
        <v>1799</v>
      </c>
      <c r="P318" t="s">
        <v>212</v>
      </c>
      <c r="Q318" t="s">
        <v>213</v>
      </c>
      <c r="R318" t="s">
        <v>1183</v>
      </c>
      <c r="S318">
        <f>351*0.3048</f>
        <v>106.98480000000001</v>
      </c>
      <c r="T318" s="1" t="s">
        <v>2946</v>
      </c>
      <c r="U318" s="1" t="s">
        <v>2947</v>
      </c>
    </row>
    <row r="319" spans="1:21" x14ac:dyDescent="0.3">
      <c r="A319">
        <v>223</v>
      </c>
      <c r="B319" t="s">
        <v>710</v>
      </c>
      <c r="C319" t="s">
        <v>1798</v>
      </c>
      <c r="D319" t="s">
        <v>7</v>
      </c>
      <c r="E319">
        <v>1961</v>
      </c>
      <c r="F319" t="s">
        <v>1183</v>
      </c>
      <c r="G319">
        <v>1961</v>
      </c>
      <c r="H319">
        <v>46.236800277999997</v>
      </c>
      <c r="I319">
        <v>-72.987208332999998</v>
      </c>
      <c r="J319" t="s">
        <v>12</v>
      </c>
      <c r="K319" t="s">
        <v>1634</v>
      </c>
      <c r="L319" t="s">
        <v>1173</v>
      </c>
      <c r="M319">
        <f>300*0.3048</f>
        <v>91.44</v>
      </c>
      <c r="N319" t="s">
        <v>1219</v>
      </c>
      <c r="O319" t="s">
        <v>1799</v>
      </c>
      <c r="P319" t="s">
        <v>220</v>
      </c>
      <c r="Q319" t="s">
        <v>213</v>
      </c>
      <c r="R319">
        <f>50*0.3048</f>
        <v>15.24</v>
      </c>
      <c r="S319">
        <f>260*0.3048</f>
        <v>79.248000000000005</v>
      </c>
      <c r="T319" s="1" t="s">
        <v>1800</v>
      </c>
      <c r="U319" s="1" t="s">
        <v>1801</v>
      </c>
    </row>
    <row r="320" spans="1:21" x14ac:dyDescent="0.3">
      <c r="A320">
        <v>224</v>
      </c>
      <c r="B320" s="8" t="s">
        <v>711</v>
      </c>
      <c r="C320" s="4" t="s">
        <v>2948</v>
      </c>
      <c r="D320" t="s">
        <v>7</v>
      </c>
      <c r="E320">
        <v>1956</v>
      </c>
      <c r="F320" t="s">
        <v>1183</v>
      </c>
      <c r="G320">
        <v>1962</v>
      </c>
      <c r="H320">
        <v>45.799022299999997</v>
      </c>
      <c r="I320">
        <v>-73.549416800000003</v>
      </c>
      <c r="J320" t="s">
        <v>29</v>
      </c>
      <c r="K320" t="s">
        <v>1634</v>
      </c>
      <c r="L320" t="s">
        <v>1167</v>
      </c>
      <c r="M320">
        <f>102*0.3048</f>
        <v>31.089600000000001</v>
      </c>
      <c r="N320" t="s">
        <v>1183</v>
      </c>
      <c r="O320" t="s">
        <v>1180</v>
      </c>
      <c r="P320" t="s">
        <v>220</v>
      </c>
      <c r="Q320" t="s">
        <v>213</v>
      </c>
      <c r="R320" t="s">
        <v>1183</v>
      </c>
      <c r="S320">
        <f>132*0.3048</f>
        <v>40.233600000000003</v>
      </c>
      <c r="T320" s="1" t="s">
        <v>2949</v>
      </c>
      <c r="U320" s="1" t="s">
        <v>2950</v>
      </c>
    </row>
    <row r="321" spans="1:21" x14ac:dyDescent="0.3">
      <c r="A321">
        <v>225</v>
      </c>
      <c r="B321" t="s">
        <v>713</v>
      </c>
      <c r="C321" t="s">
        <v>1802</v>
      </c>
      <c r="D321" t="s">
        <v>7</v>
      </c>
      <c r="E321">
        <v>1956</v>
      </c>
      <c r="F321" t="s">
        <v>1183</v>
      </c>
      <c r="G321">
        <v>1962</v>
      </c>
      <c r="H321">
        <v>45.765689999999999</v>
      </c>
      <c r="I321">
        <v>-73.498109999999997</v>
      </c>
      <c r="J321" t="s">
        <v>29</v>
      </c>
      <c r="K321" t="s">
        <v>1634</v>
      </c>
      <c r="L321" t="s">
        <v>1173</v>
      </c>
      <c r="M321">
        <f>98*0.3048</f>
        <v>29.8704</v>
      </c>
      <c r="N321" t="s">
        <v>1183</v>
      </c>
      <c r="O321" t="s">
        <v>1180</v>
      </c>
      <c r="P321" t="s">
        <v>212</v>
      </c>
      <c r="Q321" t="s">
        <v>213</v>
      </c>
      <c r="R321" t="s">
        <v>1183</v>
      </c>
      <c r="S321">
        <f>473*0.3048</f>
        <v>144.1704</v>
      </c>
      <c r="T321" s="1" t="s">
        <v>1803</v>
      </c>
      <c r="U321" s="1" t="s">
        <v>1804</v>
      </c>
    </row>
    <row r="322" spans="1:21" x14ac:dyDescent="0.3">
      <c r="A322">
        <v>226</v>
      </c>
      <c r="B322" s="8" t="s">
        <v>717</v>
      </c>
      <c r="C322" s="4" t="s">
        <v>2964</v>
      </c>
      <c r="D322" t="s">
        <v>7</v>
      </c>
      <c r="E322">
        <v>1963</v>
      </c>
      <c r="F322" t="s">
        <v>1183</v>
      </c>
      <c r="G322">
        <v>1963</v>
      </c>
      <c r="H322">
        <v>45.862454999999997</v>
      </c>
      <c r="I322">
        <v>-73.228271800000002</v>
      </c>
      <c r="J322" t="s">
        <v>15</v>
      </c>
      <c r="K322" t="s">
        <v>1634</v>
      </c>
      <c r="L322" t="s">
        <v>1163</v>
      </c>
      <c r="M322">
        <f>32*0.3048</f>
        <v>9.7536000000000005</v>
      </c>
      <c r="N322" t="s">
        <v>1738</v>
      </c>
      <c r="O322" t="s">
        <v>1806</v>
      </c>
      <c r="P322" t="s">
        <v>220</v>
      </c>
      <c r="Q322" t="s">
        <v>213</v>
      </c>
      <c r="R322">
        <f>29*0.3048</f>
        <v>8.8391999999999999</v>
      </c>
      <c r="S322">
        <f>75*0.3048</f>
        <v>22.86</v>
      </c>
      <c r="T322" s="1" t="s">
        <v>2965</v>
      </c>
      <c r="U322" s="1" t="s">
        <v>2966</v>
      </c>
    </row>
    <row r="323" spans="1:21" x14ac:dyDescent="0.3">
      <c r="A323">
        <v>227</v>
      </c>
      <c r="B323" s="8" t="s">
        <v>718</v>
      </c>
      <c r="C323" s="4" t="s">
        <v>2967</v>
      </c>
      <c r="D323" t="s">
        <v>7</v>
      </c>
      <c r="E323">
        <v>1963</v>
      </c>
      <c r="F323" t="s">
        <v>1183</v>
      </c>
      <c r="G323">
        <v>1963</v>
      </c>
      <c r="H323">
        <v>45.876790800000002</v>
      </c>
      <c r="I323">
        <v>-73.220369300000002</v>
      </c>
      <c r="J323" t="s">
        <v>15</v>
      </c>
      <c r="K323" t="s">
        <v>1634</v>
      </c>
      <c r="L323" t="s">
        <v>1163</v>
      </c>
      <c r="M323">
        <f>32*0.3048</f>
        <v>9.7536000000000005</v>
      </c>
      <c r="N323" t="s">
        <v>1209</v>
      </c>
      <c r="O323" t="s">
        <v>1806</v>
      </c>
      <c r="P323" t="s">
        <v>220</v>
      </c>
      <c r="Q323" t="s">
        <v>213</v>
      </c>
      <c r="R323">
        <f>23*0.3048</f>
        <v>7.0104000000000006</v>
      </c>
      <c r="S323">
        <f>75*0.3048</f>
        <v>22.86</v>
      </c>
      <c r="T323" s="1" t="s">
        <v>2968</v>
      </c>
      <c r="U323" s="1" t="s">
        <v>2969</v>
      </c>
    </row>
    <row r="324" spans="1:21" x14ac:dyDescent="0.3">
      <c r="A324">
        <v>228</v>
      </c>
      <c r="B324" t="s">
        <v>722</v>
      </c>
      <c r="C324" t="s">
        <v>1805</v>
      </c>
      <c r="D324" t="s">
        <v>7</v>
      </c>
      <c r="E324">
        <v>1963</v>
      </c>
      <c r="F324" t="s">
        <v>1183</v>
      </c>
      <c r="G324">
        <v>1963</v>
      </c>
      <c r="H324">
        <v>45.79712</v>
      </c>
      <c r="I324">
        <v>-73.281679999999994</v>
      </c>
      <c r="J324" t="s">
        <v>15</v>
      </c>
      <c r="K324" t="s">
        <v>1634</v>
      </c>
      <c r="L324" t="s">
        <v>1163</v>
      </c>
      <c r="M324">
        <f>20*0.3048</f>
        <v>6.0960000000000001</v>
      </c>
      <c r="N324" t="s">
        <v>1219</v>
      </c>
      <c r="O324" t="s">
        <v>1806</v>
      </c>
      <c r="P324" t="s">
        <v>220</v>
      </c>
      <c r="Q324" t="s">
        <v>213</v>
      </c>
      <c r="R324">
        <f>62*0.3048</f>
        <v>18.897600000000001</v>
      </c>
      <c r="S324">
        <f>87*0.3048</f>
        <v>26.517600000000002</v>
      </c>
      <c r="T324" s="1" t="s">
        <v>1807</v>
      </c>
      <c r="U324" s="1" t="s">
        <v>1808</v>
      </c>
    </row>
    <row r="325" spans="1:21" x14ac:dyDescent="0.3">
      <c r="A325">
        <v>229</v>
      </c>
      <c r="B325" s="8" t="s">
        <v>723</v>
      </c>
      <c r="C325" s="4" t="s">
        <v>2979</v>
      </c>
      <c r="D325" t="s">
        <v>7</v>
      </c>
      <c r="E325">
        <v>1963</v>
      </c>
      <c r="F325" t="s">
        <v>1183</v>
      </c>
      <c r="G325">
        <v>1963</v>
      </c>
      <c r="H325">
        <v>45.9327921</v>
      </c>
      <c r="I325">
        <v>-73.204824200000004</v>
      </c>
      <c r="J325" t="s">
        <v>15</v>
      </c>
      <c r="K325" t="s">
        <v>1634</v>
      </c>
      <c r="L325" t="s">
        <v>1163</v>
      </c>
      <c r="M325">
        <f>40*0.3048</f>
        <v>12.192</v>
      </c>
      <c r="N325" t="s">
        <v>1219</v>
      </c>
      <c r="O325" t="s">
        <v>1806</v>
      </c>
      <c r="P325" t="s">
        <v>220</v>
      </c>
      <c r="Q325" t="s">
        <v>213</v>
      </c>
      <c r="R325">
        <f>50*0.3048</f>
        <v>15.24</v>
      </c>
      <c r="S325">
        <f>161*0.3048</f>
        <v>49.072800000000001</v>
      </c>
      <c r="T325" s="1" t="s">
        <v>2980</v>
      </c>
      <c r="U325" s="1" t="s">
        <v>2981</v>
      </c>
    </row>
    <row r="326" spans="1:21" x14ac:dyDescent="0.3">
      <c r="A326">
        <v>230</v>
      </c>
      <c r="B326" s="7" t="s">
        <v>727</v>
      </c>
      <c r="C326" t="s">
        <v>1809</v>
      </c>
      <c r="D326" t="s">
        <v>7</v>
      </c>
      <c r="E326">
        <v>1963</v>
      </c>
      <c r="F326" t="s">
        <v>1183</v>
      </c>
      <c r="G326">
        <v>1963</v>
      </c>
      <c r="H326">
        <v>45.909730000000003</v>
      </c>
      <c r="I326">
        <v>-73.14528</v>
      </c>
      <c r="J326" t="s">
        <v>15</v>
      </c>
      <c r="K326" t="s">
        <v>1634</v>
      </c>
      <c r="L326" t="s">
        <v>1163</v>
      </c>
      <c r="M326">
        <f>30*0.3048</f>
        <v>9.1440000000000001</v>
      </c>
      <c r="N326" t="s">
        <v>1209</v>
      </c>
      <c r="O326" t="s">
        <v>1806</v>
      </c>
      <c r="P326" t="s">
        <v>220</v>
      </c>
      <c r="Q326" t="s">
        <v>213</v>
      </c>
      <c r="R326">
        <f>32*0.3048</f>
        <v>9.7536000000000005</v>
      </c>
      <c r="S326">
        <f>85*0.3048</f>
        <v>25.908000000000001</v>
      </c>
      <c r="T326" s="1" t="s">
        <v>1810</v>
      </c>
      <c r="U326" s="1" t="s">
        <v>1811</v>
      </c>
    </row>
    <row r="327" spans="1:21" x14ac:dyDescent="0.3">
      <c r="A327">
        <v>231</v>
      </c>
      <c r="B327" t="s">
        <v>732</v>
      </c>
      <c r="C327" t="s">
        <v>1812</v>
      </c>
      <c r="D327" t="s">
        <v>7</v>
      </c>
      <c r="E327">
        <v>1963</v>
      </c>
      <c r="F327" t="s">
        <v>1183</v>
      </c>
      <c r="G327">
        <v>1963</v>
      </c>
      <c r="H327">
        <v>45.726660000000003</v>
      </c>
      <c r="I327">
        <v>-73.415130000000005</v>
      </c>
      <c r="J327" t="s">
        <v>15</v>
      </c>
      <c r="K327" t="s">
        <v>1634</v>
      </c>
      <c r="L327" t="s">
        <v>1163</v>
      </c>
      <c r="M327">
        <f>30*0.3048</f>
        <v>9.1440000000000001</v>
      </c>
      <c r="N327" t="s">
        <v>1209</v>
      </c>
      <c r="O327" t="s">
        <v>1806</v>
      </c>
      <c r="P327" t="s">
        <v>220</v>
      </c>
      <c r="Q327" t="s">
        <v>213</v>
      </c>
      <c r="R327">
        <f>59*0.3048</f>
        <v>17.9832</v>
      </c>
      <c r="S327">
        <f>99*0.3048</f>
        <v>30.1752</v>
      </c>
      <c r="T327" s="1" t="s">
        <v>1813</v>
      </c>
      <c r="U327" s="1" t="s">
        <v>1814</v>
      </c>
    </row>
    <row r="328" spans="1:21" x14ac:dyDescent="0.3">
      <c r="A328">
        <v>232</v>
      </c>
      <c r="B328" t="s">
        <v>734</v>
      </c>
      <c r="C328" t="s">
        <v>1815</v>
      </c>
      <c r="D328" t="s">
        <v>7</v>
      </c>
      <c r="E328">
        <v>1963</v>
      </c>
      <c r="F328" t="s">
        <v>1183</v>
      </c>
      <c r="G328">
        <v>1963</v>
      </c>
      <c r="H328">
        <v>45.735774509999999</v>
      </c>
      <c r="I328">
        <v>-73.403698009999999</v>
      </c>
      <c r="J328" t="s">
        <v>15</v>
      </c>
      <c r="K328" t="s">
        <v>1634</v>
      </c>
      <c r="L328" t="s">
        <v>1163</v>
      </c>
      <c r="M328">
        <f>30*0.3048</f>
        <v>9.1440000000000001</v>
      </c>
      <c r="N328" t="s">
        <v>1209</v>
      </c>
      <c r="O328" t="s">
        <v>1806</v>
      </c>
      <c r="P328" t="s">
        <v>220</v>
      </c>
      <c r="Q328" t="s">
        <v>213</v>
      </c>
      <c r="R328">
        <f>55*0.3048</f>
        <v>16.763999999999999</v>
      </c>
      <c r="S328">
        <f>114*0.3048</f>
        <v>34.747199999999999</v>
      </c>
      <c r="T328" s="1" t="s">
        <v>1816</v>
      </c>
      <c r="U328" s="1" t="s">
        <v>1817</v>
      </c>
    </row>
    <row r="329" spans="1:21" x14ac:dyDescent="0.3">
      <c r="A329">
        <v>233</v>
      </c>
      <c r="B329" s="8" t="s">
        <v>735</v>
      </c>
      <c r="C329" s="4" t="s">
        <v>3006</v>
      </c>
      <c r="D329" t="s">
        <v>7</v>
      </c>
      <c r="E329">
        <v>1963</v>
      </c>
      <c r="F329" t="s">
        <v>1183</v>
      </c>
      <c r="G329">
        <v>1963</v>
      </c>
      <c r="H329">
        <v>45.674896199999999</v>
      </c>
      <c r="I329">
        <v>-73.437953199999995</v>
      </c>
      <c r="J329" t="s">
        <v>15</v>
      </c>
      <c r="K329" t="s">
        <v>1634</v>
      </c>
      <c r="L329" t="s">
        <v>1163</v>
      </c>
      <c r="M329">
        <f>30*0.3048</f>
        <v>9.1440000000000001</v>
      </c>
      <c r="N329" t="s">
        <v>1219</v>
      </c>
      <c r="O329" t="s">
        <v>1806</v>
      </c>
      <c r="P329" t="s">
        <v>212</v>
      </c>
      <c r="Q329" t="s">
        <v>213</v>
      </c>
      <c r="R329">
        <f>27*0.3048</f>
        <v>8.2295999999999996</v>
      </c>
      <c r="S329">
        <f>65*0.3048</f>
        <v>19.812000000000001</v>
      </c>
      <c r="T329" s="1" t="s">
        <v>3007</v>
      </c>
      <c r="U329" s="1" t="s">
        <v>3008</v>
      </c>
    </row>
    <row r="330" spans="1:21" x14ac:dyDescent="0.3">
      <c r="A330">
        <v>234</v>
      </c>
      <c r="B330" s="8" t="s">
        <v>736</v>
      </c>
      <c r="C330" s="4" t="s">
        <v>3009</v>
      </c>
      <c r="D330" t="s">
        <v>7</v>
      </c>
      <c r="E330">
        <v>1963</v>
      </c>
      <c r="F330" t="s">
        <v>1183</v>
      </c>
      <c r="G330">
        <v>1963</v>
      </c>
      <c r="H330">
        <v>45.673341999999998</v>
      </c>
      <c r="I330">
        <v>-73.405377599999994</v>
      </c>
      <c r="J330" t="s">
        <v>15</v>
      </c>
      <c r="K330" t="s">
        <v>1634</v>
      </c>
      <c r="L330" t="s">
        <v>1163</v>
      </c>
      <c r="M330">
        <f>32*0.3048</f>
        <v>9.7536000000000005</v>
      </c>
      <c r="N330" t="s">
        <v>1209</v>
      </c>
      <c r="O330" t="s">
        <v>1806</v>
      </c>
      <c r="P330" t="s">
        <v>212</v>
      </c>
      <c r="Q330" t="s">
        <v>213</v>
      </c>
      <c r="R330">
        <f>55*0.3048</f>
        <v>16.763999999999999</v>
      </c>
      <c r="S330">
        <f>77*0.3048</f>
        <v>23.4696</v>
      </c>
      <c r="T330" s="1" t="s">
        <v>3010</v>
      </c>
      <c r="U330" s="1" t="s">
        <v>3011</v>
      </c>
    </row>
    <row r="331" spans="1:21" x14ac:dyDescent="0.3">
      <c r="A331">
        <v>235</v>
      </c>
      <c r="B331" s="8" t="s">
        <v>740</v>
      </c>
      <c r="C331" s="4" t="s">
        <v>3021</v>
      </c>
      <c r="D331" t="s">
        <v>7</v>
      </c>
      <c r="E331">
        <v>1963</v>
      </c>
      <c r="F331" t="s">
        <v>1183</v>
      </c>
      <c r="G331">
        <v>1963</v>
      </c>
      <c r="H331">
        <v>45.664491900000002</v>
      </c>
      <c r="I331">
        <v>-73.381029600000005</v>
      </c>
      <c r="J331" t="s">
        <v>15</v>
      </c>
      <c r="K331" t="s">
        <v>1634</v>
      </c>
      <c r="L331" t="s">
        <v>1163</v>
      </c>
      <c r="M331">
        <f>20*0.3048</f>
        <v>6.0960000000000001</v>
      </c>
      <c r="N331" t="s">
        <v>1209</v>
      </c>
      <c r="O331" t="s">
        <v>1806</v>
      </c>
      <c r="P331" t="s">
        <v>212</v>
      </c>
      <c r="Q331" t="s">
        <v>213</v>
      </c>
      <c r="R331">
        <f>63*0.3048</f>
        <v>19.202400000000001</v>
      </c>
      <c r="S331">
        <f>34*0.3048</f>
        <v>10.363200000000001</v>
      </c>
      <c r="T331" s="1" t="s">
        <v>3022</v>
      </c>
      <c r="U331" s="1" t="s">
        <v>3023</v>
      </c>
    </row>
    <row r="332" spans="1:21" x14ac:dyDescent="0.3">
      <c r="A332">
        <v>236</v>
      </c>
      <c r="B332" t="s">
        <v>743</v>
      </c>
      <c r="C332" t="s">
        <v>1818</v>
      </c>
      <c r="D332" t="s">
        <v>7</v>
      </c>
      <c r="E332">
        <v>1963</v>
      </c>
      <c r="F332" t="s">
        <v>1183</v>
      </c>
      <c r="G332">
        <v>1963</v>
      </c>
      <c r="H332">
        <v>45.639794000000002</v>
      </c>
      <c r="I332">
        <v>-73.413601</v>
      </c>
      <c r="J332" t="s">
        <v>15</v>
      </c>
      <c r="K332" t="s">
        <v>1634</v>
      </c>
      <c r="L332" t="s">
        <v>1163</v>
      </c>
      <c r="M332">
        <f>20*0.3048</f>
        <v>6.0960000000000001</v>
      </c>
      <c r="N332" t="s">
        <v>1209</v>
      </c>
      <c r="O332" t="s">
        <v>1806</v>
      </c>
      <c r="P332" t="s">
        <v>220</v>
      </c>
      <c r="Q332" t="s">
        <v>213</v>
      </c>
      <c r="R332">
        <f>56*0.3048</f>
        <v>17.0688</v>
      </c>
      <c r="S332">
        <f>35*0.3048</f>
        <v>10.668000000000001</v>
      </c>
      <c r="T332" s="1" t="s">
        <v>1819</v>
      </c>
      <c r="U332" s="1" t="s">
        <v>1820</v>
      </c>
    </row>
    <row r="333" spans="1:21" x14ac:dyDescent="0.3">
      <c r="A333">
        <v>237</v>
      </c>
      <c r="B333" s="8" t="s">
        <v>746</v>
      </c>
      <c r="C333" s="4" t="s">
        <v>3029</v>
      </c>
      <c r="D333" t="s">
        <v>7</v>
      </c>
      <c r="E333">
        <v>1963</v>
      </c>
      <c r="F333" t="s">
        <v>1183</v>
      </c>
      <c r="G333">
        <v>1963</v>
      </c>
      <c r="H333">
        <v>45.671528299999999</v>
      </c>
      <c r="I333">
        <v>-73.430686600000001</v>
      </c>
      <c r="J333" t="s">
        <v>15</v>
      </c>
      <c r="K333" t="s">
        <v>1634</v>
      </c>
      <c r="L333" t="s">
        <v>1163</v>
      </c>
      <c r="M333">
        <f>20*0.3048</f>
        <v>6.0960000000000001</v>
      </c>
      <c r="N333" t="s">
        <v>1209</v>
      </c>
      <c r="O333" t="s">
        <v>1806</v>
      </c>
      <c r="P333" t="s">
        <v>212</v>
      </c>
      <c r="Q333" t="s">
        <v>213</v>
      </c>
      <c r="R333">
        <f>50*0.3048</f>
        <v>15.24</v>
      </c>
      <c r="S333">
        <f>35*0.3048</f>
        <v>10.668000000000001</v>
      </c>
      <c r="T333" s="1" t="s">
        <v>3038</v>
      </c>
      <c r="U333" s="1" t="s">
        <v>3039</v>
      </c>
    </row>
    <row r="334" spans="1:21" x14ac:dyDescent="0.3">
      <c r="A334">
        <v>238</v>
      </c>
      <c r="B334" t="s">
        <v>748</v>
      </c>
      <c r="C334" t="s">
        <v>1821</v>
      </c>
      <c r="D334" t="s">
        <v>7</v>
      </c>
      <c r="E334">
        <v>1963</v>
      </c>
      <c r="F334" t="s">
        <v>1183</v>
      </c>
      <c r="G334">
        <v>1963</v>
      </c>
      <c r="H334">
        <v>45.791249999999998</v>
      </c>
      <c r="I334">
        <v>-73.329279999999997</v>
      </c>
      <c r="J334" t="s">
        <v>15</v>
      </c>
      <c r="K334" t="s">
        <v>1634</v>
      </c>
      <c r="L334" t="s">
        <v>1163</v>
      </c>
      <c r="M334">
        <f>32*0.3048</f>
        <v>9.7536000000000005</v>
      </c>
      <c r="N334" t="s">
        <v>1209</v>
      </c>
      <c r="O334" t="s">
        <v>1806</v>
      </c>
      <c r="P334" t="s">
        <v>212</v>
      </c>
      <c r="Q334" t="s">
        <v>213</v>
      </c>
      <c r="R334">
        <f>32*0.3048</f>
        <v>9.7536000000000005</v>
      </c>
      <c r="S334">
        <f>65*0.3048</f>
        <v>19.812000000000001</v>
      </c>
      <c r="T334" s="1" t="s">
        <v>1822</v>
      </c>
      <c r="U334" s="1" t="s">
        <v>1823</v>
      </c>
    </row>
    <row r="335" spans="1:21" x14ac:dyDescent="0.3">
      <c r="A335">
        <v>239</v>
      </c>
      <c r="B335" t="s">
        <v>749</v>
      </c>
      <c r="C335" t="s">
        <v>1824</v>
      </c>
      <c r="D335" t="s">
        <v>7</v>
      </c>
      <c r="E335">
        <v>1963</v>
      </c>
      <c r="F335" t="s">
        <v>1183</v>
      </c>
      <c r="G335">
        <v>1963</v>
      </c>
      <c r="H335">
        <v>45.7913</v>
      </c>
      <c r="I335">
        <v>-73.329350000000005</v>
      </c>
      <c r="J335" t="s">
        <v>15</v>
      </c>
      <c r="K335" t="s">
        <v>1634</v>
      </c>
      <c r="L335" t="s">
        <v>1163</v>
      </c>
      <c r="M335">
        <f>50*0.3048</f>
        <v>15.24</v>
      </c>
      <c r="N335" t="s">
        <v>1209</v>
      </c>
      <c r="O335" t="s">
        <v>1806</v>
      </c>
      <c r="P335" t="s">
        <v>212</v>
      </c>
      <c r="Q335" t="s">
        <v>213</v>
      </c>
      <c r="R335">
        <f>32*0.3048</f>
        <v>9.7536000000000005</v>
      </c>
      <c r="S335">
        <f>65*0.3048</f>
        <v>19.812000000000001</v>
      </c>
      <c r="T335" s="1" t="s">
        <v>1825</v>
      </c>
      <c r="U335" s="1" t="s">
        <v>1826</v>
      </c>
    </row>
    <row r="336" spans="1:21" x14ac:dyDescent="0.3">
      <c r="A336">
        <v>240</v>
      </c>
      <c r="B336" t="s">
        <v>750</v>
      </c>
      <c r="C336" t="s">
        <v>1827</v>
      </c>
      <c r="D336" t="s">
        <v>7</v>
      </c>
      <c r="E336">
        <v>1963</v>
      </c>
      <c r="F336" t="s">
        <v>1183</v>
      </c>
      <c r="G336">
        <v>1963</v>
      </c>
      <c r="H336">
        <v>45.791289999999996</v>
      </c>
      <c r="I336">
        <v>-73.32938</v>
      </c>
      <c r="J336" t="s">
        <v>15</v>
      </c>
      <c r="K336" t="s">
        <v>1634</v>
      </c>
      <c r="L336" t="s">
        <v>1163</v>
      </c>
      <c r="M336">
        <f>50*0.3048</f>
        <v>15.24</v>
      </c>
      <c r="N336" t="s">
        <v>1209</v>
      </c>
      <c r="O336" t="s">
        <v>1806</v>
      </c>
      <c r="P336" t="s">
        <v>212</v>
      </c>
      <c r="Q336" t="s">
        <v>213</v>
      </c>
      <c r="R336">
        <f>32*0.3048</f>
        <v>9.7536000000000005</v>
      </c>
      <c r="S336">
        <f>63*0.3048</f>
        <v>19.202400000000001</v>
      </c>
      <c r="T336" s="1" t="s">
        <v>1828</v>
      </c>
      <c r="U336" s="1" t="s">
        <v>1829</v>
      </c>
    </row>
    <row r="337" spans="1:21" x14ac:dyDescent="0.3">
      <c r="A337">
        <v>241</v>
      </c>
      <c r="B337" s="8" t="s">
        <v>751</v>
      </c>
      <c r="C337" s="4" t="s">
        <v>3042</v>
      </c>
      <c r="D337" t="s">
        <v>7</v>
      </c>
      <c r="E337">
        <v>1963</v>
      </c>
      <c r="F337" t="s">
        <v>1183</v>
      </c>
      <c r="G337">
        <v>1963</v>
      </c>
      <c r="H337">
        <v>45.748419167000002</v>
      </c>
      <c r="I337">
        <v>-73.390480556</v>
      </c>
      <c r="J337" t="s">
        <v>15</v>
      </c>
      <c r="K337" t="s">
        <v>1634</v>
      </c>
      <c r="L337" t="s">
        <v>1163</v>
      </c>
      <c r="M337">
        <f>30*0.3048</f>
        <v>9.1440000000000001</v>
      </c>
      <c r="N337" t="s">
        <v>1209</v>
      </c>
      <c r="O337" t="s">
        <v>1806</v>
      </c>
      <c r="P337" t="s">
        <v>212</v>
      </c>
      <c r="Q337" t="s">
        <v>213</v>
      </c>
      <c r="R337">
        <f>59*0.3048</f>
        <v>17.9832</v>
      </c>
      <c r="S337">
        <f>103*0.3048</f>
        <v>31.394400000000001</v>
      </c>
      <c r="T337" s="1" t="s">
        <v>3043</v>
      </c>
      <c r="U337" s="1" t="s">
        <v>3044</v>
      </c>
    </row>
    <row r="338" spans="1:21" x14ac:dyDescent="0.3">
      <c r="A338">
        <v>242</v>
      </c>
      <c r="B338" s="8" t="s">
        <v>752</v>
      </c>
      <c r="C338" s="4" t="s">
        <v>3045</v>
      </c>
      <c r="D338" t="s">
        <v>7</v>
      </c>
      <c r="E338">
        <v>1963</v>
      </c>
      <c r="F338" t="s">
        <v>1183</v>
      </c>
      <c r="G338">
        <v>1963</v>
      </c>
      <c r="H338">
        <v>45.748451666999998</v>
      </c>
      <c r="I338">
        <v>-73.390508889000003</v>
      </c>
      <c r="J338" t="s">
        <v>15</v>
      </c>
      <c r="K338" t="s">
        <v>1634</v>
      </c>
      <c r="L338" t="s">
        <v>1163</v>
      </c>
      <c r="M338">
        <f>30*0.3048</f>
        <v>9.1440000000000001</v>
      </c>
      <c r="N338" t="s">
        <v>1209</v>
      </c>
      <c r="O338" t="s">
        <v>1806</v>
      </c>
      <c r="P338" t="s">
        <v>212</v>
      </c>
      <c r="Q338" t="s">
        <v>213</v>
      </c>
      <c r="R338">
        <f>59*0.3048</f>
        <v>17.9832</v>
      </c>
      <c r="S338">
        <f>114*0.3048</f>
        <v>34.747199999999999</v>
      </c>
      <c r="T338" s="1" t="s">
        <v>3046</v>
      </c>
      <c r="U338" s="1" t="s">
        <v>3047</v>
      </c>
    </row>
    <row r="339" spans="1:21" x14ac:dyDescent="0.3">
      <c r="A339">
        <v>243</v>
      </c>
      <c r="B339" s="8" t="s">
        <v>753</v>
      </c>
      <c r="C339" s="4" t="s">
        <v>3048</v>
      </c>
      <c r="D339" t="s">
        <v>7</v>
      </c>
      <c r="E339">
        <v>1963</v>
      </c>
      <c r="F339" t="s">
        <v>1183</v>
      </c>
      <c r="G339">
        <v>1963</v>
      </c>
      <c r="H339">
        <v>45.748451666999998</v>
      </c>
      <c r="I339">
        <v>-73.390508889000003</v>
      </c>
      <c r="J339" t="s">
        <v>15</v>
      </c>
      <c r="K339" t="s">
        <v>1634</v>
      </c>
      <c r="L339" t="s">
        <v>1163</v>
      </c>
      <c r="M339">
        <f>40*0.3048</f>
        <v>12.192</v>
      </c>
      <c r="N339" t="s">
        <v>1209</v>
      </c>
      <c r="O339" t="s">
        <v>1806</v>
      </c>
      <c r="P339" t="s">
        <v>220</v>
      </c>
      <c r="Q339" t="s">
        <v>213</v>
      </c>
      <c r="R339">
        <f>59*0.3048</f>
        <v>17.9832</v>
      </c>
      <c r="S339">
        <f>114*0.3048</f>
        <v>34.747199999999999</v>
      </c>
      <c r="T339" s="1" t="s">
        <v>3049</v>
      </c>
      <c r="U339" s="1" t="s">
        <v>3050</v>
      </c>
    </row>
    <row r="340" spans="1:21" x14ac:dyDescent="0.3">
      <c r="A340">
        <v>244</v>
      </c>
      <c r="B340" s="8" t="s">
        <v>754</v>
      </c>
      <c r="C340" s="4" t="s">
        <v>3051</v>
      </c>
      <c r="D340" t="s">
        <v>7</v>
      </c>
      <c r="E340">
        <v>1963</v>
      </c>
      <c r="F340" t="s">
        <v>1183</v>
      </c>
      <c r="G340">
        <v>1963</v>
      </c>
      <c r="H340">
        <v>45.770013400000003</v>
      </c>
      <c r="I340">
        <v>-73.363827299999997</v>
      </c>
      <c r="J340" t="s">
        <v>15</v>
      </c>
      <c r="K340" t="s">
        <v>1634</v>
      </c>
      <c r="L340" t="s">
        <v>1163</v>
      </c>
      <c r="M340">
        <f>30*0.3048</f>
        <v>9.1440000000000001</v>
      </c>
      <c r="N340" t="s">
        <v>1209</v>
      </c>
      <c r="O340" t="s">
        <v>1806</v>
      </c>
      <c r="P340" t="s">
        <v>220</v>
      </c>
      <c r="Q340" t="s">
        <v>213</v>
      </c>
      <c r="R340">
        <f>57*0.3048</f>
        <v>17.3736</v>
      </c>
      <c r="S340">
        <f>90*0.3048</f>
        <v>27.432000000000002</v>
      </c>
      <c r="T340" s="1" t="s">
        <v>3052</v>
      </c>
      <c r="U340" s="1" t="s">
        <v>3053</v>
      </c>
    </row>
    <row r="341" spans="1:21" x14ac:dyDescent="0.3">
      <c r="A341">
        <v>245</v>
      </c>
      <c r="B341" t="s">
        <v>755</v>
      </c>
      <c r="C341" t="s">
        <v>1830</v>
      </c>
      <c r="D341" t="s">
        <v>7</v>
      </c>
      <c r="E341">
        <v>1963</v>
      </c>
      <c r="F341" t="s">
        <v>1183</v>
      </c>
      <c r="G341">
        <v>1963</v>
      </c>
      <c r="H341">
        <v>45.805917000000001</v>
      </c>
      <c r="I341">
        <v>-73.307872000000003</v>
      </c>
      <c r="J341" t="s">
        <v>15</v>
      </c>
      <c r="K341" t="s">
        <v>1634</v>
      </c>
      <c r="L341" t="s">
        <v>1163</v>
      </c>
      <c r="M341">
        <f>30*0.3048</f>
        <v>9.1440000000000001</v>
      </c>
      <c r="N341" t="s">
        <v>1219</v>
      </c>
      <c r="O341" t="s">
        <v>1806</v>
      </c>
      <c r="P341" t="s">
        <v>212</v>
      </c>
      <c r="Q341" t="s">
        <v>213</v>
      </c>
      <c r="R341">
        <f>31*0.3048</f>
        <v>9.4488000000000003</v>
      </c>
      <c r="S341">
        <f>90*0.3048</f>
        <v>27.432000000000002</v>
      </c>
      <c r="T341" s="1" t="s">
        <v>1831</v>
      </c>
      <c r="U341" s="1" t="s">
        <v>1832</v>
      </c>
    </row>
    <row r="342" spans="1:21" x14ac:dyDescent="0.3">
      <c r="A342">
        <v>246</v>
      </c>
      <c r="B342" t="s">
        <v>758</v>
      </c>
      <c r="C342" t="s">
        <v>1839</v>
      </c>
      <c r="D342" t="s">
        <v>7</v>
      </c>
      <c r="E342">
        <v>1963</v>
      </c>
      <c r="F342" t="s">
        <v>1183</v>
      </c>
      <c r="G342">
        <v>1963</v>
      </c>
      <c r="H342">
        <v>45.764069999999997</v>
      </c>
      <c r="I342">
        <v>-73.345730000000003</v>
      </c>
      <c r="J342" t="s">
        <v>15</v>
      </c>
      <c r="K342" t="s">
        <v>1634</v>
      </c>
      <c r="L342" t="s">
        <v>1163</v>
      </c>
      <c r="M342">
        <f>30*0.3048</f>
        <v>9.1440000000000001</v>
      </c>
      <c r="N342" t="s">
        <v>1225</v>
      </c>
      <c r="O342" t="s">
        <v>1806</v>
      </c>
      <c r="P342" t="s">
        <v>220</v>
      </c>
      <c r="Q342" t="s">
        <v>213</v>
      </c>
      <c r="R342">
        <f>56*0.3048</f>
        <v>17.0688</v>
      </c>
      <c r="S342">
        <f>85*0.3048</f>
        <v>25.908000000000001</v>
      </c>
      <c r="T342" s="1" t="s">
        <v>1840</v>
      </c>
      <c r="U342" s="1" t="s">
        <v>1841</v>
      </c>
    </row>
    <row r="343" spans="1:21" x14ac:dyDescent="0.3">
      <c r="A343">
        <v>247</v>
      </c>
      <c r="B343" t="s">
        <v>765</v>
      </c>
      <c r="C343" t="s">
        <v>1863</v>
      </c>
      <c r="D343" t="s">
        <v>7</v>
      </c>
      <c r="E343">
        <v>1957</v>
      </c>
      <c r="F343" t="s">
        <v>1183</v>
      </c>
      <c r="G343">
        <v>1957</v>
      </c>
      <c r="H343">
        <v>46.458829999999999</v>
      </c>
      <c r="I343">
        <v>-72.366410000000002</v>
      </c>
      <c r="J343" t="s">
        <v>12</v>
      </c>
      <c r="K343" t="s">
        <v>1634</v>
      </c>
      <c r="L343" t="s">
        <v>1163</v>
      </c>
      <c r="M343">
        <f>240*0.3048</f>
        <v>73.152000000000001</v>
      </c>
      <c r="N343" t="s">
        <v>1183</v>
      </c>
      <c r="O343" t="s">
        <v>1216</v>
      </c>
      <c r="P343" t="s">
        <v>212</v>
      </c>
      <c r="Q343" t="s">
        <v>404</v>
      </c>
      <c r="R343" t="s">
        <v>1183</v>
      </c>
      <c r="S343">
        <f>296*0.3048</f>
        <v>90.220800000000011</v>
      </c>
      <c r="T343" s="1" t="s">
        <v>1864</v>
      </c>
      <c r="U343" s="1" t="s">
        <v>1865</v>
      </c>
    </row>
    <row r="344" spans="1:21" x14ac:dyDescent="0.3">
      <c r="A344">
        <v>248</v>
      </c>
      <c r="B344" t="s">
        <v>766</v>
      </c>
      <c r="C344" t="s">
        <v>1866</v>
      </c>
      <c r="D344" t="s">
        <v>7</v>
      </c>
      <c r="E344">
        <v>1957</v>
      </c>
      <c r="F344" t="s">
        <v>1183</v>
      </c>
      <c r="G344">
        <v>1957</v>
      </c>
      <c r="H344">
        <v>46.460496999999997</v>
      </c>
      <c r="I344">
        <v>-72.369708000000003</v>
      </c>
      <c r="J344" t="s">
        <v>12</v>
      </c>
      <c r="K344" t="s">
        <v>1634</v>
      </c>
      <c r="L344" t="s">
        <v>1167</v>
      </c>
      <c r="M344" t="s">
        <v>1183</v>
      </c>
      <c r="N344" t="s">
        <v>1183</v>
      </c>
      <c r="O344" t="s">
        <v>1216</v>
      </c>
      <c r="P344" t="s">
        <v>220</v>
      </c>
      <c r="Q344" t="s">
        <v>404</v>
      </c>
      <c r="R344" t="s">
        <v>1183</v>
      </c>
      <c r="S344">
        <f>231*0.3048</f>
        <v>70.408799999999999</v>
      </c>
      <c r="T344" s="1" t="s">
        <v>1867</v>
      </c>
      <c r="U344" s="1" t="s">
        <v>1868</v>
      </c>
    </row>
    <row r="345" spans="1:21" x14ac:dyDescent="0.3">
      <c r="A345">
        <v>249</v>
      </c>
      <c r="B345" t="s">
        <v>767</v>
      </c>
      <c r="C345" t="s">
        <v>1869</v>
      </c>
      <c r="D345" t="s">
        <v>7</v>
      </c>
      <c r="E345">
        <v>1957</v>
      </c>
      <c r="F345" t="s">
        <v>1183</v>
      </c>
      <c r="G345">
        <v>1957</v>
      </c>
      <c r="H345">
        <v>46.461950000000002</v>
      </c>
      <c r="I345">
        <v>-72.372280000000003</v>
      </c>
      <c r="J345" t="s">
        <v>12</v>
      </c>
      <c r="K345" t="s">
        <v>1634</v>
      </c>
      <c r="L345" t="s">
        <v>1167</v>
      </c>
      <c r="M345" t="s">
        <v>1183</v>
      </c>
      <c r="N345" t="s">
        <v>1183</v>
      </c>
      <c r="O345" t="s">
        <v>1216</v>
      </c>
      <c r="P345" t="s">
        <v>220</v>
      </c>
      <c r="Q345" t="s">
        <v>404</v>
      </c>
      <c r="R345" t="s">
        <v>1183</v>
      </c>
      <c r="S345">
        <f>203*0.3048</f>
        <v>61.874400000000001</v>
      </c>
      <c r="T345" s="1" t="s">
        <v>1870</v>
      </c>
      <c r="U345" s="1" t="s">
        <v>1871</v>
      </c>
    </row>
    <row r="346" spans="1:21" x14ac:dyDescent="0.3">
      <c r="A346">
        <v>250</v>
      </c>
      <c r="B346" t="s">
        <v>768</v>
      </c>
      <c r="C346" t="s">
        <v>1872</v>
      </c>
      <c r="D346" t="s">
        <v>7</v>
      </c>
      <c r="E346">
        <v>1957</v>
      </c>
      <c r="F346" t="s">
        <v>1183</v>
      </c>
      <c r="G346">
        <v>1957</v>
      </c>
      <c r="H346">
        <v>46.455849999999998</v>
      </c>
      <c r="I346">
        <v>-72.363129999999998</v>
      </c>
      <c r="J346" t="s">
        <v>12</v>
      </c>
      <c r="K346" t="s">
        <v>1634</v>
      </c>
      <c r="L346" t="s">
        <v>1167</v>
      </c>
      <c r="M346" t="s">
        <v>1183</v>
      </c>
      <c r="N346" t="s">
        <v>1183</v>
      </c>
      <c r="O346" t="s">
        <v>1216</v>
      </c>
      <c r="P346" t="s">
        <v>212</v>
      </c>
      <c r="Q346" t="s">
        <v>404</v>
      </c>
      <c r="R346" t="s">
        <v>1183</v>
      </c>
      <c r="S346">
        <f>221*0.3048</f>
        <v>67.360799999999998</v>
      </c>
      <c r="T346" s="1" t="s">
        <v>1873</v>
      </c>
      <c r="U346" s="1" t="s">
        <v>1874</v>
      </c>
    </row>
    <row r="347" spans="1:21" x14ac:dyDescent="0.3">
      <c r="A347">
        <v>251</v>
      </c>
      <c r="B347" t="s">
        <v>769</v>
      </c>
      <c r="C347" t="s">
        <v>1875</v>
      </c>
      <c r="D347" t="s">
        <v>7</v>
      </c>
      <c r="E347">
        <v>1957</v>
      </c>
      <c r="F347">
        <v>1957</v>
      </c>
      <c r="G347" t="s">
        <v>1183</v>
      </c>
      <c r="H347">
        <v>46.469389999999997</v>
      </c>
      <c r="I347">
        <v>-72.534689999999998</v>
      </c>
      <c r="J347" t="s">
        <v>12</v>
      </c>
      <c r="K347" t="s">
        <v>1634</v>
      </c>
      <c r="L347" t="s">
        <v>1167</v>
      </c>
      <c r="M347">
        <f>86*0.3048</f>
        <v>26.212800000000001</v>
      </c>
      <c r="N347" t="s">
        <v>1183</v>
      </c>
      <c r="O347" t="s">
        <v>1216</v>
      </c>
      <c r="P347" t="s">
        <v>212</v>
      </c>
      <c r="Q347" t="s">
        <v>404</v>
      </c>
      <c r="R347" t="s">
        <v>1183</v>
      </c>
      <c r="S347">
        <f>236*0.3048</f>
        <v>71.9328</v>
      </c>
      <c r="T347" s="1" t="s">
        <v>1876</v>
      </c>
      <c r="U347" s="1" t="s">
        <v>1877</v>
      </c>
    </row>
    <row r="348" spans="1:21" x14ac:dyDescent="0.3">
      <c r="A348">
        <v>252</v>
      </c>
      <c r="B348" t="s">
        <v>771</v>
      </c>
      <c r="C348" t="s">
        <v>1881</v>
      </c>
      <c r="D348" t="s">
        <v>7</v>
      </c>
      <c r="E348">
        <v>1957</v>
      </c>
      <c r="F348" t="s">
        <v>1183</v>
      </c>
      <c r="G348">
        <v>1957</v>
      </c>
      <c r="H348">
        <v>46.442999999999998</v>
      </c>
      <c r="I348">
        <v>-72.559232600000001</v>
      </c>
      <c r="J348" t="s">
        <v>12</v>
      </c>
      <c r="K348" t="s">
        <v>1634</v>
      </c>
      <c r="L348" t="s">
        <v>1173</v>
      </c>
      <c r="M348">
        <f>102*0.3048</f>
        <v>31.089600000000001</v>
      </c>
      <c r="N348" t="s">
        <v>1183</v>
      </c>
      <c r="O348" t="s">
        <v>1216</v>
      </c>
      <c r="P348" t="s">
        <v>212</v>
      </c>
      <c r="Q348" t="s">
        <v>404</v>
      </c>
      <c r="R348" t="s">
        <v>1183</v>
      </c>
      <c r="S348">
        <f>107*0.3048</f>
        <v>32.613599999999998</v>
      </c>
      <c r="T348" s="1" t="s">
        <v>1882</v>
      </c>
      <c r="U348" s="1" t="s">
        <v>1883</v>
      </c>
    </row>
    <row r="349" spans="1:21" x14ac:dyDescent="0.3">
      <c r="A349">
        <v>253</v>
      </c>
      <c r="B349" t="s">
        <v>773</v>
      </c>
      <c r="C349" t="s">
        <v>1884</v>
      </c>
      <c r="D349" t="s">
        <v>7</v>
      </c>
      <c r="E349">
        <v>1957</v>
      </c>
      <c r="F349">
        <v>1957</v>
      </c>
      <c r="G349">
        <v>1994</v>
      </c>
      <c r="H349">
        <v>46.467309999999998</v>
      </c>
      <c r="I349">
        <v>-72.528120000000001</v>
      </c>
      <c r="J349" t="s">
        <v>12</v>
      </c>
      <c r="K349" t="s">
        <v>1634</v>
      </c>
      <c r="L349" t="s">
        <v>1173</v>
      </c>
      <c r="M349">
        <f>291*0.3048</f>
        <v>88.69680000000001</v>
      </c>
      <c r="N349" t="s">
        <v>1183</v>
      </c>
      <c r="O349" t="s">
        <v>1216</v>
      </c>
      <c r="P349" t="s">
        <v>220</v>
      </c>
      <c r="Q349" t="s">
        <v>213</v>
      </c>
      <c r="R349">
        <f>143*0.3048</f>
        <v>43.586400000000005</v>
      </c>
      <c r="S349">
        <f>321*0.3048</f>
        <v>97.840800000000002</v>
      </c>
      <c r="T349" s="1" t="s">
        <v>1885</v>
      </c>
      <c r="U349" s="1" t="s">
        <v>1886</v>
      </c>
    </row>
    <row r="350" spans="1:21" x14ac:dyDescent="0.3">
      <c r="A350">
        <v>254</v>
      </c>
      <c r="B350" t="s">
        <v>774</v>
      </c>
      <c r="C350" t="s">
        <v>1887</v>
      </c>
      <c r="D350" t="s">
        <v>7</v>
      </c>
      <c r="E350">
        <v>1957</v>
      </c>
      <c r="F350">
        <v>1957</v>
      </c>
      <c r="G350" t="s">
        <v>1183</v>
      </c>
      <c r="H350">
        <v>46.468513000000002</v>
      </c>
      <c r="I350">
        <v>-72.529923800000006</v>
      </c>
      <c r="J350" t="s">
        <v>12</v>
      </c>
      <c r="K350" t="s">
        <v>1634</v>
      </c>
      <c r="L350" t="s">
        <v>1163</v>
      </c>
      <c r="M350">
        <f>146*0.3048</f>
        <v>44.500800000000005</v>
      </c>
      <c r="N350" t="s">
        <v>1183</v>
      </c>
      <c r="O350" t="s">
        <v>1216</v>
      </c>
      <c r="P350" t="s">
        <v>220</v>
      </c>
      <c r="Q350" t="s">
        <v>404</v>
      </c>
      <c r="R350" t="s">
        <v>1183</v>
      </c>
      <c r="S350">
        <f>146*0.3048</f>
        <v>44.500800000000005</v>
      </c>
      <c r="T350" s="1" t="s">
        <v>1888</v>
      </c>
      <c r="U350" s="1" t="s">
        <v>1889</v>
      </c>
    </row>
    <row r="351" spans="1:21" x14ac:dyDescent="0.3">
      <c r="A351">
        <v>255</v>
      </c>
      <c r="B351" t="s">
        <v>776</v>
      </c>
      <c r="C351" t="s">
        <v>1890</v>
      </c>
      <c r="D351" t="s">
        <v>7</v>
      </c>
      <c r="E351">
        <v>1957</v>
      </c>
      <c r="F351">
        <v>1957</v>
      </c>
      <c r="G351" t="s">
        <v>1183</v>
      </c>
      <c r="H351">
        <v>46.470849999999999</v>
      </c>
      <c r="I351">
        <v>-72.536609999999996</v>
      </c>
      <c r="J351" t="s">
        <v>12</v>
      </c>
      <c r="K351" t="s">
        <v>1634</v>
      </c>
      <c r="L351" t="s">
        <v>1167</v>
      </c>
      <c r="M351">
        <f>89*0.3048</f>
        <v>27.127200000000002</v>
      </c>
      <c r="N351" t="s">
        <v>1183</v>
      </c>
      <c r="O351" t="s">
        <v>1216</v>
      </c>
      <c r="P351" t="s">
        <v>220</v>
      </c>
      <c r="Q351" t="s">
        <v>404</v>
      </c>
      <c r="R351" t="s">
        <v>1183</v>
      </c>
      <c r="S351">
        <f>97*0.3048</f>
        <v>29.5656</v>
      </c>
      <c r="T351" s="1" t="s">
        <v>1891</v>
      </c>
      <c r="U351" s="1" t="s">
        <v>1892</v>
      </c>
    </row>
    <row r="352" spans="1:21" x14ac:dyDescent="0.3">
      <c r="A352">
        <v>256</v>
      </c>
      <c r="B352" s="8" t="s">
        <v>777</v>
      </c>
      <c r="C352" t="s">
        <v>1893</v>
      </c>
      <c r="D352" t="s">
        <v>7</v>
      </c>
      <c r="E352">
        <v>1962</v>
      </c>
      <c r="F352" t="s">
        <v>1183</v>
      </c>
      <c r="G352">
        <v>1957</v>
      </c>
      <c r="H352">
        <v>45.821224000000001</v>
      </c>
      <c r="I352">
        <v>-73.422790000000006</v>
      </c>
      <c r="J352" t="s">
        <v>29</v>
      </c>
      <c r="K352" t="s">
        <v>1634</v>
      </c>
      <c r="L352" t="s">
        <v>1173</v>
      </c>
      <c r="M352">
        <f>30*0.3048</f>
        <v>9.1440000000000001</v>
      </c>
      <c r="N352" t="s">
        <v>1219</v>
      </c>
      <c r="O352" t="s">
        <v>1217</v>
      </c>
      <c r="P352" t="s">
        <v>212</v>
      </c>
      <c r="Q352" t="s">
        <v>213</v>
      </c>
      <c r="R352" t="s">
        <v>1183</v>
      </c>
      <c r="S352">
        <f>95*0.3048</f>
        <v>28.956000000000003</v>
      </c>
      <c r="T352" s="1" t="s">
        <v>1894</v>
      </c>
      <c r="U352" s="1" t="s">
        <v>1895</v>
      </c>
    </row>
    <row r="353" spans="1:21" x14ac:dyDescent="0.3">
      <c r="A353">
        <v>257</v>
      </c>
      <c r="B353" s="7" t="s">
        <v>781</v>
      </c>
      <c r="C353" t="s">
        <v>1899</v>
      </c>
      <c r="D353" t="s">
        <v>7</v>
      </c>
      <c r="E353">
        <v>1962</v>
      </c>
      <c r="F353" t="s">
        <v>1183</v>
      </c>
      <c r="G353">
        <v>1962</v>
      </c>
      <c r="H353">
        <v>45.791609999999999</v>
      </c>
      <c r="I353">
        <v>-73.395840000000007</v>
      </c>
      <c r="J353" t="s">
        <v>29</v>
      </c>
      <c r="K353" t="s">
        <v>1634</v>
      </c>
      <c r="L353" t="s">
        <v>1173</v>
      </c>
      <c r="M353">
        <f>30*0.3048</f>
        <v>9.1440000000000001</v>
      </c>
      <c r="N353" t="s">
        <v>1209</v>
      </c>
      <c r="O353" t="s">
        <v>1217</v>
      </c>
      <c r="P353" t="s">
        <v>220</v>
      </c>
      <c r="Q353" t="s">
        <v>213</v>
      </c>
      <c r="R353" t="s">
        <v>1183</v>
      </c>
      <c r="S353">
        <f>104*0.3048</f>
        <v>31.699200000000001</v>
      </c>
      <c r="T353" s="1" t="s">
        <v>1900</v>
      </c>
      <c r="U353" s="1" t="s">
        <v>1901</v>
      </c>
    </row>
    <row r="354" spans="1:21" x14ac:dyDescent="0.3">
      <c r="A354">
        <v>258</v>
      </c>
      <c r="B354" s="8" t="s">
        <v>785</v>
      </c>
      <c r="C354" s="4" t="s">
        <v>3075</v>
      </c>
      <c r="D354" t="s">
        <v>7</v>
      </c>
      <c r="E354">
        <v>1962</v>
      </c>
      <c r="F354">
        <v>1962</v>
      </c>
      <c r="G354" t="s">
        <v>1183</v>
      </c>
      <c r="H354">
        <v>45.815582999999997</v>
      </c>
      <c r="I354">
        <v>-73.372639000000007</v>
      </c>
      <c r="J354" t="s">
        <v>29</v>
      </c>
      <c r="K354" t="s">
        <v>1634</v>
      </c>
      <c r="L354" t="s">
        <v>1173</v>
      </c>
      <c r="M354">
        <f>40*0.3048</f>
        <v>12.192</v>
      </c>
      <c r="N354" t="s">
        <v>1209</v>
      </c>
      <c r="O354" t="s">
        <v>1217</v>
      </c>
      <c r="P354" t="s">
        <v>212</v>
      </c>
      <c r="Q354" t="s">
        <v>404</v>
      </c>
      <c r="R354" t="s">
        <v>1183</v>
      </c>
      <c r="S354">
        <f>65*0.3048</f>
        <v>19.812000000000001</v>
      </c>
      <c r="T354" t="s">
        <v>220</v>
      </c>
      <c r="U354" s="1" t="s">
        <v>3076</v>
      </c>
    </row>
    <row r="355" spans="1:21" x14ac:dyDescent="0.3">
      <c r="A355">
        <v>259</v>
      </c>
      <c r="B355" s="8" t="s">
        <v>786</v>
      </c>
      <c r="C355" s="4" t="s">
        <v>3077</v>
      </c>
      <c r="D355" t="s">
        <v>7</v>
      </c>
      <c r="E355">
        <v>1961</v>
      </c>
      <c r="F355" t="s">
        <v>1183</v>
      </c>
      <c r="G355">
        <v>1961</v>
      </c>
      <c r="H355">
        <v>46.363639900000003</v>
      </c>
      <c r="I355">
        <v>-72.813144399999999</v>
      </c>
      <c r="J355" t="s">
        <v>12</v>
      </c>
      <c r="K355" t="s">
        <v>1634</v>
      </c>
      <c r="L355" t="s">
        <v>1163</v>
      </c>
      <c r="M355">
        <f>195*0.3048</f>
        <v>59.436</v>
      </c>
      <c r="N355" t="s">
        <v>1225</v>
      </c>
      <c r="O355" t="s">
        <v>3078</v>
      </c>
      <c r="P355" t="s">
        <v>212</v>
      </c>
      <c r="Q355" t="s">
        <v>213</v>
      </c>
      <c r="R355" t="s">
        <v>1183</v>
      </c>
      <c r="S355">
        <f>200*0.3048</f>
        <v>60.96</v>
      </c>
      <c r="T355" s="1" t="s">
        <v>3079</v>
      </c>
      <c r="U355" s="1" t="s">
        <v>3080</v>
      </c>
    </row>
    <row r="356" spans="1:21" x14ac:dyDescent="0.3">
      <c r="A356">
        <v>260</v>
      </c>
      <c r="B356" t="s">
        <v>787</v>
      </c>
      <c r="C356" t="s">
        <v>1902</v>
      </c>
      <c r="D356" t="s">
        <v>7</v>
      </c>
      <c r="E356">
        <v>1957</v>
      </c>
      <c r="F356" t="s">
        <v>1183</v>
      </c>
      <c r="G356">
        <v>1957</v>
      </c>
      <c r="H356">
        <v>46.365137777999998</v>
      </c>
      <c r="I356">
        <v>-72.806788333</v>
      </c>
      <c r="J356" t="s">
        <v>12</v>
      </c>
      <c r="K356" t="s">
        <v>1634</v>
      </c>
      <c r="L356" t="s">
        <v>1173</v>
      </c>
      <c r="M356">
        <f>63*0.3048</f>
        <v>19.202400000000001</v>
      </c>
      <c r="N356" t="s">
        <v>1183</v>
      </c>
      <c r="O356" t="s">
        <v>1903</v>
      </c>
      <c r="P356" t="s">
        <v>220</v>
      </c>
      <c r="Q356" t="s">
        <v>213</v>
      </c>
      <c r="R356" t="s">
        <v>1183</v>
      </c>
      <c r="S356">
        <f>420*0.3048</f>
        <v>128.01600000000002</v>
      </c>
      <c r="T356" s="1" t="s">
        <v>1904</v>
      </c>
      <c r="U356" s="1" t="s">
        <v>1905</v>
      </c>
    </row>
    <row r="357" spans="1:21" x14ac:dyDescent="0.3">
      <c r="A357">
        <v>261</v>
      </c>
      <c r="B357" t="s">
        <v>788</v>
      </c>
      <c r="C357" t="s">
        <v>1906</v>
      </c>
      <c r="D357" t="s">
        <v>7</v>
      </c>
      <c r="E357">
        <v>1957</v>
      </c>
      <c r="F357" t="s">
        <v>1183</v>
      </c>
      <c r="G357">
        <v>1957</v>
      </c>
      <c r="H357">
        <v>46.365027777999998</v>
      </c>
      <c r="I357">
        <v>-72.807055555999995</v>
      </c>
      <c r="J357" t="s">
        <v>12</v>
      </c>
      <c r="K357" t="s">
        <v>1634</v>
      </c>
      <c r="L357" t="s">
        <v>1173</v>
      </c>
      <c r="M357">
        <f>225*0.3048</f>
        <v>68.58</v>
      </c>
      <c r="N357" t="s">
        <v>1183</v>
      </c>
      <c r="O357" t="s">
        <v>1903</v>
      </c>
      <c r="P357" t="s">
        <v>220</v>
      </c>
      <c r="Q357" t="s">
        <v>404</v>
      </c>
      <c r="R357" t="s">
        <v>1183</v>
      </c>
      <c r="S357">
        <f>298*0.3048</f>
        <v>90.830400000000012</v>
      </c>
      <c r="T357" s="1" t="s">
        <v>1907</v>
      </c>
      <c r="U357" s="1" t="s">
        <v>1908</v>
      </c>
    </row>
    <row r="358" spans="1:21" x14ac:dyDescent="0.3">
      <c r="A358">
        <v>262</v>
      </c>
      <c r="B358" t="s">
        <v>791</v>
      </c>
      <c r="C358" t="s">
        <v>1909</v>
      </c>
      <c r="D358" t="s">
        <v>7</v>
      </c>
      <c r="E358">
        <v>1961</v>
      </c>
      <c r="F358">
        <v>1961</v>
      </c>
      <c r="G358" t="s">
        <v>1183</v>
      </c>
      <c r="H358">
        <v>46.315440000000002</v>
      </c>
      <c r="I358">
        <v>-72.654000999999994</v>
      </c>
      <c r="J358" t="s">
        <v>12</v>
      </c>
      <c r="K358" t="s">
        <v>1634</v>
      </c>
      <c r="L358" t="s">
        <v>1173</v>
      </c>
      <c r="M358">
        <f>405*0.3048</f>
        <v>123.444</v>
      </c>
      <c r="N358" t="s">
        <v>1225</v>
      </c>
      <c r="O358" t="s">
        <v>1186</v>
      </c>
      <c r="P358" t="s">
        <v>220</v>
      </c>
      <c r="Q358" t="s">
        <v>404</v>
      </c>
      <c r="R358">
        <f>171*0.3048</f>
        <v>52.120800000000003</v>
      </c>
      <c r="S358">
        <f>420*0.3048</f>
        <v>128.01600000000002</v>
      </c>
      <c r="T358" s="1" t="s">
        <v>1910</v>
      </c>
      <c r="U358" s="1" t="s">
        <v>1911</v>
      </c>
    </row>
    <row r="359" spans="1:21" x14ac:dyDescent="0.3">
      <c r="A359">
        <v>263</v>
      </c>
      <c r="B359" s="7" t="s">
        <v>794</v>
      </c>
      <c r="C359" t="s">
        <v>1101</v>
      </c>
      <c r="D359" t="s">
        <v>7</v>
      </c>
      <c r="E359">
        <v>1964</v>
      </c>
      <c r="F359" t="s">
        <v>1183</v>
      </c>
      <c r="G359">
        <v>1964</v>
      </c>
      <c r="H359">
        <v>45.671832999999999</v>
      </c>
      <c r="I359">
        <v>-73.631694400000001</v>
      </c>
      <c r="J359" t="s">
        <v>1397</v>
      </c>
      <c r="K359" t="s">
        <v>1634</v>
      </c>
      <c r="L359" t="s">
        <v>1167</v>
      </c>
      <c r="M359">
        <f>47*0.3048</f>
        <v>14.325600000000001</v>
      </c>
      <c r="N359" t="s">
        <v>1183</v>
      </c>
      <c r="O359" t="s">
        <v>1453</v>
      </c>
      <c r="P359" t="s">
        <v>220</v>
      </c>
      <c r="Q359" t="s">
        <v>404</v>
      </c>
      <c r="R359" t="s">
        <v>1183</v>
      </c>
      <c r="S359">
        <f>344*0.3048</f>
        <v>104.85120000000001</v>
      </c>
      <c r="T359" s="1" t="s">
        <v>1102</v>
      </c>
      <c r="U359" s="1" t="s">
        <v>1918</v>
      </c>
    </row>
    <row r="360" spans="1:21" x14ac:dyDescent="0.3">
      <c r="A360">
        <v>264</v>
      </c>
      <c r="B360" t="s">
        <v>799</v>
      </c>
      <c r="C360" t="s">
        <v>1097</v>
      </c>
      <c r="D360" t="s">
        <v>7</v>
      </c>
      <c r="E360">
        <v>1964</v>
      </c>
      <c r="F360" t="s">
        <v>1183</v>
      </c>
      <c r="G360">
        <v>1964</v>
      </c>
      <c r="H360">
        <v>45.67353</v>
      </c>
      <c r="I360">
        <v>-73.667199999999994</v>
      </c>
      <c r="J360" t="s">
        <v>1397</v>
      </c>
      <c r="K360" t="s">
        <v>1634</v>
      </c>
      <c r="L360" t="s">
        <v>1167</v>
      </c>
      <c r="M360">
        <f>52*0.3048</f>
        <v>15.849600000000001</v>
      </c>
      <c r="N360" t="s">
        <v>1183</v>
      </c>
      <c r="O360" t="s">
        <v>1453</v>
      </c>
      <c r="P360" t="s">
        <v>212</v>
      </c>
      <c r="Q360" t="s">
        <v>404</v>
      </c>
      <c r="R360" t="s">
        <v>1183</v>
      </c>
      <c r="S360">
        <f>255*0.3048</f>
        <v>77.724000000000004</v>
      </c>
      <c r="T360" s="1" t="s">
        <v>1098</v>
      </c>
      <c r="U360" s="1" t="s">
        <v>1931</v>
      </c>
    </row>
    <row r="361" spans="1:21" x14ac:dyDescent="0.3">
      <c r="A361">
        <v>265</v>
      </c>
      <c r="B361" t="s">
        <v>801</v>
      </c>
      <c r="C361" t="s">
        <v>1087</v>
      </c>
      <c r="D361" t="s">
        <v>7</v>
      </c>
      <c r="E361">
        <v>1964</v>
      </c>
      <c r="F361" t="s">
        <v>1183</v>
      </c>
      <c r="G361">
        <v>1964</v>
      </c>
      <c r="H361">
        <v>45.656807000000001</v>
      </c>
      <c r="I361">
        <v>-73.693613999999997</v>
      </c>
      <c r="J361" t="s">
        <v>1397</v>
      </c>
      <c r="K361" t="s">
        <v>1634</v>
      </c>
      <c r="L361" t="s">
        <v>1167</v>
      </c>
      <c r="M361">
        <f>54*0.3048</f>
        <v>16.459199999999999</v>
      </c>
      <c r="N361" t="s">
        <v>1183</v>
      </c>
      <c r="O361" t="s">
        <v>1453</v>
      </c>
      <c r="P361" t="s">
        <v>220</v>
      </c>
      <c r="Q361" t="s">
        <v>213</v>
      </c>
      <c r="R361">
        <f>163*0.3048</f>
        <v>49.682400000000001</v>
      </c>
      <c r="S361">
        <f>374*0.3048</f>
        <v>113.99520000000001</v>
      </c>
      <c r="T361" s="1" t="s">
        <v>1088</v>
      </c>
      <c r="U361" s="1" t="s">
        <v>1935</v>
      </c>
    </row>
    <row r="362" spans="1:21" x14ac:dyDescent="0.3">
      <c r="A362">
        <v>266</v>
      </c>
      <c r="B362" t="s">
        <v>802</v>
      </c>
      <c r="C362" t="s">
        <v>1085</v>
      </c>
      <c r="D362" t="s">
        <v>7</v>
      </c>
      <c r="E362">
        <v>1964</v>
      </c>
      <c r="F362" t="s">
        <v>1183</v>
      </c>
      <c r="G362">
        <v>1964</v>
      </c>
      <c r="H362">
        <v>45.653098</v>
      </c>
      <c r="I362">
        <v>-73.709829999999997</v>
      </c>
      <c r="J362" t="s">
        <v>1397</v>
      </c>
      <c r="K362" t="s">
        <v>1634</v>
      </c>
      <c r="L362" t="s">
        <v>1167</v>
      </c>
      <c r="M362">
        <f>73*0.3048</f>
        <v>22.250400000000003</v>
      </c>
      <c r="N362" t="s">
        <v>1183</v>
      </c>
      <c r="O362" t="s">
        <v>1453</v>
      </c>
      <c r="P362" t="s">
        <v>220</v>
      </c>
      <c r="Q362" t="s">
        <v>213</v>
      </c>
      <c r="R362">
        <f>167*0.3048</f>
        <v>50.901600000000002</v>
      </c>
      <c r="S362">
        <f>313*0.3048</f>
        <v>95.4024</v>
      </c>
      <c r="T362" s="1" t="s">
        <v>1086</v>
      </c>
      <c r="U362" s="1" t="s">
        <v>1936</v>
      </c>
    </row>
    <row r="363" spans="1:21" x14ac:dyDescent="0.3">
      <c r="A363">
        <v>267</v>
      </c>
      <c r="B363" s="8" t="s">
        <v>803</v>
      </c>
      <c r="C363" t="s">
        <v>1937</v>
      </c>
      <c r="D363" t="s">
        <v>7</v>
      </c>
      <c r="E363">
        <v>1964</v>
      </c>
      <c r="F363" t="s">
        <v>1183</v>
      </c>
      <c r="G363">
        <v>1964</v>
      </c>
      <c r="H363">
        <v>45.662413399999998</v>
      </c>
      <c r="I363">
        <v>-73.638068899999993</v>
      </c>
      <c r="J363" t="s">
        <v>1397</v>
      </c>
      <c r="K363" t="s">
        <v>1634</v>
      </c>
      <c r="L363" t="s">
        <v>1167</v>
      </c>
      <c r="M363">
        <f>69*0.3048</f>
        <v>21.031200000000002</v>
      </c>
      <c r="N363" t="s">
        <v>1183</v>
      </c>
      <c r="O363" t="s">
        <v>1453</v>
      </c>
      <c r="P363" t="s">
        <v>220</v>
      </c>
      <c r="Q363" t="s">
        <v>213</v>
      </c>
      <c r="R363">
        <f>122*0.3048</f>
        <v>37.185600000000001</v>
      </c>
      <c r="S363">
        <f>304*0.3048</f>
        <v>92.659199999999998</v>
      </c>
      <c r="T363" s="1" t="s">
        <v>1938</v>
      </c>
      <c r="U363" s="1" t="s">
        <v>1939</v>
      </c>
    </row>
    <row r="364" spans="1:21" x14ac:dyDescent="0.3">
      <c r="A364">
        <v>268</v>
      </c>
      <c r="B364" t="s">
        <v>805</v>
      </c>
      <c r="C364" t="s">
        <v>1093</v>
      </c>
      <c r="D364" t="s">
        <v>7</v>
      </c>
      <c r="E364">
        <v>1964</v>
      </c>
      <c r="F364" t="s">
        <v>1183</v>
      </c>
      <c r="G364">
        <v>1964</v>
      </c>
      <c r="H364">
        <v>45.656080000000003</v>
      </c>
      <c r="I364">
        <v>-73.647890000000004</v>
      </c>
      <c r="J364" t="s">
        <v>1397</v>
      </c>
      <c r="K364" t="s">
        <v>1634</v>
      </c>
      <c r="L364" t="s">
        <v>1167</v>
      </c>
      <c r="M364">
        <f>94*0.3048</f>
        <v>28.651200000000003</v>
      </c>
      <c r="N364" t="s">
        <v>1183</v>
      </c>
      <c r="O364" t="s">
        <v>1453</v>
      </c>
      <c r="P364" t="s">
        <v>220</v>
      </c>
      <c r="Q364" t="s">
        <v>213</v>
      </c>
      <c r="R364">
        <f>114*0.3048</f>
        <v>34.747199999999999</v>
      </c>
      <c r="S364">
        <f>252*0.3048</f>
        <v>76.809600000000003</v>
      </c>
      <c r="T364" s="1" t="s">
        <v>1094</v>
      </c>
      <c r="U364" s="1" t="s">
        <v>1943</v>
      </c>
    </row>
    <row r="365" spans="1:21" x14ac:dyDescent="0.3">
      <c r="A365">
        <v>269</v>
      </c>
      <c r="B365" s="8" t="s">
        <v>807</v>
      </c>
      <c r="C365" t="s">
        <v>1947</v>
      </c>
      <c r="D365" t="s">
        <v>7</v>
      </c>
      <c r="E365">
        <v>1964</v>
      </c>
      <c r="F365" t="s">
        <v>1183</v>
      </c>
      <c r="G365">
        <v>1964</v>
      </c>
      <c r="H365">
        <v>45.645401</v>
      </c>
      <c r="I365">
        <v>-73.642618999999996</v>
      </c>
      <c r="J365" t="s">
        <v>1397</v>
      </c>
      <c r="K365" t="s">
        <v>1634</v>
      </c>
      <c r="L365" t="s">
        <v>1167</v>
      </c>
      <c r="M365" t="s">
        <v>1183</v>
      </c>
      <c r="N365" t="s">
        <v>1183</v>
      </c>
      <c r="O365" t="s">
        <v>1453</v>
      </c>
      <c r="P365" t="s">
        <v>220</v>
      </c>
      <c r="Q365" t="s">
        <v>213</v>
      </c>
      <c r="R365">
        <f>80*0.3048</f>
        <v>24.384</v>
      </c>
      <c r="S365">
        <f>360*0.3048</f>
        <v>109.72800000000001</v>
      </c>
      <c r="T365" s="1" t="s">
        <v>1948</v>
      </c>
      <c r="U365" s="1" t="s">
        <v>1949</v>
      </c>
    </row>
    <row r="366" spans="1:21" x14ac:dyDescent="0.3">
      <c r="A366">
        <v>270</v>
      </c>
      <c r="B366" s="8" t="s">
        <v>808</v>
      </c>
      <c r="C366" t="s">
        <v>1950</v>
      </c>
      <c r="D366" t="s">
        <v>7</v>
      </c>
      <c r="E366">
        <v>1964</v>
      </c>
      <c r="F366" t="s">
        <v>1183</v>
      </c>
      <c r="G366">
        <v>1964</v>
      </c>
      <c r="H366">
        <v>45.662799999999997</v>
      </c>
      <c r="I366">
        <v>-73.624080000000006</v>
      </c>
      <c r="J366" t="s">
        <v>1397</v>
      </c>
      <c r="K366" t="s">
        <v>1634</v>
      </c>
      <c r="L366" t="s">
        <v>1167</v>
      </c>
      <c r="M366" t="s">
        <v>1183</v>
      </c>
      <c r="N366" t="s">
        <v>1183</v>
      </c>
      <c r="O366" t="s">
        <v>1453</v>
      </c>
      <c r="P366" t="s">
        <v>220</v>
      </c>
      <c r="Q366" t="s">
        <v>213</v>
      </c>
      <c r="R366">
        <f>57*0.3048</f>
        <v>17.3736</v>
      </c>
      <c r="S366">
        <f>368*0.3048</f>
        <v>112.16640000000001</v>
      </c>
      <c r="T366" s="1" t="s">
        <v>1951</v>
      </c>
      <c r="U366" s="1" t="s">
        <v>1952</v>
      </c>
    </row>
    <row r="367" spans="1:21" x14ac:dyDescent="0.3">
      <c r="A367">
        <v>271</v>
      </c>
      <c r="B367" t="s">
        <v>809</v>
      </c>
      <c r="C367" t="s">
        <v>1091</v>
      </c>
      <c r="D367" t="s">
        <v>7</v>
      </c>
      <c r="E367">
        <v>1964</v>
      </c>
      <c r="F367" t="s">
        <v>1183</v>
      </c>
      <c r="G367">
        <v>1964</v>
      </c>
      <c r="H367">
        <v>45.652740000000001</v>
      </c>
      <c r="I367">
        <v>-73.630970000000005</v>
      </c>
      <c r="J367" t="s">
        <v>1397</v>
      </c>
      <c r="K367" t="s">
        <v>1634</v>
      </c>
      <c r="L367" t="s">
        <v>1167</v>
      </c>
      <c r="M367" t="s">
        <v>1183</v>
      </c>
      <c r="N367" t="s">
        <v>1183</v>
      </c>
      <c r="O367" t="s">
        <v>1453</v>
      </c>
      <c r="P367" t="s">
        <v>220</v>
      </c>
      <c r="Q367" t="s">
        <v>404</v>
      </c>
      <c r="R367">
        <f>59*0.3048</f>
        <v>17.9832</v>
      </c>
      <c r="S367">
        <f>383*0.3048</f>
        <v>116.73840000000001</v>
      </c>
      <c r="T367" s="1" t="s">
        <v>1092</v>
      </c>
      <c r="U367" s="1" t="s">
        <v>1953</v>
      </c>
    </row>
    <row r="368" spans="1:21" x14ac:dyDescent="0.3">
      <c r="A368">
        <v>272</v>
      </c>
      <c r="B368" s="8" t="s">
        <v>810</v>
      </c>
      <c r="C368" t="s">
        <v>1954</v>
      </c>
      <c r="D368" t="s">
        <v>7</v>
      </c>
      <c r="E368">
        <v>1964</v>
      </c>
      <c r="F368" t="s">
        <v>1183</v>
      </c>
      <c r="G368">
        <v>1964</v>
      </c>
      <c r="H368">
        <v>45.653348999999999</v>
      </c>
      <c r="I368">
        <v>-73.658258000000004</v>
      </c>
      <c r="J368" t="s">
        <v>1397</v>
      </c>
      <c r="K368" t="s">
        <v>1634</v>
      </c>
      <c r="L368" t="s">
        <v>1167</v>
      </c>
      <c r="M368">
        <f>14*0.3048</f>
        <v>4.2671999999999999</v>
      </c>
      <c r="N368" t="s">
        <v>1183</v>
      </c>
      <c r="O368" t="s">
        <v>1453</v>
      </c>
      <c r="P368" t="s">
        <v>220</v>
      </c>
      <c r="Q368" t="s">
        <v>213</v>
      </c>
      <c r="R368">
        <f>119*0.3048</f>
        <v>36.2712</v>
      </c>
      <c r="S368">
        <f>314*0.3048</f>
        <v>95.7072</v>
      </c>
      <c r="T368" s="1" t="s">
        <v>1955</v>
      </c>
      <c r="U368" s="1" t="s">
        <v>1956</v>
      </c>
    </row>
    <row r="369" spans="1:21" x14ac:dyDescent="0.3">
      <c r="A369">
        <v>273</v>
      </c>
      <c r="B369" t="s">
        <v>812</v>
      </c>
      <c r="C369" t="s">
        <v>1960</v>
      </c>
      <c r="D369" t="s">
        <v>7</v>
      </c>
      <c r="E369">
        <v>1965</v>
      </c>
      <c r="F369">
        <v>1965</v>
      </c>
      <c r="G369" t="s">
        <v>1183</v>
      </c>
      <c r="H369">
        <v>46.219290000000001</v>
      </c>
      <c r="I369">
        <v>-72.50018</v>
      </c>
      <c r="J369" t="s">
        <v>21</v>
      </c>
      <c r="K369" t="s">
        <v>1634</v>
      </c>
      <c r="L369" t="s">
        <v>1167</v>
      </c>
      <c r="M369" t="s">
        <v>1183</v>
      </c>
      <c r="N369" t="s">
        <v>1665</v>
      </c>
      <c r="O369" t="s">
        <v>1217</v>
      </c>
      <c r="P369" t="s">
        <v>220</v>
      </c>
      <c r="Q369" t="s">
        <v>404</v>
      </c>
      <c r="R369" t="s">
        <v>1183</v>
      </c>
      <c r="S369">
        <f>343*0.3048</f>
        <v>104.54640000000001</v>
      </c>
      <c r="T369" s="1" t="s">
        <v>1961</v>
      </c>
      <c r="U369" s="1" t="s">
        <v>1962</v>
      </c>
    </row>
    <row r="370" spans="1:21" x14ac:dyDescent="0.3">
      <c r="A370">
        <v>274</v>
      </c>
      <c r="B370" s="8" t="s">
        <v>813</v>
      </c>
      <c r="C370" t="s">
        <v>1963</v>
      </c>
      <c r="D370" t="s">
        <v>7</v>
      </c>
      <c r="E370">
        <v>1965</v>
      </c>
      <c r="F370">
        <v>1965</v>
      </c>
      <c r="G370" t="s">
        <v>1183</v>
      </c>
      <c r="H370">
        <v>45.815860999999998</v>
      </c>
      <c r="I370">
        <v>-73.373193999999998</v>
      </c>
      <c r="J370" t="s">
        <v>29</v>
      </c>
      <c r="K370" t="s">
        <v>1634</v>
      </c>
      <c r="L370" t="s">
        <v>1167</v>
      </c>
      <c r="M370" t="s">
        <v>1183</v>
      </c>
      <c r="N370" t="s">
        <v>1219</v>
      </c>
      <c r="O370" t="s">
        <v>1217</v>
      </c>
      <c r="P370" t="s">
        <v>212</v>
      </c>
      <c r="Q370" t="s">
        <v>404</v>
      </c>
      <c r="R370" t="s">
        <v>1183</v>
      </c>
      <c r="S370">
        <f>68*0.3048</f>
        <v>20.726400000000002</v>
      </c>
      <c r="T370" t="s">
        <v>220</v>
      </c>
      <c r="U370" s="1" t="s">
        <v>1964</v>
      </c>
    </row>
    <row r="371" spans="1:21" x14ac:dyDescent="0.3">
      <c r="A371">
        <v>275</v>
      </c>
      <c r="B371" s="8" t="s">
        <v>814</v>
      </c>
      <c r="C371" t="s">
        <v>1965</v>
      </c>
      <c r="D371" t="s">
        <v>7</v>
      </c>
      <c r="E371">
        <v>1965</v>
      </c>
      <c r="F371">
        <v>1965</v>
      </c>
      <c r="G371" t="s">
        <v>1183</v>
      </c>
      <c r="H371">
        <v>45.816139</v>
      </c>
      <c r="I371">
        <v>-73.374027999999996</v>
      </c>
      <c r="J371" t="s">
        <v>29</v>
      </c>
      <c r="K371" t="s">
        <v>1634</v>
      </c>
      <c r="L371" t="s">
        <v>1167</v>
      </c>
      <c r="M371" t="s">
        <v>1183</v>
      </c>
      <c r="N371" t="s">
        <v>1219</v>
      </c>
      <c r="O371" t="s">
        <v>1217</v>
      </c>
      <c r="P371" t="s">
        <v>212</v>
      </c>
      <c r="Q371" t="s">
        <v>404</v>
      </c>
      <c r="R371" t="s">
        <v>1183</v>
      </c>
      <c r="S371">
        <f>68*0.3048</f>
        <v>20.726400000000002</v>
      </c>
      <c r="T371" t="s">
        <v>220</v>
      </c>
      <c r="U371" s="1" t="s">
        <v>1966</v>
      </c>
    </row>
    <row r="372" spans="1:21" x14ac:dyDescent="0.3">
      <c r="A372">
        <v>276</v>
      </c>
      <c r="B372" t="s">
        <v>817</v>
      </c>
      <c r="C372" t="s">
        <v>1971</v>
      </c>
      <c r="D372" t="s">
        <v>7</v>
      </c>
      <c r="E372">
        <v>1965</v>
      </c>
      <c r="F372">
        <v>1965</v>
      </c>
      <c r="G372" t="s">
        <v>1183</v>
      </c>
      <c r="H372">
        <v>45.819249999999997</v>
      </c>
      <c r="I372">
        <v>-73.379350000000002</v>
      </c>
      <c r="J372" t="s">
        <v>29</v>
      </c>
      <c r="K372" t="s">
        <v>1634</v>
      </c>
      <c r="L372" t="s">
        <v>1167</v>
      </c>
      <c r="M372" t="s">
        <v>1183</v>
      </c>
      <c r="N372" t="s">
        <v>1225</v>
      </c>
      <c r="O372" t="s">
        <v>1217</v>
      </c>
      <c r="P372" t="s">
        <v>212</v>
      </c>
      <c r="Q372" t="s">
        <v>404</v>
      </c>
      <c r="R372" t="s">
        <v>1183</v>
      </c>
      <c r="S372">
        <f>76*0.3048</f>
        <v>23.1648</v>
      </c>
      <c r="T372" s="1" t="s">
        <v>1972</v>
      </c>
      <c r="U372" s="1" t="s">
        <v>1973</v>
      </c>
    </row>
    <row r="373" spans="1:21" x14ac:dyDescent="0.3">
      <c r="A373">
        <v>277</v>
      </c>
      <c r="B373" t="s">
        <v>820</v>
      </c>
      <c r="C373" t="s">
        <v>1978</v>
      </c>
      <c r="D373" t="s">
        <v>7</v>
      </c>
      <c r="E373">
        <v>1965</v>
      </c>
      <c r="F373" t="s">
        <v>1183</v>
      </c>
      <c r="G373">
        <v>1965</v>
      </c>
      <c r="H373">
        <v>46.272527777999997</v>
      </c>
      <c r="I373">
        <v>-72.920388888999994</v>
      </c>
      <c r="J373" t="s">
        <v>12</v>
      </c>
      <c r="K373" t="s">
        <v>1634</v>
      </c>
      <c r="L373" t="s">
        <v>1173</v>
      </c>
      <c r="M373">
        <f>86*0.3048</f>
        <v>26.212800000000001</v>
      </c>
      <c r="N373" t="s">
        <v>1766</v>
      </c>
      <c r="O373" t="s">
        <v>1186</v>
      </c>
      <c r="P373" t="s">
        <v>220</v>
      </c>
      <c r="Q373" t="s">
        <v>213</v>
      </c>
      <c r="R373" t="s">
        <v>1183</v>
      </c>
      <c r="S373">
        <f>236*0.3048</f>
        <v>71.9328</v>
      </c>
      <c r="T373" s="1" t="s">
        <v>1979</v>
      </c>
      <c r="U373" s="1" t="s">
        <v>1980</v>
      </c>
    </row>
    <row r="374" spans="1:21" x14ac:dyDescent="0.3">
      <c r="A374">
        <v>278</v>
      </c>
      <c r="B374" t="s">
        <v>821</v>
      </c>
      <c r="C374" t="s">
        <v>1981</v>
      </c>
      <c r="D374" t="s">
        <v>7</v>
      </c>
      <c r="E374">
        <v>1965</v>
      </c>
      <c r="F374" t="s">
        <v>1183</v>
      </c>
      <c r="G374">
        <v>1965</v>
      </c>
      <c r="H374">
        <v>46.273356389</v>
      </c>
      <c r="I374">
        <v>-72.943907777999996</v>
      </c>
      <c r="J374" t="s">
        <v>12</v>
      </c>
      <c r="K374" t="s">
        <v>1634</v>
      </c>
      <c r="L374" t="s">
        <v>1173</v>
      </c>
      <c r="M374">
        <f>92*0.3048</f>
        <v>28.041600000000003</v>
      </c>
      <c r="N374" t="s">
        <v>1219</v>
      </c>
      <c r="O374" t="s">
        <v>1186</v>
      </c>
      <c r="P374" t="s">
        <v>220</v>
      </c>
      <c r="Q374" t="s">
        <v>213</v>
      </c>
      <c r="R374">
        <f>60*0.3048</f>
        <v>18.288</v>
      </c>
      <c r="S374">
        <f>173*0.3048</f>
        <v>52.730400000000003</v>
      </c>
      <c r="T374" s="1" t="s">
        <v>1982</v>
      </c>
      <c r="U374" s="1" t="s">
        <v>1983</v>
      </c>
    </row>
    <row r="375" spans="1:21" x14ac:dyDescent="0.3">
      <c r="A375">
        <v>279</v>
      </c>
      <c r="B375" t="s">
        <v>822</v>
      </c>
      <c r="C375" t="s">
        <v>1984</v>
      </c>
      <c r="D375" t="s">
        <v>7</v>
      </c>
      <c r="E375">
        <v>1965</v>
      </c>
      <c r="F375" t="s">
        <v>1183</v>
      </c>
      <c r="G375">
        <v>1965</v>
      </c>
      <c r="H375">
        <v>46.257669444000001</v>
      </c>
      <c r="I375">
        <v>-72.906362778000002</v>
      </c>
      <c r="J375" t="s">
        <v>12</v>
      </c>
      <c r="K375" t="s">
        <v>1634</v>
      </c>
      <c r="L375" t="s">
        <v>1173</v>
      </c>
      <c r="M375">
        <f>62*0.3048</f>
        <v>18.897600000000001</v>
      </c>
      <c r="N375" t="s">
        <v>1219</v>
      </c>
      <c r="O375" t="s">
        <v>1186</v>
      </c>
      <c r="P375" t="s">
        <v>212</v>
      </c>
      <c r="Q375" t="s">
        <v>213</v>
      </c>
      <c r="R375">
        <f>28*0.3048</f>
        <v>8.5343999999999998</v>
      </c>
      <c r="S375">
        <f>277*0.3048</f>
        <v>84.429600000000008</v>
      </c>
      <c r="T375" s="1" t="s">
        <v>1985</v>
      </c>
      <c r="U375" s="1" t="s">
        <v>1986</v>
      </c>
    </row>
    <row r="376" spans="1:21" x14ac:dyDescent="0.3">
      <c r="A376">
        <v>280</v>
      </c>
      <c r="B376" t="s">
        <v>823</v>
      </c>
      <c r="C376" t="s">
        <v>1987</v>
      </c>
      <c r="D376" t="s">
        <v>7</v>
      </c>
      <c r="E376">
        <v>1965</v>
      </c>
      <c r="F376" t="s">
        <v>1183</v>
      </c>
      <c r="G376">
        <v>1965</v>
      </c>
      <c r="H376">
        <v>46.235196389000002</v>
      </c>
      <c r="I376">
        <v>-72.971432500000006</v>
      </c>
      <c r="J376" t="s">
        <v>12</v>
      </c>
      <c r="K376" t="s">
        <v>1634</v>
      </c>
      <c r="L376" t="s">
        <v>1173</v>
      </c>
      <c r="M376">
        <f>94*0.3048</f>
        <v>28.651200000000003</v>
      </c>
      <c r="N376" t="s">
        <v>1219</v>
      </c>
      <c r="O376" t="s">
        <v>1186</v>
      </c>
      <c r="P376" t="s">
        <v>212</v>
      </c>
      <c r="Q376" t="s">
        <v>213</v>
      </c>
      <c r="R376">
        <f>29*0.3048</f>
        <v>8.8391999999999999</v>
      </c>
      <c r="S376">
        <f>163*0.3048</f>
        <v>49.682400000000001</v>
      </c>
      <c r="T376" s="1" t="s">
        <v>1988</v>
      </c>
      <c r="U376" s="1" t="s">
        <v>1989</v>
      </c>
    </row>
    <row r="377" spans="1:21" x14ac:dyDescent="0.3">
      <c r="A377">
        <v>281</v>
      </c>
      <c r="B377" t="s">
        <v>824</v>
      </c>
      <c r="C377" t="s">
        <v>1990</v>
      </c>
      <c r="D377" t="s">
        <v>7</v>
      </c>
      <c r="E377">
        <v>1965</v>
      </c>
      <c r="F377" t="s">
        <v>1183</v>
      </c>
      <c r="G377">
        <v>1965</v>
      </c>
      <c r="H377">
        <v>46.185499999999998</v>
      </c>
      <c r="I377">
        <v>-73.030360000000002</v>
      </c>
      <c r="J377" t="s">
        <v>12</v>
      </c>
      <c r="K377" t="s">
        <v>1634</v>
      </c>
      <c r="L377" t="s">
        <v>1173</v>
      </c>
      <c r="M377">
        <f>81*0.3048</f>
        <v>24.688800000000001</v>
      </c>
      <c r="N377" t="s">
        <v>1219</v>
      </c>
      <c r="O377" t="s">
        <v>1186</v>
      </c>
      <c r="P377" t="s">
        <v>212</v>
      </c>
      <c r="Q377" t="s">
        <v>213</v>
      </c>
      <c r="R377" t="s">
        <v>1183</v>
      </c>
      <c r="S377">
        <f>228*0.3048</f>
        <v>69.494399999999999</v>
      </c>
      <c r="T377" s="1" t="s">
        <v>1991</v>
      </c>
      <c r="U377" s="1" t="s">
        <v>1992</v>
      </c>
    </row>
    <row r="378" spans="1:21" x14ac:dyDescent="0.3">
      <c r="A378">
        <v>282</v>
      </c>
      <c r="B378" t="s">
        <v>825</v>
      </c>
      <c r="C378" t="s">
        <v>1083</v>
      </c>
      <c r="D378" t="s">
        <v>7</v>
      </c>
      <c r="E378">
        <v>1965</v>
      </c>
      <c r="F378">
        <v>1965</v>
      </c>
      <c r="G378" t="s">
        <v>1183</v>
      </c>
      <c r="H378">
        <v>45.895814166999997</v>
      </c>
      <c r="I378">
        <v>-73.375494166999999</v>
      </c>
      <c r="J378" t="s">
        <v>29</v>
      </c>
      <c r="K378" t="s">
        <v>1634</v>
      </c>
      <c r="L378" t="s">
        <v>1167</v>
      </c>
      <c r="M378">
        <f>53*0.3048</f>
        <v>16.154400000000003</v>
      </c>
      <c r="N378" t="s">
        <v>1665</v>
      </c>
      <c r="O378" t="s">
        <v>1221</v>
      </c>
      <c r="P378" t="s">
        <v>212</v>
      </c>
      <c r="Q378" t="s">
        <v>404</v>
      </c>
      <c r="R378" t="s">
        <v>1183</v>
      </c>
      <c r="S378">
        <f>117*0.3048</f>
        <v>35.6616</v>
      </c>
      <c r="T378" s="1" t="s">
        <v>1084</v>
      </c>
      <c r="U378" s="1" t="s">
        <v>1993</v>
      </c>
    </row>
    <row r="379" spans="1:21" x14ac:dyDescent="0.3">
      <c r="A379">
        <v>283</v>
      </c>
      <c r="B379" t="s">
        <v>826</v>
      </c>
      <c r="C379" t="s">
        <v>1081</v>
      </c>
      <c r="D379" t="s">
        <v>7</v>
      </c>
      <c r="E379">
        <v>1965</v>
      </c>
      <c r="F379" t="s">
        <v>1183</v>
      </c>
      <c r="G379">
        <v>1965</v>
      </c>
      <c r="H379">
        <v>45.894559999999998</v>
      </c>
      <c r="I379">
        <v>-73.376800000000003</v>
      </c>
      <c r="J379" t="s">
        <v>29</v>
      </c>
      <c r="K379" t="s">
        <v>1634</v>
      </c>
      <c r="L379" t="s">
        <v>1167</v>
      </c>
      <c r="M379">
        <f>46*0.3048</f>
        <v>14.020800000000001</v>
      </c>
      <c r="N379" t="s">
        <v>1766</v>
      </c>
      <c r="O379" t="s">
        <v>1221</v>
      </c>
      <c r="P379" t="s">
        <v>212</v>
      </c>
      <c r="Q379" t="s">
        <v>404</v>
      </c>
      <c r="R379" t="s">
        <v>1183</v>
      </c>
      <c r="S379">
        <f>65*0.3048</f>
        <v>19.812000000000001</v>
      </c>
      <c r="T379" s="1" t="s">
        <v>1082</v>
      </c>
      <c r="U379" s="1" t="s">
        <v>1994</v>
      </c>
    </row>
    <row r="380" spans="1:21" x14ac:dyDescent="0.3">
      <c r="A380">
        <v>284</v>
      </c>
      <c r="B380" t="s">
        <v>827</v>
      </c>
      <c r="C380" t="s">
        <v>1075</v>
      </c>
      <c r="D380" t="s">
        <v>7</v>
      </c>
      <c r="E380">
        <v>1965</v>
      </c>
      <c r="F380">
        <v>1965</v>
      </c>
      <c r="G380" t="s">
        <v>1183</v>
      </c>
      <c r="H380">
        <v>45.882370000000002</v>
      </c>
      <c r="I380">
        <v>-73.370720000000006</v>
      </c>
      <c r="J380" t="s">
        <v>29</v>
      </c>
      <c r="K380" t="s">
        <v>1634</v>
      </c>
      <c r="L380" t="s">
        <v>1167</v>
      </c>
      <c r="M380">
        <f>70*0.3048</f>
        <v>21.336000000000002</v>
      </c>
      <c r="N380" t="s">
        <v>1225</v>
      </c>
      <c r="O380" t="s">
        <v>1221</v>
      </c>
      <c r="P380" t="s">
        <v>212</v>
      </c>
      <c r="Q380" t="s">
        <v>404</v>
      </c>
      <c r="R380">
        <f>73*0.3048</f>
        <v>22.250400000000003</v>
      </c>
      <c r="S380">
        <f>126*0.3048</f>
        <v>38.404800000000002</v>
      </c>
      <c r="T380" s="1" t="s">
        <v>1076</v>
      </c>
      <c r="U380" s="1" t="s">
        <v>1995</v>
      </c>
    </row>
    <row r="381" spans="1:21" x14ac:dyDescent="0.3">
      <c r="A381">
        <v>285</v>
      </c>
      <c r="B381" t="s">
        <v>828</v>
      </c>
      <c r="C381" t="s">
        <v>1071</v>
      </c>
      <c r="D381" t="s">
        <v>7</v>
      </c>
      <c r="E381">
        <v>1965</v>
      </c>
      <c r="F381">
        <v>1965</v>
      </c>
      <c r="G381" t="s">
        <v>1183</v>
      </c>
      <c r="H381">
        <v>45.880682999999998</v>
      </c>
      <c r="I381">
        <v>-73.368380999999999</v>
      </c>
      <c r="J381" t="s">
        <v>29</v>
      </c>
      <c r="K381" t="s">
        <v>1634</v>
      </c>
      <c r="L381" t="s">
        <v>1167</v>
      </c>
      <c r="M381">
        <f>70*0.3048</f>
        <v>21.336000000000002</v>
      </c>
      <c r="N381" t="s">
        <v>1183</v>
      </c>
      <c r="O381" t="s">
        <v>1221</v>
      </c>
      <c r="P381" t="s">
        <v>220</v>
      </c>
      <c r="Q381" t="s">
        <v>404</v>
      </c>
      <c r="R381">
        <f>75*0.3048</f>
        <v>22.86</v>
      </c>
      <c r="S381">
        <f>129*0.3048</f>
        <v>39.319200000000002</v>
      </c>
      <c r="T381" s="1" t="s">
        <v>1072</v>
      </c>
      <c r="U381" s="1" t="s">
        <v>1996</v>
      </c>
    </row>
    <row r="382" spans="1:21" x14ac:dyDescent="0.3">
      <c r="A382">
        <v>286</v>
      </c>
      <c r="B382" s="8" t="s">
        <v>829</v>
      </c>
      <c r="C382" t="s">
        <v>1997</v>
      </c>
      <c r="D382" t="s">
        <v>7</v>
      </c>
      <c r="E382">
        <v>1965</v>
      </c>
      <c r="F382">
        <v>1965</v>
      </c>
      <c r="G382" t="s">
        <v>1183</v>
      </c>
      <c r="H382">
        <v>45.886625000000002</v>
      </c>
      <c r="I382">
        <v>-73.374525000000006</v>
      </c>
      <c r="J382" t="s">
        <v>29</v>
      </c>
      <c r="K382" t="s">
        <v>1634</v>
      </c>
      <c r="L382" t="s">
        <v>1167</v>
      </c>
      <c r="M382">
        <f>60*0.3048</f>
        <v>18.288</v>
      </c>
      <c r="N382" t="s">
        <v>1219</v>
      </c>
      <c r="O382" t="s">
        <v>1221</v>
      </c>
      <c r="P382" t="s">
        <v>212</v>
      </c>
      <c r="Q382" t="s">
        <v>404</v>
      </c>
      <c r="R382">
        <f>73*0.3048</f>
        <v>22.250400000000003</v>
      </c>
      <c r="S382">
        <f>82*0.3048</f>
        <v>24.993600000000001</v>
      </c>
      <c r="T382" s="1" t="s">
        <v>1998</v>
      </c>
      <c r="U382" s="1" t="s">
        <v>1999</v>
      </c>
    </row>
    <row r="383" spans="1:21" x14ac:dyDescent="0.3">
      <c r="A383">
        <v>287</v>
      </c>
      <c r="B383" s="7" t="s">
        <v>860</v>
      </c>
      <c r="C383" t="s">
        <v>2063</v>
      </c>
      <c r="D383" t="s">
        <v>7</v>
      </c>
      <c r="E383">
        <v>1967</v>
      </c>
      <c r="F383" t="s">
        <v>1183</v>
      </c>
      <c r="G383" t="s">
        <v>1183</v>
      </c>
      <c r="H383">
        <v>45.013240000000003</v>
      </c>
      <c r="I383">
        <v>-74.451729999999998</v>
      </c>
      <c r="J383" t="s">
        <v>15</v>
      </c>
      <c r="K383" t="s">
        <v>1634</v>
      </c>
      <c r="L383" t="s">
        <v>1167</v>
      </c>
      <c r="M383" t="s">
        <v>1183</v>
      </c>
      <c r="N383" t="s">
        <v>1183</v>
      </c>
      <c r="O383" t="s">
        <v>1478</v>
      </c>
      <c r="P383" t="s">
        <v>212</v>
      </c>
      <c r="Q383" t="s">
        <v>404</v>
      </c>
      <c r="R383" t="s">
        <v>1183</v>
      </c>
      <c r="S383">
        <f>379*0.3048</f>
        <v>115.51920000000001</v>
      </c>
      <c r="T383" s="1" t="s">
        <v>2064</v>
      </c>
      <c r="U383" s="1" t="s">
        <v>2065</v>
      </c>
    </row>
    <row r="384" spans="1:21" x14ac:dyDescent="0.3">
      <c r="A384">
        <v>288</v>
      </c>
      <c r="B384" t="s">
        <v>861</v>
      </c>
      <c r="C384" t="s">
        <v>2066</v>
      </c>
      <c r="D384" t="s">
        <v>7</v>
      </c>
      <c r="E384">
        <v>1972</v>
      </c>
      <c r="F384" t="s">
        <v>1183</v>
      </c>
      <c r="G384">
        <v>1972</v>
      </c>
      <c r="H384">
        <v>46.272722000000002</v>
      </c>
      <c r="I384">
        <v>-72.721528000000006</v>
      </c>
      <c r="J384" t="s">
        <v>12</v>
      </c>
      <c r="K384" t="s">
        <v>1634</v>
      </c>
      <c r="L384" t="s">
        <v>1173</v>
      </c>
      <c r="M384">
        <f>150*0.3048</f>
        <v>45.72</v>
      </c>
      <c r="N384" t="s">
        <v>1183</v>
      </c>
      <c r="O384" t="s">
        <v>1194</v>
      </c>
      <c r="P384" t="s">
        <v>220</v>
      </c>
      <c r="Q384" t="s">
        <v>213</v>
      </c>
      <c r="R384" t="s">
        <v>1183</v>
      </c>
      <c r="S384">
        <f>297*0.3048</f>
        <v>90.525600000000011</v>
      </c>
      <c r="T384" s="1" t="s">
        <v>2067</v>
      </c>
      <c r="U384" s="1" t="s">
        <v>2068</v>
      </c>
    </row>
    <row r="385" spans="1:21" x14ac:dyDescent="0.3">
      <c r="A385">
        <v>289</v>
      </c>
      <c r="B385" t="s">
        <v>862</v>
      </c>
      <c r="C385" t="s">
        <v>2069</v>
      </c>
      <c r="D385" t="s">
        <v>7</v>
      </c>
      <c r="E385">
        <v>1972</v>
      </c>
      <c r="F385" t="s">
        <v>1183</v>
      </c>
      <c r="G385">
        <v>1972</v>
      </c>
      <c r="H385">
        <v>46.266916999999999</v>
      </c>
      <c r="I385">
        <v>-72.741611000000006</v>
      </c>
      <c r="J385" t="s">
        <v>12</v>
      </c>
      <c r="K385" t="s">
        <v>1634</v>
      </c>
      <c r="L385" t="s">
        <v>1173</v>
      </c>
      <c r="M385">
        <f>217*0.3048</f>
        <v>66.141599999999997</v>
      </c>
      <c r="N385" t="s">
        <v>1738</v>
      </c>
      <c r="O385" t="s">
        <v>1194</v>
      </c>
      <c r="P385" t="s">
        <v>220</v>
      </c>
      <c r="Q385" t="s">
        <v>213</v>
      </c>
      <c r="R385" t="s">
        <v>1183</v>
      </c>
      <c r="S385">
        <f>360*0.3048</f>
        <v>109.72800000000001</v>
      </c>
      <c r="T385" s="1" t="s">
        <v>2070</v>
      </c>
      <c r="U385" s="1" t="s">
        <v>2071</v>
      </c>
    </row>
    <row r="386" spans="1:21" x14ac:dyDescent="0.3">
      <c r="A386">
        <v>290</v>
      </c>
      <c r="B386" s="8" t="s">
        <v>864</v>
      </c>
      <c r="C386" t="s">
        <v>2077</v>
      </c>
      <c r="D386" t="s">
        <v>7</v>
      </c>
      <c r="E386">
        <v>1972</v>
      </c>
      <c r="F386" t="s">
        <v>1183</v>
      </c>
      <c r="G386">
        <v>1972</v>
      </c>
      <c r="H386">
        <v>45.943227100000001</v>
      </c>
      <c r="I386">
        <v>-73.248479399999994</v>
      </c>
      <c r="J386" t="s">
        <v>29</v>
      </c>
      <c r="K386" t="s">
        <v>1634</v>
      </c>
      <c r="L386" t="s">
        <v>1173</v>
      </c>
      <c r="M386">
        <f>233*0.3048</f>
        <v>71.0184</v>
      </c>
      <c r="N386" t="s">
        <v>1183</v>
      </c>
      <c r="O386" t="s">
        <v>2078</v>
      </c>
      <c r="P386" t="s">
        <v>220</v>
      </c>
      <c r="Q386" t="s">
        <v>213</v>
      </c>
      <c r="R386">
        <f>84*0.3048</f>
        <v>25.603200000000001</v>
      </c>
      <c r="S386">
        <f>249*0.3048</f>
        <v>75.895200000000003</v>
      </c>
      <c r="T386" s="1" t="s">
        <v>2079</v>
      </c>
      <c r="U386" s="1" t="s">
        <v>2080</v>
      </c>
    </row>
    <row r="387" spans="1:21" x14ac:dyDescent="0.3">
      <c r="A387">
        <v>291</v>
      </c>
      <c r="B387" t="s">
        <v>865</v>
      </c>
      <c r="C387" t="s">
        <v>2081</v>
      </c>
      <c r="D387" t="s">
        <v>7</v>
      </c>
      <c r="E387">
        <v>1987</v>
      </c>
      <c r="F387">
        <v>1987</v>
      </c>
      <c r="G387">
        <v>1995</v>
      </c>
      <c r="H387">
        <v>46.269083332999998</v>
      </c>
      <c r="I387">
        <v>-72.856972221999996</v>
      </c>
      <c r="J387" t="s">
        <v>12</v>
      </c>
      <c r="K387" t="s">
        <v>1634</v>
      </c>
      <c r="L387" t="s">
        <v>1173</v>
      </c>
      <c r="M387" t="s">
        <v>1183</v>
      </c>
      <c r="N387" t="s">
        <v>1183</v>
      </c>
      <c r="O387" t="s">
        <v>1222</v>
      </c>
      <c r="P387" t="s">
        <v>212</v>
      </c>
      <c r="Q387" t="s">
        <v>404</v>
      </c>
      <c r="R387">
        <v>6</v>
      </c>
      <c r="S387">
        <v>102</v>
      </c>
      <c r="T387" s="1" t="s">
        <v>2082</v>
      </c>
      <c r="U387" s="1" t="s">
        <v>2083</v>
      </c>
    </row>
    <row r="388" spans="1:21" x14ac:dyDescent="0.3">
      <c r="A388">
        <v>292</v>
      </c>
      <c r="B388" t="s">
        <v>866</v>
      </c>
      <c r="C388" t="s">
        <v>2084</v>
      </c>
      <c r="D388" t="s">
        <v>7</v>
      </c>
      <c r="E388">
        <v>1987</v>
      </c>
      <c r="F388" t="s">
        <v>1183</v>
      </c>
      <c r="G388">
        <v>1995</v>
      </c>
      <c r="H388">
        <v>46.269076388999999</v>
      </c>
      <c r="I388">
        <v>-72.856940832999996</v>
      </c>
      <c r="J388" t="s">
        <v>12</v>
      </c>
      <c r="K388" t="s">
        <v>1634</v>
      </c>
      <c r="L388" t="s">
        <v>1173</v>
      </c>
      <c r="M388">
        <v>88</v>
      </c>
      <c r="N388" t="s">
        <v>1183</v>
      </c>
      <c r="O388" t="s">
        <v>1222</v>
      </c>
      <c r="P388" t="s">
        <v>212</v>
      </c>
      <c r="Q388" t="s">
        <v>213</v>
      </c>
      <c r="R388">
        <v>6</v>
      </c>
      <c r="S388">
        <v>90</v>
      </c>
      <c r="T388" s="1" t="s">
        <v>2085</v>
      </c>
      <c r="U388" s="1" t="s">
        <v>2086</v>
      </c>
    </row>
    <row r="389" spans="1:21" x14ac:dyDescent="0.3">
      <c r="A389">
        <v>293</v>
      </c>
      <c r="B389" s="7" t="s">
        <v>867</v>
      </c>
      <c r="C389" t="s">
        <v>2087</v>
      </c>
      <c r="D389" t="s">
        <v>7</v>
      </c>
      <c r="E389">
        <v>1988</v>
      </c>
      <c r="F389" t="s">
        <v>1183</v>
      </c>
      <c r="G389">
        <v>1995</v>
      </c>
      <c r="H389">
        <v>46.259059999999998</v>
      </c>
      <c r="I389">
        <v>-72.951459999999997</v>
      </c>
      <c r="J389" t="s">
        <v>12</v>
      </c>
      <c r="K389" t="s">
        <v>1634</v>
      </c>
      <c r="L389" t="s">
        <v>1173</v>
      </c>
      <c r="M389" t="s">
        <v>1183</v>
      </c>
      <c r="N389" t="s">
        <v>1183</v>
      </c>
      <c r="O389" t="s">
        <v>1222</v>
      </c>
      <c r="P389" t="s">
        <v>212</v>
      </c>
      <c r="Q389" t="s">
        <v>404</v>
      </c>
      <c r="R389">
        <v>10</v>
      </c>
      <c r="S389">
        <v>55</v>
      </c>
      <c r="T389" s="1" t="s">
        <v>2088</v>
      </c>
      <c r="U389" s="1" t="s">
        <v>2089</v>
      </c>
    </row>
    <row r="390" spans="1:21" x14ac:dyDescent="0.3">
      <c r="A390">
        <v>294</v>
      </c>
      <c r="B390" t="s">
        <v>868</v>
      </c>
      <c r="C390" t="s">
        <v>2090</v>
      </c>
      <c r="D390" t="s">
        <v>7</v>
      </c>
      <c r="E390">
        <v>1988</v>
      </c>
      <c r="F390" t="s">
        <v>1183</v>
      </c>
      <c r="G390">
        <v>1988</v>
      </c>
      <c r="H390">
        <v>46.265721999999997</v>
      </c>
      <c r="I390">
        <v>-72.743806000000006</v>
      </c>
      <c r="J390" t="s">
        <v>12</v>
      </c>
      <c r="K390" t="s">
        <v>1634</v>
      </c>
      <c r="L390" t="s">
        <v>1173</v>
      </c>
      <c r="M390">
        <v>98</v>
      </c>
      <c r="N390" t="s">
        <v>1183</v>
      </c>
      <c r="O390" t="s">
        <v>2091</v>
      </c>
      <c r="P390" t="s">
        <v>212</v>
      </c>
      <c r="Q390" t="s">
        <v>213</v>
      </c>
      <c r="R390">
        <v>5</v>
      </c>
      <c r="S390">
        <v>103</v>
      </c>
      <c r="T390" s="1" t="s">
        <v>2092</v>
      </c>
      <c r="U390" s="1" t="s">
        <v>2093</v>
      </c>
    </row>
    <row r="391" spans="1:21" x14ac:dyDescent="0.3">
      <c r="A391">
        <v>295</v>
      </c>
      <c r="B391" t="s">
        <v>869</v>
      </c>
      <c r="C391" t="s">
        <v>2094</v>
      </c>
      <c r="D391" t="s">
        <v>7</v>
      </c>
      <c r="E391">
        <v>1988</v>
      </c>
      <c r="F391" t="s">
        <v>1183</v>
      </c>
      <c r="G391">
        <v>1988</v>
      </c>
      <c r="H391">
        <v>46.181806000000002</v>
      </c>
      <c r="I391">
        <v>-72.822528000000005</v>
      </c>
      <c r="J391" t="s">
        <v>21</v>
      </c>
      <c r="K391" t="s">
        <v>1634</v>
      </c>
      <c r="L391" t="s">
        <v>1173</v>
      </c>
      <c r="M391">
        <v>46</v>
      </c>
      <c r="N391" t="s">
        <v>1183</v>
      </c>
      <c r="O391" t="s">
        <v>2091</v>
      </c>
      <c r="P391" t="s">
        <v>212</v>
      </c>
      <c r="Q391" t="s">
        <v>213</v>
      </c>
      <c r="R391">
        <v>5</v>
      </c>
      <c r="S391">
        <v>105</v>
      </c>
      <c r="T391" s="1" t="s">
        <v>2095</v>
      </c>
      <c r="U391" s="1" t="s">
        <v>2096</v>
      </c>
    </row>
    <row r="392" spans="1:21" x14ac:dyDescent="0.3">
      <c r="A392">
        <v>296</v>
      </c>
      <c r="B392" t="s">
        <v>870</v>
      </c>
      <c r="C392" t="s">
        <v>2097</v>
      </c>
      <c r="D392" t="s">
        <v>7</v>
      </c>
      <c r="E392">
        <v>1989</v>
      </c>
      <c r="F392">
        <v>1989</v>
      </c>
      <c r="G392">
        <v>1995</v>
      </c>
      <c r="H392">
        <v>46.264803055999998</v>
      </c>
      <c r="I392">
        <v>-72.865930277999993</v>
      </c>
      <c r="J392" t="s">
        <v>12</v>
      </c>
      <c r="K392" t="s">
        <v>1634</v>
      </c>
      <c r="L392" t="s">
        <v>1173</v>
      </c>
      <c r="M392">
        <v>73</v>
      </c>
      <c r="N392" t="s">
        <v>1183</v>
      </c>
      <c r="O392" t="s">
        <v>1222</v>
      </c>
      <c r="P392" t="s">
        <v>212</v>
      </c>
      <c r="Q392" t="s">
        <v>213</v>
      </c>
      <c r="R392">
        <v>6</v>
      </c>
      <c r="S392">
        <v>82</v>
      </c>
      <c r="T392" s="1" t="s">
        <v>2098</v>
      </c>
      <c r="U392" s="1" t="s">
        <v>2099</v>
      </c>
    </row>
    <row r="393" spans="1:21" x14ac:dyDescent="0.3">
      <c r="A393">
        <v>297</v>
      </c>
      <c r="B393" t="s">
        <v>871</v>
      </c>
      <c r="C393" t="s">
        <v>2100</v>
      </c>
      <c r="D393" t="s">
        <v>7</v>
      </c>
      <c r="E393">
        <v>1989</v>
      </c>
      <c r="F393">
        <v>1989</v>
      </c>
      <c r="G393">
        <v>1995</v>
      </c>
      <c r="H393">
        <v>46.263846944000001</v>
      </c>
      <c r="I393">
        <v>-72.867208055999996</v>
      </c>
      <c r="J393" t="s">
        <v>12</v>
      </c>
      <c r="K393" t="s">
        <v>1634</v>
      </c>
      <c r="L393" t="s">
        <v>1173</v>
      </c>
      <c r="M393">
        <v>75</v>
      </c>
      <c r="N393" t="s">
        <v>1219</v>
      </c>
      <c r="O393" t="s">
        <v>1222</v>
      </c>
      <c r="P393" t="s">
        <v>212</v>
      </c>
      <c r="Q393" t="s">
        <v>213</v>
      </c>
      <c r="R393">
        <v>6</v>
      </c>
      <c r="S393">
        <v>79</v>
      </c>
      <c r="T393" s="1" t="s">
        <v>2101</v>
      </c>
      <c r="U393" s="1" t="s">
        <v>2102</v>
      </c>
    </row>
    <row r="394" spans="1:21" x14ac:dyDescent="0.3">
      <c r="A394">
        <v>298</v>
      </c>
      <c r="B394" t="s">
        <v>872</v>
      </c>
      <c r="C394" t="s">
        <v>2103</v>
      </c>
      <c r="D394" t="s">
        <v>7</v>
      </c>
      <c r="E394">
        <v>1989</v>
      </c>
      <c r="F394" t="s">
        <v>1183</v>
      </c>
      <c r="G394">
        <v>1995</v>
      </c>
      <c r="H394">
        <v>46.263846944000001</v>
      </c>
      <c r="I394">
        <v>-72.867208055999996</v>
      </c>
      <c r="J394" t="s">
        <v>12</v>
      </c>
      <c r="K394" t="s">
        <v>1634</v>
      </c>
      <c r="L394" t="s">
        <v>1173</v>
      </c>
      <c r="M394">
        <v>73</v>
      </c>
      <c r="N394" t="s">
        <v>1219</v>
      </c>
      <c r="O394" t="s">
        <v>1222</v>
      </c>
      <c r="P394" t="s">
        <v>212</v>
      </c>
      <c r="Q394" t="s">
        <v>213</v>
      </c>
      <c r="R394">
        <v>6</v>
      </c>
      <c r="S394">
        <v>94</v>
      </c>
      <c r="T394" s="1" t="s">
        <v>2104</v>
      </c>
      <c r="U394" s="1" t="s">
        <v>2105</v>
      </c>
    </row>
    <row r="395" spans="1:21" x14ac:dyDescent="0.3">
      <c r="A395">
        <v>299</v>
      </c>
      <c r="B395" t="s">
        <v>873</v>
      </c>
      <c r="C395" t="s">
        <v>2106</v>
      </c>
      <c r="D395" t="s">
        <v>7</v>
      </c>
      <c r="E395">
        <v>1992</v>
      </c>
      <c r="F395" t="s">
        <v>1183</v>
      </c>
      <c r="G395" t="s">
        <v>1183</v>
      </c>
      <c r="H395">
        <v>46.274111111000003</v>
      </c>
      <c r="I395">
        <v>-72.832722222000001</v>
      </c>
      <c r="J395" t="s">
        <v>12</v>
      </c>
      <c r="K395" t="s">
        <v>1634</v>
      </c>
      <c r="L395" t="s">
        <v>1173</v>
      </c>
      <c r="M395">
        <v>61</v>
      </c>
      <c r="N395" t="s">
        <v>1209</v>
      </c>
      <c r="O395" t="s">
        <v>2107</v>
      </c>
      <c r="P395" t="s">
        <v>212</v>
      </c>
      <c r="Q395" t="s">
        <v>404</v>
      </c>
      <c r="R395">
        <v>8</v>
      </c>
      <c r="S395">
        <v>103</v>
      </c>
      <c r="T395" s="1" t="s">
        <v>2108</v>
      </c>
      <c r="U395" s="1" t="s">
        <v>2109</v>
      </c>
    </row>
    <row r="396" spans="1:21" x14ac:dyDescent="0.3">
      <c r="A396">
        <v>300</v>
      </c>
      <c r="B396" t="s">
        <v>874</v>
      </c>
      <c r="C396" t="s">
        <v>2110</v>
      </c>
      <c r="D396" t="s">
        <v>7</v>
      </c>
      <c r="E396">
        <v>2000</v>
      </c>
      <c r="F396" t="s">
        <v>1183</v>
      </c>
      <c r="G396">
        <v>2007</v>
      </c>
      <c r="H396">
        <v>46.432330999999998</v>
      </c>
      <c r="I396">
        <v>-72.884129000000001</v>
      </c>
      <c r="J396" t="s">
        <v>12</v>
      </c>
      <c r="K396" t="s">
        <v>1634</v>
      </c>
      <c r="L396" t="s">
        <v>1173</v>
      </c>
      <c r="M396">
        <v>76.599999999999994</v>
      </c>
      <c r="N396" t="s">
        <v>2111</v>
      </c>
      <c r="O396" t="s">
        <v>1586</v>
      </c>
      <c r="P396" t="s">
        <v>220</v>
      </c>
      <c r="Q396" t="s">
        <v>213</v>
      </c>
      <c r="R396">
        <v>105</v>
      </c>
      <c r="S396">
        <v>92</v>
      </c>
      <c r="T396" s="1" t="s">
        <v>2112</v>
      </c>
      <c r="U396" s="1" t="s">
        <v>2113</v>
      </c>
    </row>
    <row r="397" spans="1:21" x14ac:dyDescent="0.3">
      <c r="A397">
        <v>301</v>
      </c>
      <c r="B397" t="s">
        <v>875</v>
      </c>
      <c r="C397" t="s">
        <v>2114</v>
      </c>
      <c r="D397" t="s">
        <v>7</v>
      </c>
      <c r="E397">
        <v>2004</v>
      </c>
      <c r="F397" t="s">
        <v>1183</v>
      </c>
      <c r="G397">
        <v>2004</v>
      </c>
      <c r="H397">
        <v>46.394014444</v>
      </c>
      <c r="I397">
        <v>-72.750779167000005</v>
      </c>
      <c r="J397" t="s">
        <v>12</v>
      </c>
      <c r="K397" t="s">
        <v>1634</v>
      </c>
      <c r="L397" t="s">
        <v>1173</v>
      </c>
      <c r="M397">
        <v>76.5</v>
      </c>
      <c r="N397" t="s">
        <v>2115</v>
      </c>
      <c r="O397" t="s">
        <v>2116</v>
      </c>
      <c r="P397" t="s">
        <v>220</v>
      </c>
      <c r="Q397" t="s">
        <v>213</v>
      </c>
      <c r="R397">
        <v>73</v>
      </c>
      <c r="S397">
        <v>125</v>
      </c>
      <c r="T397" s="1" t="s">
        <v>2117</v>
      </c>
      <c r="U397" s="1" t="s">
        <v>2118</v>
      </c>
    </row>
    <row r="398" spans="1:21" x14ac:dyDescent="0.3">
      <c r="A398">
        <v>302</v>
      </c>
      <c r="B398" t="s">
        <v>876</v>
      </c>
      <c r="C398" t="s">
        <v>2119</v>
      </c>
      <c r="D398" t="s">
        <v>7</v>
      </c>
      <c r="E398" t="s">
        <v>1183</v>
      </c>
      <c r="F398" t="s">
        <v>1183</v>
      </c>
      <c r="G398" t="s">
        <v>1183</v>
      </c>
      <c r="H398">
        <v>46.311110999999997</v>
      </c>
      <c r="I398">
        <v>-72.567082999999997</v>
      </c>
      <c r="J398" t="s">
        <v>12</v>
      </c>
      <c r="K398" t="s">
        <v>1634</v>
      </c>
      <c r="L398" t="s">
        <v>1183</v>
      </c>
      <c r="M398" t="s">
        <v>1183</v>
      </c>
      <c r="N398" t="s">
        <v>1183</v>
      </c>
      <c r="O398" t="s">
        <v>1183</v>
      </c>
      <c r="P398" t="s">
        <v>220</v>
      </c>
      <c r="Q398" t="s">
        <v>404</v>
      </c>
      <c r="R398" t="s">
        <v>1183</v>
      </c>
      <c r="S398">
        <f>65*0.3048</f>
        <v>19.812000000000001</v>
      </c>
      <c r="T398" s="1" t="s">
        <v>2123</v>
      </c>
      <c r="U398" s="1" t="s">
        <v>2124</v>
      </c>
    </row>
    <row r="399" spans="1:21" x14ac:dyDescent="0.3">
      <c r="A399">
        <v>303</v>
      </c>
      <c r="B399" t="s">
        <v>877</v>
      </c>
      <c r="C399" t="s">
        <v>2120</v>
      </c>
      <c r="D399" t="s">
        <v>7</v>
      </c>
      <c r="E399" t="s">
        <v>1183</v>
      </c>
      <c r="F399" t="s">
        <v>1183</v>
      </c>
      <c r="G399" t="s">
        <v>1183</v>
      </c>
      <c r="H399">
        <v>46.311194</v>
      </c>
      <c r="I399">
        <v>-72.567027999999993</v>
      </c>
      <c r="J399" t="s">
        <v>12</v>
      </c>
      <c r="K399" t="s">
        <v>1634</v>
      </c>
      <c r="L399" t="s">
        <v>1183</v>
      </c>
      <c r="M399" t="s">
        <v>1183</v>
      </c>
      <c r="N399" t="s">
        <v>1183</v>
      </c>
      <c r="O399" t="s">
        <v>1183</v>
      </c>
      <c r="P399" t="s">
        <v>220</v>
      </c>
      <c r="Q399" t="s">
        <v>404</v>
      </c>
      <c r="R399" t="s">
        <v>1183</v>
      </c>
      <c r="S399">
        <f>49*0.3048</f>
        <v>14.9352</v>
      </c>
      <c r="T399" s="1" t="s">
        <v>2125</v>
      </c>
      <c r="U399" s="1" t="s">
        <v>2126</v>
      </c>
    </row>
    <row r="400" spans="1:21" x14ac:dyDescent="0.3">
      <c r="A400">
        <v>304</v>
      </c>
      <c r="B400" t="s">
        <v>878</v>
      </c>
      <c r="C400" t="s">
        <v>2121</v>
      </c>
      <c r="D400" t="s">
        <v>7</v>
      </c>
      <c r="E400" t="s">
        <v>1183</v>
      </c>
      <c r="F400" t="s">
        <v>1183</v>
      </c>
      <c r="G400" t="s">
        <v>1183</v>
      </c>
      <c r="H400">
        <v>46.311166999999998</v>
      </c>
      <c r="I400">
        <v>-72.566999999999993</v>
      </c>
      <c r="J400" t="s">
        <v>12</v>
      </c>
      <c r="K400" t="s">
        <v>1634</v>
      </c>
      <c r="L400" t="s">
        <v>1183</v>
      </c>
      <c r="M400" t="s">
        <v>1183</v>
      </c>
      <c r="N400" t="s">
        <v>1183</v>
      </c>
      <c r="O400" t="s">
        <v>1183</v>
      </c>
      <c r="P400" t="s">
        <v>220</v>
      </c>
      <c r="Q400" t="s">
        <v>404</v>
      </c>
      <c r="R400" t="s">
        <v>1183</v>
      </c>
      <c r="S400">
        <f>41*0.3048</f>
        <v>12.4968</v>
      </c>
      <c r="T400" s="1" t="s">
        <v>2127</v>
      </c>
      <c r="U400" s="1" t="s">
        <v>2128</v>
      </c>
    </row>
    <row r="401" spans="1:21" x14ac:dyDescent="0.3">
      <c r="A401">
        <v>305</v>
      </c>
      <c r="B401" t="s">
        <v>879</v>
      </c>
      <c r="C401" t="s">
        <v>2122</v>
      </c>
      <c r="D401" t="s">
        <v>7</v>
      </c>
      <c r="E401" t="s">
        <v>1183</v>
      </c>
      <c r="F401" t="s">
        <v>1183</v>
      </c>
      <c r="G401" t="s">
        <v>1183</v>
      </c>
      <c r="H401">
        <v>46.311110999999997</v>
      </c>
      <c r="I401">
        <v>-72.567138999999997</v>
      </c>
      <c r="J401" t="s">
        <v>12</v>
      </c>
      <c r="K401" t="s">
        <v>1634</v>
      </c>
      <c r="L401" t="s">
        <v>1183</v>
      </c>
      <c r="M401" t="s">
        <v>1183</v>
      </c>
      <c r="N401" t="s">
        <v>1183</v>
      </c>
      <c r="O401" t="s">
        <v>1183</v>
      </c>
      <c r="P401" t="s">
        <v>220</v>
      </c>
      <c r="Q401" t="s">
        <v>404</v>
      </c>
      <c r="R401" t="s">
        <v>1183</v>
      </c>
      <c r="S401">
        <f>36*0.3048</f>
        <v>10.972800000000001</v>
      </c>
      <c r="T401" s="1" t="s">
        <v>2129</v>
      </c>
      <c r="U401" s="1" t="s">
        <v>2130</v>
      </c>
    </row>
    <row r="402" spans="1:21" x14ac:dyDescent="0.3">
      <c r="A402">
        <v>306</v>
      </c>
      <c r="B402" t="s">
        <v>880</v>
      </c>
      <c r="C402" t="s">
        <v>2131</v>
      </c>
      <c r="D402" t="s">
        <v>7</v>
      </c>
      <c r="E402" t="s">
        <v>1183</v>
      </c>
      <c r="F402" t="s">
        <v>1183</v>
      </c>
      <c r="G402" t="s">
        <v>1183</v>
      </c>
      <c r="H402">
        <v>46.311083000000004</v>
      </c>
      <c r="I402">
        <v>-72.567138999999997</v>
      </c>
      <c r="J402" t="s">
        <v>12</v>
      </c>
      <c r="K402" t="s">
        <v>1634</v>
      </c>
      <c r="L402" t="s">
        <v>1183</v>
      </c>
      <c r="M402" t="s">
        <v>1183</v>
      </c>
      <c r="N402" t="s">
        <v>1183</v>
      </c>
      <c r="O402" t="s">
        <v>1183</v>
      </c>
      <c r="P402" t="s">
        <v>220</v>
      </c>
      <c r="Q402" t="s">
        <v>404</v>
      </c>
      <c r="R402" t="s">
        <v>1183</v>
      </c>
      <c r="S402">
        <f>320*0.3048</f>
        <v>97.536000000000001</v>
      </c>
      <c r="T402" s="1" t="s">
        <v>2132</v>
      </c>
      <c r="U402" s="1" t="s">
        <v>2133</v>
      </c>
    </row>
    <row r="403" spans="1:21" x14ac:dyDescent="0.3">
      <c r="A403">
        <v>307</v>
      </c>
      <c r="B403" t="s">
        <v>882</v>
      </c>
      <c r="C403" t="s">
        <v>2134</v>
      </c>
      <c r="D403" t="s">
        <v>7</v>
      </c>
      <c r="E403" t="s">
        <v>1183</v>
      </c>
      <c r="F403" t="s">
        <v>1183</v>
      </c>
      <c r="G403" t="s">
        <v>1183</v>
      </c>
      <c r="H403">
        <v>46.311110999999997</v>
      </c>
      <c r="I403">
        <v>-72.567166999999998</v>
      </c>
      <c r="J403" t="s">
        <v>12</v>
      </c>
      <c r="K403" t="s">
        <v>1634</v>
      </c>
      <c r="L403" t="s">
        <v>1183</v>
      </c>
      <c r="M403" t="s">
        <v>1183</v>
      </c>
      <c r="N403" t="s">
        <v>1183</v>
      </c>
      <c r="O403" t="s">
        <v>1183</v>
      </c>
      <c r="P403" t="s">
        <v>220</v>
      </c>
      <c r="Q403" t="s">
        <v>404</v>
      </c>
      <c r="R403" t="s">
        <v>1183</v>
      </c>
      <c r="S403">
        <f>250*0.3048</f>
        <v>76.2</v>
      </c>
      <c r="T403" s="1" t="s">
        <v>2135</v>
      </c>
      <c r="U403" s="1" t="s">
        <v>2136</v>
      </c>
    </row>
    <row r="404" spans="1:21" x14ac:dyDescent="0.3">
      <c r="A404">
        <v>308</v>
      </c>
      <c r="B404" t="s">
        <v>883</v>
      </c>
      <c r="C404" t="s">
        <v>2137</v>
      </c>
      <c r="D404" t="s">
        <v>7</v>
      </c>
      <c r="E404" t="s">
        <v>1183</v>
      </c>
      <c r="F404" t="s">
        <v>1183</v>
      </c>
      <c r="G404" t="s">
        <v>1183</v>
      </c>
      <c r="H404">
        <v>46.311056000000001</v>
      </c>
      <c r="I404">
        <v>-72.567166999999998</v>
      </c>
      <c r="J404" t="s">
        <v>12</v>
      </c>
      <c r="K404" t="s">
        <v>1634</v>
      </c>
      <c r="L404" t="s">
        <v>1183</v>
      </c>
      <c r="M404" t="s">
        <v>1183</v>
      </c>
      <c r="N404" t="s">
        <v>1183</v>
      </c>
      <c r="O404" t="s">
        <v>1183</v>
      </c>
      <c r="P404" t="s">
        <v>220</v>
      </c>
      <c r="Q404" t="s">
        <v>404</v>
      </c>
      <c r="R404" t="s">
        <v>1183</v>
      </c>
      <c r="S404">
        <f>280*0.3048</f>
        <v>85.344000000000008</v>
      </c>
      <c r="T404" s="1" t="s">
        <v>2138</v>
      </c>
      <c r="U404" s="1" t="s">
        <v>2139</v>
      </c>
    </row>
    <row r="405" spans="1:21" x14ac:dyDescent="0.3">
      <c r="A405">
        <v>309</v>
      </c>
      <c r="B405" t="s">
        <v>887</v>
      </c>
      <c r="C405" t="s">
        <v>2149</v>
      </c>
      <c r="D405" t="s">
        <v>7</v>
      </c>
      <c r="E405">
        <v>1930</v>
      </c>
      <c r="F405" t="s">
        <v>1183</v>
      </c>
      <c r="G405" t="s">
        <v>1183</v>
      </c>
      <c r="H405">
        <v>45.94258</v>
      </c>
      <c r="I405">
        <v>-73.247190000000003</v>
      </c>
      <c r="J405" t="s">
        <v>29</v>
      </c>
      <c r="K405" t="s">
        <v>1634</v>
      </c>
      <c r="L405" t="s">
        <v>1183</v>
      </c>
      <c r="M405" t="s">
        <v>1183</v>
      </c>
      <c r="N405" t="s">
        <v>1685</v>
      </c>
      <c r="O405" t="s">
        <v>1183</v>
      </c>
      <c r="P405" t="s">
        <v>212</v>
      </c>
      <c r="Q405" t="s">
        <v>404</v>
      </c>
      <c r="R405" t="s">
        <v>1183</v>
      </c>
      <c r="S405">
        <f>202*0.3048</f>
        <v>61.569600000000001</v>
      </c>
      <c r="T405" s="1" t="s">
        <v>2150</v>
      </c>
      <c r="U405" s="1" t="s">
        <v>2151</v>
      </c>
    </row>
    <row r="406" spans="1:21" x14ac:dyDescent="0.3">
      <c r="A406">
        <v>310</v>
      </c>
      <c r="B406" t="s">
        <v>888</v>
      </c>
      <c r="C406" t="s">
        <v>2152</v>
      </c>
      <c r="D406" t="s">
        <v>7</v>
      </c>
      <c r="E406">
        <v>1930</v>
      </c>
      <c r="F406" t="s">
        <v>1183</v>
      </c>
      <c r="G406" t="s">
        <v>1183</v>
      </c>
      <c r="H406">
        <v>45.945030000000003</v>
      </c>
      <c r="I406">
        <v>-73.247249999999994</v>
      </c>
      <c r="J406" t="s">
        <v>29</v>
      </c>
      <c r="K406" t="s">
        <v>1634</v>
      </c>
      <c r="L406" t="s">
        <v>1183</v>
      </c>
      <c r="M406" t="s">
        <v>1183</v>
      </c>
      <c r="N406" t="s">
        <v>1183</v>
      </c>
      <c r="O406" t="s">
        <v>1183</v>
      </c>
      <c r="P406" t="s">
        <v>212</v>
      </c>
      <c r="Q406" t="s">
        <v>404</v>
      </c>
      <c r="R406" t="s">
        <v>1183</v>
      </c>
      <c r="S406">
        <f>180*0.3048</f>
        <v>54.864000000000004</v>
      </c>
      <c r="T406" s="1" t="s">
        <v>2153</v>
      </c>
      <c r="U406" s="1" t="s">
        <v>2154</v>
      </c>
    </row>
    <row r="407" spans="1:21" x14ac:dyDescent="0.3">
      <c r="A407">
        <v>311</v>
      </c>
      <c r="B407" s="7" t="s">
        <v>889</v>
      </c>
      <c r="C407" t="s">
        <v>2155</v>
      </c>
      <c r="D407" t="s">
        <v>7</v>
      </c>
      <c r="E407">
        <v>1931</v>
      </c>
      <c r="F407" t="s">
        <v>1183</v>
      </c>
      <c r="G407" t="s">
        <v>1183</v>
      </c>
      <c r="H407">
        <v>45.943860000000001</v>
      </c>
      <c r="I407">
        <v>-73.24794</v>
      </c>
      <c r="J407" t="s">
        <v>29</v>
      </c>
      <c r="K407" t="s">
        <v>1634</v>
      </c>
      <c r="L407" t="s">
        <v>1183</v>
      </c>
      <c r="M407" t="s">
        <v>1183</v>
      </c>
      <c r="N407" t="s">
        <v>1665</v>
      </c>
      <c r="O407" t="s">
        <v>2156</v>
      </c>
      <c r="P407" t="s">
        <v>212</v>
      </c>
      <c r="Q407" t="s">
        <v>404</v>
      </c>
      <c r="R407" t="s">
        <v>1183</v>
      </c>
      <c r="S407">
        <f>185*0.3048</f>
        <v>56.388000000000005</v>
      </c>
      <c r="T407" s="1" t="s">
        <v>2157</v>
      </c>
      <c r="U407" s="1" t="s">
        <v>2158</v>
      </c>
    </row>
    <row r="408" spans="1:21" x14ac:dyDescent="0.3">
      <c r="A408">
        <v>312</v>
      </c>
      <c r="B408" t="s">
        <v>890</v>
      </c>
      <c r="C408" t="s">
        <v>2159</v>
      </c>
      <c r="D408" t="s">
        <v>7</v>
      </c>
      <c r="E408">
        <v>1943</v>
      </c>
      <c r="F408" t="s">
        <v>1183</v>
      </c>
      <c r="G408" t="s">
        <v>1183</v>
      </c>
      <c r="H408">
        <v>45.856650000000002</v>
      </c>
      <c r="I408">
        <v>-73.404309999999995</v>
      </c>
      <c r="J408" t="s">
        <v>29</v>
      </c>
      <c r="K408" t="s">
        <v>1634</v>
      </c>
      <c r="L408" t="s">
        <v>1183</v>
      </c>
      <c r="M408" t="s">
        <v>1183</v>
      </c>
      <c r="N408" t="s">
        <v>1225</v>
      </c>
      <c r="O408" t="s">
        <v>1226</v>
      </c>
      <c r="P408" t="s">
        <v>212</v>
      </c>
      <c r="Q408" t="s">
        <v>404</v>
      </c>
      <c r="R408" t="s">
        <v>1183</v>
      </c>
      <c r="S408">
        <f>87*0.3048</f>
        <v>26.517600000000002</v>
      </c>
      <c r="T408" s="1" t="s">
        <v>2160</v>
      </c>
      <c r="U408" s="1" t="s">
        <v>2161</v>
      </c>
    </row>
    <row r="409" spans="1:21" x14ac:dyDescent="0.3">
      <c r="A409">
        <v>313</v>
      </c>
      <c r="B409" t="s">
        <v>892</v>
      </c>
      <c r="C409" t="s">
        <v>2167</v>
      </c>
      <c r="D409" t="s">
        <v>7</v>
      </c>
      <c r="E409">
        <v>1958</v>
      </c>
      <c r="F409" t="s">
        <v>1183</v>
      </c>
      <c r="G409">
        <v>1958</v>
      </c>
      <c r="H409">
        <v>48.380554443999998</v>
      </c>
      <c r="I409">
        <v>-67.252753333000001</v>
      </c>
      <c r="J409" t="s">
        <v>2168</v>
      </c>
      <c r="K409" t="s">
        <v>1228</v>
      </c>
      <c r="L409" t="s">
        <v>1167</v>
      </c>
      <c r="M409">
        <f>148*0.3048</f>
        <v>45.110400000000006</v>
      </c>
      <c r="N409" t="s">
        <v>2169</v>
      </c>
      <c r="O409" t="s">
        <v>2164</v>
      </c>
      <c r="P409" t="s">
        <v>220</v>
      </c>
      <c r="Q409" t="s">
        <v>213</v>
      </c>
      <c r="R409">
        <f>576*0.3048</f>
        <v>175.56480000000002</v>
      </c>
      <c r="S409">
        <f>4715*0.3048</f>
        <v>1437.1320000000001</v>
      </c>
      <c r="T409" s="1" t="s">
        <v>2170</v>
      </c>
      <c r="U409" s="1" t="s">
        <v>2171</v>
      </c>
    </row>
    <row r="410" spans="1:21" x14ac:dyDescent="0.3">
      <c r="A410">
        <v>314</v>
      </c>
      <c r="B410" t="s">
        <v>893</v>
      </c>
      <c r="C410" t="s">
        <v>2172</v>
      </c>
      <c r="D410" t="s">
        <v>7</v>
      </c>
      <c r="E410">
        <v>1951</v>
      </c>
      <c r="F410" t="s">
        <v>1183</v>
      </c>
      <c r="G410">
        <v>1959</v>
      </c>
      <c r="H410">
        <v>48.951410000000003</v>
      </c>
      <c r="I410">
        <v>-65.092100000000002</v>
      </c>
      <c r="J410" t="s">
        <v>124</v>
      </c>
      <c r="K410" t="s">
        <v>1228</v>
      </c>
      <c r="L410" t="s">
        <v>1163</v>
      </c>
      <c r="M410" t="s">
        <v>1183</v>
      </c>
      <c r="N410" t="s">
        <v>2173</v>
      </c>
      <c r="O410" t="s">
        <v>1165</v>
      </c>
      <c r="P410" t="s">
        <v>212</v>
      </c>
      <c r="Q410" t="s">
        <v>404</v>
      </c>
      <c r="R410">
        <f>925*0.3048</f>
        <v>281.94</v>
      </c>
      <c r="S410">
        <v>2029</v>
      </c>
      <c r="T410" s="1" t="s">
        <v>2174</v>
      </c>
      <c r="U410" s="1" t="s">
        <v>2175</v>
      </c>
    </row>
    <row r="411" spans="1:21" x14ac:dyDescent="0.3">
      <c r="A411">
        <v>315</v>
      </c>
      <c r="B411" s="8" t="s">
        <v>895</v>
      </c>
      <c r="C411" t="s">
        <v>2179</v>
      </c>
      <c r="D411" t="s">
        <v>7</v>
      </c>
      <c r="E411">
        <v>1900</v>
      </c>
      <c r="F411" t="s">
        <v>1183</v>
      </c>
      <c r="G411" t="s">
        <v>1183</v>
      </c>
      <c r="H411">
        <v>48.827553610999999</v>
      </c>
      <c r="I411">
        <v>-64.857115555999997</v>
      </c>
      <c r="J411" t="s">
        <v>124</v>
      </c>
      <c r="K411" t="s">
        <v>1228</v>
      </c>
      <c r="L411" t="s">
        <v>1163</v>
      </c>
      <c r="M411" t="s">
        <v>1183</v>
      </c>
      <c r="N411" t="s">
        <v>2180</v>
      </c>
      <c r="O411" t="s">
        <v>1230</v>
      </c>
      <c r="P411" t="s">
        <v>329</v>
      </c>
      <c r="Q411" t="s">
        <v>404</v>
      </c>
      <c r="R411">
        <f>345*0.3048</f>
        <v>105.15600000000001</v>
      </c>
      <c r="S411">
        <f>2360*0.3048</f>
        <v>719.32800000000009</v>
      </c>
      <c r="T411" s="1" t="s">
        <v>2181</v>
      </c>
      <c r="U411" s="1" t="s">
        <v>2182</v>
      </c>
    </row>
    <row r="412" spans="1:21" x14ac:dyDescent="0.3">
      <c r="A412">
        <v>316</v>
      </c>
      <c r="B412" s="8" t="s">
        <v>897</v>
      </c>
      <c r="C412" t="s">
        <v>2186</v>
      </c>
      <c r="D412" t="s">
        <v>7</v>
      </c>
      <c r="E412">
        <v>1900</v>
      </c>
      <c r="F412" t="s">
        <v>1183</v>
      </c>
      <c r="G412" t="s">
        <v>1183</v>
      </c>
      <c r="H412">
        <v>48.825542222000003</v>
      </c>
      <c r="I412">
        <v>-64.862381666999994</v>
      </c>
      <c r="J412" t="s">
        <v>124</v>
      </c>
      <c r="K412" t="s">
        <v>1228</v>
      </c>
      <c r="L412" t="s">
        <v>1163</v>
      </c>
      <c r="M412" t="s">
        <v>1183</v>
      </c>
      <c r="N412" t="s">
        <v>1239</v>
      </c>
      <c r="O412" t="s">
        <v>1230</v>
      </c>
      <c r="P412" t="s">
        <v>329</v>
      </c>
      <c r="Q412" t="s">
        <v>404</v>
      </c>
      <c r="R412">
        <f>300*0.3048</f>
        <v>91.44</v>
      </c>
      <c r="S412">
        <f>2394*0.3048</f>
        <v>729.69119999999998</v>
      </c>
      <c r="T412" s="1" t="s">
        <v>2187</v>
      </c>
      <c r="U412" s="1" t="s">
        <v>2188</v>
      </c>
    </row>
    <row r="413" spans="1:21" x14ac:dyDescent="0.3">
      <c r="A413">
        <v>317</v>
      </c>
      <c r="B413" t="s">
        <v>902</v>
      </c>
      <c r="C413" t="s">
        <v>2201</v>
      </c>
      <c r="D413" t="s">
        <v>7</v>
      </c>
      <c r="E413">
        <v>1941</v>
      </c>
      <c r="F413" t="s">
        <v>1183</v>
      </c>
      <c r="G413">
        <v>1942</v>
      </c>
      <c r="H413">
        <v>48.798363055999999</v>
      </c>
      <c r="I413">
        <v>-64.439985555999996</v>
      </c>
      <c r="J413" t="s">
        <v>124</v>
      </c>
      <c r="K413" t="s">
        <v>1228</v>
      </c>
      <c r="L413" t="s">
        <v>1163</v>
      </c>
      <c r="M413">
        <f>2012*0.3048</f>
        <v>613.25760000000002</v>
      </c>
      <c r="N413" t="s">
        <v>1237</v>
      </c>
      <c r="O413" t="s">
        <v>2202</v>
      </c>
      <c r="P413" t="s">
        <v>212</v>
      </c>
      <c r="Q413" t="s">
        <v>213</v>
      </c>
      <c r="R413">
        <f>415*0.3048</f>
        <v>126.492</v>
      </c>
      <c r="S413">
        <f>4779*0.3048</f>
        <v>1456.6392000000001</v>
      </c>
      <c r="T413" s="1" t="s">
        <v>2203</v>
      </c>
      <c r="U413" s="1" t="s">
        <v>2204</v>
      </c>
    </row>
    <row r="414" spans="1:21" x14ac:dyDescent="0.3">
      <c r="A414">
        <v>318</v>
      </c>
      <c r="B414" t="s">
        <v>903</v>
      </c>
      <c r="C414" t="s">
        <v>2205</v>
      </c>
      <c r="D414" t="s">
        <v>7</v>
      </c>
      <c r="E414">
        <v>1939</v>
      </c>
      <c r="F414" t="s">
        <v>1183</v>
      </c>
      <c r="G414">
        <v>1940</v>
      </c>
      <c r="H414">
        <v>48.873753889</v>
      </c>
      <c r="I414">
        <v>-64.967971943999999</v>
      </c>
      <c r="J414" t="s">
        <v>124</v>
      </c>
      <c r="K414" t="s">
        <v>1228</v>
      </c>
      <c r="L414" t="s">
        <v>1163</v>
      </c>
      <c r="M414">
        <f>1665*0.3048</f>
        <v>507.49200000000002</v>
      </c>
      <c r="N414" t="s">
        <v>1181</v>
      </c>
      <c r="O414" t="s">
        <v>2202</v>
      </c>
      <c r="P414" t="s">
        <v>220</v>
      </c>
      <c r="Q414" t="s">
        <v>213</v>
      </c>
      <c r="R414">
        <f>1502*0.3048</f>
        <v>457.80960000000005</v>
      </c>
      <c r="S414">
        <f>5995*0.3048</f>
        <v>1827.2760000000001</v>
      </c>
      <c r="T414" s="1" t="s">
        <v>2206</v>
      </c>
      <c r="U414" s="1" t="s">
        <v>2207</v>
      </c>
    </row>
    <row r="415" spans="1:21" x14ac:dyDescent="0.3">
      <c r="A415">
        <v>319</v>
      </c>
      <c r="B415" s="8" t="s">
        <v>904</v>
      </c>
      <c r="C415" t="s">
        <v>2208</v>
      </c>
      <c r="D415" t="s">
        <v>7</v>
      </c>
      <c r="E415">
        <v>1953</v>
      </c>
      <c r="F415">
        <v>1954</v>
      </c>
      <c r="G415" t="s">
        <v>1183</v>
      </c>
      <c r="H415">
        <v>48.834074721999997</v>
      </c>
      <c r="I415">
        <v>-64.813028610999993</v>
      </c>
      <c r="J415" t="s">
        <v>124</v>
      </c>
      <c r="K415" t="s">
        <v>1228</v>
      </c>
      <c r="L415" t="s">
        <v>1163</v>
      </c>
      <c r="M415">
        <f>2700*0.3048</f>
        <v>822.96</v>
      </c>
      <c r="N415" t="s">
        <v>1182</v>
      </c>
      <c r="O415" t="s">
        <v>2209</v>
      </c>
      <c r="P415" t="s">
        <v>218</v>
      </c>
      <c r="Q415" t="s">
        <v>404</v>
      </c>
      <c r="R415">
        <f>365*0.3048</f>
        <v>111.25200000000001</v>
      </c>
      <c r="S415">
        <f>2700*0.3048</f>
        <v>822.96</v>
      </c>
      <c r="T415" s="1" t="s">
        <v>2210</v>
      </c>
      <c r="U415" s="1" t="s">
        <v>2211</v>
      </c>
    </row>
    <row r="416" spans="1:21" x14ac:dyDescent="0.3">
      <c r="A416">
        <v>320</v>
      </c>
      <c r="B416" s="7" t="s">
        <v>905</v>
      </c>
      <c r="C416" t="s">
        <v>2212</v>
      </c>
      <c r="D416" t="s">
        <v>7</v>
      </c>
      <c r="E416">
        <v>1948</v>
      </c>
      <c r="F416" t="s">
        <v>1183</v>
      </c>
      <c r="G416">
        <v>1999</v>
      </c>
      <c r="H416">
        <v>48.850209999999997</v>
      </c>
      <c r="I416">
        <v>-64.761750000000006</v>
      </c>
      <c r="J416" t="s">
        <v>124</v>
      </c>
      <c r="K416" t="s">
        <v>1228</v>
      </c>
      <c r="L416" t="s">
        <v>1163</v>
      </c>
      <c r="M416">
        <f>919*0.3048</f>
        <v>280.1112</v>
      </c>
      <c r="N416" t="s">
        <v>1182</v>
      </c>
      <c r="O416" t="s">
        <v>2209</v>
      </c>
      <c r="P416" t="s">
        <v>218</v>
      </c>
      <c r="Q416" t="s">
        <v>213</v>
      </c>
      <c r="R416">
        <f>615*0.3048</f>
        <v>187.452</v>
      </c>
      <c r="S416">
        <f>1380*0.3048</f>
        <v>420.62400000000002</v>
      </c>
      <c r="T416" s="1" t="s">
        <v>2213</v>
      </c>
      <c r="U416" s="1" t="s">
        <v>2214</v>
      </c>
    </row>
    <row r="417" spans="1:21" x14ac:dyDescent="0.3">
      <c r="A417">
        <v>321</v>
      </c>
      <c r="B417" s="8" t="s">
        <v>907</v>
      </c>
      <c r="C417" t="s">
        <v>2215</v>
      </c>
      <c r="D417" t="s">
        <v>7</v>
      </c>
      <c r="E417">
        <v>1951</v>
      </c>
      <c r="F417" t="s">
        <v>1183</v>
      </c>
      <c r="G417">
        <v>1999</v>
      </c>
      <c r="H417">
        <v>48.848520000000001</v>
      </c>
      <c r="I417">
        <v>-64.774360000000001</v>
      </c>
      <c r="J417" t="s">
        <v>124</v>
      </c>
      <c r="K417" t="s">
        <v>1228</v>
      </c>
      <c r="L417" t="s">
        <v>1163</v>
      </c>
      <c r="M417">
        <f>2018*0.3048</f>
        <v>615.08640000000003</v>
      </c>
      <c r="N417" t="s">
        <v>1181</v>
      </c>
      <c r="O417" t="s">
        <v>2209</v>
      </c>
      <c r="P417" t="s">
        <v>218</v>
      </c>
      <c r="Q417" t="s">
        <v>404</v>
      </c>
      <c r="R417">
        <f>1150*0.3048</f>
        <v>350.52000000000004</v>
      </c>
      <c r="S417">
        <f>3235*0.3048</f>
        <v>986.02800000000002</v>
      </c>
      <c r="T417" s="1" t="s">
        <v>2216</v>
      </c>
      <c r="U417" s="1" t="s">
        <v>2217</v>
      </c>
    </row>
    <row r="418" spans="1:21" x14ac:dyDescent="0.3">
      <c r="A418">
        <v>322</v>
      </c>
      <c r="B418" t="s">
        <v>908</v>
      </c>
      <c r="C418" t="s">
        <v>2218</v>
      </c>
      <c r="D418" t="s">
        <v>7</v>
      </c>
      <c r="E418">
        <v>1943</v>
      </c>
      <c r="F418" t="s">
        <v>1183</v>
      </c>
      <c r="G418">
        <v>1948</v>
      </c>
      <c r="H418">
        <v>48.848460000000003</v>
      </c>
      <c r="I418">
        <v>-64.762640000000005</v>
      </c>
      <c r="J418" t="s">
        <v>124</v>
      </c>
      <c r="K418" t="s">
        <v>1228</v>
      </c>
      <c r="L418" t="s">
        <v>1163</v>
      </c>
      <c r="M418">
        <f>2137*0.3048</f>
        <v>651.35760000000005</v>
      </c>
      <c r="N418" t="s">
        <v>1182</v>
      </c>
      <c r="O418" t="s">
        <v>2209</v>
      </c>
      <c r="P418" t="s">
        <v>218</v>
      </c>
      <c r="Q418" t="s">
        <v>213</v>
      </c>
      <c r="R418">
        <f>600*0.3048</f>
        <v>182.88</v>
      </c>
      <c r="S418">
        <f>2751*0.3048</f>
        <v>838.50480000000005</v>
      </c>
      <c r="T418" s="1" t="s">
        <v>2219</v>
      </c>
      <c r="U418" s="1" t="s">
        <v>2220</v>
      </c>
    </row>
    <row r="419" spans="1:21" x14ac:dyDescent="0.3">
      <c r="A419">
        <v>323</v>
      </c>
      <c r="B419" s="8" t="s">
        <v>909</v>
      </c>
      <c r="C419" t="s">
        <v>2221</v>
      </c>
      <c r="D419" t="s">
        <v>7</v>
      </c>
      <c r="E419">
        <v>1944</v>
      </c>
      <c r="F419" t="s">
        <v>1183</v>
      </c>
      <c r="G419">
        <v>1947</v>
      </c>
      <c r="H419">
        <v>48.835779444000003</v>
      </c>
      <c r="I419">
        <v>-64.867501388999997</v>
      </c>
      <c r="J419" t="s">
        <v>124</v>
      </c>
      <c r="K419" t="s">
        <v>1228</v>
      </c>
      <c r="L419" t="s">
        <v>1163</v>
      </c>
      <c r="M419">
        <f>1417*0.3048</f>
        <v>431.90160000000003</v>
      </c>
      <c r="N419" t="s">
        <v>2163</v>
      </c>
      <c r="O419" t="s">
        <v>2209</v>
      </c>
      <c r="P419" t="s">
        <v>329</v>
      </c>
      <c r="Q419" t="s">
        <v>213</v>
      </c>
      <c r="R419">
        <f>501*0.3048</f>
        <v>152.70480000000001</v>
      </c>
      <c r="S419">
        <f>2932*0.3048</f>
        <v>893.67360000000008</v>
      </c>
      <c r="T419" s="1" t="s">
        <v>2222</v>
      </c>
      <c r="U419" s="1" t="s">
        <v>2223</v>
      </c>
    </row>
    <row r="420" spans="1:21" x14ac:dyDescent="0.3">
      <c r="A420">
        <v>324</v>
      </c>
      <c r="B420" s="8" t="s">
        <v>910</v>
      </c>
      <c r="C420" t="s">
        <v>2224</v>
      </c>
      <c r="D420" t="s">
        <v>7</v>
      </c>
      <c r="E420">
        <v>1947</v>
      </c>
      <c r="F420" t="s">
        <v>1183</v>
      </c>
      <c r="G420">
        <v>1950</v>
      </c>
      <c r="H420">
        <v>48.945884999999997</v>
      </c>
      <c r="I420">
        <v>-65.093892999999994</v>
      </c>
      <c r="J420" t="s">
        <v>124</v>
      </c>
      <c r="K420" t="s">
        <v>1228</v>
      </c>
      <c r="L420" t="s">
        <v>1163</v>
      </c>
      <c r="M420">
        <f>2596*0.3048</f>
        <v>791.26080000000002</v>
      </c>
      <c r="N420" t="s">
        <v>2225</v>
      </c>
      <c r="O420" t="s">
        <v>2209</v>
      </c>
      <c r="P420" t="s">
        <v>218</v>
      </c>
      <c r="Q420" t="s">
        <v>213</v>
      </c>
      <c r="R420">
        <f>900*0.3048</f>
        <v>274.32</v>
      </c>
      <c r="S420">
        <f>6360*0.3048</f>
        <v>1938.528</v>
      </c>
      <c r="T420" s="1" t="s">
        <v>2226</v>
      </c>
      <c r="U420" s="1" t="s">
        <v>2227</v>
      </c>
    </row>
    <row r="421" spans="1:21" x14ac:dyDescent="0.3">
      <c r="A421">
        <v>325</v>
      </c>
      <c r="B421" t="s">
        <v>914</v>
      </c>
      <c r="C421" t="s">
        <v>2238</v>
      </c>
      <c r="D421" t="s">
        <v>7</v>
      </c>
      <c r="E421">
        <v>1946</v>
      </c>
      <c r="F421" t="s">
        <v>1183</v>
      </c>
      <c r="G421">
        <v>1947</v>
      </c>
      <c r="H421">
        <v>48.902346944000001</v>
      </c>
      <c r="I421">
        <v>-64.724486666999994</v>
      </c>
      <c r="J421" t="s">
        <v>124</v>
      </c>
      <c r="K421" t="s">
        <v>1228</v>
      </c>
      <c r="L421" t="s">
        <v>1163</v>
      </c>
      <c r="M421">
        <f>1336*0.3048</f>
        <v>407.21280000000002</v>
      </c>
      <c r="N421" t="s">
        <v>1182</v>
      </c>
      <c r="O421" t="s">
        <v>2239</v>
      </c>
      <c r="P421" t="s">
        <v>218</v>
      </c>
      <c r="Q421" t="s">
        <v>213</v>
      </c>
      <c r="R421">
        <f>1575*0.3048</f>
        <v>480.06</v>
      </c>
      <c r="S421">
        <f>2424*0.3048</f>
        <v>738.83519999999999</v>
      </c>
      <c r="T421" s="1" t="s">
        <v>2240</v>
      </c>
      <c r="U421" s="1" t="s">
        <v>2241</v>
      </c>
    </row>
    <row r="422" spans="1:21" x14ac:dyDescent="0.3">
      <c r="A422">
        <v>326</v>
      </c>
      <c r="B422" t="s">
        <v>915</v>
      </c>
      <c r="C422" t="s">
        <v>2242</v>
      </c>
      <c r="D422" t="s">
        <v>7</v>
      </c>
      <c r="E422">
        <v>1947</v>
      </c>
      <c r="F422" t="s">
        <v>1183</v>
      </c>
      <c r="G422">
        <v>1948</v>
      </c>
      <c r="H422">
        <v>48.895504166999999</v>
      </c>
      <c r="I422">
        <v>-64.721022778000005</v>
      </c>
      <c r="J422" t="s">
        <v>124</v>
      </c>
      <c r="K422" t="s">
        <v>1228</v>
      </c>
      <c r="L422" t="s">
        <v>1163</v>
      </c>
      <c r="M422">
        <f>1716*0.3048</f>
        <v>523.03679999999997</v>
      </c>
      <c r="N422" t="s">
        <v>2163</v>
      </c>
      <c r="O422" t="s">
        <v>2239</v>
      </c>
      <c r="P422" t="s">
        <v>218</v>
      </c>
      <c r="Q422" t="s">
        <v>213</v>
      </c>
      <c r="R422">
        <f>1475*0.3048</f>
        <v>449.58000000000004</v>
      </c>
      <c r="S422">
        <f>2132*0.3048</f>
        <v>649.83360000000005</v>
      </c>
      <c r="T422" s="1" t="s">
        <v>2243</v>
      </c>
      <c r="U422" s="1" t="s">
        <v>2244</v>
      </c>
    </row>
    <row r="423" spans="1:21" x14ac:dyDescent="0.3">
      <c r="A423">
        <v>327</v>
      </c>
      <c r="B423" t="s">
        <v>906</v>
      </c>
      <c r="C423" t="s">
        <v>2245</v>
      </c>
      <c r="D423" t="s">
        <v>7</v>
      </c>
      <c r="E423">
        <v>1948</v>
      </c>
      <c r="F423">
        <v>1949</v>
      </c>
      <c r="G423" t="s">
        <v>1183</v>
      </c>
      <c r="H423">
        <v>48.895359722000002</v>
      </c>
      <c r="I423">
        <v>-64.720890277999999</v>
      </c>
      <c r="J423" t="s">
        <v>124</v>
      </c>
      <c r="K423" t="s">
        <v>1228</v>
      </c>
      <c r="L423" t="s">
        <v>1163</v>
      </c>
      <c r="M423">
        <f>2016*0.3048</f>
        <v>614.47680000000003</v>
      </c>
      <c r="N423" t="s">
        <v>1182</v>
      </c>
      <c r="O423" t="s">
        <v>2239</v>
      </c>
      <c r="P423" t="s">
        <v>218</v>
      </c>
      <c r="Q423" t="s">
        <v>404</v>
      </c>
      <c r="R423">
        <f>1475*0.3048</f>
        <v>449.58000000000004</v>
      </c>
      <c r="S423">
        <f>2399*0.3048</f>
        <v>731.21519999999998</v>
      </c>
      <c r="T423" s="1" t="s">
        <v>2246</v>
      </c>
      <c r="U423" s="1" t="s">
        <v>2247</v>
      </c>
    </row>
    <row r="424" spans="1:21" x14ac:dyDescent="0.3">
      <c r="A424">
        <v>328</v>
      </c>
      <c r="B424" t="s">
        <v>917</v>
      </c>
      <c r="C424" t="s">
        <v>2252</v>
      </c>
      <c r="D424" t="s">
        <v>7</v>
      </c>
      <c r="E424">
        <v>1945</v>
      </c>
      <c r="F424" t="s">
        <v>1183</v>
      </c>
      <c r="G424">
        <v>1945</v>
      </c>
      <c r="H424">
        <v>48.810420000000001</v>
      </c>
      <c r="I424">
        <v>-64.443529999999996</v>
      </c>
      <c r="J424" t="s">
        <v>124</v>
      </c>
      <c r="K424" t="s">
        <v>1228</v>
      </c>
      <c r="L424" t="s">
        <v>1163</v>
      </c>
      <c r="M424">
        <f>245*0.3048</f>
        <v>74.676000000000002</v>
      </c>
      <c r="N424" t="s">
        <v>1237</v>
      </c>
      <c r="O424" t="s">
        <v>2253</v>
      </c>
      <c r="P424" t="s">
        <v>218</v>
      </c>
      <c r="Q424" t="s">
        <v>213</v>
      </c>
      <c r="R424">
        <f>340*0.3048</f>
        <v>103.63200000000001</v>
      </c>
      <c r="S424">
        <f>805*0.3048</f>
        <v>245.364</v>
      </c>
      <c r="T424" s="1" t="s">
        <v>2254</v>
      </c>
      <c r="U424" s="1" t="s">
        <v>2255</v>
      </c>
    </row>
    <row r="425" spans="1:21" x14ac:dyDescent="0.3">
      <c r="A425">
        <v>329</v>
      </c>
      <c r="B425" t="s">
        <v>918</v>
      </c>
      <c r="C425" t="s">
        <v>2256</v>
      </c>
      <c r="D425" t="s">
        <v>7</v>
      </c>
      <c r="E425">
        <v>1937</v>
      </c>
      <c r="F425">
        <v>1938</v>
      </c>
      <c r="G425" t="s">
        <v>1183</v>
      </c>
      <c r="H425">
        <v>48.883668055999998</v>
      </c>
      <c r="I425">
        <v>-64.513491943999995</v>
      </c>
      <c r="J425" t="s">
        <v>124</v>
      </c>
      <c r="K425" t="s">
        <v>1228</v>
      </c>
      <c r="L425" t="s">
        <v>1176</v>
      </c>
      <c r="M425" t="s">
        <v>1183</v>
      </c>
      <c r="N425" t="s">
        <v>1237</v>
      </c>
      <c r="O425" t="s">
        <v>2257</v>
      </c>
      <c r="P425" t="s">
        <v>220</v>
      </c>
      <c r="Q425" t="s">
        <v>404</v>
      </c>
      <c r="R425">
        <f>150*0.3048</f>
        <v>45.72</v>
      </c>
      <c r="S425">
        <f>842*0.3048</f>
        <v>256.64160000000004</v>
      </c>
      <c r="T425" s="1" t="s">
        <v>2258</v>
      </c>
      <c r="U425" s="1" t="s">
        <v>2259</v>
      </c>
    </row>
    <row r="426" spans="1:21" x14ac:dyDescent="0.3">
      <c r="A426">
        <v>330</v>
      </c>
      <c r="B426" t="s">
        <v>919</v>
      </c>
      <c r="C426" t="s">
        <v>2260</v>
      </c>
      <c r="D426" t="s">
        <v>7</v>
      </c>
      <c r="E426">
        <v>1945</v>
      </c>
      <c r="F426" t="s">
        <v>1183</v>
      </c>
      <c r="G426" t="s">
        <v>1183</v>
      </c>
      <c r="H426">
        <v>48.926141999999999</v>
      </c>
      <c r="I426">
        <v>-65.451121999999998</v>
      </c>
      <c r="J426" t="s">
        <v>124</v>
      </c>
      <c r="K426" t="s">
        <v>1228</v>
      </c>
      <c r="L426" t="s">
        <v>1176</v>
      </c>
      <c r="M426">
        <f>5000*0.3048</f>
        <v>1524</v>
      </c>
      <c r="N426" t="s">
        <v>2173</v>
      </c>
      <c r="O426" t="s">
        <v>2261</v>
      </c>
      <c r="P426" t="s">
        <v>212</v>
      </c>
      <c r="Q426" t="s">
        <v>404</v>
      </c>
      <c r="R426">
        <f>1650*0.3048</f>
        <v>502.92</v>
      </c>
      <c r="S426">
        <f>8138*0.3048</f>
        <v>2480.4624000000003</v>
      </c>
      <c r="T426" s="1" t="s">
        <v>2262</v>
      </c>
      <c r="U426" s="1" t="s">
        <v>2263</v>
      </c>
    </row>
    <row r="427" spans="1:21" x14ac:dyDescent="0.3">
      <c r="A427">
        <v>331</v>
      </c>
      <c r="B427" t="s">
        <v>925</v>
      </c>
      <c r="C427" t="s">
        <v>2279</v>
      </c>
      <c r="D427" t="s">
        <v>7</v>
      </c>
      <c r="E427">
        <v>1895</v>
      </c>
      <c r="F427" t="s">
        <v>1183</v>
      </c>
      <c r="G427" t="s">
        <v>1183</v>
      </c>
      <c r="H427">
        <v>48.852278888999997</v>
      </c>
      <c r="I427">
        <v>-64.644079722000001</v>
      </c>
      <c r="J427" t="s">
        <v>124</v>
      </c>
      <c r="K427" t="s">
        <v>1228</v>
      </c>
      <c r="L427" t="s">
        <v>1163</v>
      </c>
      <c r="M427">
        <f>886*0.3048</f>
        <v>270.05279999999999</v>
      </c>
      <c r="N427" t="s">
        <v>2163</v>
      </c>
      <c r="O427" t="s">
        <v>1236</v>
      </c>
      <c r="P427" t="s">
        <v>329</v>
      </c>
      <c r="Q427" t="s">
        <v>404</v>
      </c>
      <c r="R427">
        <f>250*0.3048</f>
        <v>76.2</v>
      </c>
      <c r="S427">
        <f>2012*0.3048</f>
        <v>613.25760000000002</v>
      </c>
      <c r="T427" s="1" t="s">
        <v>2280</v>
      </c>
      <c r="U427" s="1" t="s">
        <v>2281</v>
      </c>
    </row>
    <row r="428" spans="1:21" x14ac:dyDescent="0.3">
      <c r="A428">
        <v>332</v>
      </c>
      <c r="B428" t="s">
        <v>926</v>
      </c>
      <c r="C428" t="s">
        <v>2282</v>
      </c>
      <c r="D428" t="s">
        <v>7</v>
      </c>
      <c r="E428">
        <v>1895</v>
      </c>
      <c r="F428" t="s">
        <v>1183</v>
      </c>
      <c r="G428" t="s">
        <v>1183</v>
      </c>
      <c r="H428">
        <v>48.833371999999997</v>
      </c>
      <c r="I428">
        <v>-64.856566000000001</v>
      </c>
      <c r="J428" t="s">
        <v>124</v>
      </c>
      <c r="K428" t="s">
        <v>1228</v>
      </c>
      <c r="L428" t="s">
        <v>1163</v>
      </c>
      <c r="M428">
        <f>13*0.3048</f>
        <v>3.9624000000000001</v>
      </c>
      <c r="N428" t="s">
        <v>2163</v>
      </c>
      <c r="O428" t="s">
        <v>1236</v>
      </c>
      <c r="P428" t="s">
        <v>218</v>
      </c>
      <c r="Q428" t="s">
        <v>213</v>
      </c>
      <c r="R428">
        <f>443*0.3048</f>
        <v>135.0264</v>
      </c>
      <c r="S428">
        <f>2550*0.3048</f>
        <v>777.24</v>
      </c>
      <c r="T428" s="1" t="s">
        <v>2283</v>
      </c>
      <c r="U428" s="1" t="s">
        <v>2284</v>
      </c>
    </row>
    <row r="429" spans="1:21" x14ac:dyDescent="0.3">
      <c r="A429">
        <v>333</v>
      </c>
      <c r="B429" t="s">
        <v>929</v>
      </c>
      <c r="C429" t="s">
        <v>2291</v>
      </c>
      <c r="D429" t="s">
        <v>7</v>
      </c>
      <c r="E429">
        <v>1895</v>
      </c>
      <c r="F429" t="s">
        <v>1183</v>
      </c>
      <c r="G429" t="s">
        <v>1183</v>
      </c>
      <c r="H429">
        <v>48.793694000000002</v>
      </c>
      <c r="I429">
        <v>-64.822249999999997</v>
      </c>
      <c r="J429" t="s">
        <v>124</v>
      </c>
      <c r="K429" t="s">
        <v>1228</v>
      </c>
      <c r="L429" t="s">
        <v>1163</v>
      </c>
      <c r="M429">
        <f>624*0.3048</f>
        <v>190.1952</v>
      </c>
      <c r="N429" t="s">
        <v>2163</v>
      </c>
      <c r="O429" t="s">
        <v>1236</v>
      </c>
      <c r="P429" t="s">
        <v>220</v>
      </c>
      <c r="Q429" t="s">
        <v>404</v>
      </c>
      <c r="R429">
        <f>670*0.3048</f>
        <v>204.21600000000001</v>
      </c>
      <c r="S429">
        <f>1160*0.3048</f>
        <v>353.56800000000004</v>
      </c>
      <c r="T429" t="s">
        <v>220</v>
      </c>
      <c r="U429" s="1" t="s">
        <v>2292</v>
      </c>
    </row>
    <row r="430" spans="1:21" x14ac:dyDescent="0.3">
      <c r="A430">
        <v>334</v>
      </c>
      <c r="B430" t="s">
        <v>930</v>
      </c>
      <c r="C430" t="s">
        <v>2293</v>
      </c>
      <c r="D430" t="s">
        <v>7</v>
      </c>
      <c r="E430">
        <v>1896</v>
      </c>
      <c r="F430" t="s">
        <v>1183</v>
      </c>
      <c r="G430" t="s">
        <v>1183</v>
      </c>
      <c r="H430">
        <v>48.779139999999998</v>
      </c>
      <c r="I430">
        <v>-64.627139999999997</v>
      </c>
      <c r="J430" t="s">
        <v>124</v>
      </c>
      <c r="K430" t="s">
        <v>1228</v>
      </c>
      <c r="L430" t="s">
        <v>1163</v>
      </c>
      <c r="M430">
        <f>501*0.3048</f>
        <v>152.70480000000001</v>
      </c>
      <c r="N430" t="s">
        <v>2163</v>
      </c>
      <c r="O430" t="s">
        <v>1236</v>
      </c>
      <c r="P430" t="s">
        <v>329</v>
      </c>
      <c r="Q430" t="s">
        <v>404</v>
      </c>
      <c r="R430">
        <f>165*0.3048</f>
        <v>50.292000000000002</v>
      </c>
      <c r="S430">
        <f>2975*0.3048</f>
        <v>906.78000000000009</v>
      </c>
      <c r="T430" s="1" t="s">
        <v>2294</v>
      </c>
      <c r="U430" s="1" t="s">
        <v>2295</v>
      </c>
    </row>
    <row r="431" spans="1:21" x14ac:dyDescent="0.3">
      <c r="A431">
        <v>335</v>
      </c>
      <c r="B431" t="s">
        <v>934</v>
      </c>
      <c r="C431" t="s">
        <v>2306</v>
      </c>
      <c r="D431" t="s">
        <v>7</v>
      </c>
      <c r="E431">
        <v>1898</v>
      </c>
      <c r="F431" t="s">
        <v>1183</v>
      </c>
      <c r="G431" t="s">
        <v>1183</v>
      </c>
      <c r="H431">
        <v>48.827224999999999</v>
      </c>
      <c r="I431">
        <v>-64.871302</v>
      </c>
      <c r="J431" t="s">
        <v>124</v>
      </c>
      <c r="K431" t="s">
        <v>1228</v>
      </c>
      <c r="L431" t="s">
        <v>1163</v>
      </c>
      <c r="M431">
        <f>1030*0.3048</f>
        <v>313.94400000000002</v>
      </c>
      <c r="N431" t="s">
        <v>1234</v>
      </c>
      <c r="O431" t="s">
        <v>1236</v>
      </c>
      <c r="P431" t="s">
        <v>212</v>
      </c>
      <c r="Q431" t="s">
        <v>404</v>
      </c>
      <c r="R431">
        <f>325*0.3048</f>
        <v>99.06</v>
      </c>
      <c r="S431">
        <f>1580*0.3048</f>
        <v>481.584</v>
      </c>
      <c r="T431" s="1" t="s">
        <v>2307</v>
      </c>
      <c r="U431" s="1" t="s">
        <v>2308</v>
      </c>
    </row>
    <row r="432" spans="1:21" x14ac:dyDescent="0.3">
      <c r="A432">
        <v>336</v>
      </c>
      <c r="B432" t="s">
        <v>940</v>
      </c>
      <c r="C432" t="s">
        <v>2323</v>
      </c>
      <c r="D432" t="s">
        <v>7</v>
      </c>
      <c r="E432">
        <v>1949</v>
      </c>
      <c r="F432" t="s">
        <v>1183</v>
      </c>
      <c r="G432">
        <v>1951</v>
      </c>
      <c r="H432">
        <v>48.670071389</v>
      </c>
      <c r="I432">
        <v>-64.795350278000001</v>
      </c>
      <c r="J432" t="s">
        <v>124</v>
      </c>
      <c r="K432" t="s">
        <v>1228</v>
      </c>
      <c r="L432" t="s">
        <v>1163</v>
      </c>
      <c r="M432">
        <f>445*0.3048</f>
        <v>135.636</v>
      </c>
      <c r="N432" t="s">
        <v>2173</v>
      </c>
      <c r="O432" t="s">
        <v>1453</v>
      </c>
      <c r="P432" t="s">
        <v>220</v>
      </c>
      <c r="Q432" t="s">
        <v>213</v>
      </c>
      <c r="R432">
        <f>1200*0.3048</f>
        <v>365.76</v>
      </c>
      <c r="S432">
        <f>2440*0.3048</f>
        <v>743.71199999999999</v>
      </c>
      <c r="T432" s="1" t="s">
        <v>2324</v>
      </c>
      <c r="U432" s="1" t="s">
        <v>2325</v>
      </c>
    </row>
    <row r="433" spans="1:21" x14ac:dyDescent="0.3">
      <c r="A433">
        <v>337</v>
      </c>
      <c r="B433" t="s">
        <v>941</v>
      </c>
      <c r="C433" t="s">
        <v>2326</v>
      </c>
      <c r="D433" t="s">
        <v>7</v>
      </c>
      <c r="E433">
        <v>1951</v>
      </c>
      <c r="F433">
        <v>1953</v>
      </c>
      <c r="G433" t="s">
        <v>1183</v>
      </c>
      <c r="H433">
        <v>48.656317999999999</v>
      </c>
      <c r="I433">
        <v>-64.801058999999995</v>
      </c>
      <c r="J433" t="s">
        <v>124</v>
      </c>
      <c r="K433" t="s">
        <v>1228</v>
      </c>
      <c r="L433" t="s">
        <v>1163</v>
      </c>
      <c r="M433">
        <f>14*0.3048</f>
        <v>4.2671999999999999</v>
      </c>
      <c r="N433" t="s">
        <v>2327</v>
      </c>
      <c r="O433" t="s">
        <v>1453</v>
      </c>
      <c r="P433" t="s">
        <v>220</v>
      </c>
      <c r="Q433" t="s">
        <v>404</v>
      </c>
      <c r="R433">
        <f>1350*0.3048</f>
        <v>411.48</v>
      </c>
      <c r="S433">
        <f>6000*0.3048</f>
        <v>1828.8000000000002</v>
      </c>
      <c r="T433" s="1" t="s">
        <v>2328</v>
      </c>
      <c r="U433" s="1" t="s">
        <v>2329</v>
      </c>
    </row>
    <row r="434" spans="1:21" x14ac:dyDescent="0.3">
      <c r="A434">
        <v>338</v>
      </c>
      <c r="B434" t="s">
        <v>942</v>
      </c>
      <c r="C434" t="s">
        <v>2330</v>
      </c>
      <c r="D434" t="s">
        <v>7</v>
      </c>
      <c r="E434">
        <v>1950</v>
      </c>
      <c r="F434">
        <v>1954</v>
      </c>
      <c r="G434" t="s">
        <v>1183</v>
      </c>
      <c r="H434">
        <v>48.728646667</v>
      </c>
      <c r="I434">
        <v>-64.332056667000003</v>
      </c>
      <c r="J434" t="s">
        <v>124</v>
      </c>
      <c r="K434" t="s">
        <v>1228</v>
      </c>
      <c r="L434" t="s">
        <v>1163</v>
      </c>
      <c r="M434">
        <f>2000*0.3048</f>
        <v>609.6</v>
      </c>
      <c r="N434" t="s">
        <v>1239</v>
      </c>
      <c r="O434" t="s">
        <v>2331</v>
      </c>
      <c r="P434" t="s">
        <v>218</v>
      </c>
      <c r="Q434" t="s">
        <v>404</v>
      </c>
      <c r="R434">
        <f>250*0.3048</f>
        <v>76.2</v>
      </c>
      <c r="S434">
        <f>7070*0.3048</f>
        <v>2154.9360000000001</v>
      </c>
      <c r="T434" s="1" t="s">
        <v>2332</v>
      </c>
      <c r="U434" s="1" t="s">
        <v>2333</v>
      </c>
    </row>
    <row r="435" spans="1:21" x14ac:dyDescent="0.3">
      <c r="A435">
        <v>339</v>
      </c>
      <c r="B435" s="7" t="s">
        <v>944</v>
      </c>
      <c r="C435" t="s">
        <v>2336</v>
      </c>
      <c r="D435" t="s">
        <v>7</v>
      </c>
      <c r="E435">
        <v>1961</v>
      </c>
      <c r="F435" t="s">
        <v>1183</v>
      </c>
      <c r="G435">
        <v>1961</v>
      </c>
      <c r="H435">
        <v>48.728409999999997</v>
      </c>
      <c r="I435">
        <v>-64.643519999999995</v>
      </c>
      <c r="J435" t="s">
        <v>124</v>
      </c>
      <c r="K435" t="s">
        <v>1228</v>
      </c>
      <c r="L435" t="s">
        <v>1173</v>
      </c>
      <c r="M435">
        <f>3684*0.3048</f>
        <v>1122.8832</v>
      </c>
      <c r="N435" t="s">
        <v>1179</v>
      </c>
      <c r="O435" t="s">
        <v>1178</v>
      </c>
      <c r="P435" t="s">
        <v>220</v>
      </c>
      <c r="Q435" t="s">
        <v>213</v>
      </c>
      <c r="R435">
        <f>775*0.3048</f>
        <v>236.22</v>
      </c>
      <c r="S435">
        <f>3712*0.3048</f>
        <v>1131.4176</v>
      </c>
      <c r="T435" s="1" t="s">
        <v>2337</v>
      </c>
      <c r="U435" s="1" t="s">
        <v>2338</v>
      </c>
    </row>
    <row r="436" spans="1:21" x14ac:dyDescent="0.3">
      <c r="A436">
        <v>340</v>
      </c>
      <c r="B436" s="8" t="s">
        <v>946</v>
      </c>
      <c r="C436" t="s">
        <v>2342</v>
      </c>
      <c r="D436" t="s">
        <v>7</v>
      </c>
      <c r="E436">
        <v>1964</v>
      </c>
      <c r="F436">
        <v>1964</v>
      </c>
      <c r="G436" t="s">
        <v>1183</v>
      </c>
      <c r="H436">
        <v>48.946620000000003</v>
      </c>
      <c r="I436">
        <v>-65.441159999999996</v>
      </c>
      <c r="J436" t="s">
        <v>124</v>
      </c>
      <c r="K436" t="s">
        <v>1228</v>
      </c>
      <c r="L436" t="s">
        <v>1167</v>
      </c>
      <c r="M436">
        <f>250*0.3048</f>
        <v>76.2</v>
      </c>
      <c r="N436" t="s">
        <v>1237</v>
      </c>
      <c r="O436" t="s">
        <v>2261</v>
      </c>
      <c r="P436" t="s">
        <v>220</v>
      </c>
      <c r="Q436" t="s">
        <v>404</v>
      </c>
      <c r="R436">
        <f>1750*0.3048</f>
        <v>533.4</v>
      </c>
      <c r="S436">
        <f>2510*0.3048</f>
        <v>765.048</v>
      </c>
      <c r="T436" s="1" t="s">
        <v>2343</v>
      </c>
      <c r="U436" s="1" t="s">
        <v>2344</v>
      </c>
    </row>
    <row r="437" spans="1:21" x14ac:dyDescent="0.3">
      <c r="A437">
        <v>341</v>
      </c>
      <c r="B437" s="8" t="s">
        <v>947</v>
      </c>
      <c r="C437" t="s">
        <v>2345</v>
      </c>
      <c r="D437" t="s">
        <v>7</v>
      </c>
      <c r="E437">
        <v>1965</v>
      </c>
      <c r="F437" t="s">
        <v>1183</v>
      </c>
      <c r="G437">
        <v>1966</v>
      </c>
      <c r="H437">
        <v>48.927776000000001</v>
      </c>
      <c r="I437">
        <v>-65.451205000000002</v>
      </c>
      <c r="J437" t="s">
        <v>124</v>
      </c>
      <c r="K437" t="s">
        <v>1228</v>
      </c>
      <c r="L437" t="s">
        <v>1163</v>
      </c>
      <c r="M437">
        <f>66*0.3048</f>
        <v>20.116800000000001</v>
      </c>
      <c r="N437" t="s">
        <v>1179</v>
      </c>
      <c r="O437" t="s">
        <v>2261</v>
      </c>
      <c r="P437" t="s">
        <v>220</v>
      </c>
      <c r="Q437" t="s">
        <v>404</v>
      </c>
      <c r="R437">
        <f>2513*0.3048</f>
        <v>765.9624</v>
      </c>
      <c r="S437">
        <f>343*0.3048</f>
        <v>104.54640000000001</v>
      </c>
      <c r="T437" s="1" t="s">
        <v>2346</v>
      </c>
      <c r="U437" s="1" t="s">
        <v>2347</v>
      </c>
    </row>
    <row r="438" spans="1:21" x14ac:dyDescent="0.3">
      <c r="A438">
        <v>342</v>
      </c>
      <c r="B438" s="8" t="s">
        <v>948</v>
      </c>
      <c r="C438" t="s">
        <v>2348</v>
      </c>
      <c r="D438" t="s">
        <v>7</v>
      </c>
      <c r="E438">
        <v>1966</v>
      </c>
      <c r="F438" t="s">
        <v>1183</v>
      </c>
      <c r="G438">
        <v>1966</v>
      </c>
      <c r="H438">
        <v>48.939006388999999</v>
      </c>
      <c r="I438">
        <v>-65.451592778000006</v>
      </c>
      <c r="J438" t="s">
        <v>124</v>
      </c>
      <c r="K438" t="s">
        <v>1228</v>
      </c>
      <c r="L438" t="s">
        <v>1163</v>
      </c>
      <c r="M438">
        <f>1253*0.3048</f>
        <v>381.9144</v>
      </c>
      <c r="N438" t="s">
        <v>1179</v>
      </c>
      <c r="O438" t="s">
        <v>2261</v>
      </c>
      <c r="P438" t="s">
        <v>212</v>
      </c>
      <c r="Q438" t="s">
        <v>404</v>
      </c>
      <c r="R438">
        <f>2646*0.3048</f>
        <v>806.50080000000003</v>
      </c>
      <c r="S438">
        <f>1352*0.3048</f>
        <v>412.08960000000002</v>
      </c>
      <c r="T438" s="1" t="s">
        <v>2349</v>
      </c>
      <c r="U438" s="1" t="s">
        <v>2350</v>
      </c>
    </row>
    <row r="439" spans="1:21" x14ac:dyDescent="0.3">
      <c r="A439">
        <v>343</v>
      </c>
      <c r="B439" t="s">
        <v>949</v>
      </c>
      <c r="C439" t="s">
        <v>2351</v>
      </c>
      <c r="D439" t="s">
        <v>7</v>
      </c>
      <c r="E439">
        <v>1967</v>
      </c>
      <c r="F439" t="s">
        <v>1183</v>
      </c>
      <c r="G439">
        <v>1968</v>
      </c>
      <c r="H439">
        <v>48.427280000000003</v>
      </c>
      <c r="I439">
        <v>-67.854339999999993</v>
      </c>
      <c r="J439" t="s">
        <v>2168</v>
      </c>
      <c r="K439" t="s">
        <v>1228</v>
      </c>
      <c r="L439" t="s">
        <v>1173</v>
      </c>
      <c r="M439">
        <f>975*0.3048</f>
        <v>297.18</v>
      </c>
      <c r="N439" t="s">
        <v>1256</v>
      </c>
      <c r="O439" t="s">
        <v>2352</v>
      </c>
      <c r="P439" t="s">
        <v>220</v>
      </c>
      <c r="Q439" t="s">
        <v>213</v>
      </c>
      <c r="R439">
        <f>1325*0.3048</f>
        <v>403.86</v>
      </c>
      <c r="S439">
        <f>6009*0.3048</f>
        <v>1831.5432000000001</v>
      </c>
      <c r="T439" s="1" t="s">
        <v>2353</v>
      </c>
      <c r="U439" s="1" t="s">
        <v>2354</v>
      </c>
    </row>
    <row r="440" spans="1:21" x14ac:dyDescent="0.3">
      <c r="A440">
        <v>344</v>
      </c>
      <c r="B440" t="s">
        <v>950</v>
      </c>
      <c r="C440" t="s">
        <v>2355</v>
      </c>
      <c r="D440" t="s">
        <v>7</v>
      </c>
      <c r="E440">
        <v>1969</v>
      </c>
      <c r="F440" t="s">
        <v>1183</v>
      </c>
      <c r="G440">
        <v>1969</v>
      </c>
      <c r="H440">
        <v>48.356990832999998</v>
      </c>
      <c r="I440">
        <v>-67.919102499999994</v>
      </c>
      <c r="J440" t="s">
        <v>2168</v>
      </c>
      <c r="K440" t="s">
        <v>1228</v>
      </c>
      <c r="L440" t="s">
        <v>1173</v>
      </c>
      <c r="M440">
        <f>700*0.3048</f>
        <v>213.36</v>
      </c>
      <c r="N440" t="s">
        <v>1260</v>
      </c>
      <c r="O440" t="s">
        <v>2356</v>
      </c>
      <c r="P440" t="s">
        <v>220</v>
      </c>
      <c r="Q440" t="s">
        <v>213</v>
      </c>
      <c r="R440">
        <f>857*0.3048</f>
        <v>261.21359999999999</v>
      </c>
      <c r="S440">
        <f>6335*0.3048</f>
        <v>1930.9080000000001</v>
      </c>
      <c r="T440" s="1" t="s">
        <v>2357</v>
      </c>
      <c r="U440" s="1" t="s">
        <v>2358</v>
      </c>
    </row>
    <row r="441" spans="1:21" x14ac:dyDescent="0.3">
      <c r="A441">
        <v>345</v>
      </c>
      <c r="B441" t="s">
        <v>951</v>
      </c>
      <c r="C441" t="s">
        <v>2359</v>
      </c>
      <c r="D441" t="s">
        <v>7</v>
      </c>
      <c r="E441">
        <v>1972</v>
      </c>
      <c r="F441" t="s">
        <v>1183</v>
      </c>
      <c r="G441">
        <v>1973</v>
      </c>
      <c r="H441">
        <v>48.441569999999999</v>
      </c>
      <c r="I441">
        <v>-66.951819999999998</v>
      </c>
      <c r="J441" t="s">
        <v>2168</v>
      </c>
      <c r="K441" t="s">
        <v>1228</v>
      </c>
      <c r="L441" t="s">
        <v>1173</v>
      </c>
      <c r="M441">
        <f>1058*0.3048</f>
        <v>322.47840000000002</v>
      </c>
      <c r="N441" t="s">
        <v>2360</v>
      </c>
      <c r="O441" t="s">
        <v>2361</v>
      </c>
      <c r="P441" t="s">
        <v>220</v>
      </c>
      <c r="Q441" t="s">
        <v>213</v>
      </c>
      <c r="R441">
        <f>1487*0.3048</f>
        <v>453.23760000000004</v>
      </c>
      <c r="S441">
        <f>7940*0.3048</f>
        <v>2420.1120000000001</v>
      </c>
      <c r="T441" s="1" t="s">
        <v>2362</v>
      </c>
      <c r="U441" s="1" t="s">
        <v>2363</v>
      </c>
    </row>
    <row r="442" spans="1:21" x14ac:dyDescent="0.3">
      <c r="A442">
        <v>346</v>
      </c>
      <c r="B442" s="8" t="s">
        <v>952</v>
      </c>
      <c r="C442" t="s">
        <v>2364</v>
      </c>
      <c r="D442" t="s">
        <v>7</v>
      </c>
      <c r="E442">
        <v>1976</v>
      </c>
      <c r="F442" t="s">
        <v>1183</v>
      </c>
      <c r="G442">
        <v>1976</v>
      </c>
      <c r="H442">
        <v>48.785611000000003</v>
      </c>
      <c r="I442">
        <v>-65.399360999999999</v>
      </c>
      <c r="J442" t="s">
        <v>124</v>
      </c>
      <c r="K442" t="s">
        <v>1228</v>
      </c>
      <c r="L442" t="s">
        <v>1173</v>
      </c>
      <c r="M442">
        <f>1520*0.3048</f>
        <v>463.29600000000005</v>
      </c>
      <c r="N442" t="s">
        <v>2365</v>
      </c>
      <c r="O442" t="s">
        <v>1194</v>
      </c>
      <c r="P442" t="s">
        <v>220</v>
      </c>
      <c r="Q442" t="s">
        <v>213</v>
      </c>
      <c r="R442">
        <f>1625*0.3048</f>
        <v>495.3</v>
      </c>
      <c r="S442">
        <f>6217*0.3048</f>
        <v>1894.9416000000001</v>
      </c>
      <c r="T442" t="s">
        <v>220</v>
      </c>
      <c r="U442" s="1" t="s">
        <v>2366</v>
      </c>
    </row>
    <row r="443" spans="1:21" x14ac:dyDescent="0.3">
      <c r="A443">
        <v>347</v>
      </c>
      <c r="B443" t="s">
        <v>953</v>
      </c>
      <c r="C443" t="s">
        <v>2367</v>
      </c>
      <c r="D443" t="s">
        <v>7</v>
      </c>
      <c r="E443">
        <v>1978</v>
      </c>
      <c r="F443" t="s">
        <v>1183</v>
      </c>
      <c r="G443">
        <v>1978</v>
      </c>
      <c r="H443">
        <v>48.831558332999997</v>
      </c>
      <c r="I443">
        <v>-64.548299166999996</v>
      </c>
      <c r="J443" t="s">
        <v>124</v>
      </c>
      <c r="K443" t="s">
        <v>1228</v>
      </c>
      <c r="L443" t="s">
        <v>1173</v>
      </c>
      <c r="M443">
        <v>424.32</v>
      </c>
      <c r="N443" t="s">
        <v>1260</v>
      </c>
      <c r="O443" t="s">
        <v>1194</v>
      </c>
      <c r="P443" t="s">
        <v>212</v>
      </c>
      <c r="Q443" t="s">
        <v>213</v>
      </c>
      <c r="R443">
        <v>47</v>
      </c>
      <c r="S443">
        <v>3354</v>
      </c>
      <c r="T443" s="1" t="s">
        <v>2368</v>
      </c>
      <c r="U443" s="1" t="s">
        <v>2369</v>
      </c>
    </row>
    <row r="444" spans="1:21" x14ac:dyDescent="0.3">
      <c r="A444">
        <v>348</v>
      </c>
      <c r="B444" t="s">
        <v>954</v>
      </c>
      <c r="C444" t="s">
        <v>2370</v>
      </c>
      <c r="D444" t="s">
        <v>7</v>
      </c>
      <c r="E444">
        <v>1979</v>
      </c>
      <c r="F444" t="s">
        <v>1183</v>
      </c>
      <c r="G444">
        <v>1979</v>
      </c>
      <c r="H444">
        <v>48.658446667</v>
      </c>
      <c r="I444">
        <v>-64.263395556000006</v>
      </c>
      <c r="J444" t="s">
        <v>124</v>
      </c>
      <c r="K444" t="s">
        <v>1228</v>
      </c>
      <c r="L444" t="s">
        <v>1173</v>
      </c>
      <c r="M444">
        <v>365</v>
      </c>
      <c r="N444" t="s">
        <v>1234</v>
      </c>
      <c r="O444" t="s">
        <v>1194</v>
      </c>
      <c r="P444" t="s">
        <v>220</v>
      </c>
      <c r="Q444" t="s">
        <v>213</v>
      </c>
      <c r="R444">
        <v>91</v>
      </c>
      <c r="S444">
        <v>2123</v>
      </c>
      <c r="T444" s="1" t="s">
        <v>2371</v>
      </c>
      <c r="U444" s="1" t="s">
        <v>2372</v>
      </c>
    </row>
    <row r="445" spans="1:21" x14ac:dyDescent="0.3">
      <c r="A445">
        <v>349</v>
      </c>
      <c r="B445" t="s">
        <v>955</v>
      </c>
      <c r="C445" t="s">
        <v>2373</v>
      </c>
      <c r="D445" t="s">
        <v>7</v>
      </c>
      <c r="E445">
        <v>1979</v>
      </c>
      <c r="F445" t="s">
        <v>1183</v>
      </c>
      <c r="G445">
        <v>1979</v>
      </c>
      <c r="H445">
        <v>48.979972222000001</v>
      </c>
      <c r="I445">
        <v>-64.818333332999998</v>
      </c>
      <c r="J445" t="s">
        <v>124</v>
      </c>
      <c r="K445" t="s">
        <v>1228</v>
      </c>
      <c r="L445" t="s">
        <v>1173</v>
      </c>
      <c r="M445">
        <v>296</v>
      </c>
      <c r="N445" t="s">
        <v>2327</v>
      </c>
      <c r="O445" t="s">
        <v>1194</v>
      </c>
      <c r="P445" t="s">
        <v>220</v>
      </c>
      <c r="Q445" t="s">
        <v>213</v>
      </c>
      <c r="R445">
        <v>410</v>
      </c>
      <c r="S445">
        <v>1332</v>
      </c>
      <c r="T445" s="1" t="s">
        <v>2374</v>
      </c>
      <c r="U445" s="1" t="s">
        <v>2375</v>
      </c>
    </row>
    <row r="446" spans="1:21" x14ac:dyDescent="0.3">
      <c r="A446">
        <v>350</v>
      </c>
      <c r="B446" t="s">
        <v>956</v>
      </c>
      <c r="C446" t="s">
        <v>2376</v>
      </c>
      <c r="D446" t="s">
        <v>7</v>
      </c>
      <c r="E446">
        <v>1979</v>
      </c>
      <c r="F446" t="s">
        <v>1183</v>
      </c>
      <c r="G446">
        <v>1979</v>
      </c>
      <c r="H446">
        <v>48.804166666999997</v>
      </c>
      <c r="I446">
        <v>-64.394527777999997</v>
      </c>
      <c r="J446" t="s">
        <v>124</v>
      </c>
      <c r="K446" t="s">
        <v>1228</v>
      </c>
      <c r="L446" t="s">
        <v>1173</v>
      </c>
      <c r="M446">
        <v>520</v>
      </c>
      <c r="N446" t="s">
        <v>1260</v>
      </c>
      <c r="O446" t="s">
        <v>1194</v>
      </c>
      <c r="P446" t="s">
        <v>220</v>
      </c>
      <c r="Q446" t="s">
        <v>213</v>
      </c>
      <c r="R446">
        <v>49</v>
      </c>
      <c r="S446">
        <v>1992</v>
      </c>
      <c r="T446" s="1" t="s">
        <v>2377</v>
      </c>
      <c r="U446" s="1" t="s">
        <v>2378</v>
      </c>
    </row>
    <row r="447" spans="1:21" x14ac:dyDescent="0.3">
      <c r="A447">
        <v>351</v>
      </c>
      <c r="B447" s="8" t="s">
        <v>957</v>
      </c>
      <c r="C447" t="s">
        <v>2379</v>
      </c>
      <c r="D447" t="s">
        <v>7</v>
      </c>
      <c r="E447">
        <v>1981</v>
      </c>
      <c r="F447" t="s">
        <v>1183</v>
      </c>
      <c r="G447">
        <v>1981</v>
      </c>
      <c r="H447">
        <v>48.899056000000002</v>
      </c>
      <c r="I447">
        <v>-64.514416999999995</v>
      </c>
      <c r="J447" t="s">
        <v>124</v>
      </c>
      <c r="K447" t="s">
        <v>1228</v>
      </c>
      <c r="L447" t="s">
        <v>1173</v>
      </c>
      <c r="M447">
        <v>294</v>
      </c>
      <c r="N447" t="s">
        <v>2180</v>
      </c>
      <c r="O447" t="s">
        <v>1194</v>
      </c>
      <c r="P447" t="s">
        <v>220</v>
      </c>
      <c r="Q447" t="s">
        <v>213</v>
      </c>
      <c r="R447">
        <v>117</v>
      </c>
      <c r="S447">
        <v>2771</v>
      </c>
      <c r="T447" t="s">
        <v>220</v>
      </c>
      <c r="U447" s="1" t="s">
        <v>2380</v>
      </c>
    </row>
    <row r="448" spans="1:21" x14ac:dyDescent="0.3">
      <c r="A448">
        <v>352</v>
      </c>
      <c r="B448" s="8" t="s">
        <v>958</v>
      </c>
      <c r="C448" t="s">
        <v>2381</v>
      </c>
      <c r="D448" t="s">
        <v>7</v>
      </c>
      <c r="E448">
        <v>1983</v>
      </c>
      <c r="F448" t="s">
        <v>1183</v>
      </c>
      <c r="G448" t="s">
        <v>1183</v>
      </c>
      <c r="H448">
        <v>48.838749999999997</v>
      </c>
      <c r="I448">
        <v>-64.786417</v>
      </c>
      <c r="J448" t="s">
        <v>124</v>
      </c>
      <c r="K448" t="s">
        <v>1228</v>
      </c>
      <c r="L448" t="s">
        <v>1167</v>
      </c>
      <c r="M448" t="s">
        <v>1183</v>
      </c>
      <c r="N448" t="s">
        <v>1234</v>
      </c>
      <c r="O448" t="s">
        <v>1240</v>
      </c>
      <c r="P448" t="s">
        <v>329</v>
      </c>
      <c r="Q448" t="s">
        <v>404</v>
      </c>
      <c r="R448" t="s">
        <v>1183</v>
      </c>
      <c r="S448">
        <v>62</v>
      </c>
      <c r="T448" t="s">
        <v>220</v>
      </c>
      <c r="U448" s="1" t="s">
        <v>2382</v>
      </c>
    </row>
    <row r="449" spans="1:21" x14ac:dyDescent="0.3">
      <c r="A449">
        <v>353</v>
      </c>
      <c r="B449" s="8" t="s">
        <v>959</v>
      </c>
      <c r="C449" s="4" t="s">
        <v>3091</v>
      </c>
      <c r="D449" t="s">
        <v>7</v>
      </c>
      <c r="E449">
        <v>1984</v>
      </c>
      <c r="F449" t="s">
        <v>1183</v>
      </c>
      <c r="G449">
        <v>1999</v>
      </c>
      <c r="H449">
        <v>48.839240556</v>
      </c>
      <c r="I449">
        <v>-64.787772500000003</v>
      </c>
      <c r="J449" t="s">
        <v>124</v>
      </c>
      <c r="K449" t="s">
        <v>1228</v>
      </c>
      <c r="L449" t="s">
        <v>1167</v>
      </c>
      <c r="M449" t="s">
        <v>1183</v>
      </c>
      <c r="N449" t="s">
        <v>1234</v>
      </c>
      <c r="O449" t="s">
        <v>1183</v>
      </c>
      <c r="P449" t="s">
        <v>329</v>
      </c>
      <c r="Q449" t="s">
        <v>213</v>
      </c>
      <c r="R449" t="s">
        <v>1183</v>
      </c>
      <c r="S449">
        <v>68</v>
      </c>
      <c r="T449" s="1" t="s">
        <v>3092</v>
      </c>
      <c r="U449" s="1" t="s">
        <v>3093</v>
      </c>
    </row>
    <row r="450" spans="1:21" x14ac:dyDescent="0.3">
      <c r="A450">
        <v>354</v>
      </c>
      <c r="B450" s="8" t="s">
        <v>961</v>
      </c>
      <c r="C450" s="4" t="s">
        <v>3097</v>
      </c>
      <c r="D450" t="s">
        <v>7</v>
      </c>
      <c r="E450">
        <v>1984</v>
      </c>
      <c r="F450" t="s">
        <v>1183</v>
      </c>
      <c r="G450">
        <v>1999</v>
      </c>
      <c r="H450">
        <v>48.839388888999999</v>
      </c>
      <c r="I450">
        <v>-64.790194443999994</v>
      </c>
      <c r="J450" t="s">
        <v>124</v>
      </c>
      <c r="K450" t="s">
        <v>1228</v>
      </c>
      <c r="L450" t="s">
        <v>1167</v>
      </c>
      <c r="M450" t="s">
        <v>1183</v>
      </c>
      <c r="N450" t="s">
        <v>1237</v>
      </c>
      <c r="O450" t="s">
        <v>1240</v>
      </c>
      <c r="P450" t="s">
        <v>329</v>
      </c>
      <c r="Q450" t="s">
        <v>213</v>
      </c>
      <c r="R450" t="s">
        <v>1183</v>
      </c>
      <c r="S450">
        <v>129</v>
      </c>
      <c r="T450" s="1" t="s">
        <v>3098</v>
      </c>
      <c r="U450" s="1" t="s">
        <v>3099</v>
      </c>
    </row>
    <row r="451" spans="1:21" x14ac:dyDescent="0.3">
      <c r="A451">
        <v>355</v>
      </c>
      <c r="B451" t="s">
        <v>962</v>
      </c>
      <c r="C451" t="s">
        <v>2383</v>
      </c>
      <c r="D451" t="s">
        <v>7</v>
      </c>
      <c r="E451">
        <v>1984</v>
      </c>
      <c r="F451" t="s">
        <v>1183</v>
      </c>
      <c r="G451" t="s">
        <v>1183</v>
      </c>
      <c r="H451">
        <v>48.8408175</v>
      </c>
      <c r="I451">
        <v>-64.789475832999997</v>
      </c>
      <c r="J451" t="s">
        <v>124</v>
      </c>
      <c r="K451" t="s">
        <v>1228</v>
      </c>
      <c r="L451" t="s">
        <v>1173</v>
      </c>
      <c r="M451" t="s">
        <v>1183</v>
      </c>
      <c r="N451" t="s">
        <v>1183</v>
      </c>
      <c r="O451" t="s">
        <v>1241</v>
      </c>
      <c r="P451" t="s">
        <v>329</v>
      </c>
      <c r="Q451" t="s">
        <v>404</v>
      </c>
      <c r="R451" t="s">
        <v>1183</v>
      </c>
      <c r="S451">
        <v>177</v>
      </c>
      <c r="T451" s="1" t="s">
        <v>2384</v>
      </c>
      <c r="U451" s="1" t="s">
        <v>2385</v>
      </c>
    </row>
    <row r="452" spans="1:21" x14ac:dyDescent="0.3">
      <c r="A452">
        <v>356</v>
      </c>
      <c r="B452" s="8" t="s">
        <v>963</v>
      </c>
      <c r="C452" s="4" t="s">
        <v>3100</v>
      </c>
      <c r="D452" t="s">
        <v>7</v>
      </c>
      <c r="E452">
        <v>1984</v>
      </c>
      <c r="F452" t="s">
        <v>1183</v>
      </c>
      <c r="G452" t="s">
        <v>1183</v>
      </c>
      <c r="H452">
        <v>48.838500000000003</v>
      </c>
      <c r="I452">
        <v>-64.786444000000003</v>
      </c>
      <c r="J452" t="s">
        <v>124</v>
      </c>
      <c r="K452" t="s">
        <v>1228</v>
      </c>
      <c r="L452" t="s">
        <v>1173</v>
      </c>
      <c r="M452" t="s">
        <v>1183</v>
      </c>
      <c r="N452" t="s">
        <v>1183</v>
      </c>
      <c r="O452" t="s">
        <v>1241</v>
      </c>
      <c r="P452" t="s">
        <v>329</v>
      </c>
      <c r="Q452" t="s">
        <v>404</v>
      </c>
      <c r="R452" t="s">
        <v>1183</v>
      </c>
      <c r="S452">
        <v>177</v>
      </c>
      <c r="T452" t="s">
        <v>220</v>
      </c>
      <c r="U452" s="1" t="s">
        <v>3101</v>
      </c>
    </row>
    <row r="453" spans="1:21" x14ac:dyDescent="0.3">
      <c r="A453">
        <v>357</v>
      </c>
      <c r="B453" s="8" t="s">
        <v>964</v>
      </c>
      <c r="C453" s="4" t="s">
        <v>3102</v>
      </c>
      <c r="D453" t="s">
        <v>7</v>
      </c>
      <c r="E453">
        <v>1984</v>
      </c>
      <c r="F453" t="s">
        <v>1183</v>
      </c>
      <c r="G453">
        <v>1999</v>
      </c>
      <c r="H453">
        <v>48.838500000000003</v>
      </c>
      <c r="I453">
        <v>-64.787833332999995</v>
      </c>
      <c r="J453" t="s">
        <v>124</v>
      </c>
      <c r="K453" t="s">
        <v>1228</v>
      </c>
      <c r="L453" t="s">
        <v>1173</v>
      </c>
      <c r="M453" t="s">
        <v>1183</v>
      </c>
      <c r="N453" t="s">
        <v>1183</v>
      </c>
      <c r="O453" t="s">
        <v>1240</v>
      </c>
      <c r="P453" t="s">
        <v>329</v>
      </c>
      <c r="Q453" t="s">
        <v>213</v>
      </c>
      <c r="R453" t="s">
        <v>1183</v>
      </c>
      <c r="S453">
        <v>296</v>
      </c>
      <c r="T453" s="1" t="s">
        <v>3103</v>
      </c>
      <c r="U453" s="1" t="s">
        <v>3104</v>
      </c>
    </row>
    <row r="454" spans="1:21" x14ac:dyDescent="0.3">
      <c r="A454">
        <v>358</v>
      </c>
      <c r="B454" s="8" t="s">
        <v>965</v>
      </c>
      <c r="C454" s="4" t="s">
        <v>3105</v>
      </c>
      <c r="D454" t="s">
        <v>7</v>
      </c>
      <c r="E454">
        <v>1985</v>
      </c>
      <c r="F454" t="s">
        <v>1183</v>
      </c>
      <c r="G454" t="s">
        <v>1183</v>
      </c>
      <c r="H454">
        <v>48.841110999999998</v>
      </c>
      <c r="I454">
        <v>-64.796999999999997</v>
      </c>
      <c r="J454" t="s">
        <v>124</v>
      </c>
      <c r="K454" t="s">
        <v>1228</v>
      </c>
      <c r="L454" t="s">
        <v>1173</v>
      </c>
      <c r="M454">
        <v>103.6</v>
      </c>
      <c r="N454" t="s">
        <v>1182</v>
      </c>
      <c r="O454" t="s">
        <v>3106</v>
      </c>
      <c r="P454" t="s">
        <v>218</v>
      </c>
      <c r="Q454" t="s">
        <v>404</v>
      </c>
      <c r="R454" t="s">
        <v>1183</v>
      </c>
      <c r="S454">
        <v>536</v>
      </c>
      <c r="T454" t="s">
        <v>220</v>
      </c>
      <c r="U454" s="1" t="s">
        <v>3107</v>
      </c>
    </row>
    <row r="455" spans="1:21" x14ac:dyDescent="0.3">
      <c r="A455">
        <v>359</v>
      </c>
      <c r="B455" s="8" t="s">
        <v>966</v>
      </c>
      <c r="C455" s="4" t="s">
        <v>3108</v>
      </c>
      <c r="D455" t="s">
        <v>7</v>
      </c>
      <c r="E455">
        <v>1987</v>
      </c>
      <c r="F455" t="s">
        <v>1183</v>
      </c>
      <c r="G455">
        <v>1999</v>
      </c>
      <c r="H455">
        <v>48.841250000000002</v>
      </c>
      <c r="I455">
        <v>-64.796620000000004</v>
      </c>
      <c r="J455" t="s">
        <v>124</v>
      </c>
      <c r="K455" t="s">
        <v>1228</v>
      </c>
      <c r="L455" t="s">
        <v>1173</v>
      </c>
      <c r="M455">
        <v>83</v>
      </c>
      <c r="N455" t="s">
        <v>1182</v>
      </c>
      <c r="O455" t="s">
        <v>1241</v>
      </c>
      <c r="P455" t="s">
        <v>218</v>
      </c>
      <c r="Q455" t="s">
        <v>213</v>
      </c>
      <c r="R455" t="s">
        <v>1183</v>
      </c>
      <c r="S455">
        <v>701</v>
      </c>
      <c r="T455" s="1" t="s">
        <v>3109</v>
      </c>
      <c r="U455" s="1" t="s">
        <v>3110</v>
      </c>
    </row>
    <row r="456" spans="1:21" x14ac:dyDescent="0.3">
      <c r="A456">
        <v>360</v>
      </c>
      <c r="B456" t="s">
        <v>967</v>
      </c>
      <c r="C456" t="s">
        <v>2386</v>
      </c>
      <c r="D456" t="s">
        <v>7</v>
      </c>
      <c r="E456">
        <v>1987</v>
      </c>
      <c r="F456">
        <v>1987</v>
      </c>
      <c r="G456" t="s">
        <v>1183</v>
      </c>
      <c r="H456">
        <v>48.838637499999997</v>
      </c>
      <c r="I456">
        <v>-64.792668888999998</v>
      </c>
      <c r="J456" t="s">
        <v>124</v>
      </c>
      <c r="K456" t="s">
        <v>1228</v>
      </c>
      <c r="L456" t="s">
        <v>1173</v>
      </c>
      <c r="M456" t="s">
        <v>1183</v>
      </c>
      <c r="N456" t="s">
        <v>1183</v>
      </c>
      <c r="O456" t="s">
        <v>1241</v>
      </c>
      <c r="P456" t="s">
        <v>218</v>
      </c>
      <c r="Q456" t="s">
        <v>404</v>
      </c>
      <c r="R456" t="s">
        <v>1183</v>
      </c>
      <c r="S456">
        <v>449</v>
      </c>
      <c r="T456" s="1" t="s">
        <v>2387</v>
      </c>
      <c r="U456" s="1" t="s">
        <v>2388</v>
      </c>
    </row>
    <row r="457" spans="1:21" x14ac:dyDescent="0.3">
      <c r="A457">
        <v>361</v>
      </c>
      <c r="B457" s="8" t="s">
        <v>968</v>
      </c>
      <c r="C457" s="4" t="s">
        <v>3111</v>
      </c>
      <c r="D457" t="s">
        <v>7</v>
      </c>
      <c r="E457">
        <v>1988</v>
      </c>
      <c r="F457" t="s">
        <v>1183</v>
      </c>
      <c r="G457">
        <v>1999</v>
      </c>
      <c r="H457">
        <v>48.838568332999998</v>
      </c>
      <c r="I457">
        <v>-64.792586388999993</v>
      </c>
      <c r="J457" t="s">
        <v>124</v>
      </c>
      <c r="K457" t="s">
        <v>1228</v>
      </c>
      <c r="L457" t="s">
        <v>1173</v>
      </c>
      <c r="M457">
        <v>152</v>
      </c>
      <c r="N457" t="s">
        <v>1239</v>
      </c>
      <c r="O457" t="s">
        <v>1241</v>
      </c>
      <c r="P457" t="s">
        <v>218</v>
      </c>
      <c r="Q457" t="s">
        <v>404</v>
      </c>
      <c r="R457" t="s">
        <v>1183</v>
      </c>
      <c r="S457">
        <v>995</v>
      </c>
      <c r="T457" s="1" t="s">
        <v>3112</v>
      </c>
      <c r="U457" s="1" t="s">
        <v>3113</v>
      </c>
    </row>
    <row r="458" spans="1:21" x14ac:dyDescent="0.3">
      <c r="A458">
        <v>362</v>
      </c>
      <c r="B458" t="s">
        <v>969</v>
      </c>
      <c r="C458" t="s">
        <v>2389</v>
      </c>
      <c r="D458" t="s">
        <v>7</v>
      </c>
      <c r="E458">
        <v>1990</v>
      </c>
      <c r="F458" t="s">
        <v>1183</v>
      </c>
      <c r="G458">
        <v>1991</v>
      </c>
      <c r="H458">
        <v>48.854238000000002</v>
      </c>
      <c r="I458">
        <v>-64.746284000000003</v>
      </c>
      <c r="J458" t="s">
        <v>124</v>
      </c>
      <c r="K458" t="s">
        <v>1228</v>
      </c>
      <c r="L458" t="s">
        <v>1167</v>
      </c>
      <c r="M458">
        <v>40</v>
      </c>
      <c r="N458" t="s">
        <v>1183</v>
      </c>
      <c r="O458" t="s">
        <v>1222</v>
      </c>
      <c r="P458" t="s">
        <v>329</v>
      </c>
      <c r="Q458" t="s">
        <v>213</v>
      </c>
      <c r="R458">
        <v>440</v>
      </c>
      <c r="S458">
        <v>144</v>
      </c>
      <c r="T458" s="1" t="s">
        <v>2390</v>
      </c>
      <c r="U458" s="1" t="s">
        <v>2391</v>
      </c>
    </row>
    <row r="459" spans="1:21" x14ac:dyDescent="0.3">
      <c r="A459">
        <v>363</v>
      </c>
      <c r="B459" t="s">
        <v>970</v>
      </c>
      <c r="C459" t="s">
        <v>2392</v>
      </c>
      <c r="D459" t="s">
        <v>7</v>
      </c>
      <c r="E459">
        <v>1996</v>
      </c>
      <c r="F459" t="s">
        <v>1183</v>
      </c>
      <c r="G459" t="s">
        <v>1183</v>
      </c>
      <c r="H459">
        <v>48.515401943999997</v>
      </c>
      <c r="I459">
        <v>-67.519682222</v>
      </c>
      <c r="J459" t="s">
        <v>2168</v>
      </c>
      <c r="K459" t="s">
        <v>1228</v>
      </c>
      <c r="L459" t="s">
        <v>1167</v>
      </c>
      <c r="M459">
        <f>300*0.3048</f>
        <v>91.44</v>
      </c>
      <c r="N459" t="s">
        <v>2393</v>
      </c>
      <c r="O459" t="s">
        <v>1249</v>
      </c>
      <c r="P459" t="s">
        <v>218</v>
      </c>
      <c r="Q459" t="s">
        <v>404</v>
      </c>
      <c r="R459">
        <f>842*0.3048</f>
        <v>256.64160000000004</v>
      </c>
      <c r="S459">
        <f>1000*0.3048</f>
        <v>304.8</v>
      </c>
      <c r="T459" s="1" t="s">
        <v>2394</v>
      </c>
      <c r="U459" s="1" t="s">
        <v>2395</v>
      </c>
    </row>
    <row r="460" spans="1:21" x14ac:dyDescent="0.3">
      <c r="A460">
        <v>364</v>
      </c>
      <c r="B460" t="s">
        <v>971</v>
      </c>
      <c r="C460" t="s">
        <v>2396</v>
      </c>
      <c r="D460" t="s">
        <v>7</v>
      </c>
      <c r="E460">
        <v>1999</v>
      </c>
      <c r="F460" t="s">
        <v>1183</v>
      </c>
      <c r="G460">
        <v>1999</v>
      </c>
      <c r="H460">
        <v>48.64575</v>
      </c>
      <c r="I460">
        <v>-66.969030000000004</v>
      </c>
      <c r="J460" t="s">
        <v>2168</v>
      </c>
      <c r="K460" t="s">
        <v>1228</v>
      </c>
      <c r="L460" t="s">
        <v>1173</v>
      </c>
      <c r="M460">
        <v>249</v>
      </c>
      <c r="N460" t="s">
        <v>1179</v>
      </c>
      <c r="O460" t="s">
        <v>1249</v>
      </c>
      <c r="P460" t="s">
        <v>218</v>
      </c>
      <c r="Q460" t="s">
        <v>213</v>
      </c>
      <c r="R460">
        <v>365</v>
      </c>
      <c r="S460">
        <v>789</v>
      </c>
      <c r="T460" s="1" t="s">
        <v>2397</v>
      </c>
      <c r="U460" s="1" t="s">
        <v>2398</v>
      </c>
    </row>
    <row r="461" spans="1:21" x14ac:dyDescent="0.3">
      <c r="A461">
        <v>365</v>
      </c>
      <c r="B461" t="s">
        <v>972</v>
      </c>
      <c r="C461" t="s">
        <v>2399</v>
      </c>
      <c r="D461" t="s">
        <v>7</v>
      </c>
      <c r="E461">
        <v>2002</v>
      </c>
      <c r="F461">
        <v>2002</v>
      </c>
      <c r="G461" t="s">
        <v>1183</v>
      </c>
      <c r="H461">
        <v>48.493670000000002</v>
      </c>
      <c r="I461">
        <v>-67.543949999999995</v>
      </c>
      <c r="J461" t="s">
        <v>2168</v>
      </c>
      <c r="K461" t="s">
        <v>1228</v>
      </c>
      <c r="L461" t="s">
        <v>1167</v>
      </c>
      <c r="M461">
        <v>108.5</v>
      </c>
      <c r="N461" t="s">
        <v>2225</v>
      </c>
      <c r="O461" t="s">
        <v>2400</v>
      </c>
      <c r="P461" t="s">
        <v>220</v>
      </c>
      <c r="Q461" t="s">
        <v>404</v>
      </c>
      <c r="R461">
        <v>427</v>
      </c>
      <c r="S461">
        <v>1311</v>
      </c>
      <c r="T461" s="1" t="s">
        <v>2401</v>
      </c>
      <c r="U461" s="1" t="s">
        <v>2402</v>
      </c>
    </row>
    <row r="462" spans="1:21" x14ac:dyDescent="0.3">
      <c r="A462">
        <v>366</v>
      </c>
      <c r="B462" t="s">
        <v>973</v>
      </c>
      <c r="C462" t="s">
        <v>2403</v>
      </c>
      <c r="D462" t="s">
        <v>7</v>
      </c>
      <c r="E462">
        <v>2004</v>
      </c>
      <c r="F462" t="s">
        <v>1183</v>
      </c>
      <c r="G462">
        <v>2004</v>
      </c>
      <c r="H462">
        <v>48.076700000000002</v>
      </c>
      <c r="I462">
        <v>-66.294799999999995</v>
      </c>
      <c r="J462" t="s">
        <v>124</v>
      </c>
      <c r="K462" t="s">
        <v>1228</v>
      </c>
      <c r="L462" t="s">
        <v>1173</v>
      </c>
      <c r="M462">
        <v>307</v>
      </c>
      <c r="N462" t="s">
        <v>1260</v>
      </c>
      <c r="O462" t="s">
        <v>2404</v>
      </c>
      <c r="P462" t="s">
        <v>220</v>
      </c>
      <c r="Q462" t="s">
        <v>213</v>
      </c>
      <c r="R462">
        <v>12</v>
      </c>
      <c r="S462">
        <v>1430</v>
      </c>
      <c r="T462" s="1" t="s">
        <v>2405</v>
      </c>
      <c r="U462" s="1" t="s">
        <v>2406</v>
      </c>
    </row>
    <row r="463" spans="1:21" x14ac:dyDescent="0.3">
      <c r="A463">
        <v>367</v>
      </c>
      <c r="B463" t="s">
        <v>974</v>
      </c>
      <c r="C463" t="s">
        <v>2407</v>
      </c>
      <c r="D463" t="s">
        <v>7</v>
      </c>
      <c r="E463">
        <v>2004</v>
      </c>
      <c r="F463">
        <v>2004</v>
      </c>
      <c r="G463">
        <v>2005</v>
      </c>
      <c r="H463">
        <v>48.105559999999997</v>
      </c>
      <c r="I463">
        <v>-66.341390000000004</v>
      </c>
      <c r="J463" t="s">
        <v>124</v>
      </c>
      <c r="K463" t="s">
        <v>1228</v>
      </c>
      <c r="L463" t="s">
        <v>1173</v>
      </c>
      <c r="M463">
        <v>1245</v>
      </c>
      <c r="N463" t="s">
        <v>1237</v>
      </c>
      <c r="O463" t="s">
        <v>2404</v>
      </c>
      <c r="P463" t="s">
        <v>220</v>
      </c>
      <c r="Q463" t="s">
        <v>213</v>
      </c>
      <c r="R463">
        <v>51</v>
      </c>
      <c r="S463">
        <v>2210</v>
      </c>
      <c r="T463" s="1" t="s">
        <v>2408</v>
      </c>
      <c r="U463" s="1" t="s">
        <v>2409</v>
      </c>
    </row>
    <row r="464" spans="1:21" x14ac:dyDescent="0.3">
      <c r="A464">
        <v>368</v>
      </c>
      <c r="B464" s="7" t="s">
        <v>975</v>
      </c>
      <c r="C464" t="s">
        <v>2410</v>
      </c>
      <c r="D464" t="s">
        <v>7</v>
      </c>
      <c r="E464">
        <v>2006</v>
      </c>
      <c r="F464" t="s">
        <v>1183</v>
      </c>
      <c r="G464">
        <v>2009</v>
      </c>
      <c r="H464">
        <v>48.824379999999998</v>
      </c>
      <c r="I464">
        <v>-64.73039</v>
      </c>
      <c r="J464" t="s">
        <v>124</v>
      </c>
      <c r="K464" t="s">
        <v>1228</v>
      </c>
      <c r="L464" t="s">
        <v>1173</v>
      </c>
      <c r="M464">
        <v>1366.3</v>
      </c>
      <c r="N464" t="s">
        <v>1182</v>
      </c>
      <c r="O464" t="s">
        <v>1586</v>
      </c>
      <c r="P464" t="s">
        <v>218</v>
      </c>
      <c r="Q464" t="s">
        <v>213</v>
      </c>
      <c r="R464">
        <v>34</v>
      </c>
      <c r="S464">
        <v>1501</v>
      </c>
      <c r="T464" s="1" t="s">
        <v>2411</v>
      </c>
      <c r="U464" s="1" t="s">
        <v>2412</v>
      </c>
    </row>
    <row r="465" spans="1:21" x14ac:dyDescent="0.3">
      <c r="A465">
        <v>369</v>
      </c>
      <c r="B465" t="s">
        <v>976</v>
      </c>
      <c r="C465" t="s">
        <v>2413</v>
      </c>
      <c r="D465" t="s">
        <v>7</v>
      </c>
      <c r="E465" t="s">
        <v>1183</v>
      </c>
      <c r="F465" t="s">
        <v>1183</v>
      </c>
      <c r="G465" t="s">
        <v>1183</v>
      </c>
      <c r="H465">
        <v>48.035249999999998</v>
      </c>
      <c r="I465">
        <v>-66.821333332999998</v>
      </c>
      <c r="J465" t="s">
        <v>124</v>
      </c>
      <c r="K465" t="s">
        <v>1228</v>
      </c>
      <c r="L465" t="s">
        <v>1183</v>
      </c>
      <c r="M465" t="s">
        <v>1183</v>
      </c>
      <c r="N465" t="s">
        <v>1183</v>
      </c>
      <c r="O465" t="s">
        <v>1602</v>
      </c>
      <c r="P465" t="s">
        <v>220</v>
      </c>
      <c r="Q465" t="s">
        <v>404</v>
      </c>
      <c r="R465">
        <v>62</v>
      </c>
      <c r="S465" t="s">
        <v>1183</v>
      </c>
      <c r="T465" s="1" t="s">
        <v>2414</v>
      </c>
      <c r="U465" s="1" t="s">
        <v>2415</v>
      </c>
    </row>
    <row r="466" spans="1:21" x14ac:dyDescent="0.3">
      <c r="A466">
        <v>370</v>
      </c>
      <c r="B466" s="8" t="s">
        <v>978</v>
      </c>
      <c r="C466" s="4" t="s">
        <v>3117</v>
      </c>
      <c r="D466" t="s">
        <v>7</v>
      </c>
      <c r="E466">
        <v>1983</v>
      </c>
      <c r="F466">
        <v>1983</v>
      </c>
      <c r="G466">
        <v>1999</v>
      </c>
      <c r="H466">
        <v>48.841633610999999</v>
      </c>
      <c r="I466">
        <v>-64.795967222000002</v>
      </c>
      <c r="J466" t="s">
        <v>124</v>
      </c>
      <c r="K466" t="s">
        <v>1228</v>
      </c>
      <c r="L466" t="s">
        <v>1167</v>
      </c>
      <c r="M466" t="s">
        <v>1183</v>
      </c>
      <c r="N466" t="s">
        <v>1239</v>
      </c>
      <c r="O466" t="s">
        <v>1246</v>
      </c>
      <c r="P466" t="s">
        <v>329</v>
      </c>
      <c r="Q466" t="s">
        <v>213</v>
      </c>
      <c r="R466" t="s">
        <v>1183</v>
      </c>
      <c r="S466">
        <v>77</v>
      </c>
      <c r="T466" s="1" t="s">
        <v>3118</v>
      </c>
      <c r="U466" s="1" t="s">
        <v>3119</v>
      </c>
    </row>
    <row r="467" spans="1:21" x14ac:dyDescent="0.3">
      <c r="A467">
        <v>371</v>
      </c>
      <c r="B467" t="s">
        <v>979</v>
      </c>
      <c r="C467" s="4" t="s">
        <v>2416</v>
      </c>
      <c r="D467" t="s">
        <v>7</v>
      </c>
      <c r="E467">
        <v>1983</v>
      </c>
      <c r="F467">
        <v>1983</v>
      </c>
      <c r="G467">
        <v>1999</v>
      </c>
      <c r="H467">
        <v>48.841933056000002</v>
      </c>
      <c r="I467">
        <v>-64.793384166999999</v>
      </c>
      <c r="J467" t="s">
        <v>124</v>
      </c>
      <c r="K467" t="s">
        <v>1228</v>
      </c>
      <c r="L467" t="s">
        <v>1167</v>
      </c>
      <c r="M467" t="s">
        <v>1183</v>
      </c>
      <c r="N467" t="s">
        <v>1234</v>
      </c>
      <c r="O467" t="s">
        <v>1246</v>
      </c>
      <c r="P467" t="s">
        <v>220</v>
      </c>
      <c r="Q467" t="s">
        <v>404</v>
      </c>
      <c r="R467" t="s">
        <v>1183</v>
      </c>
      <c r="S467">
        <v>19</v>
      </c>
      <c r="T467" s="1" t="s">
        <v>2417</v>
      </c>
      <c r="U467" s="1" t="s">
        <v>2418</v>
      </c>
    </row>
    <row r="468" spans="1:21" x14ac:dyDescent="0.3">
      <c r="A468">
        <v>372</v>
      </c>
      <c r="B468" t="s">
        <v>990</v>
      </c>
      <c r="C468" s="4" t="s">
        <v>2422</v>
      </c>
      <c r="D468" t="s">
        <v>7</v>
      </c>
      <c r="E468">
        <v>1985</v>
      </c>
      <c r="F468" t="s">
        <v>1183</v>
      </c>
      <c r="G468">
        <v>1999</v>
      </c>
      <c r="H468">
        <v>48.838285833</v>
      </c>
      <c r="I468">
        <v>-64.786129166999999</v>
      </c>
      <c r="J468" t="s">
        <v>124</v>
      </c>
      <c r="K468" t="s">
        <v>1228</v>
      </c>
      <c r="L468" t="s">
        <v>1167</v>
      </c>
      <c r="M468" t="s">
        <v>1183</v>
      </c>
      <c r="N468" t="s">
        <v>1237</v>
      </c>
      <c r="O468" t="s">
        <v>1246</v>
      </c>
      <c r="P468" t="s">
        <v>220</v>
      </c>
      <c r="Q468" t="s">
        <v>404</v>
      </c>
      <c r="R468" t="s">
        <v>1183</v>
      </c>
      <c r="S468">
        <v>179</v>
      </c>
      <c r="T468" s="1" t="s">
        <v>2423</v>
      </c>
      <c r="U468" s="1" t="s">
        <v>2424</v>
      </c>
    </row>
    <row r="469" spans="1:21" x14ac:dyDescent="0.3">
      <c r="A469">
        <v>373</v>
      </c>
      <c r="B469" s="8" t="s">
        <v>991</v>
      </c>
      <c r="C469" s="4" t="s">
        <v>3147</v>
      </c>
      <c r="D469" t="s">
        <v>7</v>
      </c>
      <c r="E469">
        <v>1985</v>
      </c>
      <c r="F469" t="s">
        <v>1183</v>
      </c>
      <c r="G469">
        <v>1999</v>
      </c>
      <c r="H469">
        <v>48.837512777999997</v>
      </c>
      <c r="I469">
        <v>-64.785265832999997</v>
      </c>
      <c r="J469" t="s">
        <v>124</v>
      </c>
      <c r="K469" t="s">
        <v>1228</v>
      </c>
      <c r="L469" t="s">
        <v>1167</v>
      </c>
      <c r="M469" t="s">
        <v>1183</v>
      </c>
      <c r="N469" t="s">
        <v>1237</v>
      </c>
      <c r="O469" t="s">
        <v>1246</v>
      </c>
      <c r="P469" t="s">
        <v>220</v>
      </c>
      <c r="Q469" t="s">
        <v>404</v>
      </c>
      <c r="R469" t="s">
        <v>1183</v>
      </c>
      <c r="S469">
        <v>160</v>
      </c>
      <c r="T469" s="1" t="s">
        <v>3148</v>
      </c>
      <c r="U469" s="1" t="s">
        <v>3149</v>
      </c>
    </row>
    <row r="470" spans="1:21" x14ac:dyDescent="0.3">
      <c r="A470">
        <v>374</v>
      </c>
      <c r="B470" t="s">
        <v>993</v>
      </c>
      <c r="C470" s="4" t="s">
        <v>2428</v>
      </c>
      <c r="D470" t="s">
        <v>7</v>
      </c>
      <c r="E470">
        <v>1985</v>
      </c>
      <c r="F470" t="s">
        <v>1183</v>
      </c>
      <c r="G470">
        <v>1999</v>
      </c>
      <c r="H470">
        <v>48.840710833000003</v>
      </c>
      <c r="I470">
        <v>-64.790756110999993</v>
      </c>
      <c r="J470" t="s">
        <v>124</v>
      </c>
      <c r="K470" t="s">
        <v>1228</v>
      </c>
      <c r="L470" t="s">
        <v>1167</v>
      </c>
      <c r="M470" t="s">
        <v>1183</v>
      </c>
      <c r="N470" t="s">
        <v>1237</v>
      </c>
      <c r="O470" t="s">
        <v>1246</v>
      </c>
      <c r="P470" t="s">
        <v>220</v>
      </c>
      <c r="Q470" t="s">
        <v>404</v>
      </c>
      <c r="R470" t="s">
        <v>1183</v>
      </c>
      <c r="S470">
        <v>169</v>
      </c>
      <c r="T470" s="1" t="s">
        <v>2429</v>
      </c>
      <c r="U470" s="1" t="s">
        <v>2430</v>
      </c>
    </row>
    <row r="471" spans="1:21" x14ac:dyDescent="0.3">
      <c r="A471">
        <v>375</v>
      </c>
      <c r="B471" s="7" t="s">
        <v>994</v>
      </c>
      <c r="C471" s="4" t="s">
        <v>2431</v>
      </c>
      <c r="D471" t="s">
        <v>7</v>
      </c>
      <c r="E471">
        <v>1985</v>
      </c>
      <c r="F471" t="s">
        <v>1183</v>
      </c>
      <c r="G471">
        <v>1999</v>
      </c>
      <c r="H471">
        <v>48.840850000000003</v>
      </c>
      <c r="I471">
        <v>-64.790499999999994</v>
      </c>
      <c r="J471" t="s">
        <v>124</v>
      </c>
      <c r="K471" t="s">
        <v>1228</v>
      </c>
      <c r="L471" t="s">
        <v>1167</v>
      </c>
      <c r="M471" t="s">
        <v>1183</v>
      </c>
      <c r="N471" t="s">
        <v>1237</v>
      </c>
      <c r="O471" t="s">
        <v>1246</v>
      </c>
      <c r="P471" t="s">
        <v>220</v>
      </c>
      <c r="Q471" t="s">
        <v>404</v>
      </c>
      <c r="R471" t="s">
        <v>1183</v>
      </c>
      <c r="S471">
        <v>191</v>
      </c>
      <c r="T471" s="1" t="s">
        <v>2432</v>
      </c>
      <c r="U471" s="1" t="s">
        <v>2433</v>
      </c>
    </row>
    <row r="472" spans="1:21" x14ac:dyDescent="0.3">
      <c r="A472">
        <v>376</v>
      </c>
      <c r="B472" s="8" t="s">
        <v>996</v>
      </c>
      <c r="C472" s="4" t="s">
        <v>3153</v>
      </c>
      <c r="D472" t="s">
        <v>7</v>
      </c>
      <c r="E472">
        <v>1985</v>
      </c>
      <c r="F472" t="s">
        <v>1183</v>
      </c>
      <c r="G472">
        <v>1999</v>
      </c>
      <c r="H472">
        <v>48.842767500000001</v>
      </c>
      <c r="I472">
        <v>-64.797922499999999</v>
      </c>
      <c r="J472" t="s">
        <v>124</v>
      </c>
      <c r="K472" t="s">
        <v>1228</v>
      </c>
      <c r="L472" t="s">
        <v>1167</v>
      </c>
      <c r="M472" t="s">
        <v>1183</v>
      </c>
      <c r="N472" t="s">
        <v>1182</v>
      </c>
      <c r="O472" t="s">
        <v>1246</v>
      </c>
      <c r="P472" t="s">
        <v>220</v>
      </c>
      <c r="Q472" t="s">
        <v>404</v>
      </c>
      <c r="R472" t="s">
        <v>1183</v>
      </c>
      <c r="S472">
        <v>192</v>
      </c>
      <c r="T472" s="1" t="s">
        <v>3154</v>
      </c>
      <c r="U472" s="1" t="s">
        <v>3155</v>
      </c>
    </row>
    <row r="473" spans="1:21" x14ac:dyDescent="0.3">
      <c r="A473">
        <v>377</v>
      </c>
      <c r="B473" s="8" t="s">
        <v>997</v>
      </c>
      <c r="C473" s="4" t="s">
        <v>3156</v>
      </c>
      <c r="D473" t="s">
        <v>7</v>
      </c>
      <c r="E473">
        <v>1985</v>
      </c>
      <c r="F473" t="s">
        <v>1183</v>
      </c>
      <c r="G473">
        <v>1999</v>
      </c>
      <c r="H473">
        <v>48.842716944000003</v>
      </c>
      <c r="I473">
        <v>-64.797844999999995</v>
      </c>
      <c r="J473" t="s">
        <v>124</v>
      </c>
      <c r="K473" t="s">
        <v>1228</v>
      </c>
      <c r="L473" t="s">
        <v>1167</v>
      </c>
      <c r="M473" t="s">
        <v>1183</v>
      </c>
      <c r="N473" t="s">
        <v>1237</v>
      </c>
      <c r="O473" t="s">
        <v>1246</v>
      </c>
      <c r="P473" t="s">
        <v>329</v>
      </c>
      <c r="Q473" t="s">
        <v>404</v>
      </c>
      <c r="R473" t="s">
        <v>1183</v>
      </c>
      <c r="S473">
        <v>177</v>
      </c>
      <c r="T473" s="1" t="s">
        <v>3157</v>
      </c>
      <c r="U473" s="1" t="s">
        <v>3158</v>
      </c>
    </row>
    <row r="474" spans="1:21" x14ac:dyDescent="0.3">
      <c r="A474">
        <v>378</v>
      </c>
      <c r="B474" t="s">
        <v>998</v>
      </c>
      <c r="C474" s="4" t="s">
        <v>2434</v>
      </c>
      <c r="D474" t="s">
        <v>7</v>
      </c>
      <c r="E474">
        <v>1985</v>
      </c>
      <c r="F474" t="s">
        <v>1183</v>
      </c>
      <c r="G474">
        <v>1999</v>
      </c>
      <c r="H474">
        <v>48.838257499999997</v>
      </c>
      <c r="I474">
        <v>-64.789290555999997</v>
      </c>
      <c r="J474" t="s">
        <v>124</v>
      </c>
      <c r="K474" t="s">
        <v>1228</v>
      </c>
      <c r="L474" t="s">
        <v>1167</v>
      </c>
      <c r="M474" t="s">
        <v>1183</v>
      </c>
      <c r="N474" t="s">
        <v>1234</v>
      </c>
      <c r="O474" t="s">
        <v>1246</v>
      </c>
      <c r="P474" t="s">
        <v>220</v>
      </c>
      <c r="Q474" t="s">
        <v>404</v>
      </c>
      <c r="R474" t="s">
        <v>1183</v>
      </c>
      <c r="S474">
        <v>75</v>
      </c>
      <c r="T474" s="1" t="s">
        <v>2435</v>
      </c>
      <c r="U474" s="1" t="s">
        <v>2436</v>
      </c>
    </row>
    <row r="475" spans="1:21" x14ac:dyDescent="0.3">
      <c r="A475">
        <v>379</v>
      </c>
      <c r="B475" t="s">
        <v>999</v>
      </c>
      <c r="C475" s="4" t="s">
        <v>2437</v>
      </c>
      <c r="D475" t="s">
        <v>7</v>
      </c>
      <c r="E475">
        <v>1985</v>
      </c>
      <c r="F475" t="s">
        <v>1183</v>
      </c>
      <c r="G475">
        <v>1999</v>
      </c>
      <c r="H475">
        <v>48.837605277999998</v>
      </c>
      <c r="I475">
        <v>-64.790343332999996</v>
      </c>
      <c r="J475" t="s">
        <v>124</v>
      </c>
      <c r="K475" t="s">
        <v>1228</v>
      </c>
      <c r="L475" t="s">
        <v>1167</v>
      </c>
      <c r="M475" t="s">
        <v>1183</v>
      </c>
      <c r="N475" t="s">
        <v>2163</v>
      </c>
      <c r="O475" t="s">
        <v>1246</v>
      </c>
      <c r="P475" t="s">
        <v>329</v>
      </c>
      <c r="Q475" t="s">
        <v>404</v>
      </c>
      <c r="R475" t="s">
        <v>1183</v>
      </c>
      <c r="S475">
        <v>199</v>
      </c>
      <c r="T475" s="1" t="s">
        <v>2438</v>
      </c>
      <c r="U475" s="1" t="s">
        <v>2439</v>
      </c>
    </row>
    <row r="476" spans="1:21" x14ac:dyDescent="0.3">
      <c r="A476">
        <v>380</v>
      </c>
      <c r="B476" t="s">
        <v>1000</v>
      </c>
      <c r="C476" s="4" t="s">
        <v>2440</v>
      </c>
      <c r="D476" t="s">
        <v>7</v>
      </c>
      <c r="E476">
        <v>1985</v>
      </c>
      <c r="F476" t="s">
        <v>1183</v>
      </c>
      <c r="G476">
        <v>1999</v>
      </c>
      <c r="H476">
        <v>48.837081667</v>
      </c>
      <c r="I476">
        <v>-64.787523055999998</v>
      </c>
      <c r="J476" t="s">
        <v>124</v>
      </c>
      <c r="K476" t="s">
        <v>1228</v>
      </c>
      <c r="L476" t="s">
        <v>1167</v>
      </c>
      <c r="M476" t="s">
        <v>1183</v>
      </c>
      <c r="N476" t="s">
        <v>1183</v>
      </c>
      <c r="O476" t="s">
        <v>1246</v>
      </c>
      <c r="P476" t="s">
        <v>220</v>
      </c>
      <c r="Q476" t="s">
        <v>404</v>
      </c>
      <c r="R476" t="s">
        <v>1183</v>
      </c>
      <c r="S476">
        <v>351</v>
      </c>
      <c r="T476" s="1" t="s">
        <v>2441</v>
      </c>
      <c r="U476" s="1" t="s">
        <v>2442</v>
      </c>
    </row>
    <row r="477" spans="1:21" x14ac:dyDescent="0.3">
      <c r="A477">
        <v>381</v>
      </c>
      <c r="B477" t="s">
        <v>1001</v>
      </c>
      <c r="C477" s="4" t="s">
        <v>2443</v>
      </c>
      <c r="D477" t="s">
        <v>7</v>
      </c>
      <c r="E477">
        <v>1985</v>
      </c>
      <c r="F477" t="s">
        <v>1183</v>
      </c>
      <c r="G477">
        <v>1999</v>
      </c>
      <c r="H477">
        <v>48.844571944000002</v>
      </c>
      <c r="I477">
        <v>-64.798925832999998</v>
      </c>
      <c r="J477" t="s">
        <v>124</v>
      </c>
      <c r="K477" t="s">
        <v>1228</v>
      </c>
      <c r="L477" t="s">
        <v>1167</v>
      </c>
      <c r="M477" t="s">
        <v>1183</v>
      </c>
      <c r="N477" t="s">
        <v>2444</v>
      </c>
      <c r="O477" t="s">
        <v>1246</v>
      </c>
      <c r="P477" t="s">
        <v>329</v>
      </c>
      <c r="Q477" t="s">
        <v>404</v>
      </c>
      <c r="R477" t="s">
        <v>1183</v>
      </c>
      <c r="S477">
        <v>236</v>
      </c>
      <c r="T477" s="1" t="s">
        <v>2445</v>
      </c>
      <c r="U477" s="1" t="s">
        <v>2446</v>
      </c>
    </row>
    <row r="478" spans="1:21" x14ac:dyDescent="0.3">
      <c r="A478">
        <v>382</v>
      </c>
      <c r="B478" t="s">
        <v>1002</v>
      </c>
      <c r="C478" s="4" t="s">
        <v>2447</v>
      </c>
      <c r="D478" t="s">
        <v>7</v>
      </c>
      <c r="E478">
        <v>1985</v>
      </c>
      <c r="F478" t="s">
        <v>1183</v>
      </c>
      <c r="G478">
        <v>1999</v>
      </c>
      <c r="H478">
        <v>48.844861000000002</v>
      </c>
      <c r="I478">
        <v>-64.802087999999998</v>
      </c>
      <c r="J478" t="s">
        <v>124</v>
      </c>
      <c r="K478" t="s">
        <v>1228</v>
      </c>
      <c r="L478" t="s">
        <v>1167</v>
      </c>
      <c r="M478" t="s">
        <v>1183</v>
      </c>
      <c r="N478" t="s">
        <v>2163</v>
      </c>
      <c r="O478" t="s">
        <v>1246</v>
      </c>
      <c r="P478" t="s">
        <v>329</v>
      </c>
      <c r="Q478" t="s">
        <v>404</v>
      </c>
      <c r="R478" t="s">
        <v>1183</v>
      </c>
      <c r="S478">
        <v>233</v>
      </c>
      <c r="T478" s="1" t="s">
        <v>2448</v>
      </c>
      <c r="U478" s="1" t="s">
        <v>2449</v>
      </c>
    </row>
    <row r="479" spans="1:21" x14ac:dyDescent="0.3">
      <c r="A479">
        <v>383</v>
      </c>
      <c r="B479" t="s">
        <v>1003</v>
      </c>
      <c r="C479" s="4" t="s">
        <v>2450</v>
      </c>
      <c r="D479" t="s">
        <v>7</v>
      </c>
      <c r="E479">
        <v>1985</v>
      </c>
      <c r="F479" t="s">
        <v>1183</v>
      </c>
      <c r="G479">
        <v>1999</v>
      </c>
      <c r="H479">
        <v>48.838941388999999</v>
      </c>
      <c r="I479">
        <v>-64.790245556000002</v>
      </c>
      <c r="J479" t="s">
        <v>124</v>
      </c>
      <c r="K479" t="s">
        <v>1228</v>
      </c>
      <c r="L479" t="s">
        <v>1167</v>
      </c>
      <c r="M479" t="s">
        <v>1183</v>
      </c>
      <c r="N479" t="s">
        <v>1237</v>
      </c>
      <c r="O479" t="s">
        <v>1246</v>
      </c>
      <c r="P479" t="s">
        <v>220</v>
      </c>
      <c r="Q479" t="s">
        <v>404</v>
      </c>
      <c r="R479" t="s">
        <v>1183</v>
      </c>
      <c r="S479">
        <v>346</v>
      </c>
      <c r="T479" s="1" t="s">
        <v>2451</v>
      </c>
      <c r="U479" s="1" t="s">
        <v>2452</v>
      </c>
    </row>
    <row r="480" spans="1:21" x14ac:dyDescent="0.3">
      <c r="A480">
        <v>384</v>
      </c>
      <c r="B480" t="s">
        <v>1004</v>
      </c>
      <c r="C480" s="4" t="s">
        <v>2453</v>
      </c>
      <c r="D480" t="s">
        <v>7</v>
      </c>
      <c r="E480">
        <v>1985</v>
      </c>
      <c r="F480" t="s">
        <v>1183</v>
      </c>
      <c r="G480">
        <v>1999</v>
      </c>
      <c r="H480">
        <v>48.838694400000001</v>
      </c>
      <c r="I480">
        <v>-64.790627799999996</v>
      </c>
      <c r="J480" t="s">
        <v>124</v>
      </c>
      <c r="K480" t="s">
        <v>1228</v>
      </c>
      <c r="L480" t="s">
        <v>1167</v>
      </c>
      <c r="M480" t="s">
        <v>1183</v>
      </c>
      <c r="N480" t="s">
        <v>2163</v>
      </c>
      <c r="O480" t="s">
        <v>1246</v>
      </c>
      <c r="P480" t="s">
        <v>329</v>
      </c>
      <c r="Q480" t="s">
        <v>404</v>
      </c>
      <c r="R480" t="s">
        <v>1183</v>
      </c>
      <c r="S480">
        <v>276</v>
      </c>
      <c r="T480" s="1" t="s">
        <v>2454</v>
      </c>
      <c r="U480" s="1" t="s">
        <v>2455</v>
      </c>
    </row>
    <row r="481" spans="1:21" x14ac:dyDescent="0.3">
      <c r="A481">
        <v>385</v>
      </c>
      <c r="B481" t="s">
        <v>1006</v>
      </c>
      <c r="C481" s="4" t="s">
        <v>2456</v>
      </c>
      <c r="D481" t="s">
        <v>7</v>
      </c>
      <c r="E481">
        <v>1985</v>
      </c>
      <c r="F481" t="s">
        <v>1183</v>
      </c>
      <c r="G481" t="s">
        <v>1183</v>
      </c>
      <c r="H481">
        <v>48.811929999999997</v>
      </c>
      <c r="I481">
        <v>-64.442539999999994</v>
      </c>
      <c r="J481" t="s">
        <v>124</v>
      </c>
      <c r="K481" t="s">
        <v>1228</v>
      </c>
      <c r="L481" t="s">
        <v>1167</v>
      </c>
      <c r="M481" t="s">
        <v>1183</v>
      </c>
      <c r="N481" t="s">
        <v>2457</v>
      </c>
      <c r="O481" t="s">
        <v>1246</v>
      </c>
      <c r="P481" t="s">
        <v>329</v>
      </c>
      <c r="Q481" t="s">
        <v>404</v>
      </c>
      <c r="R481" t="s">
        <v>1183</v>
      </c>
      <c r="S481">
        <v>162</v>
      </c>
      <c r="T481" s="1" t="s">
        <v>2458</v>
      </c>
      <c r="U481" s="1" t="s">
        <v>2459</v>
      </c>
    </row>
    <row r="482" spans="1:21" x14ac:dyDescent="0.3">
      <c r="A482">
        <v>386</v>
      </c>
      <c r="B482" t="s">
        <v>1007</v>
      </c>
      <c r="C482" s="4" t="s">
        <v>2460</v>
      </c>
      <c r="D482" t="s">
        <v>7</v>
      </c>
      <c r="E482">
        <v>1985</v>
      </c>
      <c r="F482" t="s">
        <v>1183</v>
      </c>
      <c r="G482">
        <v>1999</v>
      </c>
      <c r="H482">
        <v>48.812452221999997</v>
      </c>
      <c r="I482">
        <v>-64.442386389000006</v>
      </c>
      <c r="J482" t="s">
        <v>124</v>
      </c>
      <c r="K482" t="s">
        <v>1228</v>
      </c>
      <c r="L482" t="s">
        <v>1167</v>
      </c>
      <c r="M482" t="s">
        <v>1183</v>
      </c>
      <c r="N482" t="s">
        <v>1234</v>
      </c>
      <c r="O482" t="s">
        <v>1246</v>
      </c>
      <c r="P482" t="s">
        <v>329</v>
      </c>
      <c r="Q482" t="s">
        <v>404</v>
      </c>
      <c r="R482" t="s">
        <v>1183</v>
      </c>
      <c r="S482">
        <v>249</v>
      </c>
      <c r="T482" s="1" t="s">
        <v>2461</v>
      </c>
      <c r="U482" s="1" t="s">
        <v>2462</v>
      </c>
    </row>
    <row r="483" spans="1:21" x14ac:dyDescent="0.3">
      <c r="A483">
        <v>387</v>
      </c>
      <c r="B483" t="s">
        <v>1008</v>
      </c>
      <c r="C483" s="4" t="s">
        <v>2463</v>
      </c>
      <c r="D483" t="s">
        <v>7</v>
      </c>
      <c r="E483">
        <v>1985</v>
      </c>
      <c r="F483" t="s">
        <v>1183</v>
      </c>
      <c r="G483">
        <v>1999</v>
      </c>
      <c r="H483">
        <v>48.811995555999999</v>
      </c>
      <c r="I483">
        <v>-64.445295000000002</v>
      </c>
      <c r="J483" t="s">
        <v>124</v>
      </c>
      <c r="K483" t="s">
        <v>1228</v>
      </c>
      <c r="L483" t="s">
        <v>1167</v>
      </c>
      <c r="M483" t="s">
        <v>1183</v>
      </c>
      <c r="N483" t="s">
        <v>1183</v>
      </c>
      <c r="O483" t="s">
        <v>1246</v>
      </c>
      <c r="P483" t="s">
        <v>220</v>
      </c>
      <c r="Q483" t="s">
        <v>404</v>
      </c>
      <c r="R483" t="s">
        <v>1183</v>
      </c>
      <c r="S483">
        <v>133</v>
      </c>
      <c r="T483" s="1" t="s">
        <v>2464</v>
      </c>
      <c r="U483" s="1" t="s">
        <v>2465</v>
      </c>
    </row>
    <row r="484" spans="1:21" x14ac:dyDescent="0.3">
      <c r="A484">
        <v>388</v>
      </c>
      <c r="B484" t="s">
        <v>1009</v>
      </c>
      <c r="C484" s="4" t="s">
        <v>2466</v>
      </c>
      <c r="D484" t="s">
        <v>7</v>
      </c>
      <c r="E484">
        <v>1985</v>
      </c>
      <c r="F484" t="s">
        <v>1183</v>
      </c>
      <c r="G484">
        <v>1999</v>
      </c>
      <c r="H484">
        <v>48.812109999999997</v>
      </c>
      <c r="I484">
        <v>-64.442830000000001</v>
      </c>
      <c r="J484" t="s">
        <v>124</v>
      </c>
      <c r="K484" t="s">
        <v>1228</v>
      </c>
      <c r="L484" t="s">
        <v>1167</v>
      </c>
      <c r="M484" t="s">
        <v>1183</v>
      </c>
      <c r="N484" t="s">
        <v>1183</v>
      </c>
      <c r="O484" t="s">
        <v>1246</v>
      </c>
      <c r="P484" t="s">
        <v>220</v>
      </c>
      <c r="Q484" t="s">
        <v>404</v>
      </c>
      <c r="R484" t="s">
        <v>1183</v>
      </c>
      <c r="S484">
        <v>9</v>
      </c>
      <c r="T484" s="1" t="s">
        <v>2467</v>
      </c>
      <c r="U484" s="1" t="s">
        <v>2468</v>
      </c>
    </row>
    <row r="485" spans="1:21" x14ac:dyDescent="0.3">
      <c r="A485">
        <v>389</v>
      </c>
      <c r="B485" t="s">
        <v>1010</v>
      </c>
      <c r="C485" s="4" t="s">
        <v>2469</v>
      </c>
      <c r="D485" t="s">
        <v>7</v>
      </c>
      <c r="E485">
        <v>1985</v>
      </c>
      <c r="F485" t="s">
        <v>1183</v>
      </c>
      <c r="G485">
        <v>1999</v>
      </c>
      <c r="H485">
        <v>48.812478333000001</v>
      </c>
      <c r="I485">
        <v>-64.442397221999997</v>
      </c>
      <c r="J485" t="s">
        <v>124</v>
      </c>
      <c r="K485" t="s">
        <v>1228</v>
      </c>
      <c r="L485" t="s">
        <v>1167</v>
      </c>
      <c r="M485" t="s">
        <v>1183</v>
      </c>
      <c r="N485" t="s">
        <v>1183</v>
      </c>
      <c r="O485" t="s">
        <v>1246</v>
      </c>
      <c r="P485" t="s">
        <v>329</v>
      </c>
      <c r="Q485" t="s">
        <v>404</v>
      </c>
      <c r="R485" t="s">
        <v>1183</v>
      </c>
      <c r="S485">
        <v>9</v>
      </c>
      <c r="T485" s="1" t="s">
        <v>2470</v>
      </c>
      <c r="U485" s="1" t="s">
        <v>2471</v>
      </c>
    </row>
    <row r="486" spans="1:21" x14ac:dyDescent="0.3">
      <c r="A486">
        <v>390</v>
      </c>
      <c r="B486" s="9" t="s">
        <v>3220</v>
      </c>
      <c r="C486" s="4" t="s">
        <v>3254</v>
      </c>
      <c r="D486" t="s">
        <v>7</v>
      </c>
      <c r="E486">
        <v>2010</v>
      </c>
      <c r="F486" t="s">
        <v>1183</v>
      </c>
      <c r="G486">
        <v>2010</v>
      </c>
      <c r="H486">
        <v>48.463028000000001</v>
      </c>
      <c r="I486">
        <v>-67.801361</v>
      </c>
      <c r="J486" t="s">
        <v>2168</v>
      </c>
      <c r="K486" t="s">
        <v>1228</v>
      </c>
      <c r="L486" t="s">
        <v>1183</v>
      </c>
      <c r="M486" t="s">
        <v>1183</v>
      </c>
      <c r="N486" t="s">
        <v>1183</v>
      </c>
      <c r="O486" t="s">
        <v>1183</v>
      </c>
      <c r="P486" t="s">
        <v>220</v>
      </c>
      <c r="Q486" t="s">
        <v>404</v>
      </c>
      <c r="R486">
        <v>403</v>
      </c>
      <c r="S486">
        <v>288</v>
      </c>
      <c r="T486" t="s">
        <v>220</v>
      </c>
      <c r="U486" s="1" t="s">
        <v>3287</v>
      </c>
    </row>
    <row r="487" spans="1:21" x14ac:dyDescent="0.3">
      <c r="A487">
        <v>391</v>
      </c>
      <c r="B487" s="9" t="s">
        <v>3221</v>
      </c>
      <c r="C487" s="4" t="s">
        <v>3255</v>
      </c>
      <c r="D487" t="s">
        <v>7</v>
      </c>
      <c r="E487">
        <v>2010</v>
      </c>
      <c r="F487" t="s">
        <v>1183</v>
      </c>
      <c r="G487">
        <v>2010</v>
      </c>
      <c r="H487">
        <v>48.27225</v>
      </c>
      <c r="I487">
        <v>-67.962666999999996</v>
      </c>
      <c r="J487" t="s">
        <v>2168</v>
      </c>
      <c r="K487" t="s">
        <v>1228</v>
      </c>
      <c r="L487" t="s">
        <v>1183</v>
      </c>
      <c r="M487" t="s">
        <v>1183</v>
      </c>
      <c r="N487" t="s">
        <v>1183</v>
      </c>
      <c r="O487" t="s">
        <v>1183</v>
      </c>
      <c r="P487" t="s">
        <v>220</v>
      </c>
      <c r="Q487" t="s">
        <v>404</v>
      </c>
      <c r="R487">
        <v>510</v>
      </c>
      <c r="S487">
        <v>99</v>
      </c>
      <c r="T487" t="s">
        <v>220</v>
      </c>
      <c r="U487" s="1" t="s">
        <v>3288</v>
      </c>
    </row>
    <row r="488" spans="1:21" x14ac:dyDescent="0.3">
      <c r="A488">
        <v>392</v>
      </c>
      <c r="B488" s="9" t="s">
        <v>3222</v>
      </c>
      <c r="C488" s="4" t="s">
        <v>3256</v>
      </c>
      <c r="D488" t="s">
        <v>7</v>
      </c>
      <c r="E488">
        <v>2010</v>
      </c>
      <c r="F488" t="s">
        <v>1183</v>
      </c>
      <c r="G488">
        <v>2010</v>
      </c>
      <c r="H488">
        <v>48.459389000000002</v>
      </c>
      <c r="I488">
        <v>-67.797832999999997</v>
      </c>
      <c r="J488" t="s">
        <v>2168</v>
      </c>
      <c r="K488" t="s">
        <v>1228</v>
      </c>
      <c r="L488" t="s">
        <v>1183</v>
      </c>
      <c r="M488" t="s">
        <v>1183</v>
      </c>
      <c r="N488" t="s">
        <v>1183</v>
      </c>
      <c r="O488" t="s">
        <v>1183</v>
      </c>
      <c r="P488" t="s">
        <v>220</v>
      </c>
      <c r="Q488" t="s">
        <v>404</v>
      </c>
      <c r="R488">
        <v>382</v>
      </c>
      <c r="S488">
        <v>144</v>
      </c>
      <c r="T488" t="s">
        <v>220</v>
      </c>
      <c r="U488" s="1" t="s">
        <v>3289</v>
      </c>
    </row>
    <row r="489" spans="1:21" x14ac:dyDescent="0.3">
      <c r="A489">
        <v>393</v>
      </c>
      <c r="B489" s="9" t="s">
        <v>3223</v>
      </c>
      <c r="C489" s="4" t="s">
        <v>3257</v>
      </c>
      <c r="D489" t="s">
        <v>7</v>
      </c>
      <c r="E489">
        <v>2011</v>
      </c>
      <c r="F489" t="s">
        <v>1183</v>
      </c>
      <c r="G489">
        <v>2011</v>
      </c>
      <c r="H489">
        <v>48.454250000000002</v>
      </c>
      <c r="I489">
        <v>-67.893638999999993</v>
      </c>
      <c r="J489" t="s">
        <v>2168</v>
      </c>
      <c r="K489" t="s">
        <v>1228</v>
      </c>
      <c r="L489" t="s">
        <v>1183</v>
      </c>
      <c r="M489" t="s">
        <v>1183</v>
      </c>
      <c r="N489" t="s">
        <v>1183</v>
      </c>
      <c r="O489" t="s">
        <v>1183</v>
      </c>
      <c r="P489" t="s">
        <v>220</v>
      </c>
      <c r="Q489" t="s">
        <v>404</v>
      </c>
      <c r="R489">
        <v>269</v>
      </c>
      <c r="S489">
        <v>447</v>
      </c>
      <c r="T489" t="s">
        <v>220</v>
      </c>
      <c r="U489" s="1" t="s">
        <v>3290</v>
      </c>
    </row>
    <row r="490" spans="1:21" x14ac:dyDescent="0.3">
      <c r="A490">
        <v>394</v>
      </c>
      <c r="B490" s="9" t="s">
        <v>3224</v>
      </c>
      <c r="C490" s="4" t="s">
        <v>3258</v>
      </c>
      <c r="D490" t="s">
        <v>7</v>
      </c>
      <c r="E490">
        <v>2011</v>
      </c>
      <c r="F490" t="s">
        <v>1183</v>
      </c>
      <c r="G490">
        <v>2011</v>
      </c>
      <c r="H490">
        <v>48.446888999999999</v>
      </c>
      <c r="I490">
        <v>-67.994056</v>
      </c>
      <c r="J490" t="s">
        <v>2168</v>
      </c>
      <c r="K490" t="s">
        <v>1228</v>
      </c>
      <c r="L490" t="s">
        <v>1183</v>
      </c>
      <c r="M490" t="s">
        <v>1183</v>
      </c>
      <c r="N490" t="s">
        <v>1183</v>
      </c>
      <c r="O490" t="s">
        <v>1183</v>
      </c>
      <c r="P490" t="s">
        <v>220</v>
      </c>
      <c r="Q490" t="s">
        <v>404</v>
      </c>
      <c r="R490">
        <v>152</v>
      </c>
      <c r="S490">
        <v>600</v>
      </c>
      <c r="T490" t="s">
        <v>220</v>
      </c>
      <c r="U490" s="1" t="s">
        <v>3291</v>
      </c>
    </row>
    <row r="491" spans="1:21" x14ac:dyDescent="0.3">
      <c r="A491">
        <v>395</v>
      </c>
      <c r="B491" s="9" t="s">
        <v>3225</v>
      </c>
      <c r="C491" s="4" t="s">
        <v>3259</v>
      </c>
      <c r="D491" t="s">
        <v>7</v>
      </c>
      <c r="E491">
        <v>2013</v>
      </c>
      <c r="F491" t="s">
        <v>1183</v>
      </c>
      <c r="G491" t="s">
        <v>1183</v>
      </c>
      <c r="H491">
        <v>48.423527999999997</v>
      </c>
      <c r="I491">
        <v>-67.988777999999996</v>
      </c>
      <c r="J491" t="s">
        <v>2168</v>
      </c>
      <c r="K491" t="s">
        <v>1228</v>
      </c>
      <c r="L491" t="s">
        <v>1183</v>
      </c>
      <c r="M491" t="s">
        <v>1183</v>
      </c>
      <c r="N491" t="s">
        <v>1183</v>
      </c>
      <c r="O491" t="s">
        <v>1183</v>
      </c>
      <c r="P491" t="s">
        <v>220</v>
      </c>
      <c r="Q491" t="s">
        <v>404</v>
      </c>
      <c r="R491" t="s">
        <v>1183</v>
      </c>
      <c r="S491">
        <v>99</v>
      </c>
      <c r="T491" t="s">
        <v>220</v>
      </c>
      <c r="U491" s="1" t="s">
        <v>3292</v>
      </c>
    </row>
    <row r="492" spans="1:21" x14ac:dyDescent="0.3">
      <c r="A492">
        <v>396</v>
      </c>
      <c r="B492" s="9" t="s">
        <v>3226</v>
      </c>
      <c r="C492" s="4" t="s">
        <v>3260</v>
      </c>
      <c r="D492" t="s">
        <v>7</v>
      </c>
      <c r="E492" t="s">
        <v>1183</v>
      </c>
      <c r="F492" t="s">
        <v>1183</v>
      </c>
      <c r="G492" t="s">
        <v>1183</v>
      </c>
      <c r="H492">
        <v>48.531806000000003</v>
      </c>
      <c r="I492">
        <v>-67.697610999999995</v>
      </c>
      <c r="J492" t="s">
        <v>2168</v>
      </c>
      <c r="K492" t="s">
        <v>1228</v>
      </c>
      <c r="L492" t="s">
        <v>1183</v>
      </c>
      <c r="M492" t="s">
        <v>1183</v>
      </c>
      <c r="N492" t="s">
        <v>1183</v>
      </c>
      <c r="O492" t="s">
        <v>1183</v>
      </c>
      <c r="P492" t="s">
        <v>220</v>
      </c>
      <c r="Q492" t="s">
        <v>404</v>
      </c>
      <c r="R492" t="s">
        <v>1183</v>
      </c>
      <c r="S492">
        <v>0</v>
      </c>
      <c r="T492" t="s">
        <v>220</v>
      </c>
      <c r="U492" s="1" t="s">
        <v>3293</v>
      </c>
    </row>
    <row r="493" spans="1:21" x14ac:dyDescent="0.3">
      <c r="A493">
        <v>397</v>
      </c>
      <c r="B493" s="9" t="s">
        <v>3227</v>
      </c>
      <c r="C493" s="4" t="s">
        <v>3261</v>
      </c>
      <c r="D493" t="s">
        <v>7</v>
      </c>
      <c r="E493">
        <v>2013</v>
      </c>
      <c r="F493" t="s">
        <v>1183</v>
      </c>
      <c r="G493" t="s">
        <v>1183</v>
      </c>
      <c r="H493">
        <v>48.438443999999997</v>
      </c>
      <c r="I493">
        <v>-66.948055999999994</v>
      </c>
      <c r="J493" t="s">
        <v>2168</v>
      </c>
      <c r="K493" t="s">
        <v>1228</v>
      </c>
      <c r="L493" t="s">
        <v>1183</v>
      </c>
      <c r="M493" t="s">
        <v>1183</v>
      </c>
      <c r="N493" t="s">
        <v>1183</v>
      </c>
      <c r="O493" t="s">
        <v>1183</v>
      </c>
      <c r="P493" t="s">
        <v>220</v>
      </c>
      <c r="Q493" t="s">
        <v>404</v>
      </c>
      <c r="R493" t="s">
        <v>1183</v>
      </c>
      <c r="S493">
        <v>0</v>
      </c>
      <c r="T493" t="s">
        <v>220</v>
      </c>
      <c r="U493" s="1" t="s">
        <v>3294</v>
      </c>
    </row>
    <row r="494" spans="1:21" x14ac:dyDescent="0.3">
      <c r="A494">
        <v>398</v>
      </c>
      <c r="B494" t="s">
        <v>1011</v>
      </c>
      <c r="C494" s="4" t="s">
        <v>2472</v>
      </c>
      <c r="D494" t="s">
        <v>7</v>
      </c>
      <c r="E494">
        <v>1963</v>
      </c>
      <c r="F494" t="s">
        <v>1183</v>
      </c>
      <c r="G494">
        <v>1964</v>
      </c>
      <c r="H494">
        <v>49.707611110999999</v>
      </c>
      <c r="I494">
        <v>-62.927638889000001</v>
      </c>
      <c r="J494" t="s">
        <v>205</v>
      </c>
      <c r="K494" t="s">
        <v>1247</v>
      </c>
      <c r="L494" t="s">
        <v>1167</v>
      </c>
      <c r="M494">
        <f>256*0.3048</f>
        <v>78.028800000000004</v>
      </c>
      <c r="N494" t="s">
        <v>1331</v>
      </c>
      <c r="O494" t="s">
        <v>1178</v>
      </c>
      <c r="P494" t="s">
        <v>329</v>
      </c>
      <c r="Q494" t="s">
        <v>404</v>
      </c>
      <c r="R494">
        <f>100*0.3048</f>
        <v>30.48</v>
      </c>
      <c r="S494">
        <f>3239*0.3048</f>
        <v>987.24720000000002</v>
      </c>
      <c r="T494" s="1" t="s">
        <v>2473</v>
      </c>
      <c r="U494" s="1" t="s">
        <v>2474</v>
      </c>
    </row>
    <row r="495" spans="1:21" x14ac:dyDescent="0.3">
      <c r="A495">
        <v>399</v>
      </c>
      <c r="B495" t="s">
        <v>1013</v>
      </c>
      <c r="C495" s="4" t="s">
        <v>2475</v>
      </c>
      <c r="D495" t="s">
        <v>7</v>
      </c>
      <c r="E495">
        <v>1962</v>
      </c>
      <c r="F495" t="s">
        <v>1183</v>
      </c>
      <c r="G495">
        <v>1963</v>
      </c>
      <c r="H495">
        <v>49.6222925</v>
      </c>
      <c r="I495">
        <v>-63.4381925</v>
      </c>
      <c r="J495" t="s">
        <v>205</v>
      </c>
      <c r="K495" t="s">
        <v>1247</v>
      </c>
      <c r="L495" t="s">
        <v>1167</v>
      </c>
      <c r="M495">
        <f>254*0.3048</f>
        <v>77.419200000000004</v>
      </c>
      <c r="N495" t="s">
        <v>2476</v>
      </c>
      <c r="O495" t="s">
        <v>1178</v>
      </c>
      <c r="P495" t="s">
        <v>218</v>
      </c>
      <c r="Q495" t="s">
        <v>213</v>
      </c>
      <c r="R495">
        <f>350*0.3048</f>
        <v>106.68</v>
      </c>
      <c r="S495">
        <f>5770*0.3048</f>
        <v>1758.6960000000001</v>
      </c>
      <c r="T495" s="1" t="s">
        <v>2477</v>
      </c>
      <c r="U495" s="1" t="s">
        <v>2478</v>
      </c>
    </row>
    <row r="496" spans="1:21" x14ac:dyDescent="0.3">
      <c r="A496">
        <v>400</v>
      </c>
      <c r="B496" t="s">
        <v>1015</v>
      </c>
      <c r="C496" s="4" t="s">
        <v>2479</v>
      </c>
      <c r="D496" t="s">
        <v>7</v>
      </c>
      <c r="E496">
        <v>1965</v>
      </c>
      <c r="F496" t="s">
        <v>1183</v>
      </c>
      <c r="G496">
        <v>1965</v>
      </c>
      <c r="H496">
        <v>49.85962</v>
      </c>
      <c r="I496">
        <v>-63.864647499999997</v>
      </c>
      <c r="J496" t="s">
        <v>205</v>
      </c>
      <c r="K496" t="s">
        <v>1247</v>
      </c>
      <c r="L496" t="s">
        <v>1173</v>
      </c>
      <c r="M496">
        <f>499*0.3048</f>
        <v>152.09520000000001</v>
      </c>
      <c r="N496" t="s">
        <v>2480</v>
      </c>
      <c r="O496" t="s">
        <v>1178</v>
      </c>
      <c r="P496" t="s">
        <v>218</v>
      </c>
      <c r="Q496" t="s">
        <v>213</v>
      </c>
      <c r="R496">
        <f>150*0.3048</f>
        <v>45.72</v>
      </c>
      <c r="S496">
        <f>5824*0.3048</f>
        <v>1775.1552000000001</v>
      </c>
      <c r="T496" s="1" t="s">
        <v>2481</v>
      </c>
      <c r="U496" s="1" t="s">
        <v>2482</v>
      </c>
    </row>
    <row r="497" spans="1:21" x14ac:dyDescent="0.3">
      <c r="A497">
        <v>401</v>
      </c>
      <c r="B497" t="s">
        <v>1018</v>
      </c>
      <c r="C497" s="4" t="s">
        <v>2483</v>
      </c>
      <c r="D497" t="s">
        <v>7</v>
      </c>
      <c r="E497">
        <v>1974</v>
      </c>
      <c r="F497" t="s">
        <v>1183</v>
      </c>
      <c r="G497">
        <v>1974</v>
      </c>
      <c r="H497">
        <v>49.199399999999997</v>
      </c>
      <c r="I497">
        <v>-61.752580000000002</v>
      </c>
      <c r="J497" t="s">
        <v>205</v>
      </c>
      <c r="K497" t="s">
        <v>1247</v>
      </c>
      <c r="L497" t="s">
        <v>1173</v>
      </c>
      <c r="M497">
        <f>1249*0.3048</f>
        <v>380.6952</v>
      </c>
      <c r="N497" t="s">
        <v>2480</v>
      </c>
      <c r="O497" t="s">
        <v>1194</v>
      </c>
      <c r="P497" t="s">
        <v>329</v>
      </c>
      <c r="Q497" t="s">
        <v>213</v>
      </c>
      <c r="R497">
        <f>91*0.3048</f>
        <v>27.736800000000002</v>
      </c>
      <c r="S497">
        <f>4700*0.3048</f>
        <v>1432.5600000000002</v>
      </c>
      <c r="T497" s="1" t="s">
        <v>2484</v>
      </c>
      <c r="U497" s="1" t="s">
        <v>2485</v>
      </c>
    </row>
    <row r="498" spans="1:21" x14ac:dyDescent="0.3">
      <c r="A498">
        <v>402</v>
      </c>
      <c r="B498" t="s">
        <v>1020</v>
      </c>
      <c r="C498" s="4" t="s">
        <v>2486</v>
      </c>
      <c r="D498" t="s">
        <v>7</v>
      </c>
      <c r="E498">
        <v>1998</v>
      </c>
      <c r="F498" t="s">
        <v>1183</v>
      </c>
      <c r="G498">
        <v>1998</v>
      </c>
      <c r="H498">
        <v>49.539749999999998</v>
      </c>
      <c r="I498">
        <v>-63.349879999999999</v>
      </c>
      <c r="J498" t="s">
        <v>205</v>
      </c>
      <c r="K498" t="s">
        <v>1247</v>
      </c>
      <c r="L498" t="s">
        <v>1173</v>
      </c>
      <c r="M498">
        <v>330</v>
      </c>
      <c r="N498" t="s">
        <v>2476</v>
      </c>
      <c r="O498" t="s">
        <v>1495</v>
      </c>
      <c r="P498" t="s">
        <v>212</v>
      </c>
      <c r="Q498" t="s">
        <v>213</v>
      </c>
      <c r="R498">
        <v>285</v>
      </c>
      <c r="S498">
        <v>2785</v>
      </c>
      <c r="T498" s="1" t="s">
        <v>2487</v>
      </c>
      <c r="U498" s="1" t="s">
        <v>2488</v>
      </c>
    </row>
    <row r="499" spans="1:21" x14ac:dyDescent="0.3">
      <c r="A499">
        <v>403</v>
      </c>
      <c r="B499" t="s">
        <v>1021</v>
      </c>
      <c r="C499" s="4" t="s">
        <v>2489</v>
      </c>
      <c r="D499" t="s">
        <v>7</v>
      </c>
      <c r="E499">
        <v>1998</v>
      </c>
      <c r="F499" t="s">
        <v>1183</v>
      </c>
      <c r="G499">
        <v>1998</v>
      </c>
      <c r="H499">
        <v>49.593389444000003</v>
      </c>
      <c r="I499">
        <v>-63.416588333</v>
      </c>
      <c r="J499" t="s">
        <v>205</v>
      </c>
      <c r="K499" t="s">
        <v>1247</v>
      </c>
      <c r="L499" t="s">
        <v>1173</v>
      </c>
      <c r="M499">
        <v>255</v>
      </c>
      <c r="N499" t="s">
        <v>1183</v>
      </c>
      <c r="O499" t="s">
        <v>1495</v>
      </c>
      <c r="P499" t="s">
        <v>212</v>
      </c>
      <c r="Q499" t="s">
        <v>213</v>
      </c>
      <c r="R499">
        <v>175</v>
      </c>
      <c r="S499">
        <v>2178</v>
      </c>
      <c r="T499" s="1" t="s">
        <v>2490</v>
      </c>
      <c r="U499" s="1" t="s">
        <v>2491</v>
      </c>
    </row>
    <row r="500" spans="1:21" x14ac:dyDescent="0.3">
      <c r="A500">
        <v>404</v>
      </c>
      <c r="B500" t="s">
        <v>1022</v>
      </c>
      <c r="C500" s="4" t="s">
        <v>2492</v>
      </c>
      <c r="D500" t="s">
        <v>7</v>
      </c>
      <c r="E500">
        <v>1999</v>
      </c>
      <c r="F500" t="s">
        <v>1183</v>
      </c>
      <c r="G500">
        <v>1999</v>
      </c>
      <c r="H500">
        <v>49.39425</v>
      </c>
      <c r="I500">
        <v>-62.44688</v>
      </c>
      <c r="J500" t="s">
        <v>205</v>
      </c>
      <c r="K500" t="s">
        <v>1247</v>
      </c>
      <c r="L500" t="s">
        <v>1173</v>
      </c>
      <c r="M500">
        <v>172</v>
      </c>
      <c r="N500" t="s">
        <v>2493</v>
      </c>
      <c r="O500" t="s">
        <v>1495</v>
      </c>
      <c r="P500" t="s">
        <v>212</v>
      </c>
      <c r="Q500" t="s">
        <v>213</v>
      </c>
      <c r="R500">
        <v>87</v>
      </c>
      <c r="S500">
        <v>1421</v>
      </c>
      <c r="T500" s="1" t="s">
        <v>2494</v>
      </c>
      <c r="U500" s="1" t="s">
        <v>2495</v>
      </c>
    </row>
    <row r="501" spans="1:21" x14ac:dyDescent="0.3">
      <c r="A501">
        <v>405</v>
      </c>
      <c r="B501" t="s">
        <v>1023</v>
      </c>
      <c r="C501" s="4" t="s">
        <v>2496</v>
      </c>
      <c r="D501" t="s">
        <v>7</v>
      </c>
      <c r="E501">
        <v>1999</v>
      </c>
      <c r="F501" t="s">
        <v>1183</v>
      </c>
      <c r="G501">
        <v>1999</v>
      </c>
      <c r="H501">
        <v>49.39425</v>
      </c>
      <c r="I501">
        <v>-62.368229999999997</v>
      </c>
      <c r="J501" t="s">
        <v>205</v>
      </c>
      <c r="K501" t="s">
        <v>1247</v>
      </c>
      <c r="L501" t="s">
        <v>1173</v>
      </c>
      <c r="M501">
        <v>171</v>
      </c>
      <c r="N501" t="s">
        <v>1390</v>
      </c>
      <c r="O501" t="s">
        <v>1495</v>
      </c>
      <c r="P501" t="s">
        <v>212</v>
      </c>
      <c r="Q501" t="s">
        <v>213</v>
      </c>
      <c r="R501">
        <v>106</v>
      </c>
      <c r="S501">
        <v>1375</v>
      </c>
      <c r="T501" s="1" t="s">
        <v>2497</v>
      </c>
      <c r="U501" s="1" t="s">
        <v>2498</v>
      </c>
    </row>
    <row r="502" spans="1:21" x14ac:dyDescent="0.3">
      <c r="A502">
        <v>406</v>
      </c>
      <c r="B502" t="s">
        <v>1024</v>
      </c>
      <c r="C502" s="4" t="s">
        <v>2499</v>
      </c>
      <c r="D502" t="s">
        <v>7</v>
      </c>
      <c r="E502">
        <v>1999</v>
      </c>
      <c r="F502" t="s">
        <v>1183</v>
      </c>
      <c r="G502">
        <v>1999</v>
      </c>
      <c r="H502">
        <v>49.338259999999998</v>
      </c>
      <c r="I502">
        <v>-62.236499999999999</v>
      </c>
      <c r="J502" t="s">
        <v>205</v>
      </c>
      <c r="K502" t="s">
        <v>1247</v>
      </c>
      <c r="L502" t="s">
        <v>1173</v>
      </c>
      <c r="M502">
        <v>172</v>
      </c>
      <c r="N502" t="s">
        <v>1390</v>
      </c>
      <c r="O502" t="s">
        <v>1495</v>
      </c>
      <c r="P502" t="s">
        <v>212</v>
      </c>
      <c r="Q502" t="s">
        <v>213</v>
      </c>
      <c r="R502">
        <v>67</v>
      </c>
      <c r="S502">
        <v>1375</v>
      </c>
      <c r="T502" s="1" t="s">
        <v>2500</v>
      </c>
      <c r="U502" s="1" t="s">
        <v>2501</v>
      </c>
    </row>
    <row r="503" spans="1:21" x14ac:dyDescent="0.3">
      <c r="A503">
        <v>407</v>
      </c>
      <c r="B503" t="s">
        <v>1025</v>
      </c>
      <c r="C503" s="4" t="s">
        <v>2502</v>
      </c>
      <c r="D503" t="s">
        <v>7</v>
      </c>
      <c r="E503">
        <v>2005</v>
      </c>
      <c r="F503" t="s">
        <v>1183</v>
      </c>
      <c r="G503">
        <v>2005</v>
      </c>
      <c r="H503">
        <v>49.394950000000001</v>
      </c>
      <c r="I503">
        <v>-62.434829999999998</v>
      </c>
      <c r="J503" t="s">
        <v>205</v>
      </c>
      <c r="K503" t="s">
        <v>1247</v>
      </c>
      <c r="L503" t="s">
        <v>1173</v>
      </c>
      <c r="M503">
        <v>1010</v>
      </c>
      <c r="N503" t="s">
        <v>1331</v>
      </c>
      <c r="O503" t="s">
        <v>1249</v>
      </c>
      <c r="P503" t="s">
        <v>212</v>
      </c>
      <c r="Q503" t="s">
        <v>213</v>
      </c>
      <c r="R503">
        <v>101</v>
      </c>
      <c r="S503">
        <v>1215</v>
      </c>
      <c r="T503" s="1" t="s">
        <v>2503</v>
      </c>
      <c r="U503" s="1" t="s">
        <v>2504</v>
      </c>
    </row>
    <row r="504" spans="1:21" x14ac:dyDescent="0.3">
      <c r="A504">
        <v>408</v>
      </c>
      <c r="B504" t="s">
        <v>1026</v>
      </c>
      <c r="C504" s="4" t="s">
        <v>2505</v>
      </c>
      <c r="D504" t="s">
        <v>7</v>
      </c>
      <c r="E504">
        <v>2005</v>
      </c>
      <c r="F504" t="s">
        <v>1183</v>
      </c>
      <c r="G504">
        <v>2005</v>
      </c>
      <c r="H504">
        <v>49.700670000000002</v>
      </c>
      <c r="I504">
        <v>-62.998730000000002</v>
      </c>
      <c r="J504" t="s">
        <v>205</v>
      </c>
      <c r="K504" t="s">
        <v>1247</v>
      </c>
      <c r="L504" t="s">
        <v>1173</v>
      </c>
      <c r="M504">
        <v>627</v>
      </c>
      <c r="N504" t="s">
        <v>1181</v>
      </c>
      <c r="O504" t="s">
        <v>1249</v>
      </c>
      <c r="P504" t="s">
        <v>218</v>
      </c>
      <c r="Q504" t="s">
        <v>213</v>
      </c>
      <c r="R504">
        <v>91</v>
      </c>
      <c r="S504">
        <v>648</v>
      </c>
      <c r="T504" s="1" t="s">
        <v>2506</v>
      </c>
      <c r="U504" s="1" t="s">
        <v>2507</v>
      </c>
    </row>
    <row r="505" spans="1:21" x14ac:dyDescent="0.3">
      <c r="A505">
        <v>409</v>
      </c>
      <c r="B505" t="s">
        <v>1027</v>
      </c>
      <c r="C505" s="4" t="s">
        <v>2508</v>
      </c>
      <c r="D505" t="s">
        <v>7</v>
      </c>
      <c r="E505">
        <v>2005</v>
      </c>
      <c r="F505" t="s">
        <v>1183</v>
      </c>
      <c r="G505">
        <v>2005</v>
      </c>
      <c r="H505">
        <v>49.59225</v>
      </c>
      <c r="I505">
        <v>-63.417805555999998</v>
      </c>
      <c r="J505" t="s">
        <v>205</v>
      </c>
      <c r="K505" t="s">
        <v>1247</v>
      </c>
      <c r="L505" t="s">
        <v>1173</v>
      </c>
      <c r="M505">
        <v>1335</v>
      </c>
      <c r="N505" t="s">
        <v>1331</v>
      </c>
      <c r="O505" t="s">
        <v>1249</v>
      </c>
      <c r="P505" t="s">
        <v>220</v>
      </c>
      <c r="Q505" t="s">
        <v>213</v>
      </c>
      <c r="R505">
        <v>176</v>
      </c>
      <c r="S505">
        <v>1920</v>
      </c>
      <c r="T505" s="1" t="s">
        <v>2509</v>
      </c>
      <c r="U505" s="1" t="s">
        <v>2510</v>
      </c>
    </row>
    <row r="506" spans="1:21" x14ac:dyDescent="0.3">
      <c r="A506">
        <v>410</v>
      </c>
      <c r="B506" s="9" t="s">
        <v>3228</v>
      </c>
      <c r="C506" s="4" t="s">
        <v>3262</v>
      </c>
      <c r="D506" t="s">
        <v>7</v>
      </c>
      <c r="E506">
        <v>2010</v>
      </c>
      <c r="F506">
        <v>2010</v>
      </c>
      <c r="G506" t="s">
        <v>1183</v>
      </c>
      <c r="H506">
        <v>49.396138999999998</v>
      </c>
      <c r="I506">
        <v>-62.375028</v>
      </c>
      <c r="J506" t="s">
        <v>205</v>
      </c>
      <c r="K506" t="s">
        <v>1247</v>
      </c>
      <c r="L506" t="s">
        <v>1248</v>
      </c>
      <c r="M506" t="s">
        <v>1183</v>
      </c>
      <c r="N506" t="s">
        <v>1183</v>
      </c>
      <c r="O506" t="s">
        <v>1249</v>
      </c>
      <c r="P506" t="s">
        <v>220</v>
      </c>
      <c r="Q506" t="s">
        <v>404</v>
      </c>
      <c r="R506">
        <v>78</v>
      </c>
      <c r="S506">
        <v>1223</v>
      </c>
      <c r="T506" t="s">
        <v>220</v>
      </c>
      <c r="U506" s="1" t="s">
        <v>3295</v>
      </c>
    </row>
    <row r="507" spans="1:21" x14ac:dyDescent="0.3">
      <c r="A507">
        <v>411</v>
      </c>
      <c r="B507" s="9" t="s">
        <v>3229</v>
      </c>
      <c r="C507" s="4" t="s">
        <v>3263</v>
      </c>
      <c r="D507" t="s">
        <v>7</v>
      </c>
      <c r="E507">
        <v>2012</v>
      </c>
      <c r="F507" t="s">
        <v>1183</v>
      </c>
      <c r="G507" t="s">
        <v>1183</v>
      </c>
      <c r="H507">
        <v>49.893889000000001</v>
      </c>
      <c r="I507">
        <v>-64.266000000000005</v>
      </c>
      <c r="J507" t="s">
        <v>205</v>
      </c>
      <c r="K507" t="s">
        <v>1247</v>
      </c>
      <c r="L507" t="s">
        <v>1183</v>
      </c>
      <c r="M507" t="s">
        <v>1183</v>
      </c>
      <c r="N507" t="s">
        <v>1183</v>
      </c>
      <c r="O507" t="s">
        <v>1183</v>
      </c>
      <c r="P507" t="s">
        <v>220</v>
      </c>
      <c r="Q507" t="s">
        <v>404</v>
      </c>
      <c r="R507" t="s">
        <v>1183</v>
      </c>
      <c r="S507">
        <v>0</v>
      </c>
      <c r="T507" t="s">
        <v>220</v>
      </c>
      <c r="U507" s="1" t="s">
        <v>3296</v>
      </c>
    </row>
    <row r="508" spans="1:21" x14ac:dyDescent="0.3">
      <c r="A508">
        <v>412</v>
      </c>
      <c r="B508" s="9" t="s">
        <v>3230</v>
      </c>
      <c r="C508" s="4" t="s">
        <v>3264</v>
      </c>
      <c r="D508" t="s">
        <v>7</v>
      </c>
      <c r="E508">
        <v>2012</v>
      </c>
      <c r="F508" t="s">
        <v>1183</v>
      </c>
      <c r="G508" t="s">
        <v>1183</v>
      </c>
      <c r="H508">
        <v>49.771138999999998</v>
      </c>
      <c r="I508">
        <v>-63.351416999999998</v>
      </c>
      <c r="J508" t="s">
        <v>205</v>
      </c>
      <c r="K508" t="s">
        <v>1247</v>
      </c>
      <c r="L508" t="s">
        <v>1183</v>
      </c>
      <c r="M508" t="s">
        <v>1183</v>
      </c>
      <c r="N508" t="s">
        <v>1183</v>
      </c>
      <c r="O508" t="s">
        <v>1183</v>
      </c>
      <c r="P508" t="s">
        <v>220</v>
      </c>
      <c r="Q508" t="s">
        <v>404</v>
      </c>
      <c r="R508" t="s">
        <v>1183</v>
      </c>
      <c r="S508">
        <v>0</v>
      </c>
      <c r="T508" t="s">
        <v>220</v>
      </c>
      <c r="U508" s="1" t="s">
        <v>3297</v>
      </c>
    </row>
    <row r="509" spans="1:21" x14ac:dyDescent="0.3">
      <c r="A509">
        <v>413</v>
      </c>
      <c r="B509" s="9" t="s">
        <v>3231</v>
      </c>
      <c r="C509" s="4" t="s">
        <v>3265</v>
      </c>
      <c r="D509" t="s">
        <v>7</v>
      </c>
      <c r="E509">
        <v>2015</v>
      </c>
      <c r="F509" t="s">
        <v>1183</v>
      </c>
      <c r="G509">
        <v>2015</v>
      </c>
      <c r="H509">
        <v>49.755555999999999</v>
      </c>
      <c r="I509">
        <v>-63.883277999999997</v>
      </c>
      <c r="J509" t="s">
        <v>205</v>
      </c>
      <c r="K509" t="s">
        <v>1247</v>
      </c>
      <c r="L509" t="s">
        <v>1183</v>
      </c>
      <c r="M509">
        <v>205.2</v>
      </c>
      <c r="N509" t="s">
        <v>3298</v>
      </c>
      <c r="O509" t="s">
        <v>1183</v>
      </c>
      <c r="P509" t="s">
        <v>220</v>
      </c>
      <c r="Q509" t="s">
        <v>213</v>
      </c>
      <c r="R509">
        <v>52</v>
      </c>
      <c r="S509">
        <v>1273</v>
      </c>
      <c r="T509" t="s">
        <v>220</v>
      </c>
      <c r="U509" s="1" t="s">
        <v>3299</v>
      </c>
    </row>
    <row r="510" spans="1:21" x14ac:dyDescent="0.3">
      <c r="A510">
        <v>414</v>
      </c>
      <c r="B510" s="9" t="s">
        <v>3232</v>
      </c>
      <c r="C510" s="4" t="s">
        <v>3266</v>
      </c>
      <c r="D510" t="s">
        <v>7</v>
      </c>
      <c r="E510">
        <v>2015</v>
      </c>
      <c r="F510" t="s">
        <v>1183</v>
      </c>
      <c r="G510">
        <v>2015</v>
      </c>
      <c r="H510">
        <v>49.724221999999997</v>
      </c>
      <c r="I510">
        <v>-63.908389</v>
      </c>
      <c r="J510" t="s">
        <v>205</v>
      </c>
      <c r="K510" t="s">
        <v>1247</v>
      </c>
      <c r="L510" t="s">
        <v>1183</v>
      </c>
      <c r="M510">
        <v>237.9</v>
      </c>
      <c r="N510" t="s">
        <v>3298</v>
      </c>
      <c r="O510" t="s">
        <v>1183</v>
      </c>
      <c r="P510" t="s">
        <v>220</v>
      </c>
      <c r="Q510" t="s">
        <v>213</v>
      </c>
      <c r="R510">
        <v>77</v>
      </c>
      <c r="S510">
        <v>1558</v>
      </c>
      <c r="T510" t="s">
        <v>220</v>
      </c>
      <c r="U510" s="1" t="s">
        <v>3300</v>
      </c>
    </row>
    <row r="511" spans="1:21" x14ac:dyDescent="0.3">
      <c r="A511">
        <v>415</v>
      </c>
      <c r="B511" s="9" t="s">
        <v>3233</v>
      </c>
      <c r="C511" s="4" t="s">
        <v>3267</v>
      </c>
      <c r="D511" t="s">
        <v>7</v>
      </c>
      <c r="E511" t="s">
        <v>1183</v>
      </c>
      <c r="F511" t="s">
        <v>1183</v>
      </c>
      <c r="G511" t="s">
        <v>1183</v>
      </c>
      <c r="H511">
        <v>49.683056000000001</v>
      </c>
      <c r="I511">
        <v>-63.914306000000003</v>
      </c>
      <c r="J511" t="s">
        <v>205</v>
      </c>
      <c r="K511" t="s">
        <v>1247</v>
      </c>
      <c r="L511" t="s">
        <v>1183</v>
      </c>
      <c r="M511" t="s">
        <v>1183</v>
      </c>
      <c r="N511" t="s">
        <v>1183</v>
      </c>
      <c r="O511" t="s">
        <v>1183</v>
      </c>
      <c r="P511" t="s">
        <v>220</v>
      </c>
      <c r="Q511" t="s">
        <v>404</v>
      </c>
      <c r="R511" t="s">
        <v>1183</v>
      </c>
      <c r="S511">
        <v>0</v>
      </c>
      <c r="T511" t="s">
        <v>220</v>
      </c>
      <c r="U511" s="1" t="s">
        <v>3301</v>
      </c>
    </row>
    <row r="512" spans="1:21" x14ac:dyDescent="0.3">
      <c r="A512">
        <v>416</v>
      </c>
      <c r="B512" s="9" t="s">
        <v>3234</v>
      </c>
      <c r="C512" s="4" t="s">
        <v>3268</v>
      </c>
      <c r="D512" t="s">
        <v>7</v>
      </c>
      <c r="E512" t="s">
        <v>1183</v>
      </c>
      <c r="F512" t="s">
        <v>1183</v>
      </c>
      <c r="G512" t="s">
        <v>1183</v>
      </c>
      <c r="H512">
        <v>49.238194</v>
      </c>
      <c r="I512">
        <v>-62.477417000000003</v>
      </c>
      <c r="J512" t="s">
        <v>205</v>
      </c>
      <c r="K512" t="s">
        <v>1247</v>
      </c>
      <c r="L512" t="s">
        <v>1183</v>
      </c>
      <c r="M512" t="s">
        <v>1183</v>
      </c>
      <c r="N512" t="s">
        <v>1183</v>
      </c>
      <c r="O512" t="s">
        <v>1183</v>
      </c>
      <c r="P512" t="s">
        <v>220</v>
      </c>
      <c r="Q512" t="s">
        <v>404</v>
      </c>
      <c r="R512" t="s">
        <v>1183</v>
      </c>
      <c r="S512">
        <v>0</v>
      </c>
      <c r="T512" t="s">
        <v>220</v>
      </c>
      <c r="U512" s="1" t="s">
        <v>3302</v>
      </c>
    </row>
    <row r="513" spans="1:21" x14ac:dyDescent="0.3">
      <c r="A513">
        <v>417</v>
      </c>
      <c r="B513" s="9" t="s">
        <v>3235</v>
      </c>
      <c r="C513" s="4" t="s">
        <v>3269</v>
      </c>
      <c r="D513" t="s">
        <v>7</v>
      </c>
      <c r="E513">
        <v>2015</v>
      </c>
      <c r="F513" t="s">
        <v>1183</v>
      </c>
      <c r="G513">
        <v>2015</v>
      </c>
      <c r="H513">
        <v>49.283583</v>
      </c>
      <c r="I513">
        <v>-62.796028</v>
      </c>
      <c r="J513" t="s">
        <v>205</v>
      </c>
      <c r="K513" t="s">
        <v>1247</v>
      </c>
      <c r="L513" t="s">
        <v>1183</v>
      </c>
      <c r="M513">
        <v>228.6</v>
      </c>
      <c r="N513" t="s">
        <v>3298</v>
      </c>
      <c r="O513" t="s">
        <v>1183</v>
      </c>
      <c r="P513" t="s">
        <v>220</v>
      </c>
      <c r="Q513" t="s">
        <v>213</v>
      </c>
      <c r="R513">
        <v>164</v>
      </c>
      <c r="S513">
        <v>1540</v>
      </c>
      <c r="T513" t="s">
        <v>220</v>
      </c>
      <c r="U513" s="1" t="s">
        <v>3303</v>
      </c>
    </row>
    <row r="514" spans="1:21" x14ac:dyDescent="0.3">
      <c r="A514">
        <v>418</v>
      </c>
      <c r="B514" s="9" t="s">
        <v>3236</v>
      </c>
      <c r="C514" s="4" t="s">
        <v>3270</v>
      </c>
      <c r="D514" t="s">
        <v>7</v>
      </c>
      <c r="E514" t="s">
        <v>1183</v>
      </c>
      <c r="F514" t="s">
        <v>1183</v>
      </c>
      <c r="G514" t="s">
        <v>1183</v>
      </c>
      <c r="H514">
        <v>49.358221999999998</v>
      </c>
      <c r="I514">
        <v>-62.876055999999998</v>
      </c>
      <c r="J514" t="s">
        <v>205</v>
      </c>
      <c r="K514" t="s">
        <v>1247</v>
      </c>
      <c r="L514" t="s">
        <v>1183</v>
      </c>
      <c r="M514" t="s">
        <v>1183</v>
      </c>
      <c r="N514" t="s">
        <v>1183</v>
      </c>
      <c r="O514" t="s">
        <v>1183</v>
      </c>
      <c r="P514" t="s">
        <v>220</v>
      </c>
      <c r="Q514" t="s">
        <v>404</v>
      </c>
      <c r="R514" t="s">
        <v>1183</v>
      </c>
      <c r="S514">
        <v>0</v>
      </c>
      <c r="T514" t="s">
        <v>220</v>
      </c>
      <c r="U514" s="1" t="s">
        <v>3304</v>
      </c>
    </row>
    <row r="515" spans="1:21" x14ac:dyDescent="0.3">
      <c r="A515">
        <v>419</v>
      </c>
      <c r="B515" s="9" t="s">
        <v>3237</v>
      </c>
      <c r="C515" s="4" t="s">
        <v>3271</v>
      </c>
      <c r="D515" t="s">
        <v>7</v>
      </c>
      <c r="E515" t="s">
        <v>1183</v>
      </c>
      <c r="F515" t="s">
        <v>1183</v>
      </c>
      <c r="G515" t="s">
        <v>1183</v>
      </c>
      <c r="H515">
        <v>49.154139000000001</v>
      </c>
      <c r="I515">
        <v>-62.201472000000003</v>
      </c>
      <c r="J515" t="s">
        <v>205</v>
      </c>
      <c r="K515" t="s">
        <v>1247</v>
      </c>
      <c r="L515" t="s">
        <v>1183</v>
      </c>
      <c r="M515" t="s">
        <v>1183</v>
      </c>
      <c r="N515" t="s">
        <v>1183</v>
      </c>
      <c r="O515" t="s">
        <v>1183</v>
      </c>
      <c r="P515" t="s">
        <v>220</v>
      </c>
      <c r="Q515" t="s">
        <v>404</v>
      </c>
      <c r="R515" t="s">
        <v>1183</v>
      </c>
      <c r="S515">
        <v>0</v>
      </c>
      <c r="T515" t="s">
        <v>220</v>
      </c>
      <c r="U515" s="1" t="s">
        <v>3305</v>
      </c>
    </row>
    <row r="516" spans="1:21" x14ac:dyDescent="0.3">
      <c r="A516">
        <v>420</v>
      </c>
      <c r="B516" s="9" t="s">
        <v>3238</v>
      </c>
      <c r="C516" s="4" t="s">
        <v>3272</v>
      </c>
      <c r="D516" t="s">
        <v>7</v>
      </c>
      <c r="E516" t="s">
        <v>1183</v>
      </c>
      <c r="F516" t="s">
        <v>1183</v>
      </c>
      <c r="G516" t="s">
        <v>1183</v>
      </c>
      <c r="H516">
        <v>49.449388999999996</v>
      </c>
      <c r="I516">
        <v>-63.144306</v>
      </c>
      <c r="J516" t="s">
        <v>205</v>
      </c>
      <c r="K516" t="s">
        <v>1247</v>
      </c>
      <c r="L516" t="s">
        <v>1183</v>
      </c>
      <c r="M516" t="s">
        <v>1183</v>
      </c>
      <c r="N516" t="s">
        <v>1183</v>
      </c>
      <c r="O516" t="s">
        <v>1183</v>
      </c>
      <c r="P516" t="s">
        <v>220</v>
      </c>
      <c r="Q516" t="s">
        <v>404</v>
      </c>
      <c r="R516" t="s">
        <v>1183</v>
      </c>
      <c r="S516">
        <v>0</v>
      </c>
      <c r="T516" t="s">
        <v>220</v>
      </c>
      <c r="U516" s="1" t="s">
        <v>3306</v>
      </c>
    </row>
    <row r="517" spans="1:21" x14ac:dyDescent="0.3">
      <c r="A517">
        <v>421</v>
      </c>
      <c r="B517" s="9" t="s">
        <v>3239</v>
      </c>
      <c r="C517" s="4" t="s">
        <v>3273</v>
      </c>
      <c r="D517" t="s">
        <v>7</v>
      </c>
      <c r="E517">
        <v>2014</v>
      </c>
      <c r="F517" t="s">
        <v>1183</v>
      </c>
      <c r="G517" t="s">
        <v>1183</v>
      </c>
      <c r="H517">
        <v>49.576416999999999</v>
      </c>
      <c r="I517">
        <v>-63.434249999999999</v>
      </c>
      <c r="J517" t="s">
        <v>205</v>
      </c>
      <c r="K517" t="s">
        <v>1247</v>
      </c>
      <c r="L517" t="s">
        <v>1183</v>
      </c>
      <c r="M517" t="s">
        <v>1183</v>
      </c>
      <c r="N517" t="s">
        <v>1183</v>
      </c>
      <c r="O517" t="s">
        <v>1183</v>
      </c>
      <c r="P517" t="s">
        <v>220</v>
      </c>
      <c r="Q517" t="s">
        <v>404</v>
      </c>
      <c r="R517" t="s">
        <v>1183</v>
      </c>
      <c r="S517">
        <v>1684</v>
      </c>
      <c r="T517" t="s">
        <v>220</v>
      </c>
      <c r="U517" s="1" t="s">
        <v>3307</v>
      </c>
    </row>
    <row r="518" spans="1:21" x14ac:dyDescent="0.3">
      <c r="A518">
        <v>422</v>
      </c>
      <c r="B518" s="9" t="s">
        <v>3240</v>
      </c>
      <c r="C518" s="4" t="s">
        <v>3274</v>
      </c>
      <c r="D518" t="s">
        <v>7</v>
      </c>
      <c r="E518">
        <v>2015</v>
      </c>
      <c r="F518" t="s">
        <v>1183</v>
      </c>
      <c r="G518">
        <v>2015</v>
      </c>
      <c r="H518">
        <v>49.643472000000003</v>
      </c>
      <c r="I518">
        <v>-63.557583000000001</v>
      </c>
      <c r="J518" t="s">
        <v>205</v>
      </c>
      <c r="K518" t="s">
        <v>1247</v>
      </c>
      <c r="L518" t="s">
        <v>1183</v>
      </c>
      <c r="M518">
        <v>231.5</v>
      </c>
      <c r="N518" t="s">
        <v>3298</v>
      </c>
      <c r="O518" t="s">
        <v>1183</v>
      </c>
      <c r="P518" t="s">
        <v>220</v>
      </c>
      <c r="Q518" t="s">
        <v>213</v>
      </c>
      <c r="R518">
        <v>135</v>
      </c>
      <c r="S518">
        <v>1468</v>
      </c>
      <c r="T518" t="s">
        <v>220</v>
      </c>
      <c r="U518" s="1" t="s">
        <v>3308</v>
      </c>
    </row>
    <row r="519" spans="1:21" x14ac:dyDescent="0.3">
      <c r="A519">
        <v>423</v>
      </c>
      <c r="B519" s="9" t="s">
        <v>3241</v>
      </c>
      <c r="C519" s="4" t="s">
        <v>3275</v>
      </c>
      <c r="D519" t="s">
        <v>7</v>
      </c>
      <c r="E519" t="s">
        <v>1183</v>
      </c>
      <c r="F519" t="s">
        <v>1183</v>
      </c>
      <c r="G519" t="s">
        <v>1183</v>
      </c>
      <c r="H519">
        <v>49.544443999999999</v>
      </c>
      <c r="I519">
        <v>-63.344444000000003</v>
      </c>
      <c r="J519" t="s">
        <v>205</v>
      </c>
      <c r="K519" t="s">
        <v>1247</v>
      </c>
      <c r="L519" t="s">
        <v>1183</v>
      </c>
      <c r="M519" t="s">
        <v>1183</v>
      </c>
      <c r="N519" t="s">
        <v>1183</v>
      </c>
      <c r="O519" t="s">
        <v>1183</v>
      </c>
      <c r="P519" t="s">
        <v>220</v>
      </c>
      <c r="Q519" t="s">
        <v>404</v>
      </c>
      <c r="R519" t="s">
        <v>1183</v>
      </c>
      <c r="S519">
        <v>0</v>
      </c>
      <c r="T519" t="s">
        <v>220</v>
      </c>
      <c r="U519" s="1" t="s">
        <v>3309</v>
      </c>
    </row>
    <row r="520" spans="1:21" x14ac:dyDescent="0.3">
      <c r="A520">
        <v>424</v>
      </c>
      <c r="B520" s="9" t="s">
        <v>3242</v>
      </c>
      <c r="C520" s="4" t="s">
        <v>3276</v>
      </c>
      <c r="D520" t="s">
        <v>7</v>
      </c>
      <c r="E520">
        <v>2015</v>
      </c>
      <c r="F520" t="s">
        <v>1183</v>
      </c>
      <c r="G520">
        <v>2015</v>
      </c>
      <c r="H520">
        <v>49.683056000000001</v>
      </c>
      <c r="I520">
        <v>-63.914222000000002</v>
      </c>
      <c r="J520" t="s">
        <v>205</v>
      </c>
      <c r="K520" t="s">
        <v>1247</v>
      </c>
      <c r="L520" t="s">
        <v>1183</v>
      </c>
      <c r="M520">
        <v>258.5</v>
      </c>
      <c r="N520" t="s">
        <v>3298</v>
      </c>
      <c r="O520" t="s">
        <v>1183</v>
      </c>
      <c r="P520" t="s">
        <v>220</v>
      </c>
      <c r="Q520" t="s">
        <v>213</v>
      </c>
      <c r="R520">
        <v>25</v>
      </c>
      <c r="S520">
        <v>1675</v>
      </c>
      <c r="T520" t="s">
        <v>220</v>
      </c>
      <c r="U520" s="1" t="s">
        <v>3310</v>
      </c>
    </row>
    <row r="521" spans="1:21" x14ac:dyDescent="0.3">
      <c r="A521">
        <v>425</v>
      </c>
      <c r="B521" s="9" t="s">
        <v>3243</v>
      </c>
      <c r="C521" s="4" t="s">
        <v>3277</v>
      </c>
      <c r="D521" t="s">
        <v>7</v>
      </c>
      <c r="E521">
        <v>2015</v>
      </c>
      <c r="F521" t="s">
        <v>1183</v>
      </c>
      <c r="G521" t="s">
        <v>1183</v>
      </c>
      <c r="H521">
        <v>49.588278000000003</v>
      </c>
      <c r="I521">
        <v>-63.637082999999997</v>
      </c>
      <c r="J521" t="s">
        <v>205</v>
      </c>
      <c r="K521" t="s">
        <v>1247</v>
      </c>
      <c r="L521" t="s">
        <v>1183</v>
      </c>
      <c r="M521" t="s">
        <v>1183</v>
      </c>
      <c r="N521" t="s">
        <v>1183</v>
      </c>
      <c r="O521" t="s">
        <v>1183</v>
      </c>
      <c r="P521" t="s">
        <v>220</v>
      </c>
      <c r="Q521" t="s">
        <v>404</v>
      </c>
      <c r="R521">
        <v>71</v>
      </c>
      <c r="S521">
        <v>0</v>
      </c>
      <c r="T521" t="s">
        <v>220</v>
      </c>
      <c r="U521" s="1" t="s">
        <v>3311</v>
      </c>
    </row>
    <row r="522" spans="1:21" x14ac:dyDescent="0.3">
      <c r="A522">
        <v>426</v>
      </c>
      <c r="B522" t="s">
        <v>1030</v>
      </c>
      <c r="C522" s="4" t="s">
        <v>2511</v>
      </c>
      <c r="D522" t="s">
        <v>7</v>
      </c>
      <c r="E522">
        <v>1954</v>
      </c>
      <c r="F522" t="s">
        <v>1183</v>
      </c>
      <c r="G522">
        <v>1954</v>
      </c>
      <c r="H522">
        <v>48.436019999999999</v>
      </c>
      <c r="I522">
        <v>-72.071889999999996</v>
      </c>
      <c r="J522" t="s">
        <v>208</v>
      </c>
      <c r="K522" t="s">
        <v>1250</v>
      </c>
      <c r="L522" t="s">
        <v>1163</v>
      </c>
      <c r="M522" t="s">
        <v>1183</v>
      </c>
      <c r="N522" t="s">
        <v>1181</v>
      </c>
      <c r="O522" t="s">
        <v>2512</v>
      </c>
      <c r="P522" t="s">
        <v>218</v>
      </c>
      <c r="Q522" t="s">
        <v>404</v>
      </c>
      <c r="R522" t="s">
        <v>1183</v>
      </c>
      <c r="S522">
        <f>352*0.3048</f>
        <v>107.28960000000001</v>
      </c>
      <c r="T522" s="1" t="s">
        <v>2513</v>
      </c>
      <c r="U522" s="1" t="s">
        <v>2514</v>
      </c>
    </row>
    <row r="523" spans="1:21" x14ac:dyDescent="0.3">
      <c r="A523">
        <v>427</v>
      </c>
      <c r="B523" t="s">
        <v>1033</v>
      </c>
      <c r="C523" s="4" t="s">
        <v>2515</v>
      </c>
      <c r="D523" t="s">
        <v>7</v>
      </c>
      <c r="E523">
        <v>1954</v>
      </c>
      <c r="F523" t="s">
        <v>1183</v>
      </c>
      <c r="G523" t="s">
        <v>1183</v>
      </c>
      <c r="H523">
        <v>48.816139999999997</v>
      </c>
      <c r="I523">
        <v>-72.048439999999999</v>
      </c>
      <c r="J523" t="s">
        <v>208</v>
      </c>
      <c r="K523" t="s">
        <v>1250</v>
      </c>
      <c r="L523" t="s">
        <v>1163</v>
      </c>
      <c r="M523" t="s">
        <v>1183</v>
      </c>
      <c r="N523" t="s">
        <v>2516</v>
      </c>
      <c r="O523" t="s">
        <v>2512</v>
      </c>
      <c r="P523" t="s">
        <v>220</v>
      </c>
      <c r="Q523" t="s">
        <v>404</v>
      </c>
      <c r="R523" t="s">
        <v>1183</v>
      </c>
      <c r="S523">
        <f>310*0.3048</f>
        <v>94.488</v>
      </c>
      <c r="T523" s="1" t="s">
        <v>2517</v>
      </c>
      <c r="U523" s="1" t="s">
        <v>2518</v>
      </c>
    </row>
    <row r="524" spans="1:21" x14ac:dyDescent="0.3">
      <c r="A524">
        <v>428</v>
      </c>
      <c r="B524" t="s">
        <v>1034</v>
      </c>
      <c r="C524" s="4" t="s">
        <v>2519</v>
      </c>
      <c r="D524" t="s">
        <v>7</v>
      </c>
      <c r="E524">
        <v>1955</v>
      </c>
      <c r="F524" t="s">
        <v>1183</v>
      </c>
      <c r="G524" t="s">
        <v>1183</v>
      </c>
      <c r="H524">
        <v>48.907490000000003</v>
      </c>
      <c r="I524">
        <v>-71.939120000000003</v>
      </c>
      <c r="J524" t="s">
        <v>208</v>
      </c>
      <c r="K524" t="s">
        <v>1250</v>
      </c>
      <c r="L524" t="s">
        <v>1183</v>
      </c>
      <c r="M524">
        <f>3.5*0.3048</f>
        <v>1.0668</v>
      </c>
      <c r="N524" t="s">
        <v>2520</v>
      </c>
      <c r="O524" t="s">
        <v>1175</v>
      </c>
      <c r="P524" t="s">
        <v>220</v>
      </c>
      <c r="Q524" t="s">
        <v>404</v>
      </c>
      <c r="R524" t="s">
        <v>1183</v>
      </c>
      <c r="S524">
        <f>2975*0.3048</f>
        <v>906.78000000000009</v>
      </c>
      <c r="T524" s="1" t="s">
        <v>2521</v>
      </c>
      <c r="U524" s="1" t="s">
        <v>2522</v>
      </c>
    </row>
    <row r="525" spans="1:21" x14ac:dyDescent="0.3">
      <c r="A525">
        <v>429</v>
      </c>
      <c r="B525" t="s">
        <v>1037</v>
      </c>
      <c r="C525" s="4" t="s">
        <v>2523</v>
      </c>
      <c r="D525" t="s">
        <v>7</v>
      </c>
      <c r="E525">
        <v>1960</v>
      </c>
      <c r="F525" t="s">
        <v>1183</v>
      </c>
      <c r="G525" t="s">
        <v>1183</v>
      </c>
      <c r="H525">
        <v>47.438299999999998</v>
      </c>
      <c r="I525">
        <v>-70.490340000000003</v>
      </c>
      <c r="J525" t="s">
        <v>56</v>
      </c>
      <c r="K525" t="s">
        <v>1250</v>
      </c>
      <c r="L525" t="s">
        <v>1163</v>
      </c>
      <c r="M525">
        <f>6*0.3048</f>
        <v>1.8288000000000002</v>
      </c>
      <c r="N525" t="s">
        <v>1219</v>
      </c>
      <c r="O525" t="s">
        <v>1185</v>
      </c>
      <c r="P525" t="s">
        <v>220</v>
      </c>
      <c r="Q525" t="s">
        <v>404</v>
      </c>
      <c r="R525" t="s">
        <v>1183</v>
      </c>
      <c r="S525">
        <f>267*0.3048</f>
        <v>81.381600000000006</v>
      </c>
      <c r="T525" s="1" t="s">
        <v>2524</v>
      </c>
      <c r="U525" s="1" t="s">
        <v>2525</v>
      </c>
    </row>
    <row r="526" spans="1:21" x14ac:dyDescent="0.3">
      <c r="A526">
        <v>430</v>
      </c>
      <c r="B526" t="s">
        <v>1040</v>
      </c>
      <c r="C526" s="4" t="s">
        <v>2526</v>
      </c>
      <c r="D526" t="s">
        <v>7</v>
      </c>
      <c r="E526">
        <v>1972</v>
      </c>
      <c r="F526">
        <v>1972</v>
      </c>
      <c r="G526">
        <v>1991</v>
      </c>
      <c r="H526">
        <v>47.607129999999998</v>
      </c>
      <c r="I526">
        <v>-69.456699999999998</v>
      </c>
      <c r="J526" t="s">
        <v>2168</v>
      </c>
      <c r="K526" t="s">
        <v>2527</v>
      </c>
      <c r="L526" t="s">
        <v>1173</v>
      </c>
      <c r="M526">
        <f>8400*0.3048</f>
        <v>2560.3200000000002</v>
      </c>
      <c r="N526" t="s">
        <v>2528</v>
      </c>
      <c r="O526" t="s">
        <v>2529</v>
      </c>
      <c r="P526" t="s">
        <v>220</v>
      </c>
      <c r="Q526" t="s">
        <v>213</v>
      </c>
      <c r="R526">
        <f>1103*0.3048</f>
        <v>336.19440000000003</v>
      </c>
      <c r="S526">
        <f>14023*0.3048</f>
        <v>4274.2103999999999</v>
      </c>
      <c r="T526" s="1" t="s">
        <v>2530</v>
      </c>
      <c r="U526" s="1" t="s">
        <v>2531</v>
      </c>
    </row>
    <row r="527" spans="1:21" x14ac:dyDescent="0.3">
      <c r="A527">
        <v>431</v>
      </c>
      <c r="B527" s="8" t="s">
        <v>1041</v>
      </c>
      <c r="C527" s="4" t="s">
        <v>3208</v>
      </c>
      <c r="D527" t="s">
        <v>7</v>
      </c>
      <c r="E527">
        <v>1979</v>
      </c>
      <c r="F527">
        <v>1979</v>
      </c>
      <c r="G527">
        <v>1991</v>
      </c>
      <c r="H527">
        <v>47.616472000000002</v>
      </c>
      <c r="I527">
        <v>-69.453806</v>
      </c>
      <c r="J527" t="s">
        <v>2168</v>
      </c>
      <c r="K527" t="s">
        <v>2527</v>
      </c>
      <c r="L527" t="s">
        <v>1173</v>
      </c>
      <c r="M527">
        <v>2348</v>
      </c>
      <c r="N527" t="s">
        <v>1183</v>
      </c>
      <c r="O527" t="s">
        <v>1194</v>
      </c>
      <c r="P527" t="s">
        <v>220</v>
      </c>
      <c r="Q527" t="s">
        <v>213</v>
      </c>
      <c r="R527">
        <f>337</f>
        <v>337</v>
      </c>
      <c r="S527">
        <v>2348</v>
      </c>
      <c r="T527" t="s">
        <v>220</v>
      </c>
      <c r="U527" s="1" t="s">
        <v>3209</v>
      </c>
    </row>
    <row r="528" spans="1:21" x14ac:dyDescent="0.3">
      <c r="A528">
        <v>432</v>
      </c>
      <c r="B528" t="s">
        <v>1042</v>
      </c>
      <c r="C528" s="4" t="s">
        <v>2532</v>
      </c>
      <c r="D528" t="s">
        <v>7</v>
      </c>
      <c r="E528">
        <v>1980</v>
      </c>
      <c r="F528">
        <v>1980</v>
      </c>
      <c r="G528">
        <v>1991</v>
      </c>
      <c r="H528">
        <v>47.603920000000002</v>
      </c>
      <c r="I528">
        <v>-69.435869999999994</v>
      </c>
      <c r="J528" t="s">
        <v>2168</v>
      </c>
      <c r="K528" t="s">
        <v>2527</v>
      </c>
      <c r="L528" t="s">
        <v>1173</v>
      </c>
      <c r="M528">
        <v>2905</v>
      </c>
      <c r="N528" t="s">
        <v>1179</v>
      </c>
      <c r="O528" t="s">
        <v>1194</v>
      </c>
      <c r="P528" t="s">
        <v>220</v>
      </c>
      <c r="Q528" t="s">
        <v>404</v>
      </c>
      <c r="R528">
        <f>381</f>
        <v>381</v>
      </c>
      <c r="S528">
        <v>2452</v>
      </c>
      <c r="T528" s="1" t="s">
        <v>2533</v>
      </c>
      <c r="U528" s="1" t="s">
        <v>2534</v>
      </c>
    </row>
    <row r="529" spans="1:21" x14ac:dyDescent="0.3">
      <c r="A529">
        <v>433</v>
      </c>
      <c r="B529" t="s">
        <v>1043</v>
      </c>
      <c r="C529" s="4" t="s">
        <v>2535</v>
      </c>
      <c r="D529" t="s">
        <v>7</v>
      </c>
      <c r="E529">
        <v>1990</v>
      </c>
      <c r="F529">
        <v>1990</v>
      </c>
      <c r="G529">
        <v>1994</v>
      </c>
      <c r="H529">
        <v>47.386989999999997</v>
      </c>
      <c r="I529">
        <v>-70.400109999999998</v>
      </c>
      <c r="J529" t="s">
        <v>56</v>
      </c>
      <c r="K529" t="s">
        <v>2527</v>
      </c>
      <c r="L529" t="s">
        <v>1167</v>
      </c>
      <c r="M529" t="s">
        <v>1183</v>
      </c>
      <c r="N529" t="s">
        <v>1183</v>
      </c>
      <c r="O529" t="s">
        <v>2536</v>
      </c>
      <c r="P529" t="s">
        <v>212</v>
      </c>
      <c r="Q529" t="s">
        <v>404</v>
      </c>
      <c r="R529">
        <v>23</v>
      </c>
      <c r="S529">
        <v>337</v>
      </c>
      <c r="T529" s="1" t="s">
        <v>2537</v>
      </c>
      <c r="U529" s="1" t="s">
        <v>2538</v>
      </c>
    </row>
    <row r="530" spans="1:21" x14ac:dyDescent="0.3">
      <c r="A530">
        <v>434</v>
      </c>
      <c r="B530" t="s">
        <v>1044</v>
      </c>
      <c r="C530" s="4" t="s">
        <v>2539</v>
      </c>
      <c r="D530" t="s">
        <v>7</v>
      </c>
      <c r="E530">
        <v>1974</v>
      </c>
      <c r="F530" t="s">
        <v>1183</v>
      </c>
      <c r="G530">
        <v>1974</v>
      </c>
      <c r="H530">
        <v>48.351138888999998</v>
      </c>
      <c r="I530">
        <v>-68.311499999999995</v>
      </c>
      <c r="J530" t="s">
        <v>2168</v>
      </c>
      <c r="K530" t="s">
        <v>2527</v>
      </c>
      <c r="L530" t="s">
        <v>1173</v>
      </c>
      <c r="M530">
        <f>829*0.3048</f>
        <v>252.67920000000001</v>
      </c>
      <c r="N530" t="s">
        <v>2225</v>
      </c>
      <c r="O530" t="s">
        <v>1194</v>
      </c>
      <c r="P530" t="s">
        <v>220</v>
      </c>
      <c r="Q530" t="s">
        <v>213</v>
      </c>
      <c r="R530">
        <f>1095*0.3048</f>
        <v>333.75600000000003</v>
      </c>
      <c r="S530">
        <f>5232*0.3048</f>
        <v>1594.7136</v>
      </c>
      <c r="T530" s="1" t="s">
        <v>2540</v>
      </c>
      <c r="U530" s="1" t="s">
        <v>2541</v>
      </c>
    </row>
    <row r="531" spans="1:21" x14ac:dyDescent="0.3">
      <c r="A531">
        <v>435</v>
      </c>
      <c r="B531" s="9" t="s">
        <v>3244</v>
      </c>
      <c r="C531" s="4" t="s">
        <v>3278</v>
      </c>
      <c r="D531" t="s">
        <v>7</v>
      </c>
      <c r="E531">
        <v>2010</v>
      </c>
      <c r="F531" t="s">
        <v>1183</v>
      </c>
      <c r="G531">
        <v>2010</v>
      </c>
      <c r="H531">
        <v>48.327333000000003</v>
      </c>
      <c r="I531">
        <v>-68.260306</v>
      </c>
      <c r="J531" t="s">
        <v>2168</v>
      </c>
      <c r="K531" t="s">
        <v>2527</v>
      </c>
      <c r="L531" t="s">
        <v>1183</v>
      </c>
      <c r="M531" t="s">
        <v>1183</v>
      </c>
      <c r="N531" t="s">
        <v>1183</v>
      </c>
      <c r="O531" t="s">
        <v>1183</v>
      </c>
      <c r="P531" t="s">
        <v>220</v>
      </c>
      <c r="Q531" t="s">
        <v>404</v>
      </c>
      <c r="R531">
        <v>350</v>
      </c>
      <c r="S531">
        <v>99</v>
      </c>
      <c r="T531" t="s">
        <v>220</v>
      </c>
      <c r="U531" s="1" t="s">
        <v>3312</v>
      </c>
    </row>
    <row r="532" spans="1:21" x14ac:dyDescent="0.3">
      <c r="A532">
        <v>436</v>
      </c>
      <c r="B532" s="9" t="s">
        <v>3245</v>
      </c>
      <c r="C532" s="4" t="s">
        <v>3279</v>
      </c>
      <c r="D532" t="s">
        <v>7</v>
      </c>
      <c r="E532">
        <v>2010</v>
      </c>
      <c r="F532" t="s">
        <v>1183</v>
      </c>
      <c r="G532">
        <v>2010</v>
      </c>
      <c r="H532">
        <v>48.211500000000001</v>
      </c>
      <c r="I532">
        <v>-68.245582999999996</v>
      </c>
      <c r="J532" t="s">
        <v>2168</v>
      </c>
      <c r="K532" t="s">
        <v>2527</v>
      </c>
      <c r="L532" t="s">
        <v>1183</v>
      </c>
      <c r="M532" t="s">
        <v>1183</v>
      </c>
      <c r="N532" t="s">
        <v>1183</v>
      </c>
      <c r="O532" t="s">
        <v>1183</v>
      </c>
      <c r="P532" t="s">
        <v>220</v>
      </c>
      <c r="Q532" t="s">
        <v>404</v>
      </c>
      <c r="R532">
        <v>332</v>
      </c>
      <c r="S532">
        <v>12</v>
      </c>
      <c r="T532" t="s">
        <v>220</v>
      </c>
      <c r="U532" s="1" t="s">
        <v>3313</v>
      </c>
    </row>
    <row r="533" spans="1:21" x14ac:dyDescent="0.3">
      <c r="A533">
        <v>437</v>
      </c>
      <c r="B533" t="s">
        <v>1045</v>
      </c>
      <c r="C533" s="4" t="s">
        <v>2542</v>
      </c>
      <c r="D533" t="s">
        <v>7</v>
      </c>
      <c r="E533">
        <v>2010</v>
      </c>
      <c r="F533" t="s">
        <v>1183</v>
      </c>
      <c r="G533">
        <v>2010</v>
      </c>
      <c r="H533">
        <v>48.126083299999998</v>
      </c>
      <c r="I533">
        <v>-68.401777800000005</v>
      </c>
      <c r="J533" t="s">
        <v>2168</v>
      </c>
      <c r="K533" t="s">
        <v>2527</v>
      </c>
      <c r="L533" t="s">
        <v>1183</v>
      </c>
      <c r="M533" t="s">
        <v>1183</v>
      </c>
      <c r="N533" t="s">
        <v>1183</v>
      </c>
      <c r="O533" t="s">
        <v>1183</v>
      </c>
      <c r="P533" t="s">
        <v>220</v>
      </c>
      <c r="Q533" t="s">
        <v>404</v>
      </c>
      <c r="R533">
        <v>329</v>
      </c>
      <c r="S533">
        <v>9</v>
      </c>
      <c r="T533" s="1" t="s">
        <v>2543</v>
      </c>
      <c r="U533" s="1" t="s">
        <v>2544</v>
      </c>
    </row>
    <row r="534" spans="1:21" x14ac:dyDescent="0.3">
      <c r="A534">
        <v>438</v>
      </c>
      <c r="B534" s="8" t="s">
        <v>1046</v>
      </c>
      <c r="C534" s="4" t="s">
        <v>3210</v>
      </c>
      <c r="D534" t="s">
        <v>7</v>
      </c>
      <c r="E534">
        <v>1970</v>
      </c>
      <c r="F534" t="s">
        <v>1183</v>
      </c>
      <c r="G534">
        <v>1970</v>
      </c>
      <c r="H534">
        <v>47.79833</v>
      </c>
      <c r="I534">
        <v>-61.43694</v>
      </c>
      <c r="J534" t="s">
        <v>124</v>
      </c>
      <c r="K534" t="s">
        <v>2546</v>
      </c>
      <c r="L534" t="s">
        <v>1173</v>
      </c>
      <c r="M534">
        <f>8254*0.3048</f>
        <v>2515.8191999999999</v>
      </c>
      <c r="N534" t="s">
        <v>2169</v>
      </c>
      <c r="O534" t="s">
        <v>2735</v>
      </c>
      <c r="P534" t="s">
        <v>212</v>
      </c>
      <c r="Q534" t="s">
        <v>213</v>
      </c>
      <c r="R534">
        <f>21*0.3048</f>
        <v>6.4008000000000003</v>
      </c>
      <c r="S534">
        <f>10519*0.3048</f>
        <v>3206.1912000000002</v>
      </c>
      <c r="T534" s="1" t="s">
        <v>3211</v>
      </c>
      <c r="U534" s="1" t="s">
        <v>3212</v>
      </c>
    </row>
    <row r="535" spans="1:21" x14ac:dyDescent="0.3">
      <c r="A535">
        <v>439</v>
      </c>
      <c r="B535" t="s">
        <v>1048</v>
      </c>
      <c r="C535" s="4" t="s">
        <v>2545</v>
      </c>
      <c r="D535" t="s">
        <v>7</v>
      </c>
      <c r="E535">
        <v>1999</v>
      </c>
      <c r="F535" t="s">
        <v>1183</v>
      </c>
      <c r="G535">
        <v>1999</v>
      </c>
      <c r="H535">
        <v>47.425454999999999</v>
      </c>
      <c r="I535">
        <v>-61.866759999999999</v>
      </c>
      <c r="J535" t="s">
        <v>124</v>
      </c>
      <c r="K535" t="s">
        <v>2546</v>
      </c>
      <c r="L535" t="s">
        <v>1167</v>
      </c>
      <c r="M535">
        <v>506</v>
      </c>
      <c r="N535" t="s">
        <v>1237</v>
      </c>
      <c r="O535" t="s">
        <v>1249</v>
      </c>
      <c r="P535" t="s">
        <v>220</v>
      </c>
      <c r="Q535" t="s">
        <v>213</v>
      </c>
      <c r="R535">
        <v>1</v>
      </c>
      <c r="S535">
        <v>686</v>
      </c>
      <c r="T535" s="1" t="s">
        <v>2547</v>
      </c>
      <c r="U535" s="1" t="s">
        <v>2548</v>
      </c>
    </row>
    <row r="536" spans="1:21" x14ac:dyDescent="0.3">
      <c r="A536">
        <v>1</v>
      </c>
      <c r="B536" t="s">
        <v>472</v>
      </c>
      <c r="C536" s="4" t="s">
        <v>2606</v>
      </c>
      <c r="D536" t="s">
        <v>8</v>
      </c>
      <c r="E536">
        <v>1953</v>
      </c>
      <c r="F536">
        <v>1953</v>
      </c>
      <c r="G536">
        <v>1959</v>
      </c>
      <c r="H536">
        <v>45.207816999999999</v>
      </c>
      <c r="I536">
        <v>-73.261153699999994</v>
      </c>
      <c r="J536" t="s">
        <v>15</v>
      </c>
      <c r="K536" t="s">
        <v>1162</v>
      </c>
      <c r="L536" t="s">
        <v>1167</v>
      </c>
      <c r="M536">
        <f>1587*0.3048</f>
        <v>483.7176</v>
      </c>
      <c r="N536" t="s">
        <v>1179</v>
      </c>
      <c r="O536" t="s">
        <v>1386</v>
      </c>
      <c r="P536" t="s">
        <v>212</v>
      </c>
      <c r="Q536" t="s">
        <v>404</v>
      </c>
      <c r="R536">
        <f>90*0.3048</f>
        <v>27.432000000000002</v>
      </c>
      <c r="S536">
        <f>1587*0.3048</f>
        <v>483.7176</v>
      </c>
      <c r="T536" s="1" t="s">
        <v>2607</v>
      </c>
      <c r="U536" s="1" t="s">
        <v>2608</v>
      </c>
    </row>
    <row r="537" spans="1:21" x14ac:dyDescent="0.3">
      <c r="A537">
        <v>2</v>
      </c>
      <c r="B537" t="s">
        <v>498</v>
      </c>
      <c r="C537" s="4" t="s">
        <v>2628</v>
      </c>
      <c r="D537" t="s">
        <v>8</v>
      </c>
      <c r="E537">
        <v>1909</v>
      </c>
      <c r="F537" t="s">
        <v>1183</v>
      </c>
      <c r="G537" t="s">
        <v>1183</v>
      </c>
      <c r="H537">
        <v>45.772806000000003</v>
      </c>
      <c r="I537">
        <v>-73.366249999999994</v>
      </c>
      <c r="J537" t="s">
        <v>15</v>
      </c>
      <c r="K537" t="s">
        <v>1162</v>
      </c>
      <c r="L537" t="s">
        <v>1163</v>
      </c>
      <c r="M537" t="s">
        <v>1183</v>
      </c>
      <c r="N537" t="s">
        <v>1181</v>
      </c>
      <c r="O537" t="s">
        <v>1184</v>
      </c>
      <c r="P537" t="s">
        <v>212</v>
      </c>
      <c r="Q537" t="s">
        <v>404</v>
      </c>
      <c r="R537">
        <f>31*0.3048</f>
        <v>9.4488000000000003</v>
      </c>
      <c r="S537">
        <f>2300*0.3048</f>
        <v>701.04000000000008</v>
      </c>
      <c r="T537" s="1" t="s">
        <v>2629</v>
      </c>
      <c r="U537" s="1" t="s">
        <v>2630</v>
      </c>
    </row>
    <row r="538" spans="1:21" x14ac:dyDescent="0.3">
      <c r="A538">
        <v>3</v>
      </c>
      <c r="B538" t="s">
        <v>533</v>
      </c>
      <c r="C538" s="4" t="s">
        <v>2723</v>
      </c>
      <c r="D538" t="s">
        <v>8</v>
      </c>
      <c r="E538">
        <v>1966</v>
      </c>
      <c r="F538" t="s">
        <v>1183</v>
      </c>
      <c r="G538">
        <v>1966</v>
      </c>
      <c r="H538">
        <v>45.9091606</v>
      </c>
      <c r="I538">
        <v>-73.449389100000005</v>
      </c>
      <c r="J538" t="s">
        <v>29</v>
      </c>
      <c r="K538" t="s">
        <v>1162</v>
      </c>
      <c r="L538" t="s">
        <v>1167</v>
      </c>
      <c r="M538">
        <f>108*0.3048</f>
        <v>32.918399999999998</v>
      </c>
      <c r="N538" t="s">
        <v>1181</v>
      </c>
      <c r="O538" t="s">
        <v>1453</v>
      </c>
      <c r="P538" t="s">
        <v>212</v>
      </c>
      <c r="Q538" t="s">
        <v>213</v>
      </c>
      <c r="R538">
        <f>117*0.3048</f>
        <v>35.6616</v>
      </c>
      <c r="S538">
        <f>828*0.3048</f>
        <v>252.37440000000001</v>
      </c>
      <c r="T538" s="1" t="s">
        <v>2724</v>
      </c>
      <c r="U538" s="1" t="s">
        <v>2725</v>
      </c>
    </row>
    <row r="539" spans="1:21" x14ac:dyDescent="0.3">
      <c r="A539">
        <v>4</v>
      </c>
      <c r="B539" t="s">
        <v>643</v>
      </c>
      <c r="C539" s="4" t="s">
        <v>2893</v>
      </c>
      <c r="D539" t="s">
        <v>8</v>
      </c>
      <c r="E539">
        <v>1961</v>
      </c>
      <c r="F539" t="s">
        <v>1183</v>
      </c>
      <c r="G539">
        <v>1961</v>
      </c>
      <c r="H539">
        <v>46.096416667</v>
      </c>
      <c r="I539">
        <v>-73.162083332999998</v>
      </c>
      <c r="J539" t="s">
        <v>29</v>
      </c>
      <c r="K539" t="s">
        <v>1634</v>
      </c>
      <c r="L539" t="s">
        <v>1173</v>
      </c>
      <c r="M539">
        <f>150*0.3048</f>
        <v>45.72</v>
      </c>
      <c r="N539" t="s">
        <v>1219</v>
      </c>
      <c r="O539" t="s">
        <v>1165</v>
      </c>
      <c r="P539" t="s">
        <v>212</v>
      </c>
      <c r="Q539" t="s">
        <v>213</v>
      </c>
      <c r="R539">
        <f>21*0.3048</f>
        <v>6.4008000000000003</v>
      </c>
      <c r="S539">
        <f>311*0.3048</f>
        <v>94.7928</v>
      </c>
      <c r="T539" s="1" t="s">
        <v>2894</v>
      </c>
      <c r="U539" s="1" t="s">
        <v>2895</v>
      </c>
    </row>
    <row r="540" spans="1:21" x14ac:dyDescent="0.3">
      <c r="A540">
        <v>5</v>
      </c>
      <c r="B540" t="s">
        <v>661</v>
      </c>
      <c r="C540" s="4" t="s">
        <v>2896</v>
      </c>
      <c r="D540" t="s">
        <v>8</v>
      </c>
      <c r="E540">
        <v>1961</v>
      </c>
      <c r="F540" t="s">
        <v>1183</v>
      </c>
      <c r="G540">
        <v>1961</v>
      </c>
      <c r="H540">
        <v>46.047770999999997</v>
      </c>
      <c r="I540">
        <v>-73.111082199999998</v>
      </c>
      <c r="J540" t="s">
        <v>15</v>
      </c>
      <c r="K540" t="s">
        <v>1634</v>
      </c>
      <c r="L540" t="s">
        <v>1173</v>
      </c>
      <c r="M540">
        <f>179*0.3048</f>
        <v>54.559200000000004</v>
      </c>
      <c r="N540" t="s">
        <v>1665</v>
      </c>
      <c r="O540" t="s">
        <v>1165</v>
      </c>
      <c r="P540" t="s">
        <v>212</v>
      </c>
      <c r="Q540" t="s">
        <v>213</v>
      </c>
      <c r="R540" t="s">
        <v>1183</v>
      </c>
      <c r="S540">
        <f>220*0.3048</f>
        <v>67.055999999999997</v>
      </c>
      <c r="T540" s="1" t="s">
        <v>2897</v>
      </c>
      <c r="U540" s="1" t="s">
        <v>2898</v>
      </c>
    </row>
    <row r="541" spans="1:21" x14ac:dyDescent="0.3">
      <c r="A541">
        <v>6</v>
      </c>
      <c r="B541" t="s">
        <v>666</v>
      </c>
      <c r="C541" s="4" t="s">
        <v>2908</v>
      </c>
      <c r="D541" t="s">
        <v>8</v>
      </c>
      <c r="E541">
        <v>1961</v>
      </c>
      <c r="F541" t="s">
        <v>1183</v>
      </c>
      <c r="G541">
        <v>1961</v>
      </c>
      <c r="H541">
        <v>46.066658799999999</v>
      </c>
      <c r="I541">
        <v>-73.1156036</v>
      </c>
      <c r="J541" t="s">
        <v>29</v>
      </c>
      <c r="K541" t="s">
        <v>1634</v>
      </c>
      <c r="L541" t="s">
        <v>1173</v>
      </c>
      <c r="M541">
        <f>125*0.3048</f>
        <v>38.1</v>
      </c>
      <c r="N541" t="s">
        <v>2909</v>
      </c>
      <c r="O541" t="s">
        <v>1165</v>
      </c>
      <c r="P541" t="s">
        <v>220</v>
      </c>
      <c r="Q541" t="s">
        <v>213</v>
      </c>
      <c r="R541" t="s">
        <v>1183</v>
      </c>
      <c r="S541">
        <f>272*0.3048</f>
        <v>82.905600000000007</v>
      </c>
      <c r="T541" s="1" t="s">
        <v>2910</v>
      </c>
      <c r="U541" s="1" t="s">
        <v>2911</v>
      </c>
    </row>
    <row r="542" spans="1:21" x14ac:dyDescent="0.3">
      <c r="A542">
        <v>7</v>
      </c>
      <c r="B542" t="s">
        <v>778</v>
      </c>
      <c r="C542" t="s">
        <v>1896</v>
      </c>
      <c r="D542" t="s">
        <v>8</v>
      </c>
      <c r="E542">
        <v>1962</v>
      </c>
      <c r="F542" t="s">
        <v>1183</v>
      </c>
      <c r="G542">
        <v>1957</v>
      </c>
      <c r="H542">
        <v>45.809472221999997</v>
      </c>
      <c r="I542">
        <v>-73.429027778000005</v>
      </c>
      <c r="J542" t="s">
        <v>29</v>
      </c>
      <c r="K542" t="s">
        <v>1634</v>
      </c>
      <c r="L542" t="s">
        <v>1173</v>
      </c>
      <c r="M542">
        <f>30*0.3048</f>
        <v>9.1440000000000001</v>
      </c>
      <c r="N542" t="s">
        <v>1219</v>
      </c>
      <c r="O542" t="s">
        <v>1217</v>
      </c>
      <c r="P542" t="s">
        <v>212</v>
      </c>
      <c r="Q542" t="s">
        <v>213</v>
      </c>
      <c r="R542" t="s">
        <v>1183</v>
      </c>
      <c r="S542">
        <f>105*0.3048</f>
        <v>32.004000000000005</v>
      </c>
      <c r="T542" s="1" t="s">
        <v>1897</v>
      </c>
      <c r="U542" s="1" t="s">
        <v>1898</v>
      </c>
    </row>
    <row r="543" spans="1:21" x14ac:dyDescent="0.3">
      <c r="A543">
        <v>8</v>
      </c>
      <c r="B543" t="s">
        <v>815</v>
      </c>
      <c r="C543" t="s">
        <v>1967</v>
      </c>
      <c r="D543" t="s">
        <v>8</v>
      </c>
      <c r="E543">
        <v>1965</v>
      </c>
      <c r="F543">
        <v>1965</v>
      </c>
      <c r="G543" t="s">
        <v>1183</v>
      </c>
      <c r="H543">
        <v>45.815582999999997</v>
      </c>
      <c r="I543">
        <v>-73.372360999999998</v>
      </c>
      <c r="J543" t="s">
        <v>29</v>
      </c>
      <c r="K543" t="s">
        <v>1634</v>
      </c>
      <c r="L543" t="s">
        <v>1167</v>
      </c>
      <c r="M543" t="s">
        <v>1183</v>
      </c>
      <c r="N543" t="s">
        <v>1219</v>
      </c>
      <c r="O543" t="s">
        <v>1217</v>
      </c>
      <c r="P543" t="s">
        <v>220</v>
      </c>
      <c r="Q543" t="s">
        <v>404</v>
      </c>
      <c r="R543" t="s">
        <v>1183</v>
      </c>
      <c r="S543">
        <f>59*0.3048</f>
        <v>17.9832</v>
      </c>
      <c r="T543" t="s">
        <v>220</v>
      </c>
      <c r="U543" s="1" t="s">
        <v>1968</v>
      </c>
    </row>
    <row r="544" spans="1:21" x14ac:dyDescent="0.3">
      <c r="A544">
        <v>9</v>
      </c>
      <c r="B544" t="s">
        <v>816</v>
      </c>
      <c r="C544" t="s">
        <v>1969</v>
      </c>
      <c r="D544" t="s">
        <v>8</v>
      </c>
      <c r="E544">
        <v>1965</v>
      </c>
      <c r="F544">
        <v>1965</v>
      </c>
      <c r="G544" t="s">
        <v>1183</v>
      </c>
      <c r="H544">
        <v>45.817528000000003</v>
      </c>
      <c r="I544">
        <v>-73.371250000000003</v>
      </c>
      <c r="J544" t="s">
        <v>29</v>
      </c>
      <c r="K544" t="s">
        <v>1634</v>
      </c>
      <c r="L544" t="s">
        <v>1167</v>
      </c>
      <c r="M544" t="s">
        <v>1183</v>
      </c>
      <c r="N544" t="s">
        <v>1225</v>
      </c>
      <c r="O544" t="s">
        <v>1217</v>
      </c>
      <c r="P544" t="s">
        <v>220</v>
      </c>
      <c r="Q544" t="s">
        <v>404</v>
      </c>
      <c r="R544" t="s">
        <v>1183</v>
      </c>
      <c r="S544">
        <f>74*0.3048</f>
        <v>22.555200000000003</v>
      </c>
      <c r="T544" t="s">
        <v>220</v>
      </c>
      <c r="U544" s="1" t="s">
        <v>1970</v>
      </c>
    </row>
    <row r="545" spans="1:21" x14ac:dyDescent="0.3">
      <c r="A545">
        <v>10</v>
      </c>
      <c r="B545" t="s">
        <v>819</v>
      </c>
      <c r="C545" t="s">
        <v>1976</v>
      </c>
      <c r="D545" t="s">
        <v>8</v>
      </c>
      <c r="E545">
        <v>1965</v>
      </c>
      <c r="F545">
        <v>1965</v>
      </c>
      <c r="G545" t="s">
        <v>1183</v>
      </c>
      <c r="H545">
        <v>45.813917000000004</v>
      </c>
      <c r="I545">
        <v>-73.374027999999996</v>
      </c>
      <c r="J545" t="s">
        <v>29</v>
      </c>
      <c r="K545" t="s">
        <v>1634</v>
      </c>
      <c r="L545" t="s">
        <v>1167</v>
      </c>
      <c r="M545" t="s">
        <v>1183</v>
      </c>
      <c r="N545" t="s">
        <v>1225</v>
      </c>
      <c r="O545" t="s">
        <v>1217</v>
      </c>
      <c r="P545" t="s">
        <v>220</v>
      </c>
      <c r="Q545" t="s">
        <v>404</v>
      </c>
      <c r="R545" t="s">
        <v>1183</v>
      </c>
      <c r="S545">
        <f>60*0.3048</f>
        <v>18.288</v>
      </c>
      <c r="T545" t="s">
        <v>220</v>
      </c>
      <c r="U545" s="1" t="s">
        <v>1977</v>
      </c>
    </row>
    <row r="546" spans="1:21" x14ac:dyDescent="0.3">
      <c r="A546">
        <v>11</v>
      </c>
      <c r="B546" t="s">
        <v>830</v>
      </c>
      <c r="C546" t="s">
        <v>2000</v>
      </c>
      <c r="D546" t="s">
        <v>8</v>
      </c>
      <c r="E546">
        <v>1965</v>
      </c>
      <c r="F546" t="s">
        <v>1183</v>
      </c>
      <c r="G546">
        <v>1965</v>
      </c>
      <c r="H546">
        <v>46.071139000000002</v>
      </c>
      <c r="I546">
        <v>-73.012360999999999</v>
      </c>
      <c r="J546" t="s">
        <v>15</v>
      </c>
      <c r="K546" t="s">
        <v>1634</v>
      </c>
      <c r="L546" t="s">
        <v>1205</v>
      </c>
      <c r="M546">
        <f>42*0.3048</f>
        <v>12.801600000000001</v>
      </c>
      <c r="N546" t="s">
        <v>1209</v>
      </c>
      <c r="O546" t="s">
        <v>1175</v>
      </c>
      <c r="P546" t="s">
        <v>212</v>
      </c>
      <c r="Q546" t="s">
        <v>213</v>
      </c>
      <c r="R546" t="s">
        <v>1183</v>
      </c>
      <c r="S546">
        <f>183*0.3048</f>
        <v>55.778400000000005</v>
      </c>
      <c r="T546" t="s">
        <v>220</v>
      </c>
      <c r="U546" s="1" t="s">
        <v>2001</v>
      </c>
    </row>
    <row r="547" spans="1:21" x14ac:dyDescent="0.3">
      <c r="A547">
        <v>12</v>
      </c>
      <c r="B547" t="s">
        <v>833</v>
      </c>
      <c r="C547" t="s">
        <v>2006</v>
      </c>
      <c r="D547" t="s">
        <v>8</v>
      </c>
      <c r="E547">
        <v>1965</v>
      </c>
      <c r="F547" t="s">
        <v>1183</v>
      </c>
      <c r="G547" t="s">
        <v>1183</v>
      </c>
      <c r="H547">
        <v>46.071139000000002</v>
      </c>
      <c r="I547">
        <v>-73.012360999999999</v>
      </c>
      <c r="J547" t="s">
        <v>15</v>
      </c>
      <c r="K547" t="s">
        <v>1634</v>
      </c>
      <c r="L547" t="s">
        <v>1205</v>
      </c>
      <c r="M547">
        <f>178*0.3048</f>
        <v>54.254400000000004</v>
      </c>
      <c r="N547" t="s">
        <v>2007</v>
      </c>
      <c r="O547" t="s">
        <v>1175</v>
      </c>
      <c r="P547" t="s">
        <v>212</v>
      </c>
      <c r="Q547" t="s">
        <v>404</v>
      </c>
      <c r="R547" t="s">
        <v>1183</v>
      </c>
      <c r="S547">
        <f>182*0.3048</f>
        <v>55.473600000000005</v>
      </c>
      <c r="T547" t="s">
        <v>220</v>
      </c>
      <c r="U547" s="1" t="s">
        <v>2008</v>
      </c>
    </row>
    <row r="548" spans="1:21" x14ac:dyDescent="0.3">
      <c r="A548">
        <v>13</v>
      </c>
      <c r="B548" t="s">
        <v>838</v>
      </c>
      <c r="C548" t="s">
        <v>2018</v>
      </c>
      <c r="D548" t="s">
        <v>8</v>
      </c>
      <c r="E548">
        <v>1965</v>
      </c>
      <c r="F548" t="s">
        <v>1183</v>
      </c>
      <c r="G548">
        <v>1965</v>
      </c>
      <c r="H548">
        <v>46.074750000000002</v>
      </c>
      <c r="I548">
        <v>-73.010971999999995</v>
      </c>
      <c r="J548" t="s">
        <v>15</v>
      </c>
      <c r="K548" t="s">
        <v>1634</v>
      </c>
      <c r="L548" t="s">
        <v>1163</v>
      </c>
      <c r="M548">
        <f>32*0.3048</f>
        <v>9.7536000000000005</v>
      </c>
      <c r="N548" t="s">
        <v>1219</v>
      </c>
      <c r="O548" t="s">
        <v>2016</v>
      </c>
      <c r="P548" t="s">
        <v>220</v>
      </c>
      <c r="Q548" t="s">
        <v>213</v>
      </c>
      <c r="R548">
        <f>20*0.3048</f>
        <v>6.0960000000000001</v>
      </c>
      <c r="S548">
        <f>50*0.3048</f>
        <v>15.24</v>
      </c>
      <c r="T548" t="s">
        <v>220</v>
      </c>
      <c r="U548" s="1" t="s">
        <v>2019</v>
      </c>
    </row>
    <row r="549" spans="1:21" x14ac:dyDescent="0.3">
      <c r="A549">
        <v>14</v>
      </c>
      <c r="B549" t="s">
        <v>849</v>
      </c>
      <c r="C549" t="s">
        <v>2040</v>
      </c>
      <c r="D549" t="s">
        <v>8</v>
      </c>
      <c r="E549">
        <v>1965</v>
      </c>
      <c r="F549" t="s">
        <v>1183</v>
      </c>
      <c r="G549">
        <v>1965</v>
      </c>
      <c r="H549">
        <v>46.081693999999999</v>
      </c>
      <c r="I549">
        <v>-73.033749999999998</v>
      </c>
      <c r="J549" t="s">
        <v>15</v>
      </c>
      <c r="K549" t="s">
        <v>1634</v>
      </c>
      <c r="L549" t="s">
        <v>1163</v>
      </c>
      <c r="M549">
        <f>51*0.3048</f>
        <v>15.5448</v>
      </c>
      <c r="N549" t="s">
        <v>1766</v>
      </c>
      <c r="O549" t="s">
        <v>2016</v>
      </c>
      <c r="P549" t="s">
        <v>212</v>
      </c>
      <c r="Q549" t="s">
        <v>213</v>
      </c>
      <c r="R549">
        <f>20*0.3048</f>
        <v>6.0960000000000001</v>
      </c>
      <c r="S549">
        <f>191*0.3048</f>
        <v>58.216800000000006</v>
      </c>
      <c r="T549" t="s">
        <v>220</v>
      </c>
      <c r="U549" s="1" t="s">
        <v>2041</v>
      </c>
    </row>
    <row r="550" spans="1:21" x14ac:dyDescent="0.3">
      <c r="A550">
        <v>15</v>
      </c>
      <c r="B550" t="s">
        <v>884</v>
      </c>
      <c r="C550" t="s">
        <v>2140</v>
      </c>
      <c r="D550" t="s">
        <v>8</v>
      </c>
      <c r="E550">
        <v>1960</v>
      </c>
      <c r="F550" t="s">
        <v>1183</v>
      </c>
      <c r="G550" t="s">
        <v>1183</v>
      </c>
      <c r="H550">
        <v>46.291694444000001</v>
      </c>
      <c r="I550">
        <v>-72.710666666999998</v>
      </c>
      <c r="J550" t="s">
        <v>12</v>
      </c>
      <c r="K550" t="s">
        <v>1634</v>
      </c>
      <c r="L550" t="s">
        <v>1183</v>
      </c>
      <c r="M550" t="s">
        <v>1183</v>
      </c>
      <c r="N550" t="s">
        <v>1219</v>
      </c>
      <c r="O550" t="s">
        <v>1183</v>
      </c>
      <c r="P550" t="s">
        <v>212</v>
      </c>
      <c r="Q550" t="s">
        <v>404</v>
      </c>
      <c r="R550" t="s">
        <v>1183</v>
      </c>
      <c r="S550">
        <f>70*0.3048</f>
        <v>21.336000000000002</v>
      </c>
      <c r="T550" s="1" t="s">
        <v>2141</v>
      </c>
      <c r="U550" s="1" t="s">
        <v>2142</v>
      </c>
    </row>
    <row r="551" spans="1:21" x14ac:dyDescent="0.3">
      <c r="A551">
        <v>16</v>
      </c>
      <c r="B551" t="s">
        <v>885</v>
      </c>
      <c r="C551" t="s">
        <v>2143</v>
      </c>
      <c r="D551" t="s">
        <v>8</v>
      </c>
      <c r="E551">
        <v>1960</v>
      </c>
      <c r="F551" t="s">
        <v>1183</v>
      </c>
      <c r="G551" t="s">
        <v>1183</v>
      </c>
      <c r="H551">
        <v>46.291694444000001</v>
      </c>
      <c r="I551">
        <v>-72.710666666999998</v>
      </c>
      <c r="J551" t="s">
        <v>12</v>
      </c>
      <c r="K551" t="s">
        <v>1634</v>
      </c>
      <c r="L551" t="s">
        <v>1183</v>
      </c>
      <c r="M551" t="s">
        <v>1183</v>
      </c>
      <c r="N551" t="s">
        <v>1183</v>
      </c>
      <c r="O551" t="s">
        <v>1183</v>
      </c>
      <c r="P551" t="s">
        <v>212</v>
      </c>
      <c r="Q551" t="s">
        <v>404</v>
      </c>
      <c r="R551" t="s">
        <v>1183</v>
      </c>
      <c r="S551" t="s">
        <v>1183</v>
      </c>
      <c r="T551" s="1" t="s">
        <v>2144</v>
      </c>
      <c r="U551" s="1" t="s">
        <v>2145</v>
      </c>
    </row>
    <row r="552" spans="1:21" x14ac:dyDescent="0.3">
      <c r="A552">
        <v>17</v>
      </c>
      <c r="B552" t="s">
        <v>886</v>
      </c>
      <c r="C552" t="s">
        <v>2146</v>
      </c>
      <c r="D552" t="s">
        <v>8</v>
      </c>
      <c r="E552">
        <v>1960</v>
      </c>
      <c r="F552" t="s">
        <v>1183</v>
      </c>
      <c r="G552" t="s">
        <v>1183</v>
      </c>
      <c r="H552">
        <v>46.291694444000001</v>
      </c>
      <c r="I552">
        <v>-72.710666666999998</v>
      </c>
      <c r="J552" t="s">
        <v>12</v>
      </c>
      <c r="K552" t="s">
        <v>1634</v>
      </c>
      <c r="L552" t="s">
        <v>1183</v>
      </c>
      <c r="M552" t="s">
        <v>1183</v>
      </c>
      <c r="N552" t="s">
        <v>1183</v>
      </c>
      <c r="O552" t="s">
        <v>1183</v>
      </c>
      <c r="P552" t="s">
        <v>212</v>
      </c>
      <c r="Q552" t="s">
        <v>404</v>
      </c>
      <c r="R552" t="s">
        <v>1183</v>
      </c>
      <c r="S552" t="s">
        <v>1183</v>
      </c>
      <c r="T552" s="1" t="s">
        <v>2147</v>
      </c>
      <c r="U552" s="1" t="s">
        <v>2148</v>
      </c>
    </row>
    <row r="553" spans="1:21" x14ac:dyDescent="0.3">
      <c r="A553">
        <v>18</v>
      </c>
      <c r="B553" t="s">
        <v>921</v>
      </c>
      <c r="C553" t="s">
        <v>2267</v>
      </c>
      <c r="D553" t="s">
        <v>8</v>
      </c>
      <c r="E553">
        <v>1890</v>
      </c>
      <c r="F553" t="s">
        <v>1183</v>
      </c>
      <c r="G553">
        <v>1891</v>
      </c>
      <c r="H553">
        <v>48.791119999999999</v>
      </c>
      <c r="I553">
        <v>-64.392240000000001</v>
      </c>
      <c r="J553" t="s">
        <v>124</v>
      </c>
      <c r="K553" t="s">
        <v>1228</v>
      </c>
      <c r="L553" t="s">
        <v>1163</v>
      </c>
      <c r="M553" t="s">
        <v>1183</v>
      </c>
      <c r="N553" t="s">
        <v>1234</v>
      </c>
      <c r="O553" t="s">
        <v>1236</v>
      </c>
      <c r="P553" t="s">
        <v>220</v>
      </c>
      <c r="Q553" t="s">
        <v>404</v>
      </c>
      <c r="R553">
        <f>20*0.3048</f>
        <v>6.0960000000000001</v>
      </c>
      <c r="S553">
        <f>2225*0.3048</f>
        <v>678.18000000000006</v>
      </c>
      <c r="T553" s="1" t="s">
        <v>2268</v>
      </c>
      <c r="U553" s="1" t="s">
        <v>2269</v>
      </c>
    </row>
    <row r="554" spans="1:21" x14ac:dyDescent="0.3">
      <c r="A554">
        <v>19</v>
      </c>
      <c r="B554" t="s">
        <v>986</v>
      </c>
      <c r="C554" s="4" t="s">
        <v>3135</v>
      </c>
      <c r="D554" t="s">
        <v>8</v>
      </c>
      <c r="E554">
        <v>1984</v>
      </c>
      <c r="F554" t="s">
        <v>1183</v>
      </c>
      <c r="G554">
        <v>1999</v>
      </c>
      <c r="H554">
        <v>48.839308611</v>
      </c>
      <c r="I554">
        <v>-64.788743332999999</v>
      </c>
      <c r="J554" t="s">
        <v>124</v>
      </c>
      <c r="K554" t="s">
        <v>1228</v>
      </c>
      <c r="L554" t="s">
        <v>1167</v>
      </c>
      <c r="M554" t="s">
        <v>1183</v>
      </c>
      <c r="N554" t="s">
        <v>1237</v>
      </c>
      <c r="O554" t="s">
        <v>1246</v>
      </c>
      <c r="P554" t="s">
        <v>329</v>
      </c>
      <c r="Q554" t="s">
        <v>213</v>
      </c>
      <c r="R554" t="s">
        <v>1183</v>
      </c>
      <c r="S554">
        <v>95</v>
      </c>
      <c r="T554" s="1" t="s">
        <v>3136</v>
      </c>
      <c r="U554" s="1" t="s">
        <v>3137</v>
      </c>
    </row>
    <row r="555" spans="1:21" x14ac:dyDescent="0.3">
      <c r="A555">
        <v>20</v>
      </c>
      <c r="B555" s="9" t="s">
        <v>3246</v>
      </c>
      <c r="C555" t="s">
        <v>3250</v>
      </c>
      <c r="D555" t="s">
        <v>8</v>
      </c>
      <c r="E555">
        <v>2010</v>
      </c>
      <c r="F555" t="s">
        <v>1183</v>
      </c>
      <c r="G555">
        <v>2010</v>
      </c>
      <c r="H555">
        <v>48.502389000000001</v>
      </c>
      <c r="I555">
        <v>-67.814832999999993</v>
      </c>
      <c r="J555" t="s">
        <v>2168</v>
      </c>
      <c r="K555" t="s">
        <v>1228</v>
      </c>
      <c r="L555" t="s">
        <v>1183</v>
      </c>
      <c r="M555" t="s">
        <v>1183</v>
      </c>
      <c r="N555" t="s">
        <v>1183</v>
      </c>
      <c r="O555" t="s">
        <v>1183</v>
      </c>
      <c r="P555" t="s">
        <v>220</v>
      </c>
      <c r="Q555" t="s">
        <v>404</v>
      </c>
      <c r="R555">
        <v>275</v>
      </c>
      <c r="S555">
        <v>249</v>
      </c>
      <c r="T555" t="s">
        <v>220</v>
      </c>
      <c r="U555" s="1" t="s">
        <v>3314</v>
      </c>
    </row>
    <row r="556" spans="1:21" x14ac:dyDescent="0.3">
      <c r="A556">
        <v>21</v>
      </c>
      <c r="B556" s="9" t="s">
        <v>3247</v>
      </c>
      <c r="C556" t="s">
        <v>3251</v>
      </c>
      <c r="D556" t="s">
        <v>8</v>
      </c>
      <c r="E556">
        <v>2010</v>
      </c>
      <c r="F556" t="s">
        <v>1183</v>
      </c>
      <c r="G556">
        <v>2010</v>
      </c>
      <c r="H556">
        <v>48.309193999999998</v>
      </c>
      <c r="I556">
        <v>-67.997556000000003</v>
      </c>
      <c r="J556" t="s">
        <v>2168</v>
      </c>
      <c r="K556" t="s">
        <v>1228</v>
      </c>
      <c r="L556" t="s">
        <v>1183</v>
      </c>
      <c r="M556" t="s">
        <v>1183</v>
      </c>
      <c r="N556" t="s">
        <v>1183</v>
      </c>
      <c r="O556" t="s">
        <v>1183</v>
      </c>
      <c r="P556" t="s">
        <v>220</v>
      </c>
      <c r="Q556" t="s">
        <v>404</v>
      </c>
      <c r="R556">
        <v>335</v>
      </c>
      <c r="S556">
        <v>99</v>
      </c>
      <c r="T556" t="s">
        <v>220</v>
      </c>
      <c r="U556" s="1" t="s">
        <v>3315</v>
      </c>
    </row>
    <row r="557" spans="1:21" x14ac:dyDescent="0.3">
      <c r="A557">
        <v>22</v>
      </c>
      <c r="B557" s="9" t="s">
        <v>3248</v>
      </c>
      <c r="C557" t="s">
        <v>3252</v>
      </c>
      <c r="D557" t="s">
        <v>8</v>
      </c>
      <c r="E557">
        <v>2010</v>
      </c>
      <c r="F557" t="s">
        <v>1183</v>
      </c>
      <c r="G557">
        <v>2010</v>
      </c>
      <c r="H557">
        <v>48.256388999999999</v>
      </c>
      <c r="I557">
        <v>-68.069389000000001</v>
      </c>
      <c r="J557" t="s">
        <v>2168</v>
      </c>
      <c r="K557" t="s">
        <v>1228</v>
      </c>
      <c r="L557" t="s">
        <v>1183</v>
      </c>
      <c r="M557" t="s">
        <v>1183</v>
      </c>
      <c r="N557" t="s">
        <v>1183</v>
      </c>
      <c r="O557" t="s">
        <v>1183</v>
      </c>
      <c r="P557" t="s">
        <v>220</v>
      </c>
      <c r="Q557" t="s">
        <v>404</v>
      </c>
      <c r="R557">
        <v>350</v>
      </c>
      <c r="S557">
        <v>99</v>
      </c>
      <c r="T557" t="s">
        <v>220</v>
      </c>
      <c r="U557" s="1" t="s">
        <v>3316</v>
      </c>
    </row>
    <row r="558" spans="1:21" x14ac:dyDescent="0.3">
      <c r="A558">
        <v>23</v>
      </c>
      <c r="B558" t="s">
        <v>1012</v>
      </c>
      <c r="C558" s="4" t="s">
        <v>3162</v>
      </c>
      <c r="D558" t="s">
        <v>8</v>
      </c>
      <c r="E558">
        <v>1962</v>
      </c>
      <c r="F558" t="s">
        <v>1183</v>
      </c>
      <c r="G558">
        <v>1963</v>
      </c>
      <c r="H558">
        <v>49.871389000000001</v>
      </c>
      <c r="I558">
        <v>-64.204166999999998</v>
      </c>
      <c r="J558" t="s">
        <v>205</v>
      </c>
      <c r="K558" t="s">
        <v>1247</v>
      </c>
      <c r="L558" t="s">
        <v>1167</v>
      </c>
      <c r="M558">
        <f>250*0.3048</f>
        <v>76.2</v>
      </c>
      <c r="N558" t="s">
        <v>1390</v>
      </c>
      <c r="O558" t="s">
        <v>1178</v>
      </c>
      <c r="P558" t="s">
        <v>329</v>
      </c>
      <c r="Q558" t="s">
        <v>213</v>
      </c>
      <c r="R558">
        <f>300*0.3048</f>
        <v>91.44</v>
      </c>
      <c r="S558">
        <f>5721*0.3048</f>
        <v>1743.7608</v>
      </c>
      <c r="T558" t="s">
        <v>220</v>
      </c>
      <c r="U558" s="1" t="s">
        <v>3163</v>
      </c>
    </row>
    <row r="559" spans="1:21" x14ac:dyDescent="0.3">
      <c r="A559">
        <v>24</v>
      </c>
      <c r="B559" t="s">
        <v>1014</v>
      </c>
      <c r="C559" s="4" t="s">
        <v>3164</v>
      </c>
      <c r="D559" t="s">
        <v>8</v>
      </c>
      <c r="E559">
        <v>1965</v>
      </c>
      <c r="F559" t="s">
        <v>1183</v>
      </c>
      <c r="G559">
        <v>1965</v>
      </c>
      <c r="H559">
        <v>49.738055555999999</v>
      </c>
      <c r="I559">
        <v>-63.506666666999998</v>
      </c>
      <c r="J559" t="s">
        <v>205</v>
      </c>
      <c r="K559" t="s">
        <v>1247</v>
      </c>
      <c r="L559" t="s">
        <v>1173</v>
      </c>
      <c r="M559">
        <f>599*0.3048</f>
        <v>182.5752</v>
      </c>
      <c r="N559" t="s">
        <v>2476</v>
      </c>
      <c r="O559" t="s">
        <v>1178</v>
      </c>
      <c r="P559" t="s">
        <v>218</v>
      </c>
      <c r="Q559" t="s">
        <v>213</v>
      </c>
      <c r="R559">
        <f>504*0.3048</f>
        <v>153.61920000000001</v>
      </c>
      <c r="S559">
        <f>6146*0.3048</f>
        <v>1873.3008</v>
      </c>
      <c r="T559" s="1" t="s">
        <v>3165</v>
      </c>
      <c r="U559" s="1" t="s">
        <v>3166</v>
      </c>
    </row>
    <row r="560" spans="1:21" x14ac:dyDescent="0.3">
      <c r="A560">
        <v>25</v>
      </c>
      <c r="B560" t="s">
        <v>1016</v>
      </c>
      <c r="C560" s="4" t="s">
        <v>3167</v>
      </c>
      <c r="D560" t="s">
        <v>8</v>
      </c>
      <c r="E560">
        <v>1965</v>
      </c>
      <c r="F560" t="s">
        <v>1183</v>
      </c>
      <c r="G560">
        <v>1966</v>
      </c>
      <c r="H560">
        <v>49.620888889</v>
      </c>
      <c r="I560">
        <v>-63.437722221999998</v>
      </c>
      <c r="J560" t="s">
        <v>205</v>
      </c>
      <c r="K560" t="s">
        <v>1247</v>
      </c>
      <c r="L560" t="s">
        <v>1173</v>
      </c>
      <c r="M560">
        <f>1846*0.3048</f>
        <v>562.66079999999999</v>
      </c>
      <c r="N560" t="s">
        <v>1183</v>
      </c>
      <c r="O560" t="s">
        <v>3168</v>
      </c>
      <c r="P560" t="s">
        <v>220</v>
      </c>
      <c r="Q560" t="s">
        <v>213</v>
      </c>
      <c r="R560" t="s">
        <v>1183</v>
      </c>
      <c r="S560">
        <f>3788*0.3048</f>
        <v>1154.5824</v>
      </c>
      <c r="T560" s="1" t="s">
        <v>3169</v>
      </c>
      <c r="U560" s="1" t="s">
        <v>3170</v>
      </c>
    </row>
    <row r="561" spans="1:21" x14ac:dyDescent="0.3">
      <c r="A561">
        <v>26</v>
      </c>
      <c r="B561" t="s">
        <v>1017</v>
      </c>
      <c r="C561" s="4" t="s">
        <v>3171</v>
      </c>
      <c r="D561" t="s">
        <v>8</v>
      </c>
      <c r="E561">
        <v>1970</v>
      </c>
      <c r="F561" t="s">
        <v>1183</v>
      </c>
      <c r="G561">
        <v>1970</v>
      </c>
      <c r="H561">
        <v>49.388388888999998</v>
      </c>
      <c r="I561">
        <v>-63.523277778000001</v>
      </c>
      <c r="J561" t="s">
        <v>205</v>
      </c>
      <c r="K561" t="s">
        <v>1247</v>
      </c>
      <c r="L561" t="s">
        <v>1173</v>
      </c>
      <c r="M561">
        <f>1495*0.3048</f>
        <v>455.67600000000004</v>
      </c>
      <c r="N561" t="s">
        <v>3172</v>
      </c>
      <c r="O561" t="s">
        <v>3173</v>
      </c>
      <c r="P561" t="s">
        <v>212</v>
      </c>
      <c r="Q561" t="s">
        <v>213</v>
      </c>
      <c r="R561">
        <f>223*0.3048</f>
        <v>67.970399999999998</v>
      </c>
      <c r="S561">
        <f>12632*0.3048</f>
        <v>3850.2336</v>
      </c>
      <c r="T561" s="1" t="s">
        <v>3174</v>
      </c>
      <c r="U561" s="1" t="s">
        <v>3175</v>
      </c>
    </row>
    <row r="562" spans="1:21" x14ac:dyDescent="0.3">
      <c r="A562">
        <v>27</v>
      </c>
      <c r="B562" t="s">
        <v>1019</v>
      </c>
      <c r="C562" s="4" t="s">
        <v>3176</v>
      </c>
      <c r="D562" t="s">
        <v>8</v>
      </c>
      <c r="E562">
        <v>1987</v>
      </c>
      <c r="F562">
        <v>1988</v>
      </c>
      <c r="G562">
        <v>1996</v>
      </c>
      <c r="H562">
        <v>49.371473332999997</v>
      </c>
      <c r="I562">
        <v>-63.445839999999997</v>
      </c>
      <c r="J562" t="s">
        <v>205</v>
      </c>
      <c r="K562" t="s">
        <v>1247</v>
      </c>
      <c r="L562" t="s">
        <v>1163</v>
      </c>
      <c r="M562" t="s">
        <v>1183</v>
      </c>
      <c r="N562" t="s">
        <v>1183</v>
      </c>
      <c r="O562" t="s">
        <v>3177</v>
      </c>
      <c r="P562" t="s">
        <v>220</v>
      </c>
      <c r="Q562" t="s">
        <v>213</v>
      </c>
      <c r="R562" t="s">
        <v>1183</v>
      </c>
      <c r="S562">
        <f>2800*0.3048</f>
        <v>853.44</v>
      </c>
      <c r="T562" s="1" t="s">
        <v>3178</v>
      </c>
      <c r="U562" s="1" t="s">
        <v>3179</v>
      </c>
    </row>
    <row r="563" spans="1:21" x14ac:dyDescent="0.3">
      <c r="A563">
        <v>28</v>
      </c>
      <c r="B563" s="9" t="s">
        <v>3249</v>
      </c>
      <c r="C563" s="4" t="s">
        <v>3253</v>
      </c>
      <c r="D563" t="s">
        <v>8</v>
      </c>
      <c r="E563">
        <v>2012</v>
      </c>
      <c r="F563" t="s">
        <v>1183</v>
      </c>
      <c r="G563" t="s">
        <v>1183</v>
      </c>
      <c r="H563">
        <v>49.778860999999999</v>
      </c>
      <c r="I563">
        <v>-63.883222000000004</v>
      </c>
      <c r="J563" t="s">
        <v>205</v>
      </c>
      <c r="K563" t="s">
        <v>1247</v>
      </c>
      <c r="L563" t="s">
        <v>1183</v>
      </c>
      <c r="M563" t="s">
        <v>1183</v>
      </c>
      <c r="N563" t="s">
        <v>1183</v>
      </c>
      <c r="O563" t="s">
        <v>1183</v>
      </c>
      <c r="P563" t="s">
        <v>220</v>
      </c>
      <c r="Q563" t="s">
        <v>404</v>
      </c>
      <c r="R563" t="s">
        <v>1183</v>
      </c>
      <c r="S563">
        <v>0</v>
      </c>
      <c r="T563" t="s">
        <v>220</v>
      </c>
      <c r="U563" s="1" t="s">
        <v>3317</v>
      </c>
    </row>
    <row r="564" spans="1:21" x14ac:dyDescent="0.3">
      <c r="A564">
        <v>29</v>
      </c>
      <c r="B564" t="s">
        <v>1031</v>
      </c>
      <c r="C564" s="4" t="s">
        <v>3187</v>
      </c>
      <c r="D564" t="s">
        <v>8</v>
      </c>
      <c r="E564">
        <v>1954</v>
      </c>
      <c r="F564" t="s">
        <v>1183</v>
      </c>
      <c r="G564" t="s">
        <v>1183</v>
      </c>
      <c r="H564">
        <v>48.423400000000001</v>
      </c>
      <c r="I564">
        <v>-71.930120000000002</v>
      </c>
      <c r="J564" t="s">
        <v>208</v>
      </c>
      <c r="K564" t="s">
        <v>1250</v>
      </c>
      <c r="L564" t="s">
        <v>1167</v>
      </c>
      <c r="M564" t="s">
        <v>1183</v>
      </c>
      <c r="N564" t="s">
        <v>1181</v>
      </c>
      <c r="O564" t="s">
        <v>2512</v>
      </c>
      <c r="P564" t="s">
        <v>329</v>
      </c>
      <c r="Q564" t="s">
        <v>404</v>
      </c>
      <c r="R564" t="s">
        <v>1183</v>
      </c>
      <c r="S564">
        <f>1414*0.3048</f>
        <v>430.98720000000003</v>
      </c>
      <c r="T564" s="1" t="s">
        <v>3188</v>
      </c>
      <c r="U564" s="1" t="s">
        <v>3189</v>
      </c>
    </row>
    <row r="565" spans="1:21" x14ac:dyDescent="0.3">
      <c r="A565">
        <v>30</v>
      </c>
      <c r="B565" t="s">
        <v>1032</v>
      </c>
      <c r="C565" s="4" t="s">
        <v>3190</v>
      </c>
      <c r="D565" t="s">
        <v>8</v>
      </c>
      <c r="E565">
        <v>1954</v>
      </c>
      <c r="F565" t="s">
        <v>1183</v>
      </c>
      <c r="G565" t="s">
        <v>1183</v>
      </c>
      <c r="H565">
        <v>48.844313</v>
      </c>
      <c r="I565">
        <v>-72.199946400000002</v>
      </c>
      <c r="J565" t="s">
        <v>208</v>
      </c>
      <c r="K565" t="s">
        <v>1250</v>
      </c>
      <c r="L565" t="s">
        <v>1183</v>
      </c>
      <c r="M565" t="s">
        <v>1183</v>
      </c>
      <c r="N565" t="s">
        <v>3191</v>
      </c>
      <c r="O565" t="s">
        <v>2512</v>
      </c>
      <c r="P565" t="s">
        <v>220</v>
      </c>
      <c r="Q565" t="s">
        <v>404</v>
      </c>
      <c r="R565" t="s">
        <v>1183</v>
      </c>
      <c r="S565">
        <f>1436*0.3048</f>
        <v>437.69280000000003</v>
      </c>
      <c r="T565" s="1" t="s">
        <v>3192</v>
      </c>
      <c r="U565" s="1" t="s">
        <v>3193</v>
      </c>
    </row>
    <row r="566" spans="1:21" x14ac:dyDescent="0.3">
      <c r="A566">
        <v>31</v>
      </c>
      <c r="B566" t="s">
        <v>1036</v>
      </c>
      <c r="C566" s="4" t="s">
        <v>3199</v>
      </c>
      <c r="D566" t="s">
        <v>8</v>
      </c>
      <c r="E566">
        <v>1962</v>
      </c>
      <c r="F566" t="s">
        <v>1183</v>
      </c>
      <c r="G566" t="s">
        <v>1183</v>
      </c>
      <c r="H566">
        <v>48.423870399999998</v>
      </c>
      <c r="I566">
        <v>-71.969035599999998</v>
      </c>
      <c r="J566" t="s">
        <v>208</v>
      </c>
      <c r="K566" t="s">
        <v>1250</v>
      </c>
      <c r="L566" t="s">
        <v>1167</v>
      </c>
      <c r="M566" t="s">
        <v>1183</v>
      </c>
      <c r="N566" t="s">
        <v>1183</v>
      </c>
      <c r="O566" t="s">
        <v>3196</v>
      </c>
      <c r="P566" t="s">
        <v>212</v>
      </c>
      <c r="Q566" t="s">
        <v>404</v>
      </c>
      <c r="R566" t="s">
        <v>1183</v>
      </c>
      <c r="S566">
        <f>273*0.3048</f>
        <v>83.210400000000007</v>
      </c>
      <c r="T566" s="1" t="s">
        <v>3200</v>
      </c>
      <c r="U566" s="1" t="s">
        <v>3201</v>
      </c>
    </row>
    <row r="567" spans="1:21" x14ac:dyDescent="0.3">
      <c r="A567">
        <v>32</v>
      </c>
      <c r="B567" t="s">
        <v>1038</v>
      </c>
      <c r="C567" s="4" t="s">
        <v>3202</v>
      </c>
      <c r="D567" t="s">
        <v>8</v>
      </c>
      <c r="E567">
        <v>1970</v>
      </c>
      <c r="F567" t="s">
        <v>1183</v>
      </c>
      <c r="G567" t="s">
        <v>1183</v>
      </c>
      <c r="H567">
        <v>50.212833000000003</v>
      </c>
      <c r="I567">
        <v>-66.305778000000004</v>
      </c>
      <c r="J567" t="s">
        <v>205</v>
      </c>
      <c r="K567" t="s">
        <v>1250</v>
      </c>
      <c r="L567" t="s">
        <v>1183</v>
      </c>
      <c r="M567" t="s">
        <v>1183</v>
      </c>
      <c r="N567" t="s">
        <v>1225</v>
      </c>
      <c r="O567" t="s">
        <v>1183</v>
      </c>
      <c r="P567" t="s">
        <v>212</v>
      </c>
      <c r="Q567" t="s">
        <v>213</v>
      </c>
      <c r="R567" t="s">
        <v>1183</v>
      </c>
      <c r="S567">
        <f>360*0.3048</f>
        <v>109.72800000000001</v>
      </c>
      <c r="T567" t="s">
        <v>220</v>
      </c>
      <c r="U567" s="1" t="s">
        <v>3203</v>
      </c>
    </row>
    <row r="568" spans="1:21" x14ac:dyDescent="0.3">
      <c r="A568">
        <v>1</v>
      </c>
      <c r="B568" s="8" t="s">
        <v>408</v>
      </c>
      <c r="C568" s="4" t="s">
        <v>2561</v>
      </c>
      <c r="D568" t="s">
        <v>9</v>
      </c>
      <c r="E568">
        <v>1953</v>
      </c>
      <c r="F568" t="s">
        <v>1183</v>
      </c>
      <c r="G568" t="s">
        <v>1183</v>
      </c>
      <c r="H568">
        <v>46.349416900000001</v>
      </c>
      <c r="I568">
        <v>-72.781860499999993</v>
      </c>
      <c r="J568" t="s">
        <v>12</v>
      </c>
      <c r="K568" t="s">
        <v>1162</v>
      </c>
      <c r="L568" t="s">
        <v>1163</v>
      </c>
      <c r="M568" t="s">
        <v>1183</v>
      </c>
      <c r="N568" t="s">
        <v>1182</v>
      </c>
      <c r="O568" t="s">
        <v>2562</v>
      </c>
      <c r="P568" t="s">
        <v>212</v>
      </c>
      <c r="Q568" t="s">
        <v>404</v>
      </c>
      <c r="R568">
        <f>167*0.3048</f>
        <v>50.901600000000002</v>
      </c>
      <c r="S568">
        <f>550*0.3048</f>
        <v>167.64000000000001</v>
      </c>
      <c r="T568" s="1" t="s">
        <v>2563</v>
      </c>
      <c r="U568" s="1" t="s">
        <v>2564</v>
      </c>
    </row>
    <row r="569" spans="1:21" x14ac:dyDescent="0.3">
      <c r="A569">
        <v>2</v>
      </c>
      <c r="B569" t="s">
        <v>412</v>
      </c>
      <c r="C569" s="4" t="s">
        <v>2666</v>
      </c>
      <c r="D569" t="s">
        <v>9</v>
      </c>
      <c r="E569">
        <v>1956</v>
      </c>
      <c r="F569">
        <v>1957</v>
      </c>
      <c r="G569">
        <v>1959</v>
      </c>
      <c r="H569">
        <v>46.040975199999998</v>
      </c>
      <c r="I569">
        <v>-73.180080200000006</v>
      </c>
      <c r="J569" t="s">
        <v>29</v>
      </c>
      <c r="K569" t="s">
        <v>1162</v>
      </c>
      <c r="L569" t="s">
        <v>1163</v>
      </c>
      <c r="M569">
        <f>1667*0.3048</f>
        <v>508.10160000000002</v>
      </c>
      <c r="N569" t="s">
        <v>1181</v>
      </c>
      <c r="O569" t="s">
        <v>1165</v>
      </c>
      <c r="P569" t="s">
        <v>212</v>
      </c>
      <c r="Q569" t="s">
        <v>213</v>
      </c>
      <c r="R569">
        <f>26*0.3048</f>
        <v>7.9248000000000003</v>
      </c>
      <c r="S569">
        <f>2543*0.3048</f>
        <v>775.10640000000001</v>
      </c>
      <c r="T569" s="1" t="s">
        <v>2667</v>
      </c>
      <c r="U569" s="1" t="s">
        <v>2668</v>
      </c>
    </row>
    <row r="570" spans="1:21" x14ac:dyDescent="0.3">
      <c r="A570">
        <v>3</v>
      </c>
      <c r="B570" s="8" t="s">
        <v>421</v>
      </c>
      <c r="C570" s="4" t="s">
        <v>2565</v>
      </c>
      <c r="D570" t="s">
        <v>9</v>
      </c>
      <c r="E570">
        <v>1889</v>
      </c>
      <c r="F570" t="s">
        <v>1183</v>
      </c>
      <c r="G570">
        <v>1889</v>
      </c>
      <c r="H570">
        <v>46.283299999999997</v>
      </c>
      <c r="I570">
        <v>-72.4709</v>
      </c>
      <c r="J570" t="s">
        <v>21</v>
      </c>
      <c r="K570" t="s">
        <v>1162</v>
      </c>
      <c r="L570" t="s">
        <v>1163</v>
      </c>
      <c r="M570" t="s">
        <v>1183</v>
      </c>
      <c r="N570" t="s">
        <v>2566</v>
      </c>
      <c r="O570" t="s">
        <v>2567</v>
      </c>
      <c r="P570" t="s">
        <v>220</v>
      </c>
      <c r="Q570" t="s">
        <v>404</v>
      </c>
      <c r="R570">
        <f>66*0.3048</f>
        <v>20.116800000000001</v>
      </c>
      <c r="S570">
        <f>685*0.3048</f>
        <v>208.78800000000001</v>
      </c>
      <c r="T570" s="1" t="s">
        <v>2568</v>
      </c>
      <c r="U570" s="1" t="s">
        <v>2569</v>
      </c>
    </row>
    <row r="571" spans="1:21" x14ac:dyDescent="0.3">
      <c r="A571">
        <v>4</v>
      </c>
      <c r="B571" t="s">
        <v>422</v>
      </c>
      <c r="C571" s="4" t="s">
        <v>2669</v>
      </c>
      <c r="D571" t="s">
        <v>9</v>
      </c>
      <c r="E571">
        <v>1939</v>
      </c>
      <c r="F571" t="s">
        <v>1183</v>
      </c>
      <c r="G571">
        <v>1939</v>
      </c>
      <c r="H571">
        <v>45.539261699999997</v>
      </c>
      <c r="I571">
        <v>-73.582204700000005</v>
      </c>
      <c r="J571" t="s">
        <v>2556</v>
      </c>
      <c r="K571" t="s">
        <v>1162</v>
      </c>
      <c r="L571" t="s">
        <v>1163</v>
      </c>
      <c r="M571" t="s">
        <v>1183</v>
      </c>
      <c r="N571" t="s">
        <v>1390</v>
      </c>
      <c r="O571" t="s">
        <v>2669</v>
      </c>
      <c r="P571" t="s">
        <v>220</v>
      </c>
      <c r="Q571" t="s">
        <v>404</v>
      </c>
      <c r="R571">
        <f>180*0.3048</f>
        <v>54.864000000000004</v>
      </c>
      <c r="S571">
        <f>1395*0.3048</f>
        <v>425.19600000000003</v>
      </c>
      <c r="T571" s="1" t="s">
        <v>2670</v>
      </c>
      <c r="U571" s="1" t="s">
        <v>2671</v>
      </c>
    </row>
    <row r="572" spans="1:21" x14ac:dyDescent="0.3">
      <c r="A572">
        <v>5</v>
      </c>
      <c r="B572" t="s">
        <v>428</v>
      </c>
      <c r="C572" s="4" t="s">
        <v>2672</v>
      </c>
      <c r="D572" t="s">
        <v>9</v>
      </c>
      <c r="E572">
        <v>1934</v>
      </c>
      <c r="F572" t="s">
        <v>1183</v>
      </c>
      <c r="G572">
        <v>1934</v>
      </c>
      <c r="H572">
        <v>46.270299999999999</v>
      </c>
      <c r="I572">
        <v>-72.500699999999995</v>
      </c>
      <c r="J572" t="s">
        <v>21</v>
      </c>
      <c r="K572" t="s">
        <v>1162</v>
      </c>
      <c r="L572" t="s">
        <v>1163</v>
      </c>
      <c r="M572">
        <f>5510*0.3048</f>
        <v>1679.4480000000001</v>
      </c>
      <c r="N572" t="s">
        <v>1275</v>
      </c>
      <c r="O572" t="s">
        <v>1300</v>
      </c>
      <c r="P572" t="s">
        <v>212</v>
      </c>
      <c r="Q572" t="s">
        <v>213</v>
      </c>
      <c r="R572">
        <f>81*0.3048</f>
        <v>24.688800000000001</v>
      </c>
      <c r="S572">
        <f>6030*0.3048</f>
        <v>1837.9440000000002</v>
      </c>
      <c r="T572" s="1" t="s">
        <v>2673</v>
      </c>
      <c r="U572" s="1" t="s">
        <v>2674</v>
      </c>
    </row>
    <row r="573" spans="1:21" x14ac:dyDescent="0.3">
      <c r="A573">
        <v>6</v>
      </c>
      <c r="B573" s="8" t="s">
        <v>430</v>
      </c>
      <c r="C573" s="4" t="s">
        <v>2576</v>
      </c>
      <c r="D573" t="s">
        <v>9</v>
      </c>
      <c r="E573">
        <v>1933</v>
      </c>
      <c r="F573" t="s">
        <v>1183</v>
      </c>
      <c r="G573">
        <v>1933</v>
      </c>
      <c r="H573">
        <v>46.3185675</v>
      </c>
      <c r="I573">
        <v>-72.485371799999996</v>
      </c>
      <c r="J573" t="s">
        <v>21</v>
      </c>
      <c r="K573" t="s">
        <v>1162</v>
      </c>
      <c r="L573" t="s">
        <v>1163</v>
      </c>
      <c r="M573">
        <f>4968*0.3048</f>
        <v>1514.2464</v>
      </c>
      <c r="N573" t="s">
        <v>1182</v>
      </c>
      <c r="O573" t="s">
        <v>1300</v>
      </c>
      <c r="P573" t="s">
        <v>218</v>
      </c>
      <c r="Q573" t="s">
        <v>404</v>
      </c>
      <c r="R573">
        <f>59*0.3048</f>
        <v>17.9832</v>
      </c>
      <c r="S573">
        <f>5260*0.3048</f>
        <v>1603.248</v>
      </c>
      <c r="T573" s="1" t="s">
        <v>2577</v>
      </c>
      <c r="U573" s="1" t="s">
        <v>2578</v>
      </c>
    </row>
    <row r="574" spans="1:21" x14ac:dyDescent="0.3">
      <c r="A574">
        <v>7</v>
      </c>
      <c r="B574" t="s">
        <v>433</v>
      </c>
      <c r="C574" s="4" t="s">
        <v>2678</v>
      </c>
      <c r="D574" t="s">
        <v>9</v>
      </c>
      <c r="E574">
        <v>1962</v>
      </c>
      <c r="F574" t="s">
        <v>1183</v>
      </c>
      <c r="G574">
        <v>1964</v>
      </c>
      <c r="H574">
        <v>46.357797900000001</v>
      </c>
      <c r="I574">
        <v>-72.577088399999994</v>
      </c>
      <c r="J574" t="s">
        <v>12</v>
      </c>
      <c r="K574" t="s">
        <v>1162</v>
      </c>
      <c r="L574" t="s">
        <v>1167</v>
      </c>
      <c r="M574">
        <f>425*0.3048</f>
        <v>129.54000000000002</v>
      </c>
      <c r="N574" t="s">
        <v>1390</v>
      </c>
      <c r="O574" t="s">
        <v>1699</v>
      </c>
      <c r="P574" t="s">
        <v>212</v>
      </c>
      <c r="Q574" t="s">
        <v>213</v>
      </c>
      <c r="R574">
        <f>158*0.3048</f>
        <v>48.1584</v>
      </c>
      <c r="S574">
        <f>1452*0.3048</f>
        <v>442.56960000000004</v>
      </c>
      <c r="T574" s="1" t="s">
        <v>2679</v>
      </c>
      <c r="U574" s="1" t="s">
        <v>2680</v>
      </c>
    </row>
    <row r="575" spans="1:21" x14ac:dyDescent="0.3">
      <c r="A575">
        <v>8</v>
      </c>
      <c r="B575" s="8" t="s">
        <v>435</v>
      </c>
      <c r="C575" s="4" t="s">
        <v>2579</v>
      </c>
      <c r="D575" t="s">
        <v>9</v>
      </c>
      <c r="E575">
        <v>1934</v>
      </c>
      <c r="F575">
        <v>1934</v>
      </c>
      <c r="G575">
        <v>1934</v>
      </c>
      <c r="H575">
        <v>45.510036700000001</v>
      </c>
      <c r="I575">
        <v>-73.434157499999998</v>
      </c>
      <c r="J575" t="s">
        <v>15</v>
      </c>
      <c r="K575" t="s">
        <v>1162</v>
      </c>
      <c r="L575" t="s">
        <v>1163</v>
      </c>
      <c r="M575">
        <f>320*0.3048</f>
        <v>97.536000000000001</v>
      </c>
      <c r="N575" t="s">
        <v>1390</v>
      </c>
      <c r="O575" t="s">
        <v>1309</v>
      </c>
      <c r="P575" t="s">
        <v>212</v>
      </c>
      <c r="Q575" t="s">
        <v>404</v>
      </c>
      <c r="R575">
        <f>94*0.3048</f>
        <v>28.651200000000003</v>
      </c>
      <c r="S575">
        <f>3490*0.3048</f>
        <v>1063.752</v>
      </c>
      <c r="T575" s="1" t="s">
        <v>2580</v>
      </c>
      <c r="U575" s="1" t="s">
        <v>2581</v>
      </c>
    </row>
    <row r="576" spans="1:21" x14ac:dyDescent="0.3">
      <c r="A576">
        <v>9</v>
      </c>
      <c r="B576" s="8" t="s">
        <v>437</v>
      </c>
      <c r="C576" s="4" t="s">
        <v>2582</v>
      </c>
      <c r="D576" t="s">
        <v>9</v>
      </c>
      <c r="E576">
        <v>1956</v>
      </c>
      <c r="F576">
        <v>1957</v>
      </c>
      <c r="G576">
        <v>1964</v>
      </c>
      <c r="H576">
        <v>46.374522300000002</v>
      </c>
      <c r="I576">
        <v>-72.498983300000006</v>
      </c>
      <c r="J576" t="s">
        <v>12</v>
      </c>
      <c r="K576" t="s">
        <v>1162</v>
      </c>
      <c r="L576" t="s">
        <v>1167</v>
      </c>
      <c r="M576">
        <f>150*0.3048</f>
        <v>45.72</v>
      </c>
      <c r="N576" t="s">
        <v>2583</v>
      </c>
      <c r="O576" t="s">
        <v>1313</v>
      </c>
      <c r="P576" t="s">
        <v>212</v>
      </c>
      <c r="Q576" t="s">
        <v>213</v>
      </c>
      <c r="R576">
        <f>55*0.3048</f>
        <v>16.763999999999999</v>
      </c>
      <c r="S576">
        <f>2687*0.3048</f>
        <v>818.99760000000003</v>
      </c>
      <c r="T576" s="1" t="s">
        <v>2584</v>
      </c>
      <c r="U576" s="1" t="s">
        <v>2585</v>
      </c>
    </row>
    <row r="577" spans="1:21" x14ac:dyDescent="0.3">
      <c r="A577">
        <v>10</v>
      </c>
      <c r="B577" t="s">
        <v>451</v>
      </c>
      <c r="C577" s="4" t="s">
        <v>2681</v>
      </c>
      <c r="D577" t="s">
        <v>9</v>
      </c>
      <c r="E577">
        <v>1942</v>
      </c>
      <c r="F577" t="s">
        <v>1183</v>
      </c>
      <c r="G577">
        <v>1942</v>
      </c>
      <c r="H577">
        <v>45.492547600000002</v>
      </c>
      <c r="I577">
        <v>-73.681879300000006</v>
      </c>
      <c r="J577" t="s">
        <v>2556</v>
      </c>
      <c r="K577" t="s">
        <v>1162</v>
      </c>
      <c r="L577" t="s">
        <v>1163</v>
      </c>
      <c r="M577">
        <f>620*0.3048</f>
        <v>188.976</v>
      </c>
      <c r="N577" t="s">
        <v>1182</v>
      </c>
      <c r="O577" t="s">
        <v>1343</v>
      </c>
      <c r="P577" t="s">
        <v>220</v>
      </c>
      <c r="Q577" t="s">
        <v>404</v>
      </c>
      <c r="R577">
        <f>131*0.3048</f>
        <v>39.928800000000003</v>
      </c>
      <c r="S577">
        <f>620*0.3048</f>
        <v>188.976</v>
      </c>
      <c r="T577" s="1" t="s">
        <v>2682</v>
      </c>
      <c r="U577" s="1" t="s">
        <v>2683</v>
      </c>
    </row>
    <row r="578" spans="1:21" x14ac:dyDescent="0.3">
      <c r="A578">
        <v>11</v>
      </c>
      <c r="B578" t="s">
        <v>452</v>
      </c>
      <c r="C578" s="4" t="s">
        <v>2684</v>
      </c>
      <c r="D578" t="s">
        <v>9</v>
      </c>
      <c r="E578">
        <v>1944</v>
      </c>
      <c r="F578" t="s">
        <v>1183</v>
      </c>
      <c r="G578">
        <v>1945</v>
      </c>
      <c r="H578">
        <v>45.492947899999997</v>
      </c>
      <c r="I578">
        <v>-73.583708700000003</v>
      </c>
      <c r="J578" t="s">
        <v>2556</v>
      </c>
      <c r="K578" t="s">
        <v>1162</v>
      </c>
      <c r="L578" t="s">
        <v>1163</v>
      </c>
      <c r="M578" t="s">
        <v>1183</v>
      </c>
      <c r="N578" t="s">
        <v>1182</v>
      </c>
      <c r="O578" t="s">
        <v>1343</v>
      </c>
      <c r="P578" t="s">
        <v>212</v>
      </c>
      <c r="Q578" t="s">
        <v>404</v>
      </c>
      <c r="R578">
        <f>155*0.3048</f>
        <v>47.244</v>
      </c>
      <c r="S578">
        <f>685*0.3048</f>
        <v>208.78800000000001</v>
      </c>
      <c r="T578" s="1" t="s">
        <v>2685</v>
      </c>
      <c r="U578" s="1" t="s">
        <v>2686</v>
      </c>
    </row>
    <row r="579" spans="1:21" x14ac:dyDescent="0.3">
      <c r="A579">
        <v>12</v>
      </c>
      <c r="B579" t="s">
        <v>454</v>
      </c>
      <c r="C579" s="4" t="s">
        <v>2687</v>
      </c>
      <c r="D579" t="s">
        <v>9</v>
      </c>
      <c r="E579">
        <v>1911</v>
      </c>
      <c r="F579" t="s">
        <v>1183</v>
      </c>
      <c r="G579">
        <v>1911</v>
      </c>
      <c r="H579">
        <v>45.542540099999997</v>
      </c>
      <c r="I579">
        <v>-73.499396500000003</v>
      </c>
      <c r="J579" t="s">
        <v>15</v>
      </c>
      <c r="K579" t="s">
        <v>1162</v>
      </c>
      <c r="L579" t="s">
        <v>1163</v>
      </c>
      <c r="M579" t="s">
        <v>1183</v>
      </c>
      <c r="N579" t="s">
        <v>1181</v>
      </c>
      <c r="O579" t="s">
        <v>2688</v>
      </c>
      <c r="P579" t="s">
        <v>220</v>
      </c>
      <c r="Q579" t="s">
        <v>404</v>
      </c>
      <c r="R579">
        <f>46*0.3048</f>
        <v>14.020800000000001</v>
      </c>
      <c r="S579">
        <f>1425*0.3048</f>
        <v>434.34000000000003</v>
      </c>
      <c r="T579" s="1" t="s">
        <v>2689</v>
      </c>
      <c r="U579" s="1" t="s">
        <v>2690</v>
      </c>
    </row>
    <row r="580" spans="1:21" x14ac:dyDescent="0.3">
      <c r="A580">
        <v>13</v>
      </c>
      <c r="B580" t="s">
        <v>456</v>
      </c>
      <c r="C580" s="4" t="s">
        <v>2691</v>
      </c>
      <c r="D580" t="s">
        <v>9</v>
      </c>
      <c r="E580">
        <v>1957</v>
      </c>
      <c r="F580">
        <v>1958</v>
      </c>
      <c r="G580">
        <v>1960</v>
      </c>
      <c r="H580">
        <v>45.743825999999999</v>
      </c>
      <c r="I580">
        <v>-73.584391499999995</v>
      </c>
      <c r="J580" t="s">
        <v>29</v>
      </c>
      <c r="K580" t="s">
        <v>1162</v>
      </c>
      <c r="L580" t="s">
        <v>1167</v>
      </c>
      <c r="M580">
        <f>520*0.3048</f>
        <v>158.49600000000001</v>
      </c>
      <c r="N580" t="s">
        <v>2476</v>
      </c>
      <c r="O580" t="s">
        <v>2597</v>
      </c>
      <c r="P580" t="s">
        <v>212</v>
      </c>
      <c r="Q580" t="s">
        <v>213</v>
      </c>
      <c r="R580">
        <f>57*0.3048</f>
        <v>17.3736</v>
      </c>
      <c r="S580">
        <f>3531*0.3048</f>
        <v>1076.2488000000001</v>
      </c>
      <c r="T580" s="1" t="s">
        <v>2692</v>
      </c>
      <c r="U580" s="1" t="s">
        <v>2693</v>
      </c>
    </row>
    <row r="581" spans="1:21" x14ac:dyDescent="0.3">
      <c r="A581">
        <v>14</v>
      </c>
      <c r="B581" t="s">
        <v>457</v>
      </c>
      <c r="C581" s="4" t="s">
        <v>2694</v>
      </c>
      <c r="D581" t="s">
        <v>9</v>
      </c>
      <c r="E581">
        <v>1956</v>
      </c>
      <c r="F581" t="s">
        <v>1183</v>
      </c>
      <c r="G581">
        <v>1956</v>
      </c>
      <c r="H581">
        <v>46.288478300000001</v>
      </c>
      <c r="I581">
        <v>-72.683041299999999</v>
      </c>
      <c r="J581" t="s">
        <v>12</v>
      </c>
      <c r="K581" t="s">
        <v>1162</v>
      </c>
      <c r="L581" t="s">
        <v>1173</v>
      </c>
      <c r="M581">
        <f>168*0.3048</f>
        <v>51.206400000000002</v>
      </c>
      <c r="N581" t="s">
        <v>1237</v>
      </c>
      <c r="O581" t="s">
        <v>2695</v>
      </c>
      <c r="P581" t="s">
        <v>220</v>
      </c>
      <c r="Q581" t="s">
        <v>213</v>
      </c>
      <c r="R581">
        <f>56*0.3048</f>
        <v>17.0688</v>
      </c>
      <c r="S581">
        <f>1811*0.3048</f>
        <v>551.99279999999999</v>
      </c>
      <c r="T581" s="1" t="s">
        <v>2696</v>
      </c>
      <c r="U581" s="1" t="s">
        <v>2697</v>
      </c>
    </row>
    <row r="582" spans="1:21" x14ac:dyDescent="0.3">
      <c r="A582">
        <v>15</v>
      </c>
      <c r="B582" t="s">
        <v>458</v>
      </c>
      <c r="C582" s="4" t="s">
        <v>2698</v>
      </c>
      <c r="D582" t="s">
        <v>9</v>
      </c>
      <c r="E582">
        <v>1957</v>
      </c>
      <c r="F582" t="s">
        <v>1183</v>
      </c>
      <c r="G582">
        <v>1957</v>
      </c>
      <c r="H582">
        <v>46.288398100000002</v>
      </c>
      <c r="I582">
        <v>-72.683436400000005</v>
      </c>
      <c r="J582" t="s">
        <v>12</v>
      </c>
      <c r="K582" t="s">
        <v>1162</v>
      </c>
      <c r="L582" t="s">
        <v>1173</v>
      </c>
      <c r="M582">
        <f>369*0.3048</f>
        <v>112.47120000000001</v>
      </c>
      <c r="N582" t="s">
        <v>1390</v>
      </c>
      <c r="O582" t="s">
        <v>2695</v>
      </c>
      <c r="P582" t="s">
        <v>220</v>
      </c>
      <c r="Q582" t="s">
        <v>213</v>
      </c>
      <c r="R582">
        <f>57*0.3048</f>
        <v>17.3736</v>
      </c>
      <c r="S582">
        <f>2841*0.3048</f>
        <v>865.93680000000006</v>
      </c>
      <c r="T582" s="1" t="s">
        <v>2699</v>
      </c>
      <c r="U582" s="1" t="s">
        <v>2700</v>
      </c>
    </row>
    <row r="583" spans="1:21" x14ac:dyDescent="0.3">
      <c r="A583">
        <v>16</v>
      </c>
      <c r="B583" s="8" t="s">
        <v>462</v>
      </c>
      <c r="C583" s="4" t="s">
        <v>2600</v>
      </c>
      <c r="D583" t="s">
        <v>9</v>
      </c>
      <c r="E583">
        <v>1959</v>
      </c>
      <c r="F583">
        <v>1959</v>
      </c>
      <c r="G583">
        <v>1959</v>
      </c>
      <c r="H583">
        <v>46.133694400000003</v>
      </c>
      <c r="I583">
        <v>-72.794066999999998</v>
      </c>
      <c r="J583" t="s">
        <v>21</v>
      </c>
      <c r="K583" t="s">
        <v>1162</v>
      </c>
      <c r="L583" t="s">
        <v>1173</v>
      </c>
      <c r="M583">
        <f>305*0.3048</f>
        <v>92.963999999999999</v>
      </c>
      <c r="N583" t="s">
        <v>1181</v>
      </c>
      <c r="O583" t="s">
        <v>1175</v>
      </c>
      <c r="P583" t="s">
        <v>212</v>
      </c>
      <c r="Q583" t="s">
        <v>213</v>
      </c>
      <c r="R583">
        <f>14*0.3048</f>
        <v>4.2671999999999999</v>
      </c>
      <c r="S583">
        <f>3528*0.3048</f>
        <v>1075.3344</v>
      </c>
      <c r="T583" s="1" t="s">
        <v>2601</v>
      </c>
      <c r="U583" s="1" t="s">
        <v>2602</v>
      </c>
    </row>
    <row r="584" spans="1:21" x14ac:dyDescent="0.3">
      <c r="A584">
        <v>17</v>
      </c>
      <c r="B584" s="8" t="s">
        <v>464</v>
      </c>
      <c r="C584" s="4" t="s">
        <v>2603</v>
      </c>
      <c r="D584" t="s">
        <v>9</v>
      </c>
      <c r="E584">
        <v>1961</v>
      </c>
      <c r="F584" t="s">
        <v>1183</v>
      </c>
      <c r="G584">
        <v>1961</v>
      </c>
      <c r="H584">
        <v>46.469363999999999</v>
      </c>
      <c r="I584">
        <v>-72.344075200000006</v>
      </c>
      <c r="J584" t="s">
        <v>12</v>
      </c>
      <c r="K584" t="s">
        <v>1162</v>
      </c>
      <c r="L584" t="s">
        <v>1173</v>
      </c>
      <c r="M584" t="s">
        <v>1183</v>
      </c>
      <c r="N584" t="s">
        <v>1179</v>
      </c>
      <c r="O584" t="s">
        <v>1175</v>
      </c>
      <c r="P584" t="s">
        <v>220</v>
      </c>
      <c r="Q584" t="s">
        <v>213</v>
      </c>
      <c r="R584">
        <f>84*0.3048</f>
        <v>25.603200000000001</v>
      </c>
      <c r="S584">
        <f>774*0.3048</f>
        <v>235.9152</v>
      </c>
      <c r="T584" s="1" t="s">
        <v>2604</v>
      </c>
      <c r="U584" s="1" t="s">
        <v>2605</v>
      </c>
    </row>
    <row r="585" spans="1:21" x14ac:dyDescent="0.3">
      <c r="A585">
        <v>18</v>
      </c>
      <c r="B585" s="8" t="s">
        <v>474</v>
      </c>
      <c r="C585" s="4" t="s">
        <v>2609</v>
      </c>
      <c r="D585" t="s">
        <v>9</v>
      </c>
      <c r="E585">
        <v>1886</v>
      </c>
      <c r="F585" t="s">
        <v>1183</v>
      </c>
      <c r="G585">
        <v>1886</v>
      </c>
      <c r="H585">
        <v>45.559199999999997</v>
      </c>
      <c r="I585">
        <v>-73.527100000000004</v>
      </c>
      <c r="J585" t="s">
        <v>2556</v>
      </c>
      <c r="K585" t="s">
        <v>1162</v>
      </c>
      <c r="L585" t="s">
        <v>1163</v>
      </c>
      <c r="M585" t="s">
        <v>1183</v>
      </c>
      <c r="N585" t="s">
        <v>1181</v>
      </c>
      <c r="O585" t="s">
        <v>2610</v>
      </c>
      <c r="P585" t="s">
        <v>212</v>
      </c>
      <c r="Q585" t="s">
        <v>404</v>
      </c>
      <c r="R585" t="s">
        <v>1183</v>
      </c>
      <c r="S585">
        <f>2000*0.3048</f>
        <v>609.6</v>
      </c>
      <c r="T585" s="1" t="s">
        <v>2611</v>
      </c>
      <c r="U585" s="1" t="s">
        <v>2612</v>
      </c>
    </row>
    <row r="586" spans="1:21" x14ac:dyDescent="0.3">
      <c r="A586">
        <v>19</v>
      </c>
      <c r="B586" s="8" t="s">
        <v>476</v>
      </c>
      <c r="C586" s="4" t="s">
        <v>2613</v>
      </c>
      <c r="D586" t="s">
        <v>9</v>
      </c>
      <c r="E586">
        <v>1934</v>
      </c>
      <c r="F586">
        <v>1934</v>
      </c>
      <c r="G586">
        <v>1934</v>
      </c>
      <c r="H586">
        <v>45.947800000000001</v>
      </c>
      <c r="I586">
        <v>-73.294899999999998</v>
      </c>
      <c r="J586" t="s">
        <v>29</v>
      </c>
      <c r="K586" t="s">
        <v>1162</v>
      </c>
      <c r="L586" t="s">
        <v>1163</v>
      </c>
      <c r="M586">
        <f>940*0.3048</f>
        <v>286.512</v>
      </c>
      <c r="N586" t="s">
        <v>1181</v>
      </c>
      <c r="O586" t="s">
        <v>2614</v>
      </c>
      <c r="P586" t="s">
        <v>212</v>
      </c>
      <c r="Q586" t="s">
        <v>404</v>
      </c>
      <c r="R586">
        <f>63*0.3048</f>
        <v>19.202400000000001</v>
      </c>
      <c r="S586">
        <f>1390*0.3048</f>
        <v>423.67200000000003</v>
      </c>
      <c r="T586" s="1" t="s">
        <v>2615</v>
      </c>
      <c r="U586" s="1" t="s">
        <v>2616</v>
      </c>
    </row>
    <row r="587" spans="1:21" x14ac:dyDescent="0.3">
      <c r="A587">
        <v>20</v>
      </c>
      <c r="B587" t="s">
        <v>479</v>
      </c>
      <c r="C587" s="4" t="s">
        <v>2701</v>
      </c>
      <c r="D587" t="s">
        <v>9</v>
      </c>
      <c r="E587">
        <v>1885</v>
      </c>
      <c r="F587" t="s">
        <v>1183</v>
      </c>
      <c r="G587" t="s">
        <v>1183</v>
      </c>
      <c r="H587">
        <v>46.229199999999999</v>
      </c>
      <c r="I587">
        <v>-72.615899999999996</v>
      </c>
      <c r="J587" t="s">
        <v>21</v>
      </c>
      <c r="K587" t="s">
        <v>1162</v>
      </c>
      <c r="L587" t="s">
        <v>1163</v>
      </c>
      <c r="M587">
        <f>2270*0.3048</f>
        <v>691.89600000000007</v>
      </c>
      <c r="N587" t="s">
        <v>1179</v>
      </c>
      <c r="O587" t="s">
        <v>2701</v>
      </c>
      <c r="P587" t="s">
        <v>212</v>
      </c>
      <c r="Q587" t="s">
        <v>404</v>
      </c>
      <c r="R587">
        <f>69*0.3048</f>
        <v>21.031200000000002</v>
      </c>
      <c r="S587">
        <f>2270*0.3048</f>
        <v>691.89600000000007</v>
      </c>
      <c r="T587" s="1" t="s">
        <v>2702</v>
      </c>
      <c r="U587" s="1" t="s">
        <v>2703</v>
      </c>
    </row>
    <row r="588" spans="1:21" x14ac:dyDescent="0.3">
      <c r="A588">
        <v>21</v>
      </c>
      <c r="B588" t="s">
        <v>483</v>
      </c>
      <c r="C588" s="4" t="s">
        <v>2704</v>
      </c>
      <c r="D588" t="s">
        <v>9</v>
      </c>
      <c r="E588">
        <v>1956</v>
      </c>
      <c r="F588">
        <v>1956</v>
      </c>
      <c r="G588">
        <v>1962</v>
      </c>
      <c r="H588">
        <v>45.8442711</v>
      </c>
      <c r="I588">
        <v>-73.419587899999996</v>
      </c>
      <c r="J588" t="s">
        <v>29</v>
      </c>
      <c r="K588" t="s">
        <v>1162</v>
      </c>
      <c r="L588" t="s">
        <v>1173</v>
      </c>
      <c r="M588">
        <f>1300*0.3048</f>
        <v>396.24</v>
      </c>
      <c r="N588" t="s">
        <v>1181</v>
      </c>
      <c r="O588" t="s">
        <v>1180</v>
      </c>
      <c r="P588" t="s">
        <v>220</v>
      </c>
      <c r="Q588" t="s">
        <v>213</v>
      </c>
      <c r="R588">
        <f>62*0.3048</f>
        <v>18.897600000000001</v>
      </c>
      <c r="S588">
        <f>561*0.3048</f>
        <v>170.99280000000002</v>
      </c>
      <c r="T588" s="1" t="s">
        <v>2705</v>
      </c>
      <c r="U588" s="1" t="s">
        <v>2706</v>
      </c>
    </row>
    <row r="589" spans="1:21" x14ac:dyDescent="0.3">
      <c r="A589">
        <v>22</v>
      </c>
      <c r="B589" s="8" t="s">
        <v>485</v>
      </c>
      <c r="C589" s="4" t="s">
        <v>2620</v>
      </c>
      <c r="D589" t="s">
        <v>9</v>
      </c>
      <c r="E589">
        <v>1956</v>
      </c>
      <c r="F589">
        <v>1956</v>
      </c>
      <c r="G589">
        <v>1962</v>
      </c>
      <c r="H589">
        <v>45.822065500000001</v>
      </c>
      <c r="I589">
        <v>-73.385170700000003</v>
      </c>
      <c r="J589" t="s">
        <v>29</v>
      </c>
      <c r="K589" t="s">
        <v>1162</v>
      </c>
      <c r="L589" t="s">
        <v>1173</v>
      </c>
      <c r="M589">
        <f>114*0.3048</f>
        <v>34.747199999999999</v>
      </c>
      <c r="N589" t="s">
        <v>1179</v>
      </c>
      <c r="O589" t="s">
        <v>1180</v>
      </c>
      <c r="P589" t="s">
        <v>212</v>
      </c>
      <c r="Q589" t="s">
        <v>213</v>
      </c>
      <c r="R589">
        <f>68*0.3048</f>
        <v>20.726400000000002</v>
      </c>
      <c r="S589">
        <f>1007*0.3048</f>
        <v>306.93360000000001</v>
      </c>
      <c r="T589" s="1" t="s">
        <v>2621</v>
      </c>
      <c r="U589" s="1" t="s">
        <v>2622</v>
      </c>
    </row>
    <row r="590" spans="1:21" x14ac:dyDescent="0.3">
      <c r="A590">
        <v>23</v>
      </c>
      <c r="B590" s="8" t="s">
        <v>495</v>
      </c>
      <c r="C590" s="4" t="s">
        <v>2625</v>
      </c>
      <c r="D590" t="s">
        <v>9</v>
      </c>
      <c r="E590">
        <v>1957</v>
      </c>
      <c r="F590">
        <v>1957</v>
      </c>
      <c r="G590">
        <v>1962</v>
      </c>
      <c r="H590">
        <v>45.882520800000002</v>
      </c>
      <c r="I590">
        <v>-73.350107600000001</v>
      </c>
      <c r="J590" t="s">
        <v>29</v>
      </c>
      <c r="K590" t="s">
        <v>1162</v>
      </c>
      <c r="L590" t="s">
        <v>1173</v>
      </c>
      <c r="M590">
        <f>916*0.3048</f>
        <v>279.1968</v>
      </c>
      <c r="N590" t="s">
        <v>1181</v>
      </c>
      <c r="O590" t="s">
        <v>1180</v>
      </c>
      <c r="P590" t="s">
        <v>220</v>
      </c>
      <c r="Q590" t="s">
        <v>213</v>
      </c>
      <c r="R590">
        <f>94*0.3048</f>
        <v>28.651200000000003</v>
      </c>
      <c r="S590">
        <f>1646*0.3048</f>
        <v>501.70080000000002</v>
      </c>
      <c r="T590" s="1" t="s">
        <v>2626</v>
      </c>
      <c r="U590" s="1" t="s">
        <v>2627</v>
      </c>
    </row>
    <row r="591" spans="1:21" x14ac:dyDescent="0.3">
      <c r="A591">
        <v>24</v>
      </c>
      <c r="B591" s="8" t="s">
        <v>502</v>
      </c>
      <c r="C591" s="4" t="s">
        <v>2635</v>
      </c>
      <c r="D591" t="s">
        <v>9</v>
      </c>
      <c r="E591">
        <v>1947</v>
      </c>
      <c r="F591" t="s">
        <v>1183</v>
      </c>
      <c r="G591">
        <v>1949</v>
      </c>
      <c r="H591">
        <v>45.509923299999997</v>
      </c>
      <c r="I591">
        <v>-73.433897099999996</v>
      </c>
      <c r="J591" t="s">
        <v>15</v>
      </c>
      <c r="K591" t="s">
        <v>1162</v>
      </c>
      <c r="L591" t="s">
        <v>1163</v>
      </c>
      <c r="M591">
        <f>1255*0.3048</f>
        <v>382.524</v>
      </c>
      <c r="N591" t="s">
        <v>1390</v>
      </c>
      <c r="O591" t="s">
        <v>2636</v>
      </c>
      <c r="P591" t="s">
        <v>220</v>
      </c>
      <c r="Q591" t="s">
        <v>404</v>
      </c>
      <c r="R591">
        <f>94*0.3048</f>
        <v>28.651200000000003</v>
      </c>
      <c r="S591">
        <f>4085*0.3048</f>
        <v>1245.1080000000002</v>
      </c>
      <c r="T591" s="1" t="s">
        <v>2637</v>
      </c>
      <c r="U591" s="1" t="s">
        <v>2638</v>
      </c>
    </row>
    <row r="592" spans="1:21" x14ac:dyDescent="0.3">
      <c r="A592">
        <v>25</v>
      </c>
      <c r="B592" s="8" t="s">
        <v>503</v>
      </c>
      <c r="C592" s="4" t="s">
        <v>2639</v>
      </c>
      <c r="D592" t="s">
        <v>9</v>
      </c>
      <c r="E592">
        <v>1955</v>
      </c>
      <c r="F592">
        <v>1956</v>
      </c>
      <c r="G592">
        <v>1956</v>
      </c>
      <c r="H592">
        <v>45.273916667000002</v>
      </c>
      <c r="I592">
        <v>-74.017944443999994</v>
      </c>
      <c r="J592" t="s">
        <v>15</v>
      </c>
      <c r="K592" t="s">
        <v>1162</v>
      </c>
      <c r="L592" t="s">
        <v>1173</v>
      </c>
      <c r="M592" t="s">
        <v>1183</v>
      </c>
      <c r="N592" t="s">
        <v>1601</v>
      </c>
      <c r="O592" t="s">
        <v>2640</v>
      </c>
      <c r="P592" t="s">
        <v>220</v>
      </c>
      <c r="Q592" t="s">
        <v>404</v>
      </c>
      <c r="R592">
        <f>161*0.3048</f>
        <v>49.072800000000001</v>
      </c>
      <c r="S592">
        <f>2402*0.3048</f>
        <v>732.12959999999998</v>
      </c>
      <c r="T592" s="1" t="s">
        <v>2641</v>
      </c>
      <c r="U592" s="1" t="s">
        <v>2642</v>
      </c>
    </row>
    <row r="593" spans="1:21" x14ac:dyDescent="0.3">
      <c r="A593">
        <v>26</v>
      </c>
      <c r="B593" s="8" t="s">
        <v>504</v>
      </c>
      <c r="C593" s="4" t="s">
        <v>2643</v>
      </c>
      <c r="D593" t="s">
        <v>9</v>
      </c>
      <c r="E593">
        <v>1917</v>
      </c>
      <c r="F593" t="s">
        <v>1183</v>
      </c>
      <c r="G593">
        <v>1917</v>
      </c>
      <c r="H593">
        <v>45.581972221999997</v>
      </c>
      <c r="I593">
        <v>-73.000416666999996</v>
      </c>
      <c r="J593" t="s">
        <v>15</v>
      </c>
      <c r="K593" t="s">
        <v>1162</v>
      </c>
      <c r="L593" t="s">
        <v>1163</v>
      </c>
      <c r="M593" t="s">
        <v>1183</v>
      </c>
      <c r="N593" t="s">
        <v>1179</v>
      </c>
      <c r="O593" t="s">
        <v>1183</v>
      </c>
      <c r="P593" t="s">
        <v>220</v>
      </c>
      <c r="Q593" t="s">
        <v>404</v>
      </c>
      <c r="R593">
        <f>112*0.3048</f>
        <v>34.137599999999999</v>
      </c>
      <c r="S593">
        <f>525*0.3048</f>
        <v>160.02000000000001</v>
      </c>
      <c r="T593" s="1" t="s">
        <v>2644</v>
      </c>
      <c r="U593" s="1" t="s">
        <v>2645</v>
      </c>
    </row>
    <row r="594" spans="1:21" x14ac:dyDescent="0.3">
      <c r="A594">
        <v>27</v>
      </c>
      <c r="B594" s="8" t="s">
        <v>511</v>
      </c>
      <c r="C594" s="4" t="s">
        <v>2649</v>
      </c>
      <c r="D594" t="s">
        <v>9</v>
      </c>
      <c r="E594">
        <v>1931</v>
      </c>
      <c r="F594" t="s">
        <v>1183</v>
      </c>
      <c r="G594">
        <v>1932</v>
      </c>
      <c r="H594">
        <v>46.1114544</v>
      </c>
      <c r="I594">
        <v>-72.561162800000005</v>
      </c>
      <c r="J594" t="s">
        <v>21</v>
      </c>
      <c r="K594" t="s">
        <v>1162</v>
      </c>
      <c r="L594" t="s">
        <v>1163</v>
      </c>
      <c r="M594">
        <f>2879*0.3048</f>
        <v>877.51920000000007</v>
      </c>
      <c r="N594" t="s">
        <v>1179</v>
      </c>
      <c r="O594" t="s">
        <v>2650</v>
      </c>
      <c r="P594" t="s">
        <v>220</v>
      </c>
      <c r="Q594" t="s">
        <v>404</v>
      </c>
      <c r="R594">
        <f>149*0.3048</f>
        <v>45.415200000000006</v>
      </c>
      <c r="S594">
        <f>3200*0.3048</f>
        <v>975.36</v>
      </c>
      <c r="T594" s="1" t="s">
        <v>2651</v>
      </c>
      <c r="U594" s="1" t="s">
        <v>2652</v>
      </c>
    </row>
    <row r="595" spans="1:21" x14ac:dyDescent="0.3">
      <c r="A595">
        <v>28</v>
      </c>
      <c r="B595" t="s">
        <v>517</v>
      </c>
      <c r="C595" s="4" t="s">
        <v>2707</v>
      </c>
      <c r="D595" t="s">
        <v>9</v>
      </c>
      <c r="E595">
        <v>1964</v>
      </c>
      <c r="F595">
        <v>1964</v>
      </c>
      <c r="G595">
        <v>1964</v>
      </c>
      <c r="H595">
        <v>46.344185899999999</v>
      </c>
      <c r="I595">
        <v>-72.587049300000004</v>
      </c>
      <c r="J595" t="s">
        <v>12</v>
      </c>
      <c r="K595" t="s">
        <v>1162</v>
      </c>
      <c r="L595" t="s">
        <v>1173</v>
      </c>
      <c r="M595">
        <f>310*0.3048</f>
        <v>94.488</v>
      </c>
      <c r="N595" t="s">
        <v>2163</v>
      </c>
      <c r="O595" t="s">
        <v>1175</v>
      </c>
      <c r="P595" t="s">
        <v>212</v>
      </c>
      <c r="Q595" t="s">
        <v>213</v>
      </c>
      <c r="R595">
        <f>63*0.3048</f>
        <v>19.202400000000001</v>
      </c>
      <c r="S595">
        <f>1715*0.3048</f>
        <v>522.73199999999997</v>
      </c>
      <c r="T595" s="1" t="s">
        <v>2708</v>
      </c>
      <c r="U595" s="1" t="s">
        <v>2709</v>
      </c>
    </row>
    <row r="596" spans="1:21" x14ac:dyDescent="0.3">
      <c r="A596">
        <v>29</v>
      </c>
      <c r="B596" t="s">
        <v>518</v>
      </c>
      <c r="C596" s="4" t="s">
        <v>3280</v>
      </c>
      <c r="D596" t="s">
        <v>9</v>
      </c>
      <c r="E596">
        <v>1964</v>
      </c>
      <c r="F596">
        <v>1964</v>
      </c>
      <c r="G596">
        <v>1964</v>
      </c>
      <c r="H596">
        <v>46.335486699999997</v>
      </c>
      <c r="I596">
        <v>-72.6099478</v>
      </c>
      <c r="J596" t="s">
        <v>12</v>
      </c>
      <c r="K596" t="s">
        <v>1162</v>
      </c>
      <c r="L596" t="s">
        <v>1173</v>
      </c>
      <c r="M596">
        <f>565*0.3048</f>
        <v>172.21200000000002</v>
      </c>
      <c r="N596" t="s">
        <v>2163</v>
      </c>
      <c r="O596" t="s">
        <v>1175</v>
      </c>
      <c r="P596" t="s">
        <v>212</v>
      </c>
      <c r="Q596" t="s">
        <v>404</v>
      </c>
      <c r="R596">
        <f>200*0.3048</f>
        <v>60.96</v>
      </c>
      <c r="S596">
        <f>1770*0.3048</f>
        <v>539.49599999999998</v>
      </c>
      <c r="T596" s="1" t="s">
        <v>2710</v>
      </c>
      <c r="U596" s="1" t="s">
        <v>2711</v>
      </c>
    </row>
    <row r="597" spans="1:21" x14ac:dyDescent="0.3">
      <c r="A597">
        <v>30</v>
      </c>
      <c r="B597" s="8" t="s">
        <v>523</v>
      </c>
      <c r="C597" s="4" t="s">
        <v>2712</v>
      </c>
      <c r="D597" t="s">
        <v>9</v>
      </c>
      <c r="E597">
        <v>1965</v>
      </c>
      <c r="F597" t="s">
        <v>1183</v>
      </c>
      <c r="G597">
        <v>1978</v>
      </c>
      <c r="H597">
        <v>45.656611699999999</v>
      </c>
      <c r="I597">
        <v>-73.653006199999993</v>
      </c>
      <c r="J597" t="s">
        <v>1397</v>
      </c>
      <c r="K597" t="s">
        <v>1162</v>
      </c>
      <c r="L597" t="s">
        <v>1167</v>
      </c>
      <c r="M597">
        <f>50*0.3048</f>
        <v>15.24</v>
      </c>
      <c r="N597" t="s">
        <v>1390</v>
      </c>
      <c r="O597" t="s">
        <v>1453</v>
      </c>
      <c r="P597" t="s">
        <v>220</v>
      </c>
      <c r="Q597" t="s">
        <v>213</v>
      </c>
      <c r="R597">
        <f>94*0.3048</f>
        <v>28.651200000000003</v>
      </c>
      <c r="S597">
        <f>1494*0.3048</f>
        <v>455.37120000000004</v>
      </c>
      <c r="T597" s="1" t="s">
        <v>2716</v>
      </c>
      <c r="U597" s="1" t="s">
        <v>2717</v>
      </c>
    </row>
    <row r="598" spans="1:21" x14ac:dyDescent="0.3">
      <c r="A598">
        <v>31</v>
      </c>
      <c r="B598" s="8" t="s">
        <v>535</v>
      </c>
      <c r="C598" s="4" t="s">
        <v>2714</v>
      </c>
      <c r="D598" t="s">
        <v>9</v>
      </c>
      <c r="E598">
        <v>1966</v>
      </c>
      <c r="F598" t="s">
        <v>1183</v>
      </c>
      <c r="G598">
        <v>1978</v>
      </c>
      <c r="H598">
        <v>45.661870899999997</v>
      </c>
      <c r="I598">
        <v>-73.642963800000004</v>
      </c>
      <c r="J598" t="s">
        <v>1397</v>
      </c>
      <c r="K598" t="s">
        <v>1162</v>
      </c>
      <c r="L598" t="s">
        <v>1163</v>
      </c>
      <c r="M598">
        <f>1287*0.3048</f>
        <v>392.27760000000001</v>
      </c>
      <c r="N598" t="s">
        <v>1326</v>
      </c>
      <c r="O598" t="s">
        <v>1453</v>
      </c>
      <c r="P598" t="s">
        <v>220</v>
      </c>
      <c r="Q598" t="s">
        <v>213</v>
      </c>
      <c r="R598">
        <f>123*0.3048</f>
        <v>37.490400000000001</v>
      </c>
      <c r="S598">
        <f>1301*0.3048</f>
        <v>396.54480000000001</v>
      </c>
      <c r="T598" s="1" t="s">
        <v>2726</v>
      </c>
      <c r="U598" s="1" t="s">
        <v>2727</v>
      </c>
    </row>
    <row r="599" spans="1:21" x14ac:dyDescent="0.3">
      <c r="A599">
        <v>32</v>
      </c>
      <c r="B599" t="s">
        <v>536</v>
      </c>
      <c r="C599" s="4" t="s">
        <v>2715</v>
      </c>
      <c r="D599" t="s">
        <v>9</v>
      </c>
      <c r="E599">
        <v>1966</v>
      </c>
      <c r="F599" t="s">
        <v>1183</v>
      </c>
      <c r="G599">
        <v>1966</v>
      </c>
      <c r="H599">
        <v>45.661253100000003</v>
      </c>
      <c r="I599">
        <v>-73.644330100000005</v>
      </c>
      <c r="J599" t="s">
        <v>1397</v>
      </c>
      <c r="K599" t="s">
        <v>1162</v>
      </c>
      <c r="L599" t="s">
        <v>1163</v>
      </c>
      <c r="M599">
        <f>1499*0.3048</f>
        <v>456.89520000000005</v>
      </c>
      <c r="N599" t="s">
        <v>1234</v>
      </c>
      <c r="O599" t="s">
        <v>1453</v>
      </c>
      <c r="P599" t="s">
        <v>220</v>
      </c>
      <c r="Q599" t="s">
        <v>213</v>
      </c>
      <c r="R599">
        <f>125*0.3048</f>
        <v>38.1</v>
      </c>
      <c r="S599">
        <f>1503*0.3048</f>
        <v>458.11440000000005</v>
      </c>
      <c r="T599" s="1" t="s">
        <v>2728</v>
      </c>
      <c r="U599" s="1" t="s">
        <v>2729</v>
      </c>
    </row>
    <row r="600" spans="1:21" x14ac:dyDescent="0.3">
      <c r="A600">
        <v>33</v>
      </c>
      <c r="B600" t="s">
        <v>541</v>
      </c>
      <c r="C600" s="4" t="s">
        <v>2730</v>
      </c>
      <c r="D600" t="s">
        <v>9</v>
      </c>
      <c r="E600">
        <v>1971</v>
      </c>
      <c r="F600" t="s">
        <v>1183</v>
      </c>
      <c r="G600">
        <v>1971</v>
      </c>
      <c r="H600">
        <v>45.444462000000001</v>
      </c>
      <c r="I600">
        <v>-73.490621399999995</v>
      </c>
      <c r="J600" t="s">
        <v>15</v>
      </c>
      <c r="K600" t="s">
        <v>1162</v>
      </c>
      <c r="L600" t="s">
        <v>1173</v>
      </c>
      <c r="M600">
        <f>722*0.3048</f>
        <v>220.06560000000002</v>
      </c>
      <c r="N600" t="s">
        <v>1279</v>
      </c>
      <c r="O600" t="s">
        <v>2731</v>
      </c>
      <c r="P600" t="s">
        <v>220</v>
      </c>
      <c r="Q600" t="s">
        <v>213</v>
      </c>
      <c r="R600">
        <f>54*0.3048</f>
        <v>16.459199999999999</v>
      </c>
      <c r="S600">
        <f>4754*0.3048</f>
        <v>1449.0192000000002</v>
      </c>
      <c r="T600" s="1" t="s">
        <v>2732</v>
      </c>
      <c r="U600" s="1" t="s">
        <v>2733</v>
      </c>
    </row>
    <row r="601" spans="1:21" x14ac:dyDescent="0.3">
      <c r="A601">
        <v>34</v>
      </c>
      <c r="B601" t="s">
        <v>573</v>
      </c>
      <c r="C601" s="4" t="s">
        <v>2757</v>
      </c>
      <c r="D601" t="s">
        <v>9</v>
      </c>
      <c r="E601">
        <v>1986</v>
      </c>
      <c r="F601">
        <v>1986</v>
      </c>
      <c r="G601">
        <v>1990</v>
      </c>
      <c r="H601">
        <v>45.619474400000001</v>
      </c>
      <c r="I601">
        <v>-73.516385600000007</v>
      </c>
      <c r="J601" t="s">
        <v>2556</v>
      </c>
      <c r="K601" t="s">
        <v>1162</v>
      </c>
      <c r="L601" t="s">
        <v>1173</v>
      </c>
      <c r="M601">
        <v>12</v>
      </c>
      <c r="N601" t="s">
        <v>1182</v>
      </c>
      <c r="O601" t="s">
        <v>2758</v>
      </c>
      <c r="P601" t="s">
        <v>220</v>
      </c>
      <c r="Q601" t="s">
        <v>213</v>
      </c>
      <c r="R601">
        <v>15</v>
      </c>
      <c r="S601">
        <v>183</v>
      </c>
      <c r="T601" s="1" t="s">
        <v>2759</v>
      </c>
      <c r="U601" s="1" t="s">
        <v>2760</v>
      </c>
    </row>
    <row r="602" spans="1:21" x14ac:dyDescent="0.3">
      <c r="A602">
        <v>35</v>
      </c>
      <c r="B602" s="8" t="s">
        <v>599</v>
      </c>
      <c r="C602" s="4" t="s">
        <v>2767</v>
      </c>
      <c r="D602" t="s">
        <v>9</v>
      </c>
      <c r="E602" t="s">
        <v>1183</v>
      </c>
      <c r="F602" t="s">
        <v>1183</v>
      </c>
      <c r="G602" t="s">
        <v>1183</v>
      </c>
      <c r="H602">
        <v>45.666699999999999</v>
      </c>
      <c r="I602">
        <v>-74.299599999999998</v>
      </c>
      <c r="J602" t="s">
        <v>1389</v>
      </c>
      <c r="K602" t="s">
        <v>1162</v>
      </c>
      <c r="L602" t="s">
        <v>1183</v>
      </c>
      <c r="M602" t="s">
        <v>1183</v>
      </c>
      <c r="N602" t="s">
        <v>1183</v>
      </c>
      <c r="O602" t="s">
        <v>2768</v>
      </c>
      <c r="P602" t="s">
        <v>220</v>
      </c>
      <c r="Q602" t="s">
        <v>404</v>
      </c>
      <c r="R602" t="s">
        <v>1183</v>
      </c>
      <c r="S602">
        <f>130*0.3048</f>
        <v>39.624000000000002</v>
      </c>
      <c r="T602" s="1" t="s">
        <v>2769</v>
      </c>
      <c r="U602" s="1" t="s">
        <v>2770</v>
      </c>
    </row>
    <row r="603" spans="1:21" x14ac:dyDescent="0.3">
      <c r="A603">
        <v>36</v>
      </c>
      <c r="B603" s="8" t="s">
        <v>600</v>
      </c>
      <c r="C603" s="4" t="s">
        <v>2771</v>
      </c>
      <c r="D603" t="s">
        <v>9</v>
      </c>
      <c r="E603">
        <v>1956</v>
      </c>
      <c r="F603" t="s">
        <v>1183</v>
      </c>
      <c r="G603" t="s">
        <v>1183</v>
      </c>
      <c r="H603">
        <v>46.252319800000002</v>
      </c>
      <c r="I603">
        <v>-72.450008400000002</v>
      </c>
      <c r="J603" t="s">
        <v>21</v>
      </c>
      <c r="K603" t="s">
        <v>1162</v>
      </c>
      <c r="L603" t="s">
        <v>1163</v>
      </c>
      <c r="M603" t="s">
        <v>1183</v>
      </c>
      <c r="N603" t="s">
        <v>1183</v>
      </c>
      <c r="O603" t="s">
        <v>1178</v>
      </c>
      <c r="P603" t="s">
        <v>220</v>
      </c>
      <c r="Q603" t="s">
        <v>404</v>
      </c>
      <c r="R603">
        <f>168*0.3048</f>
        <v>51.206400000000002</v>
      </c>
      <c r="S603">
        <f>565*0.3048</f>
        <v>172.21200000000002</v>
      </c>
      <c r="T603" s="1" t="s">
        <v>2772</v>
      </c>
      <c r="U603" s="1" t="s">
        <v>2773</v>
      </c>
    </row>
    <row r="604" spans="1:21" x14ac:dyDescent="0.3">
      <c r="A604">
        <v>37</v>
      </c>
      <c r="B604" s="8" t="s">
        <v>601</v>
      </c>
      <c r="C604" s="4" t="s">
        <v>2774</v>
      </c>
      <c r="D604" t="s">
        <v>9</v>
      </c>
      <c r="E604">
        <v>1956</v>
      </c>
      <c r="F604" t="s">
        <v>1183</v>
      </c>
      <c r="G604" t="s">
        <v>1183</v>
      </c>
      <c r="H604">
        <v>46.224359900000003</v>
      </c>
      <c r="I604">
        <v>-72.446851499999994</v>
      </c>
      <c r="J604" t="s">
        <v>21</v>
      </c>
      <c r="K604" t="s">
        <v>1162</v>
      </c>
      <c r="L604" t="s">
        <v>1163</v>
      </c>
      <c r="M604" t="s">
        <v>1183</v>
      </c>
      <c r="N604" t="s">
        <v>1183</v>
      </c>
      <c r="O604" t="s">
        <v>1178</v>
      </c>
      <c r="P604" t="s">
        <v>220</v>
      </c>
      <c r="Q604" t="s">
        <v>404</v>
      </c>
      <c r="R604">
        <f>160*0.3048</f>
        <v>48.768000000000001</v>
      </c>
      <c r="S604">
        <f>490*0.3048</f>
        <v>149.352</v>
      </c>
      <c r="T604" s="1" t="s">
        <v>2775</v>
      </c>
      <c r="U604" s="1" t="s">
        <v>2776</v>
      </c>
    </row>
    <row r="605" spans="1:21" x14ac:dyDescent="0.3">
      <c r="A605">
        <v>38</v>
      </c>
      <c r="B605" s="8" t="s">
        <v>602</v>
      </c>
      <c r="C605" s="4" t="s">
        <v>2777</v>
      </c>
      <c r="D605" t="s">
        <v>9</v>
      </c>
      <c r="E605">
        <v>1956</v>
      </c>
      <c r="F605" t="s">
        <v>1183</v>
      </c>
      <c r="G605" t="s">
        <v>1183</v>
      </c>
      <c r="H605">
        <v>46.223599999999998</v>
      </c>
      <c r="I605">
        <v>-72.446799999999996</v>
      </c>
      <c r="J605" t="s">
        <v>21</v>
      </c>
      <c r="K605" t="s">
        <v>1162</v>
      </c>
      <c r="L605" t="s">
        <v>1163</v>
      </c>
      <c r="M605" t="s">
        <v>1183</v>
      </c>
      <c r="N605" t="s">
        <v>2778</v>
      </c>
      <c r="O605" t="s">
        <v>1178</v>
      </c>
      <c r="P605" t="s">
        <v>220</v>
      </c>
      <c r="Q605" t="s">
        <v>404</v>
      </c>
      <c r="R605">
        <f>191*0.3048</f>
        <v>58.216800000000006</v>
      </c>
      <c r="S605">
        <f>910*0.3048</f>
        <v>277.36799999999999</v>
      </c>
      <c r="T605" s="1" t="s">
        <v>2779</v>
      </c>
      <c r="U605" s="1" t="s">
        <v>2780</v>
      </c>
    </row>
    <row r="606" spans="1:21" x14ac:dyDescent="0.3">
      <c r="A606">
        <v>39</v>
      </c>
      <c r="B606" s="8" t="s">
        <v>603</v>
      </c>
      <c r="C606" s="4" t="s">
        <v>2781</v>
      </c>
      <c r="D606" t="s">
        <v>9</v>
      </c>
      <c r="E606" t="s">
        <v>1183</v>
      </c>
      <c r="F606" t="s">
        <v>1183</v>
      </c>
      <c r="G606" t="s">
        <v>1183</v>
      </c>
      <c r="H606">
        <v>46.265305599999998</v>
      </c>
      <c r="I606">
        <v>-72.456500000000005</v>
      </c>
      <c r="J606" t="s">
        <v>21</v>
      </c>
      <c r="K606" t="s">
        <v>1162</v>
      </c>
      <c r="L606" t="s">
        <v>1163</v>
      </c>
      <c r="M606" t="s">
        <v>1183</v>
      </c>
      <c r="N606" t="s">
        <v>1183</v>
      </c>
      <c r="O606" t="s">
        <v>1183</v>
      </c>
      <c r="P606" t="s">
        <v>220</v>
      </c>
      <c r="Q606" t="s">
        <v>404</v>
      </c>
      <c r="R606" t="s">
        <v>1183</v>
      </c>
      <c r="S606">
        <f>435*0.3048</f>
        <v>132.58799999999999</v>
      </c>
      <c r="T606" s="1" t="s">
        <v>2782</v>
      </c>
      <c r="U606" s="1" t="s">
        <v>2783</v>
      </c>
    </row>
    <row r="607" spans="1:21" x14ac:dyDescent="0.3">
      <c r="A607">
        <v>40</v>
      </c>
      <c r="B607" s="8" t="s">
        <v>605</v>
      </c>
      <c r="C607" s="4" t="s">
        <v>2787</v>
      </c>
      <c r="D607" t="s">
        <v>9</v>
      </c>
      <c r="E607">
        <v>1956</v>
      </c>
      <c r="F607" t="s">
        <v>1183</v>
      </c>
      <c r="G607" t="s">
        <v>1183</v>
      </c>
      <c r="H607">
        <v>45.588916699999999</v>
      </c>
      <c r="I607">
        <v>-73.3606944</v>
      </c>
      <c r="J607" t="s">
        <v>15</v>
      </c>
      <c r="K607" t="s">
        <v>1162</v>
      </c>
      <c r="L607" t="s">
        <v>1163</v>
      </c>
      <c r="M607" t="s">
        <v>1183</v>
      </c>
      <c r="N607" t="s">
        <v>2169</v>
      </c>
      <c r="O607" t="s">
        <v>1178</v>
      </c>
      <c r="P607" t="s">
        <v>220</v>
      </c>
      <c r="Q607" t="s">
        <v>404</v>
      </c>
      <c r="R607">
        <f>95*0.3048</f>
        <v>28.956000000000003</v>
      </c>
      <c r="S607">
        <f>1000*0.3048</f>
        <v>304.8</v>
      </c>
      <c r="T607" s="1" t="s">
        <v>2788</v>
      </c>
      <c r="U607" s="1" t="s">
        <v>2789</v>
      </c>
    </row>
    <row r="608" spans="1:21" x14ac:dyDescent="0.3">
      <c r="A608">
        <v>41</v>
      </c>
      <c r="B608" s="8" t="s">
        <v>608</v>
      </c>
      <c r="C608" s="4" t="s">
        <v>2797</v>
      </c>
      <c r="D608" t="s">
        <v>9</v>
      </c>
      <c r="E608">
        <v>1970</v>
      </c>
      <c r="F608" t="s">
        <v>1183</v>
      </c>
      <c r="G608" t="s">
        <v>1183</v>
      </c>
      <c r="H608">
        <v>45.651699999999998</v>
      </c>
      <c r="I608">
        <v>-74.012900000000002</v>
      </c>
      <c r="J608" t="s">
        <v>1389</v>
      </c>
      <c r="K608" t="s">
        <v>1162</v>
      </c>
      <c r="L608" t="s">
        <v>1183</v>
      </c>
      <c r="M608" t="s">
        <v>1183</v>
      </c>
      <c r="N608" t="s">
        <v>1326</v>
      </c>
      <c r="O608" t="s">
        <v>2798</v>
      </c>
      <c r="P608" t="s">
        <v>220</v>
      </c>
      <c r="Q608" t="s">
        <v>404</v>
      </c>
      <c r="R608">
        <f>200*0.3048</f>
        <v>60.96</v>
      </c>
      <c r="S608">
        <f>240*0.3048</f>
        <v>73.152000000000001</v>
      </c>
      <c r="T608" s="1" t="s">
        <v>2799</v>
      </c>
      <c r="U608" s="1" t="s">
        <v>2800</v>
      </c>
    </row>
    <row r="609" spans="1:21" x14ac:dyDescent="0.3">
      <c r="A609">
        <v>42</v>
      </c>
      <c r="B609" s="8" t="s">
        <v>609</v>
      </c>
      <c r="C609" s="4" t="s">
        <v>2801</v>
      </c>
      <c r="D609" t="s">
        <v>9</v>
      </c>
      <c r="E609" t="s">
        <v>1183</v>
      </c>
      <c r="F609" t="s">
        <v>1183</v>
      </c>
      <c r="G609" t="s">
        <v>1183</v>
      </c>
      <c r="H609">
        <v>45.65</v>
      </c>
      <c r="I609">
        <v>-74.082899999999995</v>
      </c>
      <c r="J609" t="s">
        <v>1389</v>
      </c>
      <c r="K609" t="s">
        <v>1162</v>
      </c>
      <c r="L609" t="s">
        <v>1183</v>
      </c>
      <c r="M609" t="s">
        <v>1183</v>
      </c>
      <c r="N609" t="s">
        <v>1183</v>
      </c>
      <c r="O609" t="s">
        <v>1183</v>
      </c>
      <c r="P609" t="s">
        <v>220</v>
      </c>
      <c r="Q609" t="s">
        <v>404</v>
      </c>
      <c r="R609" t="s">
        <v>1183</v>
      </c>
      <c r="S609">
        <f>240*0.3048</f>
        <v>73.152000000000001</v>
      </c>
      <c r="T609" s="1" t="s">
        <v>2802</v>
      </c>
      <c r="U609" s="1" t="s">
        <v>2803</v>
      </c>
    </row>
    <row r="610" spans="1:21" x14ac:dyDescent="0.3">
      <c r="A610">
        <v>43</v>
      </c>
      <c r="B610" s="8" t="s">
        <v>610</v>
      </c>
      <c r="C610" s="4" t="s">
        <v>2804</v>
      </c>
      <c r="D610" t="s">
        <v>9</v>
      </c>
      <c r="E610">
        <v>1959</v>
      </c>
      <c r="F610" t="s">
        <v>1183</v>
      </c>
      <c r="G610" t="s">
        <v>1183</v>
      </c>
      <c r="H610">
        <v>45.400100000000002</v>
      </c>
      <c r="I610">
        <v>-75.816299999999998</v>
      </c>
      <c r="J610" t="s">
        <v>2805</v>
      </c>
      <c r="K610" t="s">
        <v>1162</v>
      </c>
      <c r="L610" t="s">
        <v>1183</v>
      </c>
      <c r="M610" t="s">
        <v>1183</v>
      </c>
      <c r="N610" t="s">
        <v>1183</v>
      </c>
      <c r="O610" t="s">
        <v>1183</v>
      </c>
      <c r="P610" t="s">
        <v>220</v>
      </c>
      <c r="Q610" t="s">
        <v>404</v>
      </c>
      <c r="R610" t="s">
        <v>1183</v>
      </c>
      <c r="S610">
        <f>345*0.3048</f>
        <v>105.15600000000001</v>
      </c>
      <c r="T610" s="1" t="s">
        <v>2806</v>
      </c>
      <c r="U610" s="1" t="s">
        <v>2807</v>
      </c>
    </row>
    <row r="611" spans="1:21" x14ac:dyDescent="0.3">
      <c r="A611">
        <v>44</v>
      </c>
      <c r="B611" t="s">
        <v>611</v>
      </c>
      <c r="C611" s="4" t="s">
        <v>2808</v>
      </c>
      <c r="D611" t="s">
        <v>9</v>
      </c>
      <c r="E611" t="s">
        <v>1183</v>
      </c>
      <c r="F611" t="s">
        <v>1183</v>
      </c>
      <c r="G611" t="s">
        <v>1183</v>
      </c>
      <c r="H611">
        <v>45.433399999999999</v>
      </c>
      <c r="I611">
        <v>-75.730199999999996</v>
      </c>
      <c r="J611" t="s">
        <v>2805</v>
      </c>
      <c r="K611" t="s">
        <v>1162</v>
      </c>
      <c r="L611" t="s">
        <v>1183</v>
      </c>
      <c r="M611" t="s">
        <v>1183</v>
      </c>
      <c r="N611" t="s">
        <v>1326</v>
      </c>
      <c r="O611" t="s">
        <v>1183</v>
      </c>
      <c r="P611" t="s">
        <v>220</v>
      </c>
      <c r="Q611" t="s">
        <v>404</v>
      </c>
      <c r="R611" t="s">
        <v>1183</v>
      </c>
      <c r="S611">
        <f>909*0.3048</f>
        <v>277.06319999999999</v>
      </c>
      <c r="T611" s="1" t="s">
        <v>2809</v>
      </c>
      <c r="U611" s="1" t="s">
        <v>2810</v>
      </c>
    </row>
    <row r="612" spans="1:21" x14ac:dyDescent="0.3">
      <c r="A612">
        <v>45</v>
      </c>
      <c r="B612" t="s">
        <v>612</v>
      </c>
      <c r="C612" s="4" t="s">
        <v>2811</v>
      </c>
      <c r="D612" t="s">
        <v>9</v>
      </c>
      <c r="E612" t="s">
        <v>1183</v>
      </c>
      <c r="F612" t="s">
        <v>1183</v>
      </c>
      <c r="G612" t="s">
        <v>1183</v>
      </c>
      <c r="H612">
        <v>45.543900000000001</v>
      </c>
      <c r="I612">
        <v>-73.500100000000003</v>
      </c>
      <c r="J612" t="s">
        <v>15</v>
      </c>
      <c r="K612" t="s">
        <v>1162</v>
      </c>
      <c r="L612" t="s">
        <v>1183</v>
      </c>
      <c r="M612" t="s">
        <v>1183</v>
      </c>
      <c r="N612" t="s">
        <v>1183</v>
      </c>
      <c r="O612" t="s">
        <v>1183</v>
      </c>
      <c r="P612" t="s">
        <v>220</v>
      </c>
      <c r="Q612" t="s">
        <v>404</v>
      </c>
      <c r="R612" t="s">
        <v>1183</v>
      </c>
      <c r="S612">
        <f>620*0.3048</f>
        <v>188.976</v>
      </c>
      <c r="T612" s="1" t="s">
        <v>2812</v>
      </c>
      <c r="U612" s="1" t="s">
        <v>2813</v>
      </c>
    </row>
    <row r="613" spans="1:21" x14ac:dyDescent="0.3">
      <c r="A613">
        <v>46</v>
      </c>
      <c r="B613" s="8" t="s">
        <v>613</v>
      </c>
      <c r="C613" s="4" t="s">
        <v>2814</v>
      </c>
      <c r="D613" t="s">
        <v>9</v>
      </c>
      <c r="E613">
        <v>1956</v>
      </c>
      <c r="F613" t="s">
        <v>1183</v>
      </c>
      <c r="G613" t="s">
        <v>1183</v>
      </c>
      <c r="H613">
        <v>46.009472199999998</v>
      </c>
      <c r="I613">
        <v>-72.977888899999996</v>
      </c>
      <c r="J613" t="s">
        <v>15</v>
      </c>
      <c r="K613" t="s">
        <v>1162</v>
      </c>
      <c r="L613" t="s">
        <v>1183</v>
      </c>
      <c r="M613" t="s">
        <v>1183</v>
      </c>
      <c r="N613" t="s">
        <v>2173</v>
      </c>
      <c r="O613" t="s">
        <v>1178</v>
      </c>
      <c r="P613" t="s">
        <v>220</v>
      </c>
      <c r="Q613" t="s">
        <v>404</v>
      </c>
      <c r="R613" t="s">
        <v>1183</v>
      </c>
      <c r="S613">
        <f>440*0.3048</f>
        <v>134.11199999999999</v>
      </c>
      <c r="T613" s="1" t="s">
        <v>2815</v>
      </c>
      <c r="U613" s="1" t="s">
        <v>2816</v>
      </c>
    </row>
    <row r="614" spans="1:21" x14ac:dyDescent="0.3">
      <c r="A614">
        <v>47</v>
      </c>
      <c r="B614" s="8" t="s">
        <v>614</v>
      </c>
      <c r="C614" s="4" t="s">
        <v>2817</v>
      </c>
      <c r="D614" t="s">
        <v>9</v>
      </c>
      <c r="E614" t="s">
        <v>1183</v>
      </c>
      <c r="F614" t="s">
        <v>1183</v>
      </c>
      <c r="G614" t="s">
        <v>1183</v>
      </c>
      <c r="H614">
        <v>45.2583889</v>
      </c>
      <c r="I614">
        <v>-74.066277799999995</v>
      </c>
      <c r="J614" t="s">
        <v>15</v>
      </c>
      <c r="K614" t="s">
        <v>1162</v>
      </c>
      <c r="L614" t="s">
        <v>1183</v>
      </c>
      <c r="M614" t="s">
        <v>1183</v>
      </c>
      <c r="N614" t="s">
        <v>1183</v>
      </c>
      <c r="O614" t="s">
        <v>1183</v>
      </c>
      <c r="P614" t="s">
        <v>220</v>
      </c>
      <c r="Q614" t="s">
        <v>404</v>
      </c>
      <c r="R614" t="s">
        <v>1183</v>
      </c>
      <c r="S614">
        <f>258*0.3048</f>
        <v>78.638400000000004</v>
      </c>
      <c r="T614" s="1" t="s">
        <v>2818</v>
      </c>
      <c r="U614" s="1" t="s">
        <v>2819</v>
      </c>
    </row>
    <row r="615" spans="1:21" x14ac:dyDescent="0.3">
      <c r="A615">
        <v>48</v>
      </c>
      <c r="B615" s="8" t="s">
        <v>615</v>
      </c>
      <c r="C615" s="4" t="s">
        <v>2820</v>
      </c>
      <c r="D615" t="s">
        <v>9</v>
      </c>
      <c r="E615" t="s">
        <v>1183</v>
      </c>
      <c r="F615" t="s">
        <v>1183</v>
      </c>
      <c r="G615" t="s">
        <v>1183</v>
      </c>
      <c r="H615">
        <v>45.2583889</v>
      </c>
      <c r="I615">
        <v>-74.066277799999995</v>
      </c>
      <c r="J615" t="s">
        <v>15</v>
      </c>
      <c r="K615" t="s">
        <v>1162</v>
      </c>
      <c r="L615" t="s">
        <v>1183</v>
      </c>
      <c r="M615" t="s">
        <v>1183</v>
      </c>
      <c r="N615" t="s">
        <v>1183</v>
      </c>
      <c r="O615" t="s">
        <v>1183</v>
      </c>
      <c r="P615" t="s">
        <v>220</v>
      </c>
      <c r="Q615" t="s">
        <v>404</v>
      </c>
      <c r="R615" t="s">
        <v>1183</v>
      </c>
      <c r="S615">
        <f>300*0.3048</f>
        <v>91.44</v>
      </c>
      <c r="T615" s="1" t="s">
        <v>2821</v>
      </c>
      <c r="U615" s="1" t="s">
        <v>2822</v>
      </c>
    </row>
    <row r="616" spans="1:21" x14ac:dyDescent="0.3">
      <c r="A616">
        <v>49</v>
      </c>
      <c r="B616" s="8" t="s">
        <v>617</v>
      </c>
      <c r="C616" s="4" t="s">
        <v>2826</v>
      </c>
      <c r="D616" t="s">
        <v>9</v>
      </c>
      <c r="E616">
        <v>1908</v>
      </c>
      <c r="F616" t="s">
        <v>1183</v>
      </c>
      <c r="G616" t="s">
        <v>1183</v>
      </c>
      <c r="H616">
        <v>45.416699999999999</v>
      </c>
      <c r="I616">
        <v>-75.766300000000001</v>
      </c>
      <c r="J616" t="s">
        <v>2805</v>
      </c>
      <c r="K616" t="s">
        <v>1162</v>
      </c>
      <c r="L616" t="s">
        <v>1183</v>
      </c>
      <c r="M616" t="s">
        <v>1183</v>
      </c>
      <c r="N616" t="s">
        <v>1183</v>
      </c>
      <c r="O616" t="s">
        <v>2827</v>
      </c>
      <c r="P616" t="s">
        <v>220</v>
      </c>
      <c r="Q616" t="s">
        <v>404</v>
      </c>
      <c r="R616">
        <f>223*0.3048</f>
        <v>67.970399999999998</v>
      </c>
      <c r="S616">
        <f>325*0.3048</f>
        <v>99.06</v>
      </c>
      <c r="T616" s="1" t="s">
        <v>2828</v>
      </c>
      <c r="U616" s="1" t="s">
        <v>2829</v>
      </c>
    </row>
    <row r="617" spans="1:21" x14ac:dyDescent="0.3">
      <c r="A617">
        <v>50</v>
      </c>
      <c r="B617" t="s">
        <v>622</v>
      </c>
      <c r="C617" s="4" t="s">
        <v>2839</v>
      </c>
      <c r="D617" t="s">
        <v>9</v>
      </c>
      <c r="E617" t="s">
        <v>1183</v>
      </c>
      <c r="F617" t="s">
        <v>1183</v>
      </c>
      <c r="G617" t="s">
        <v>1183</v>
      </c>
      <c r="H617">
        <v>45.2806</v>
      </c>
      <c r="I617">
        <v>-72.974599999999995</v>
      </c>
      <c r="J617" t="s">
        <v>15</v>
      </c>
      <c r="K617" t="s">
        <v>1162</v>
      </c>
      <c r="L617" t="s">
        <v>1183</v>
      </c>
      <c r="M617" t="s">
        <v>1183</v>
      </c>
      <c r="N617" t="s">
        <v>1183</v>
      </c>
      <c r="O617" t="s">
        <v>1183</v>
      </c>
      <c r="P617" t="s">
        <v>220</v>
      </c>
      <c r="Q617" t="s">
        <v>404</v>
      </c>
      <c r="R617" t="s">
        <v>1183</v>
      </c>
      <c r="S617">
        <f>220*0.3048</f>
        <v>67.055999999999997</v>
      </c>
      <c r="T617" s="1" t="s">
        <v>2840</v>
      </c>
      <c r="U617" s="1" t="s">
        <v>2841</v>
      </c>
    </row>
    <row r="618" spans="1:21" x14ac:dyDescent="0.3">
      <c r="A618">
        <v>51</v>
      </c>
      <c r="B618" t="s">
        <v>623</v>
      </c>
      <c r="C618" s="4" t="s">
        <v>2842</v>
      </c>
      <c r="D618" t="s">
        <v>9</v>
      </c>
      <c r="E618" t="s">
        <v>1183</v>
      </c>
      <c r="F618" t="s">
        <v>1183</v>
      </c>
      <c r="G618" t="s">
        <v>1183</v>
      </c>
      <c r="H618">
        <v>45.2806</v>
      </c>
      <c r="I618">
        <v>-72.974599999999995</v>
      </c>
      <c r="J618" t="s">
        <v>15</v>
      </c>
      <c r="K618" t="s">
        <v>1162</v>
      </c>
      <c r="L618" t="s">
        <v>1183</v>
      </c>
      <c r="M618" t="s">
        <v>1183</v>
      </c>
      <c r="N618" t="s">
        <v>1183</v>
      </c>
      <c r="O618" t="s">
        <v>1183</v>
      </c>
      <c r="P618" t="s">
        <v>220</v>
      </c>
      <c r="Q618" t="s">
        <v>404</v>
      </c>
      <c r="R618" t="s">
        <v>1183</v>
      </c>
      <c r="S618">
        <f>580*0.3048</f>
        <v>176.78400000000002</v>
      </c>
      <c r="T618" s="1" t="s">
        <v>2843</v>
      </c>
      <c r="U618" s="1" t="s">
        <v>2844</v>
      </c>
    </row>
    <row r="619" spans="1:21" x14ac:dyDescent="0.3">
      <c r="A619">
        <v>52</v>
      </c>
      <c r="B619" s="8" t="s">
        <v>624</v>
      </c>
      <c r="C619" s="4" t="s">
        <v>2845</v>
      </c>
      <c r="D619" t="s">
        <v>9</v>
      </c>
      <c r="E619" t="s">
        <v>1183</v>
      </c>
      <c r="F619" t="s">
        <v>1183</v>
      </c>
      <c r="G619" t="s">
        <v>1183</v>
      </c>
      <c r="H619">
        <v>45.308399999999999</v>
      </c>
      <c r="I619">
        <v>-73.899600000000007</v>
      </c>
      <c r="J619" t="s">
        <v>15</v>
      </c>
      <c r="K619" t="s">
        <v>1162</v>
      </c>
      <c r="L619" t="s">
        <v>1183</v>
      </c>
      <c r="M619" t="s">
        <v>1183</v>
      </c>
      <c r="N619" t="s">
        <v>1183</v>
      </c>
      <c r="O619" t="s">
        <v>2846</v>
      </c>
      <c r="P619" t="s">
        <v>220</v>
      </c>
      <c r="Q619" t="s">
        <v>404</v>
      </c>
      <c r="R619" t="s">
        <v>1183</v>
      </c>
      <c r="S619">
        <f>300*0.3048</f>
        <v>91.44</v>
      </c>
      <c r="T619" s="1" t="s">
        <v>2847</v>
      </c>
      <c r="U619" s="1" t="s">
        <v>2848</v>
      </c>
    </row>
    <row r="620" spans="1:21" x14ac:dyDescent="0.3">
      <c r="A620">
        <v>53</v>
      </c>
      <c r="B620" t="s">
        <v>625</v>
      </c>
      <c r="C620" s="4" t="s">
        <v>2849</v>
      </c>
      <c r="D620" t="s">
        <v>9</v>
      </c>
      <c r="E620">
        <v>1957</v>
      </c>
      <c r="F620" t="s">
        <v>1183</v>
      </c>
      <c r="G620">
        <v>1957</v>
      </c>
      <c r="H620">
        <v>46.438076199999998</v>
      </c>
      <c r="I620">
        <v>-72.172060900000005</v>
      </c>
      <c r="J620" t="s">
        <v>21</v>
      </c>
      <c r="K620" t="s">
        <v>1162</v>
      </c>
      <c r="L620" t="s">
        <v>1163</v>
      </c>
      <c r="M620" t="s">
        <v>1183</v>
      </c>
      <c r="N620" t="s">
        <v>1234</v>
      </c>
      <c r="O620" t="s">
        <v>1178</v>
      </c>
      <c r="P620" t="s">
        <v>220</v>
      </c>
      <c r="Q620" t="s">
        <v>213</v>
      </c>
      <c r="R620" t="s">
        <v>1183</v>
      </c>
      <c r="S620">
        <f>180*0.3048</f>
        <v>54.864000000000004</v>
      </c>
      <c r="T620" s="1" t="s">
        <v>2850</v>
      </c>
      <c r="U620" s="1" t="s">
        <v>2851</v>
      </c>
    </row>
    <row r="621" spans="1:21" x14ac:dyDescent="0.3">
      <c r="A621">
        <v>54</v>
      </c>
      <c r="B621" t="s">
        <v>626</v>
      </c>
      <c r="C621" s="4" t="s">
        <v>2852</v>
      </c>
      <c r="D621" t="s">
        <v>9</v>
      </c>
      <c r="E621">
        <v>1957</v>
      </c>
      <c r="F621" t="s">
        <v>1183</v>
      </c>
      <c r="G621">
        <v>1957</v>
      </c>
      <c r="H621">
        <v>46.430601600000003</v>
      </c>
      <c r="I621">
        <v>-72.161670799999996</v>
      </c>
      <c r="J621" t="s">
        <v>21</v>
      </c>
      <c r="K621" t="s">
        <v>1162</v>
      </c>
      <c r="L621" t="s">
        <v>1163</v>
      </c>
      <c r="M621" t="s">
        <v>1183</v>
      </c>
      <c r="N621" t="s">
        <v>1234</v>
      </c>
      <c r="O621" t="s">
        <v>1178</v>
      </c>
      <c r="P621" t="s">
        <v>220</v>
      </c>
      <c r="Q621" t="s">
        <v>213</v>
      </c>
      <c r="R621" t="s">
        <v>1183</v>
      </c>
      <c r="S621">
        <f>205*0.3048</f>
        <v>62.484000000000002</v>
      </c>
      <c r="T621" s="1" t="s">
        <v>2853</v>
      </c>
      <c r="U621" s="1" t="s">
        <v>2854</v>
      </c>
    </row>
    <row r="622" spans="1:21" x14ac:dyDescent="0.3">
      <c r="A622">
        <v>55</v>
      </c>
      <c r="B622" t="s">
        <v>628</v>
      </c>
      <c r="C622" s="4" t="s">
        <v>2855</v>
      </c>
      <c r="D622" t="s">
        <v>9</v>
      </c>
      <c r="E622">
        <v>1957</v>
      </c>
      <c r="F622" t="s">
        <v>1183</v>
      </c>
      <c r="G622">
        <v>1957</v>
      </c>
      <c r="H622">
        <v>45.966046800000001</v>
      </c>
      <c r="I622">
        <v>-72.899560600000001</v>
      </c>
      <c r="J622" t="s">
        <v>15</v>
      </c>
      <c r="K622" t="s">
        <v>1162</v>
      </c>
      <c r="L622" t="s">
        <v>1183</v>
      </c>
      <c r="M622" t="s">
        <v>1183</v>
      </c>
      <c r="N622" t="s">
        <v>1179</v>
      </c>
      <c r="O622" t="s">
        <v>1178</v>
      </c>
      <c r="P622" t="s">
        <v>220</v>
      </c>
      <c r="Q622" t="s">
        <v>213</v>
      </c>
      <c r="R622" t="s">
        <v>1183</v>
      </c>
      <c r="S622">
        <f>185*0.3048</f>
        <v>56.388000000000005</v>
      </c>
      <c r="T622" s="1" t="s">
        <v>2856</v>
      </c>
      <c r="U622" s="1" t="s">
        <v>2857</v>
      </c>
    </row>
    <row r="623" spans="1:21" x14ac:dyDescent="0.3">
      <c r="A623">
        <v>56</v>
      </c>
      <c r="B623" s="8" t="s">
        <v>629</v>
      </c>
      <c r="C623" s="4" t="s">
        <v>2858</v>
      </c>
      <c r="D623" t="s">
        <v>9</v>
      </c>
      <c r="E623">
        <v>1909</v>
      </c>
      <c r="F623" t="s">
        <v>1183</v>
      </c>
      <c r="G623" t="s">
        <v>1183</v>
      </c>
      <c r="H623">
        <v>46.716700000000003</v>
      </c>
      <c r="I623">
        <v>-71.582899999999995</v>
      </c>
      <c r="J623" t="s">
        <v>56</v>
      </c>
      <c r="K623" t="s">
        <v>1162</v>
      </c>
      <c r="L623" t="s">
        <v>1183</v>
      </c>
      <c r="M623" t="s">
        <v>1183</v>
      </c>
      <c r="N623" t="s">
        <v>1183</v>
      </c>
      <c r="O623" t="s">
        <v>2859</v>
      </c>
      <c r="P623" t="s">
        <v>220</v>
      </c>
      <c r="Q623" t="s">
        <v>404</v>
      </c>
      <c r="R623" t="s">
        <v>1183</v>
      </c>
      <c r="S623">
        <f>395*0.3048</f>
        <v>120.396</v>
      </c>
      <c r="T623" s="1" t="s">
        <v>2860</v>
      </c>
      <c r="U623" s="1" t="s">
        <v>2861</v>
      </c>
    </row>
    <row r="624" spans="1:21" x14ac:dyDescent="0.3">
      <c r="A624">
        <v>57</v>
      </c>
      <c r="B624" s="8" t="s">
        <v>630</v>
      </c>
      <c r="C624" s="4" t="s">
        <v>2862</v>
      </c>
      <c r="D624" t="s">
        <v>9</v>
      </c>
      <c r="E624">
        <v>1970</v>
      </c>
      <c r="F624" t="s">
        <v>1183</v>
      </c>
      <c r="G624" t="s">
        <v>1183</v>
      </c>
      <c r="H624">
        <v>46.695861000000001</v>
      </c>
      <c r="I624">
        <v>-71.600916999999995</v>
      </c>
      <c r="J624" t="s">
        <v>56</v>
      </c>
      <c r="K624" t="s">
        <v>1162</v>
      </c>
      <c r="L624" t="s">
        <v>1183</v>
      </c>
      <c r="M624" t="s">
        <v>1183</v>
      </c>
      <c r="N624" t="s">
        <v>1181</v>
      </c>
      <c r="O624" t="s">
        <v>2863</v>
      </c>
      <c r="P624" t="s">
        <v>329</v>
      </c>
      <c r="Q624" t="s">
        <v>404</v>
      </c>
      <c r="R624" t="s">
        <v>1183</v>
      </c>
      <c r="S624">
        <v>84</v>
      </c>
      <c r="T624" t="s">
        <v>220</v>
      </c>
      <c r="U624" s="1" t="s">
        <v>2864</v>
      </c>
    </row>
    <row r="625" spans="1:21" x14ac:dyDescent="0.3">
      <c r="A625">
        <v>58</v>
      </c>
      <c r="B625" t="s">
        <v>631</v>
      </c>
      <c r="C625" s="4" t="s">
        <v>2865</v>
      </c>
      <c r="D625" t="s">
        <v>9</v>
      </c>
      <c r="E625" t="s">
        <v>1183</v>
      </c>
      <c r="F625" t="s">
        <v>1183</v>
      </c>
      <c r="G625" t="s">
        <v>1183</v>
      </c>
      <c r="H625">
        <v>45.4056</v>
      </c>
      <c r="I625">
        <v>-72.737099999999998</v>
      </c>
      <c r="J625" t="s">
        <v>15</v>
      </c>
      <c r="K625" t="s">
        <v>1162</v>
      </c>
      <c r="L625" t="s">
        <v>1183</v>
      </c>
      <c r="M625" t="s">
        <v>1183</v>
      </c>
      <c r="N625" t="s">
        <v>1183</v>
      </c>
      <c r="O625" t="s">
        <v>1183</v>
      </c>
      <c r="P625" t="s">
        <v>220</v>
      </c>
      <c r="Q625" t="s">
        <v>404</v>
      </c>
      <c r="R625" t="s">
        <v>1183</v>
      </c>
      <c r="S625">
        <f>298*0.3048</f>
        <v>90.830400000000012</v>
      </c>
      <c r="T625" s="1" t="s">
        <v>2866</v>
      </c>
      <c r="U625" s="1" t="s">
        <v>2867</v>
      </c>
    </row>
    <row r="626" spans="1:21" x14ac:dyDescent="0.3">
      <c r="A626">
        <v>59</v>
      </c>
      <c r="B626" s="8" t="s">
        <v>633</v>
      </c>
      <c r="C626" s="4" t="s">
        <v>2868</v>
      </c>
      <c r="D626" t="s">
        <v>9</v>
      </c>
      <c r="E626" t="s">
        <v>1183</v>
      </c>
      <c r="F626" t="s">
        <v>1183</v>
      </c>
      <c r="G626" t="s">
        <v>1183</v>
      </c>
      <c r="H626">
        <v>45.404200000000003</v>
      </c>
      <c r="I626">
        <v>-75.791300000000007</v>
      </c>
      <c r="J626" t="s">
        <v>2805</v>
      </c>
      <c r="K626" t="s">
        <v>1162</v>
      </c>
      <c r="L626" t="s">
        <v>1183</v>
      </c>
      <c r="M626" t="s">
        <v>1183</v>
      </c>
      <c r="N626" t="s">
        <v>1183</v>
      </c>
      <c r="O626" t="s">
        <v>1183</v>
      </c>
      <c r="P626" t="s">
        <v>220</v>
      </c>
      <c r="Q626" t="s">
        <v>404</v>
      </c>
      <c r="R626">
        <f>293*0.3048</f>
        <v>89.306400000000011</v>
      </c>
      <c r="S626">
        <f>230*0.3048</f>
        <v>70.103999999999999</v>
      </c>
      <c r="T626" s="1" t="s">
        <v>2869</v>
      </c>
      <c r="U626" s="1" t="s">
        <v>2870</v>
      </c>
    </row>
    <row r="627" spans="1:21" x14ac:dyDescent="0.3">
      <c r="A627">
        <v>60</v>
      </c>
      <c r="B627" s="8" t="s">
        <v>636</v>
      </c>
      <c r="C627" s="4" t="s">
        <v>2874</v>
      </c>
      <c r="D627" t="s">
        <v>9</v>
      </c>
      <c r="E627" t="s">
        <v>1183</v>
      </c>
      <c r="F627" t="s">
        <v>1183</v>
      </c>
      <c r="G627" t="s">
        <v>1183</v>
      </c>
      <c r="H627">
        <v>46.297249999999998</v>
      </c>
      <c r="I627">
        <v>-72.394000000000005</v>
      </c>
      <c r="J627" t="s">
        <v>21</v>
      </c>
      <c r="K627" t="s">
        <v>1162</v>
      </c>
      <c r="L627" t="s">
        <v>1183</v>
      </c>
      <c r="M627" t="s">
        <v>1183</v>
      </c>
      <c r="N627" t="s">
        <v>1237</v>
      </c>
      <c r="O627" t="s">
        <v>1178</v>
      </c>
      <c r="P627" t="s">
        <v>220</v>
      </c>
      <c r="Q627" t="s">
        <v>404</v>
      </c>
      <c r="R627" t="s">
        <v>1183</v>
      </c>
      <c r="S627">
        <f>800*0.3048</f>
        <v>243.84</v>
      </c>
      <c r="T627" s="1" t="s">
        <v>2875</v>
      </c>
      <c r="U627" s="1" t="s">
        <v>2876</v>
      </c>
    </row>
    <row r="628" spans="1:21" x14ac:dyDescent="0.3">
      <c r="A628">
        <v>61</v>
      </c>
      <c r="B628" t="s">
        <v>637</v>
      </c>
      <c r="C628" s="4" t="s">
        <v>2877</v>
      </c>
      <c r="D628" t="s">
        <v>9</v>
      </c>
      <c r="E628">
        <v>1986</v>
      </c>
      <c r="F628" t="s">
        <v>1183</v>
      </c>
      <c r="G628" t="s">
        <v>1183</v>
      </c>
      <c r="H628">
        <v>46.699136600000003</v>
      </c>
      <c r="I628">
        <v>-71.6039569</v>
      </c>
      <c r="J628" t="s">
        <v>56</v>
      </c>
      <c r="K628" t="s">
        <v>1162</v>
      </c>
      <c r="L628" t="s">
        <v>1173</v>
      </c>
      <c r="M628" t="s">
        <v>1183</v>
      </c>
      <c r="N628" t="s">
        <v>1182</v>
      </c>
      <c r="O628" t="s">
        <v>2863</v>
      </c>
      <c r="P628" t="s">
        <v>329</v>
      </c>
      <c r="Q628" t="s">
        <v>404</v>
      </c>
      <c r="R628" t="s">
        <v>1183</v>
      </c>
      <c r="S628">
        <v>91</v>
      </c>
      <c r="T628" s="1" t="s">
        <v>2878</v>
      </c>
      <c r="U628" s="1" t="s">
        <v>2879</v>
      </c>
    </row>
    <row r="629" spans="1:21" x14ac:dyDescent="0.3">
      <c r="A629">
        <v>62</v>
      </c>
      <c r="B629" t="s">
        <v>638</v>
      </c>
      <c r="C629" s="4" t="s">
        <v>2880</v>
      </c>
      <c r="D629" t="s">
        <v>9</v>
      </c>
      <c r="E629">
        <v>1986</v>
      </c>
      <c r="F629" t="s">
        <v>1183</v>
      </c>
      <c r="G629" t="s">
        <v>1183</v>
      </c>
      <c r="H629">
        <v>46.699039999999997</v>
      </c>
      <c r="I629">
        <v>-71.602493899999999</v>
      </c>
      <c r="J629" t="s">
        <v>56</v>
      </c>
      <c r="K629" t="s">
        <v>1162</v>
      </c>
      <c r="L629" t="s">
        <v>1173</v>
      </c>
      <c r="M629" t="s">
        <v>1183</v>
      </c>
      <c r="N629" t="s">
        <v>1182</v>
      </c>
      <c r="O629" t="s">
        <v>2863</v>
      </c>
      <c r="P629" t="s">
        <v>220</v>
      </c>
      <c r="Q629" t="s">
        <v>404</v>
      </c>
      <c r="R629" t="s">
        <v>1183</v>
      </c>
      <c r="S629">
        <v>84</v>
      </c>
      <c r="T629" s="1" t="s">
        <v>2881</v>
      </c>
      <c r="U629" s="1" t="s">
        <v>2882</v>
      </c>
    </row>
    <row r="630" spans="1:21" x14ac:dyDescent="0.3">
      <c r="A630">
        <v>63</v>
      </c>
      <c r="B630" t="s">
        <v>639</v>
      </c>
      <c r="C630" s="4" t="s">
        <v>2883</v>
      </c>
      <c r="D630" t="s">
        <v>9</v>
      </c>
      <c r="E630">
        <v>1910</v>
      </c>
      <c r="F630" t="s">
        <v>1183</v>
      </c>
      <c r="G630" t="s">
        <v>1183</v>
      </c>
      <c r="H630">
        <v>46.335299999999997</v>
      </c>
      <c r="I630">
        <v>-72.588300000000004</v>
      </c>
      <c r="J630" t="s">
        <v>12</v>
      </c>
      <c r="K630" t="s">
        <v>1162</v>
      </c>
      <c r="L630" t="s">
        <v>1183</v>
      </c>
      <c r="M630">
        <f>1200*0.3048</f>
        <v>365.76</v>
      </c>
      <c r="N630" t="s">
        <v>1183</v>
      </c>
      <c r="O630" t="s">
        <v>2884</v>
      </c>
      <c r="P630" t="s">
        <v>212</v>
      </c>
      <c r="Q630" t="s">
        <v>404</v>
      </c>
      <c r="R630" t="s">
        <v>1183</v>
      </c>
      <c r="S630">
        <f>1200*0.3048</f>
        <v>365.76</v>
      </c>
      <c r="T630" s="1" t="s">
        <v>2885</v>
      </c>
      <c r="U630" s="1" t="s">
        <v>2886</v>
      </c>
    </row>
    <row r="631" spans="1:21" x14ac:dyDescent="0.3">
      <c r="A631">
        <v>64</v>
      </c>
      <c r="B631" t="s">
        <v>640</v>
      </c>
      <c r="C631" s="4" t="s">
        <v>2887</v>
      </c>
      <c r="D631" t="s">
        <v>9</v>
      </c>
      <c r="E631">
        <v>1977</v>
      </c>
      <c r="F631" t="s">
        <v>1183</v>
      </c>
      <c r="G631" t="s">
        <v>1183</v>
      </c>
      <c r="H631">
        <v>46.2533691</v>
      </c>
      <c r="I631">
        <v>-72.002050999999994</v>
      </c>
      <c r="J631" t="s">
        <v>21</v>
      </c>
      <c r="K631" t="s">
        <v>1162</v>
      </c>
      <c r="L631" t="s">
        <v>1167</v>
      </c>
      <c r="M631">
        <f>100*0.3048</f>
        <v>30.48</v>
      </c>
      <c r="N631" t="s">
        <v>1237</v>
      </c>
      <c r="O631" t="s">
        <v>1194</v>
      </c>
      <c r="P631" t="s">
        <v>220</v>
      </c>
      <c r="Q631" t="s">
        <v>404</v>
      </c>
      <c r="R631" t="s">
        <v>1183</v>
      </c>
      <c r="S631">
        <f>204*0.3048</f>
        <v>62.179200000000002</v>
      </c>
      <c r="T631" s="1" t="s">
        <v>2888</v>
      </c>
      <c r="U631" s="1" t="s">
        <v>2889</v>
      </c>
    </row>
    <row r="632" spans="1:21" x14ac:dyDescent="0.3">
      <c r="A632">
        <v>65</v>
      </c>
      <c r="B632" t="s">
        <v>641</v>
      </c>
      <c r="C632" s="4" t="s">
        <v>2890</v>
      </c>
      <c r="D632" t="s">
        <v>9</v>
      </c>
      <c r="E632">
        <v>1977</v>
      </c>
      <c r="F632" t="s">
        <v>1183</v>
      </c>
      <c r="G632" t="s">
        <v>1183</v>
      </c>
      <c r="H632">
        <v>46.269200900000001</v>
      </c>
      <c r="I632">
        <v>-72.022605499999997</v>
      </c>
      <c r="J632" t="s">
        <v>21</v>
      </c>
      <c r="K632" t="s">
        <v>1162</v>
      </c>
      <c r="L632" t="s">
        <v>1167</v>
      </c>
      <c r="M632">
        <f>40*0.3048</f>
        <v>12.192</v>
      </c>
      <c r="N632" t="s">
        <v>1179</v>
      </c>
      <c r="O632" t="s">
        <v>1194</v>
      </c>
      <c r="P632" t="s">
        <v>220</v>
      </c>
      <c r="Q632" t="s">
        <v>404</v>
      </c>
      <c r="R632" t="s">
        <v>1183</v>
      </c>
      <c r="S632">
        <f>200*0.3048</f>
        <v>60.96</v>
      </c>
      <c r="T632" s="1" t="s">
        <v>2891</v>
      </c>
      <c r="U632" s="1" t="s">
        <v>2892</v>
      </c>
    </row>
    <row r="633" spans="1:21" x14ac:dyDescent="0.3">
      <c r="A633">
        <v>66</v>
      </c>
      <c r="B633" t="s">
        <v>664</v>
      </c>
      <c r="C633" s="4" t="s">
        <v>2902</v>
      </c>
      <c r="D633" t="s">
        <v>9</v>
      </c>
      <c r="E633">
        <v>1961</v>
      </c>
      <c r="F633" t="s">
        <v>1183</v>
      </c>
      <c r="G633">
        <v>1961</v>
      </c>
      <c r="H633">
        <v>46.0443365</v>
      </c>
      <c r="I633">
        <v>-73.098522200000005</v>
      </c>
      <c r="J633" t="s">
        <v>15</v>
      </c>
      <c r="K633" t="s">
        <v>1634</v>
      </c>
      <c r="L633" t="s">
        <v>1173</v>
      </c>
      <c r="M633">
        <f>145*0.3048</f>
        <v>44.196000000000005</v>
      </c>
      <c r="N633" t="s">
        <v>1738</v>
      </c>
      <c r="O633" t="s">
        <v>1165</v>
      </c>
      <c r="P633" t="s">
        <v>212</v>
      </c>
      <c r="Q633" t="s">
        <v>213</v>
      </c>
      <c r="R633">
        <f>38*0.3048</f>
        <v>11.5824</v>
      </c>
      <c r="S633">
        <f>209*0.3048</f>
        <v>63.703200000000002</v>
      </c>
      <c r="T633" s="1" t="s">
        <v>2903</v>
      </c>
      <c r="U633" s="1" t="s">
        <v>2904</v>
      </c>
    </row>
    <row r="634" spans="1:21" x14ac:dyDescent="0.3">
      <c r="A634">
        <v>67</v>
      </c>
      <c r="B634" t="s">
        <v>665</v>
      </c>
      <c r="C634" s="4" t="s">
        <v>2905</v>
      </c>
      <c r="D634" t="s">
        <v>9</v>
      </c>
      <c r="E634">
        <v>1957</v>
      </c>
      <c r="F634" t="s">
        <v>1183</v>
      </c>
      <c r="G634">
        <v>1957</v>
      </c>
      <c r="H634">
        <v>46.6587137</v>
      </c>
      <c r="I634">
        <v>-72.189125399999995</v>
      </c>
      <c r="J634" t="s">
        <v>56</v>
      </c>
      <c r="K634" t="s">
        <v>1634</v>
      </c>
      <c r="L634" t="s">
        <v>1163</v>
      </c>
      <c r="M634">
        <f>35*0.3048</f>
        <v>10.668000000000001</v>
      </c>
      <c r="N634" t="s">
        <v>1183</v>
      </c>
      <c r="O634" t="s">
        <v>1165</v>
      </c>
      <c r="P634" t="s">
        <v>220</v>
      </c>
      <c r="Q634" t="s">
        <v>404</v>
      </c>
      <c r="R634" t="s">
        <v>1183</v>
      </c>
      <c r="S634">
        <f>41*0.3048</f>
        <v>12.4968</v>
      </c>
      <c r="T634" s="1" t="s">
        <v>2906</v>
      </c>
      <c r="U634" s="1" t="s">
        <v>2907</v>
      </c>
    </row>
    <row r="635" spans="1:21" x14ac:dyDescent="0.3">
      <c r="A635">
        <v>68</v>
      </c>
      <c r="B635" s="8" t="s">
        <v>668</v>
      </c>
      <c r="C635" s="4" t="s">
        <v>2912</v>
      </c>
      <c r="D635" t="s">
        <v>9</v>
      </c>
      <c r="E635">
        <v>1957</v>
      </c>
      <c r="F635">
        <v>1957</v>
      </c>
      <c r="G635" t="s">
        <v>1183</v>
      </c>
      <c r="H635">
        <v>46.25141</v>
      </c>
      <c r="I635">
        <v>-72.970939999999999</v>
      </c>
      <c r="J635" t="s">
        <v>12</v>
      </c>
      <c r="K635" t="s">
        <v>1634</v>
      </c>
      <c r="L635" t="s">
        <v>1173</v>
      </c>
      <c r="M635">
        <f>289*0.3048</f>
        <v>88.08720000000001</v>
      </c>
      <c r="N635" t="s">
        <v>1183</v>
      </c>
      <c r="O635" t="s">
        <v>1304</v>
      </c>
      <c r="P635" t="s">
        <v>220</v>
      </c>
      <c r="Q635" t="s">
        <v>213</v>
      </c>
      <c r="R635" t="s">
        <v>1183</v>
      </c>
      <c r="S635">
        <f>300*0.3048</f>
        <v>91.44</v>
      </c>
      <c r="T635" s="1" t="s">
        <v>2913</v>
      </c>
      <c r="U635" s="1" t="s">
        <v>2914</v>
      </c>
    </row>
    <row r="636" spans="1:21" x14ac:dyDescent="0.3">
      <c r="A636">
        <v>69</v>
      </c>
      <c r="B636" t="s">
        <v>675</v>
      </c>
      <c r="C636" s="4" t="s">
        <v>2915</v>
      </c>
      <c r="D636" t="s">
        <v>9</v>
      </c>
      <c r="E636">
        <v>1961</v>
      </c>
      <c r="F636" t="s">
        <v>1183</v>
      </c>
      <c r="G636">
        <v>1963</v>
      </c>
      <c r="H636">
        <v>46.294627699999999</v>
      </c>
      <c r="I636">
        <v>-72.721936400000004</v>
      </c>
      <c r="J636" t="s">
        <v>12</v>
      </c>
      <c r="K636" t="s">
        <v>1634</v>
      </c>
      <c r="L636" t="s">
        <v>1173</v>
      </c>
      <c r="M636">
        <f>325*0.3048</f>
        <v>99.06</v>
      </c>
      <c r="N636" t="s">
        <v>1179</v>
      </c>
      <c r="O636" t="s">
        <v>1210</v>
      </c>
      <c r="P636" t="s">
        <v>212</v>
      </c>
      <c r="Q636" t="s">
        <v>213</v>
      </c>
      <c r="R636">
        <f>22*0.3048</f>
        <v>6.7056000000000004</v>
      </c>
      <c r="S636">
        <f>326*0.3048</f>
        <v>99.364800000000002</v>
      </c>
      <c r="T636" s="1" t="s">
        <v>2916</v>
      </c>
      <c r="U636" s="1" t="s">
        <v>2917</v>
      </c>
    </row>
    <row r="637" spans="1:21" x14ac:dyDescent="0.3">
      <c r="A637">
        <v>70</v>
      </c>
      <c r="B637" s="8" t="s">
        <v>687</v>
      </c>
      <c r="C637" s="4" t="s">
        <v>2922</v>
      </c>
      <c r="D637" t="s">
        <v>9</v>
      </c>
      <c r="E637">
        <v>1958</v>
      </c>
      <c r="F637" t="s">
        <v>1183</v>
      </c>
      <c r="G637">
        <v>1958</v>
      </c>
      <c r="H637">
        <v>45.2701262</v>
      </c>
      <c r="I637">
        <v>-73.239706699999999</v>
      </c>
      <c r="J637" t="s">
        <v>15</v>
      </c>
      <c r="K637" t="s">
        <v>1634</v>
      </c>
      <c r="L637" t="s">
        <v>1183</v>
      </c>
      <c r="M637">
        <f>188*0.3048</f>
        <v>57.302400000000006</v>
      </c>
      <c r="N637" t="s">
        <v>1179</v>
      </c>
      <c r="O637" t="s">
        <v>2923</v>
      </c>
      <c r="P637" t="s">
        <v>220</v>
      </c>
      <c r="Q637" t="s">
        <v>213</v>
      </c>
      <c r="R637" t="s">
        <v>1183</v>
      </c>
      <c r="S637">
        <f>192*0.3048</f>
        <v>58.521600000000007</v>
      </c>
      <c r="T637" s="1" t="s">
        <v>2924</v>
      </c>
      <c r="U637" s="1" t="s">
        <v>2925</v>
      </c>
    </row>
    <row r="638" spans="1:21" x14ac:dyDescent="0.3">
      <c r="A638">
        <v>71</v>
      </c>
      <c r="B638" t="s">
        <v>690</v>
      </c>
      <c r="C638" s="4" t="s">
        <v>2926</v>
      </c>
      <c r="D638" t="s">
        <v>9</v>
      </c>
      <c r="E638">
        <v>1956</v>
      </c>
      <c r="F638" t="s">
        <v>1183</v>
      </c>
      <c r="G638">
        <v>1956</v>
      </c>
      <c r="H638">
        <v>46.288549199999999</v>
      </c>
      <c r="I638">
        <v>-72.683234999999996</v>
      </c>
      <c r="J638" t="s">
        <v>12</v>
      </c>
      <c r="K638" t="s">
        <v>1634</v>
      </c>
      <c r="L638" t="s">
        <v>1173</v>
      </c>
      <c r="M638" t="s">
        <v>1183</v>
      </c>
      <c r="N638" t="s">
        <v>1183</v>
      </c>
      <c r="O638" t="s">
        <v>1304</v>
      </c>
      <c r="P638" t="s">
        <v>220</v>
      </c>
      <c r="Q638" t="s">
        <v>404</v>
      </c>
      <c r="R638">
        <f>52*0.3048</f>
        <v>15.849600000000001</v>
      </c>
      <c r="S638">
        <f>180*0.3048</f>
        <v>54.864000000000004</v>
      </c>
      <c r="T638" s="1" t="s">
        <v>2927</v>
      </c>
      <c r="U638" s="1" t="s">
        <v>2928</v>
      </c>
    </row>
    <row r="639" spans="1:21" x14ac:dyDescent="0.3">
      <c r="A639">
        <v>72</v>
      </c>
      <c r="B639" s="8" t="s">
        <v>694</v>
      </c>
      <c r="C639" s="4" t="s">
        <v>2929</v>
      </c>
      <c r="D639" t="s">
        <v>9</v>
      </c>
      <c r="E639">
        <v>1957</v>
      </c>
      <c r="F639" t="s">
        <v>1183</v>
      </c>
      <c r="G639">
        <v>1957</v>
      </c>
      <c r="H639">
        <v>46.299389900000001</v>
      </c>
      <c r="I639">
        <v>-72.769652600000001</v>
      </c>
      <c r="J639" t="s">
        <v>12</v>
      </c>
      <c r="K639" t="s">
        <v>1634</v>
      </c>
      <c r="L639" t="s">
        <v>1173</v>
      </c>
      <c r="M639" t="s">
        <v>1183</v>
      </c>
      <c r="N639" t="s">
        <v>1179</v>
      </c>
      <c r="O639" t="s">
        <v>1304</v>
      </c>
      <c r="P639" t="s">
        <v>220</v>
      </c>
      <c r="Q639" t="s">
        <v>213</v>
      </c>
      <c r="R639">
        <f>35*0.3048</f>
        <v>10.668000000000001</v>
      </c>
      <c r="S639">
        <f>346*0.3048</f>
        <v>105.46080000000001</v>
      </c>
      <c r="T639" s="1" t="s">
        <v>2930</v>
      </c>
      <c r="U639" s="1" t="s">
        <v>2931</v>
      </c>
    </row>
    <row r="640" spans="1:21" x14ac:dyDescent="0.3">
      <c r="A640">
        <v>73</v>
      </c>
      <c r="B640" t="s">
        <v>695</v>
      </c>
      <c r="C640" s="4" t="s">
        <v>2932</v>
      </c>
      <c r="D640" t="s">
        <v>9</v>
      </c>
      <c r="E640">
        <v>1956</v>
      </c>
      <c r="F640" t="s">
        <v>1183</v>
      </c>
      <c r="G640">
        <v>1957</v>
      </c>
      <c r="H640">
        <v>46.308770500000001</v>
      </c>
      <c r="I640">
        <v>-72.575922399999996</v>
      </c>
      <c r="J640" t="s">
        <v>12</v>
      </c>
      <c r="K640" t="s">
        <v>1634</v>
      </c>
      <c r="L640" t="s">
        <v>1173</v>
      </c>
      <c r="M640">
        <f>263*0.3048</f>
        <v>80.162400000000005</v>
      </c>
      <c r="N640" t="s">
        <v>1183</v>
      </c>
      <c r="O640" t="s">
        <v>1304</v>
      </c>
      <c r="P640" t="s">
        <v>212</v>
      </c>
      <c r="Q640" t="s">
        <v>213</v>
      </c>
      <c r="R640">
        <f>22*0.3048</f>
        <v>6.7056000000000004</v>
      </c>
      <c r="S640">
        <f>405*0.3048</f>
        <v>123.444</v>
      </c>
      <c r="T640" s="1" t="s">
        <v>2933</v>
      </c>
      <c r="U640" s="1" t="s">
        <v>2934</v>
      </c>
    </row>
    <row r="641" spans="1:21" x14ac:dyDescent="0.3">
      <c r="A641">
        <v>74</v>
      </c>
      <c r="B641" t="s">
        <v>706</v>
      </c>
      <c r="C641" s="4" t="s">
        <v>2935</v>
      </c>
      <c r="D641" t="s">
        <v>9</v>
      </c>
      <c r="E641">
        <v>1963</v>
      </c>
      <c r="F641" t="s">
        <v>1183</v>
      </c>
      <c r="G641">
        <v>1963</v>
      </c>
      <c r="H641">
        <v>46.049472000000002</v>
      </c>
      <c r="I641">
        <v>-73.113193999999993</v>
      </c>
      <c r="J641" t="s">
        <v>15</v>
      </c>
      <c r="K641" t="s">
        <v>1634</v>
      </c>
      <c r="L641" t="s">
        <v>1173</v>
      </c>
      <c r="M641">
        <f>207*0.3048</f>
        <v>63.093600000000002</v>
      </c>
      <c r="N641" t="s">
        <v>1179</v>
      </c>
      <c r="O641" t="s">
        <v>2936</v>
      </c>
      <c r="P641" t="s">
        <v>212</v>
      </c>
      <c r="Q641" t="s">
        <v>213</v>
      </c>
      <c r="R641" t="s">
        <v>1183</v>
      </c>
      <c r="S641">
        <f>215*0.3048</f>
        <v>65.531999999999996</v>
      </c>
      <c r="T641" s="1" t="s">
        <v>2937</v>
      </c>
      <c r="U641" s="1" t="s">
        <v>2938</v>
      </c>
    </row>
    <row r="642" spans="1:21" x14ac:dyDescent="0.3">
      <c r="A642">
        <v>75</v>
      </c>
      <c r="B642" s="8" t="s">
        <v>707</v>
      </c>
      <c r="C642" s="4" t="s">
        <v>2939</v>
      </c>
      <c r="D642" t="s">
        <v>9</v>
      </c>
      <c r="E642">
        <v>1963</v>
      </c>
      <c r="F642" t="s">
        <v>1183</v>
      </c>
      <c r="G642">
        <v>1963</v>
      </c>
      <c r="H642">
        <v>46.021167800000001</v>
      </c>
      <c r="I642">
        <v>-73.071525500000007</v>
      </c>
      <c r="J642" t="s">
        <v>15</v>
      </c>
      <c r="K642" t="s">
        <v>1634</v>
      </c>
      <c r="L642" t="s">
        <v>1173</v>
      </c>
      <c r="M642">
        <f>226*0.3048</f>
        <v>68.884799999999998</v>
      </c>
      <c r="N642" t="s">
        <v>1225</v>
      </c>
      <c r="O642" t="s">
        <v>2936</v>
      </c>
      <c r="P642" t="s">
        <v>212</v>
      </c>
      <c r="Q642" t="s">
        <v>213</v>
      </c>
      <c r="R642" t="s">
        <v>1183</v>
      </c>
      <c r="S642">
        <f>240*0.3048</f>
        <v>73.152000000000001</v>
      </c>
      <c r="T642" s="1" t="s">
        <v>2940</v>
      </c>
      <c r="U642" s="1" t="s">
        <v>2941</v>
      </c>
    </row>
    <row r="643" spans="1:21" x14ac:dyDescent="0.3">
      <c r="A643">
        <v>76</v>
      </c>
      <c r="B643" s="8" t="s">
        <v>712</v>
      </c>
      <c r="C643" s="4" t="s">
        <v>2951</v>
      </c>
      <c r="D643" t="s">
        <v>9</v>
      </c>
      <c r="E643">
        <v>1956</v>
      </c>
      <c r="F643" t="s">
        <v>1183</v>
      </c>
      <c r="G643">
        <v>1962</v>
      </c>
      <c r="H643">
        <v>45.7766582</v>
      </c>
      <c r="I643">
        <v>-73.513653000000005</v>
      </c>
      <c r="J643" t="s">
        <v>29</v>
      </c>
      <c r="K643" t="s">
        <v>1634</v>
      </c>
      <c r="L643" t="s">
        <v>1173</v>
      </c>
      <c r="M643" t="s">
        <v>1183</v>
      </c>
      <c r="N643" t="s">
        <v>1183</v>
      </c>
      <c r="O643" t="s">
        <v>1180</v>
      </c>
      <c r="P643" t="s">
        <v>220</v>
      </c>
      <c r="Q643" t="s">
        <v>213</v>
      </c>
      <c r="R643" t="s">
        <v>1183</v>
      </c>
      <c r="S643">
        <f>417*0.3048</f>
        <v>127.1016</v>
      </c>
      <c r="T643" s="1" t="s">
        <v>2952</v>
      </c>
      <c r="U643" s="1" t="s">
        <v>2953</v>
      </c>
    </row>
    <row r="644" spans="1:21" x14ac:dyDescent="0.3">
      <c r="A644">
        <v>77</v>
      </c>
      <c r="B644" s="8" t="s">
        <v>714</v>
      </c>
      <c r="C644" s="4" t="s">
        <v>2954</v>
      </c>
      <c r="D644" t="s">
        <v>9</v>
      </c>
      <c r="E644">
        <v>1926</v>
      </c>
      <c r="F644" t="s">
        <v>1183</v>
      </c>
      <c r="G644">
        <v>1926</v>
      </c>
      <c r="H644">
        <v>45.823587000000003</v>
      </c>
      <c r="I644">
        <v>-73.427183400000004</v>
      </c>
      <c r="J644" t="s">
        <v>29</v>
      </c>
      <c r="K644" t="s">
        <v>1634</v>
      </c>
      <c r="L644" t="s">
        <v>1163</v>
      </c>
      <c r="M644" t="s">
        <v>1183</v>
      </c>
      <c r="N644" t="s">
        <v>2955</v>
      </c>
      <c r="O644" t="s">
        <v>2954</v>
      </c>
      <c r="P644" t="s">
        <v>212</v>
      </c>
      <c r="Q644" t="s">
        <v>404</v>
      </c>
      <c r="R644" t="s">
        <v>1183</v>
      </c>
      <c r="S644">
        <f>400*0.3048</f>
        <v>121.92</v>
      </c>
      <c r="T644" s="1" t="s">
        <v>2956</v>
      </c>
      <c r="U644" s="1" t="s">
        <v>2957</v>
      </c>
    </row>
    <row r="645" spans="1:21" x14ac:dyDescent="0.3">
      <c r="A645">
        <v>78</v>
      </c>
      <c r="B645" s="8" t="s">
        <v>715</v>
      </c>
      <c r="C645" s="4" t="s">
        <v>2958</v>
      </c>
      <c r="D645" t="s">
        <v>9</v>
      </c>
      <c r="E645">
        <v>1963</v>
      </c>
      <c r="F645" t="s">
        <v>1183</v>
      </c>
      <c r="G645">
        <v>1963</v>
      </c>
      <c r="H645">
        <v>45.813638889000003</v>
      </c>
      <c r="I645">
        <v>-73.297638888999998</v>
      </c>
      <c r="J645" t="s">
        <v>15</v>
      </c>
      <c r="K645" t="s">
        <v>1634</v>
      </c>
      <c r="L645" t="s">
        <v>1163</v>
      </c>
      <c r="M645">
        <f>32*0.3048</f>
        <v>9.7536000000000005</v>
      </c>
      <c r="N645" t="s">
        <v>1225</v>
      </c>
      <c r="O645" t="s">
        <v>1806</v>
      </c>
      <c r="P645" t="s">
        <v>220</v>
      </c>
      <c r="Q645" t="s">
        <v>404</v>
      </c>
      <c r="R645">
        <f>29*0.3048</f>
        <v>8.8391999999999999</v>
      </c>
      <c r="S645">
        <f>85*0.3048</f>
        <v>25.908000000000001</v>
      </c>
      <c r="T645" s="1" t="s">
        <v>2959</v>
      </c>
      <c r="U645" s="1" t="s">
        <v>2960</v>
      </c>
    </row>
    <row r="646" spans="1:21" x14ac:dyDescent="0.3">
      <c r="A646">
        <v>79</v>
      </c>
      <c r="B646" s="8" t="s">
        <v>716</v>
      </c>
      <c r="C646" s="4" t="s">
        <v>2961</v>
      </c>
      <c r="D646" t="s">
        <v>9</v>
      </c>
      <c r="E646">
        <v>1963</v>
      </c>
      <c r="F646" t="s">
        <v>1183</v>
      </c>
      <c r="G646">
        <v>1963</v>
      </c>
      <c r="H646">
        <v>45.841972222000003</v>
      </c>
      <c r="I646">
        <v>-73.255694444</v>
      </c>
      <c r="J646" t="s">
        <v>15</v>
      </c>
      <c r="K646" t="s">
        <v>1634</v>
      </c>
      <c r="L646" t="s">
        <v>1163</v>
      </c>
      <c r="M646">
        <f>40*0.3048</f>
        <v>12.192</v>
      </c>
      <c r="N646" t="s">
        <v>1209</v>
      </c>
      <c r="O646" t="s">
        <v>1806</v>
      </c>
      <c r="P646" t="s">
        <v>220</v>
      </c>
      <c r="Q646" t="s">
        <v>213</v>
      </c>
      <c r="R646">
        <f>36*0.3048</f>
        <v>10.972800000000001</v>
      </c>
      <c r="S646">
        <f>82*0.3048</f>
        <v>24.993600000000001</v>
      </c>
      <c r="T646" s="1" t="s">
        <v>2962</v>
      </c>
      <c r="U646" s="1" t="s">
        <v>2963</v>
      </c>
    </row>
    <row r="647" spans="1:21" x14ac:dyDescent="0.3">
      <c r="A647">
        <v>80</v>
      </c>
      <c r="B647" s="8" t="s">
        <v>719</v>
      </c>
      <c r="C647" s="4" t="s">
        <v>2970</v>
      </c>
      <c r="D647" t="s">
        <v>9</v>
      </c>
      <c r="E647">
        <v>1963</v>
      </c>
      <c r="F647" t="s">
        <v>1183</v>
      </c>
      <c r="G647">
        <v>1963</v>
      </c>
      <c r="H647">
        <v>45.830305555999999</v>
      </c>
      <c r="I647">
        <v>-73.266249999999999</v>
      </c>
      <c r="J647" t="s">
        <v>15</v>
      </c>
      <c r="K647" t="s">
        <v>1634</v>
      </c>
      <c r="L647" t="s">
        <v>1163</v>
      </c>
      <c r="M647">
        <f>30*0.3048</f>
        <v>9.1440000000000001</v>
      </c>
      <c r="N647" t="s">
        <v>1209</v>
      </c>
      <c r="O647" t="s">
        <v>1806</v>
      </c>
      <c r="P647" t="s">
        <v>220</v>
      </c>
      <c r="Q647" t="s">
        <v>213</v>
      </c>
      <c r="R647">
        <f>40*0.3048</f>
        <v>12.192</v>
      </c>
      <c r="S647">
        <f>85*0.3048</f>
        <v>25.908000000000001</v>
      </c>
      <c r="T647" s="1" t="s">
        <v>2971</v>
      </c>
      <c r="U647" s="1" t="s">
        <v>2972</v>
      </c>
    </row>
    <row r="648" spans="1:21" x14ac:dyDescent="0.3">
      <c r="A648">
        <v>81</v>
      </c>
      <c r="B648" s="8" t="s">
        <v>720</v>
      </c>
      <c r="C648" s="4" t="s">
        <v>2973</v>
      </c>
      <c r="D648" t="s">
        <v>9</v>
      </c>
      <c r="E648">
        <v>1963</v>
      </c>
      <c r="F648" t="s">
        <v>1183</v>
      </c>
      <c r="G648">
        <v>1963</v>
      </c>
      <c r="H648">
        <v>45.838916666999999</v>
      </c>
      <c r="I648">
        <v>-73.262083333000007</v>
      </c>
      <c r="J648" t="s">
        <v>15</v>
      </c>
      <c r="K648" t="s">
        <v>1634</v>
      </c>
      <c r="L648" t="s">
        <v>1163</v>
      </c>
      <c r="M648">
        <f>30*0.3048</f>
        <v>9.1440000000000001</v>
      </c>
      <c r="N648" t="s">
        <v>1209</v>
      </c>
      <c r="O648" t="s">
        <v>1806</v>
      </c>
      <c r="P648" t="s">
        <v>220</v>
      </c>
      <c r="Q648" t="s">
        <v>213</v>
      </c>
      <c r="R648">
        <f>24*0.3048</f>
        <v>7.3152000000000008</v>
      </c>
      <c r="S648">
        <f>72*0.3048</f>
        <v>21.945600000000002</v>
      </c>
      <c r="T648" s="1" t="s">
        <v>2974</v>
      </c>
      <c r="U648" s="1" t="s">
        <v>2975</v>
      </c>
    </row>
    <row r="649" spans="1:21" x14ac:dyDescent="0.3">
      <c r="A649">
        <v>82</v>
      </c>
      <c r="B649" s="8" t="s">
        <v>721</v>
      </c>
      <c r="C649" s="4" t="s">
        <v>2976</v>
      </c>
      <c r="D649" t="s">
        <v>9</v>
      </c>
      <c r="E649">
        <v>1963</v>
      </c>
      <c r="F649" t="s">
        <v>1183</v>
      </c>
      <c r="G649">
        <v>1963</v>
      </c>
      <c r="H649">
        <v>45.838917000000002</v>
      </c>
      <c r="I649">
        <v>-73.273750000000007</v>
      </c>
      <c r="J649" t="s">
        <v>15</v>
      </c>
      <c r="K649" t="s">
        <v>1634</v>
      </c>
      <c r="L649" t="s">
        <v>1163</v>
      </c>
      <c r="M649">
        <f>20*0.3048</f>
        <v>6.0960000000000001</v>
      </c>
      <c r="N649" t="s">
        <v>1219</v>
      </c>
      <c r="O649" t="s">
        <v>1806</v>
      </c>
      <c r="P649" t="s">
        <v>220</v>
      </c>
      <c r="Q649" t="s">
        <v>213</v>
      </c>
      <c r="R649">
        <f>17*0.3048</f>
        <v>5.1816000000000004</v>
      </c>
      <c r="S649">
        <f>95*0.3048</f>
        <v>28.956000000000003</v>
      </c>
      <c r="T649" s="1" t="s">
        <v>2977</v>
      </c>
      <c r="U649" s="1" t="s">
        <v>2978</v>
      </c>
    </row>
    <row r="650" spans="1:21" x14ac:dyDescent="0.3">
      <c r="A650">
        <v>83</v>
      </c>
      <c r="B650" s="8" t="s">
        <v>724</v>
      </c>
      <c r="C650" s="4" t="s">
        <v>2982</v>
      </c>
      <c r="D650" t="s">
        <v>9</v>
      </c>
      <c r="E650">
        <v>1963</v>
      </c>
      <c r="F650" t="s">
        <v>1183</v>
      </c>
      <c r="G650">
        <v>1963</v>
      </c>
      <c r="H650">
        <v>45.912805556000002</v>
      </c>
      <c r="I650">
        <v>-73.204305555999994</v>
      </c>
      <c r="J650" t="s">
        <v>15</v>
      </c>
      <c r="K650" t="s">
        <v>1634</v>
      </c>
      <c r="L650" t="s">
        <v>1163</v>
      </c>
      <c r="M650">
        <f>40*0.3048</f>
        <v>12.192</v>
      </c>
      <c r="N650" t="s">
        <v>1219</v>
      </c>
      <c r="O650" t="s">
        <v>1806</v>
      </c>
      <c r="P650" t="s">
        <v>220</v>
      </c>
      <c r="Q650" t="s">
        <v>213</v>
      </c>
      <c r="R650">
        <f>40*0.3048</f>
        <v>12.192</v>
      </c>
      <c r="S650">
        <f>134*0.3048</f>
        <v>40.843200000000003</v>
      </c>
      <c r="T650" s="1" t="s">
        <v>2983</v>
      </c>
      <c r="U650" s="1" t="s">
        <v>2984</v>
      </c>
    </row>
    <row r="651" spans="1:21" x14ac:dyDescent="0.3">
      <c r="A651">
        <v>84</v>
      </c>
      <c r="B651" s="8" t="s">
        <v>725</v>
      </c>
      <c r="C651" s="4" t="s">
        <v>2985</v>
      </c>
      <c r="D651" t="s">
        <v>9</v>
      </c>
      <c r="E651">
        <v>1963</v>
      </c>
      <c r="F651" t="s">
        <v>1183</v>
      </c>
      <c r="G651">
        <v>1963</v>
      </c>
      <c r="H651">
        <v>45.843083333000003</v>
      </c>
      <c r="I651">
        <v>-73.258194443999997</v>
      </c>
      <c r="J651" t="s">
        <v>15</v>
      </c>
      <c r="K651" t="s">
        <v>1634</v>
      </c>
      <c r="L651" t="s">
        <v>1163</v>
      </c>
      <c r="M651">
        <f>40*0.3048</f>
        <v>12.192</v>
      </c>
      <c r="N651" t="s">
        <v>1209</v>
      </c>
      <c r="O651" t="s">
        <v>1806</v>
      </c>
      <c r="P651" t="s">
        <v>212</v>
      </c>
      <c r="Q651" t="s">
        <v>213</v>
      </c>
      <c r="R651">
        <f>28*0.3048</f>
        <v>8.5343999999999998</v>
      </c>
      <c r="S651">
        <f>67*0.3048</f>
        <v>20.421600000000002</v>
      </c>
      <c r="T651" s="1" t="s">
        <v>2986</v>
      </c>
      <c r="U651" s="1" t="s">
        <v>2987</v>
      </c>
    </row>
    <row r="652" spans="1:21" x14ac:dyDescent="0.3">
      <c r="A652">
        <v>85</v>
      </c>
      <c r="B652" s="8" t="s">
        <v>726</v>
      </c>
      <c r="C652" s="4" t="s">
        <v>2988</v>
      </c>
      <c r="D652" t="s">
        <v>9</v>
      </c>
      <c r="E652">
        <v>1963</v>
      </c>
      <c r="F652" t="s">
        <v>1183</v>
      </c>
      <c r="G652">
        <v>1963</v>
      </c>
      <c r="H652">
        <v>45.8793036</v>
      </c>
      <c r="I652">
        <v>-73.146684300000004</v>
      </c>
      <c r="J652" t="s">
        <v>15</v>
      </c>
      <c r="K652" t="s">
        <v>1634</v>
      </c>
      <c r="L652" t="s">
        <v>1163</v>
      </c>
      <c r="M652">
        <f>30*0.3048</f>
        <v>9.1440000000000001</v>
      </c>
      <c r="N652" t="s">
        <v>1766</v>
      </c>
      <c r="O652" t="s">
        <v>1806</v>
      </c>
      <c r="P652" t="s">
        <v>220</v>
      </c>
      <c r="Q652" t="s">
        <v>213</v>
      </c>
      <c r="R652">
        <f>52*0.3048</f>
        <v>15.849600000000001</v>
      </c>
      <c r="S652">
        <f>75*0.3048</f>
        <v>22.86</v>
      </c>
      <c r="T652" s="1" t="s">
        <v>2989</v>
      </c>
      <c r="U652" s="1" t="s">
        <v>2990</v>
      </c>
    </row>
    <row r="653" spans="1:21" x14ac:dyDescent="0.3">
      <c r="A653">
        <v>86</v>
      </c>
      <c r="B653" s="8" t="s">
        <v>728</v>
      </c>
      <c r="C653" s="4" t="s">
        <v>2991</v>
      </c>
      <c r="D653" t="s">
        <v>9</v>
      </c>
      <c r="E653">
        <v>1963</v>
      </c>
      <c r="F653" t="s">
        <v>1183</v>
      </c>
      <c r="G653">
        <v>1963</v>
      </c>
      <c r="H653">
        <v>45.903429899999999</v>
      </c>
      <c r="I653">
        <v>-73.173664900000006</v>
      </c>
      <c r="J653" t="s">
        <v>15</v>
      </c>
      <c r="K653" t="s">
        <v>1634</v>
      </c>
      <c r="L653" t="s">
        <v>1163</v>
      </c>
      <c r="M653">
        <f>30*0.3048</f>
        <v>9.1440000000000001</v>
      </c>
      <c r="N653" t="s">
        <v>1766</v>
      </c>
      <c r="O653" t="s">
        <v>1806</v>
      </c>
      <c r="P653" t="s">
        <v>220</v>
      </c>
      <c r="Q653" t="s">
        <v>213</v>
      </c>
      <c r="R653">
        <f>28*0.3048</f>
        <v>8.5343999999999998</v>
      </c>
      <c r="S653">
        <f>96*0.3048</f>
        <v>29.260800000000003</v>
      </c>
      <c r="T653" s="1" t="s">
        <v>2992</v>
      </c>
      <c r="U653" s="1" t="s">
        <v>2993</v>
      </c>
    </row>
    <row r="654" spans="1:21" x14ac:dyDescent="0.3">
      <c r="A654">
        <v>87</v>
      </c>
      <c r="B654" s="8" t="s">
        <v>729</v>
      </c>
      <c r="C654" s="4" t="s">
        <v>2994</v>
      </c>
      <c r="D654" t="s">
        <v>9</v>
      </c>
      <c r="E654">
        <v>1963</v>
      </c>
      <c r="F654" t="s">
        <v>1183</v>
      </c>
      <c r="G654">
        <v>1963</v>
      </c>
      <c r="H654">
        <v>45.805582999999999</v>
      </c>
      <c r="I654">
        <v>-73.359306000000004</v>
      </c>
      <c r="J654" t="s">
        <v>29</v>
      </c>
      <c r="K654" t="s">
        <v>1634</v>
      </c>
      <c r="L654" t="s">
        <v>1163</v>
      </c>
      <c r="M654">
        <f>30*0.3048</f>
        <v>9.1440000000000001</v>
      </c>
      <c r="N654" t="s">
        <v>1209</v>
      </c>
      <c r="O654" t="s">
        <v>1806</v>
      </c>
      <c r="P654" t="s">
        <v>212</v>
      </c>
      <c r="Q654" t="s">
        <v>213</v>
      </c>
      <c r="R654">
        <f>18*0.3048</f>
        <v>5.4864000000000006</v>
      </c>
      <c r="S654">
        <f>74*0.3048</f>
        <v>22.555200000000003</v>
      </c>
      <c r="T654" s="1" t="s">
        <v>2995</v>
      </c>
      <c r="U654" s="1" t="s">
        <v>2996</v>
      </c>
    </row>
    <row r="655" spans="1:21" x14ac:dyDescent="0.3">
      <c r="A655">
        <v>88</v>
      </c>
      <c r="B655" t="s">
        <v>730</v>
      </c>
      <c r="C655" s="4" t="s">
        <v>2997</v>
      </c>
      <c r="D655" t="s">
        <v>9</v>
      </c>
      <c r="E655">
        <v>1963</v>
      </c>
      <c r="F655" t="s">
        <v>1183</v>
      </c>
      <c r="G655">
        <v>1963</v>
      </c>
      <c r="H655">
        <v>45.665671400000001</v>
      </c>
      <c r="I655">
        <v>-73.436627700000003</v>
      </c>
      <c r="J655" t="s">
        <v>15</v>
      </c>
      <c r="K655" t="s">
        <v>1634</v>
      </c>
      <c r="L655" t="s">
        <v>1163</v>
      </c>
      <c r="M655" t="s">
        <v>1183</v>
      </c>
      <c r="N655" t="s">
        <v>1209</v>
      </c>
      <c r="O655" t="s">
        <v>1806</v>
      </c>
      <c r="P655" t="s">
        <v>212</v>
      </c>
      <c r="Q655" t="s">
        <v>213</v>
      </c>
      <c r="R655">
        <f>27*0.3048</f>
        <v>8.2295999999999996</v>
      </c>
      <c r="S655">
        <f>25*0.3048</f>
        <v>7.62</v>
      </c>
      <c r="T655" s="1" t="s">
        <v>2998</v>
      </c>
      <c r="U655" s="1" t="s">
        <v>2999</v>
      </c>
    </row>
    <row r="656" spans="1:21" x14ac:dyDescent="0.3">
      <c r="A656">
        <v>89</v>
      </c>
      <c r="B656" t="s">
        <v>731</v>
      </c>
      <c r="C656" s="4" t="s">
        <v>3000</v>
      </c>
      <c r="D656" t="s">
        <v>9</v>
      </c>
      <c r="E656">
        <v>1963</v>
      </c>
      <c r="F656" t="s">
        <v>1183</v>
      </c>
      <c r="G656">
        <v>1963</v>
      </c>
      <c r="H656">
        <v>45.665671400000001</v>
      </c>
      <c r="I656">
        <v>-73.436627700000003</v>
      </c>
      <c r="J656" t="s">
        <v>15</v>
      </c>
      <c r="K656" t="s">
        <v>1634</v>
      </c>
      <c r="L656" t="s">
        <v>1163</v>
      </c>
      <c r="M656">
        <f>27*0.3048</f>
        <v>8.2295999999999996</v>
      </c>
      <c r="N656" t="s">
        <v>1179</v>
      </c>
      <c r="O656" t="s">
        <v>1806</v>
      </c>
      <c r="P656" t="s">
        <v>220</v>
      </c>
      <c r="Q656" t="s">
        <v>213</v>
      </c>
      <c r="R656">
        <f>27*0.3048</f>
        <v>8.2295999999999996</v>
      </c>
      <c r="S656">
        <f>28*0.3048</f>
        <v>8.5343999999999998</v>
      </c>
      <c r="T656" s="1" t="s">
        <v>3001</v>
      </c>
      <c r="U656" s="1" t="s">
        <v>3002</v>
      </c>
    </row>
    <row r="657" spans="1:21" x14ac:dyDescent="0.3">
      <c r="A657">
        <v>90</v>
      </c>
      <c r="B657" t="s">
        <v>733</v>
      </c>
      <c r="C657" s="4" t="s">
        <v>3003</v>
      </c>
      <c r="D657" t="s">
        <v>9</v>
      </c>
      <c r="E657">
        <v>1963</v>
      </c>
      <c r="F657" t="s">
        <v>1183</v>
      </c>
      <c r="G657">
        <v>1963</v>
      </c>
      <c r="H657">
        <v>45.691747700000001</v>
      </c>
      <c r="I657">
        <v>-73.435896099999994</v>
      </c>
      <c r="J657" t="s">
        <v>15</v>
      </c>
      <c r="K657" t="s">
        <v>1634</v>
      </c>
      <c r="L657" t="s">
        <v>1163</v>
      </c>
      <c r="M657">
        <f>30*0.3048</f>
        <v>9.1440000000000001</v>
      </c>
      <c r="N657" t="s">
        <v>1209</v>
      </c>
      <c r="O657" t="s">
        <v>1806</v>
      </c>
      <c r="P657" t="s">
        <v>220</v>
      </c>
      <c r="Q657" t="s">
        <v>213</v>
      </c>
      <c r="R657">
        <f>27*0.3048</f>
        <v>8.2295999999999996</v>
      </c>
      <c r="S657">
        <f>53*0.3048</f>
        <v>16.154400000000003</v>
      </c>
      <c r="T657" s="1" t="s">
        <v>3004</v>
      </c>
      <c r="U657" s="1" t="s">
        <v>3005</v>
      </c>
    </row>
    <row r="658" spans="1:21" x14ac:dyDescent="0.3">
      <c r="A658">
        <v>91</v>
      </c>
      <c r="B658" s="8" t="s">
        <v>737</v>
      </c>
      <c r="C658" s="4" t="s">
        <v>3012</v>
      </c>
      <c r="D658" t="s">
        <v>9</v>
      </c>
      <c r="E658">
        <v>1963</v>
      </c>
      <c r="F658" t="s">
        <v>1183</v>
      </c>
      <c r="G658">
        <v>1963</v>
      </c>
      <c r="H658">
        <v>45.659472221999998</v>
      </c>
      <c r="I658">
        <v>-73.402916667</v>
      </c>
      <c r="J658" t="s">
        <v>15</v>
      </c>
      <c r="K658" t="s">
        <v>1634</v>
      </c>
      <c r="L658" t="s">
        <v>1163</v>
      </c>
      <c r="M658">
        <f>30*0.3048</f>
        <v>9.1440000000000001</v>
      </c>
      <c r="N658" t="s">
        <v>1209</v>
      </c>
      <c r="O658" t="s">
        <v>1806</v>
      </c>
      <c r="P658" t="s">
        <v>212</v>
      </c>
      <c r="Q658" t="s">
        <v>213</v>
      </c>
      <c r="R658">
        <f>55*0.3048</f>
        <v>16.763999999999999</v>
      </c>
      <c r="S658">
        <f>58*0.3048</f>
        <v>17.6784</v>
      </c>
      <c r="T658" s="1" t="s">
        <v>3013</v>
      </c>
      <c r="U658" s="1" t="s">
        <v>3014</v>
      </c>
    </row>
    <row r="659" spans="1:21" x14ac:dyDescent="0.3">
      <c r="A659">
        <v>92</v>
      </c>
      <c r="B659" s="8" t="s">
        <v>738</v>
      </c>
      <c r="C659" s="4" t="s">
        <v>3015</v>
      </c>
      <c r="D659" t="s">
        <v>9</v>
      </c>
      <c r="E659">
        <v>1963</v>
      </c>
      <c r="F659" t="s">
        <v>1183</v>
      </c>
      <c r="G659">
        <v>1963</v>
      </c>
      <c r="H659">
        <v>45.658916667</v>
      </c>
      <c r="I659">
        <v>-73.437638888999999</v>
      </c>
      <c r="J659" t="s">
        <v>15</v>
      </c>
      <c r="K659" t="s">
        <v>1634</v>
      </c>
      <c r="L659" t="s">
        <v>1163</v>
      </c>
      <c r="M659">
        <f>3*0.3048</f>
        <v>0.9144000000000001</v>
      </c>
      <c r="N659" t="s">
        <v>1209</v>
      </c>
      <c r="O659" t="s">
        <v>1806</v>
      </c>
      <c r="P659" t="s">
        <v>220</v>
      </c>
      <c r="Q659" t="s">
        <v>213</v>
      </c>
      <c r="R659">
        <f>30*0.3048</f>
        <v>9.1440000000000001</v>
      </c>
      <c r="S659">
        <f>15*0.3048</f>
        <v>4.5720000000000001</v>
      </c>
      <c r="T659" s="1" t="s">
        <v>3016</v>
      </c>
      <c r="U659" s="1" t="s">
        <v>3017</v>
      </c>
    </row>
    <row r="660" spans="1:21" x14ac:dyDescent="0.3">
      <c r="A660">
        <v>93</v>
      </c>
      <c r="B660" s="8" t="s">
        <v>739</v>
      </c>
      <c r="C660" s="4" t="s">
        <v>3018</v>
      </c>
      <c r="D660" t="s">
        <v>9</v>
      </c>
      <c r="E660">
        <v>1963</v>
      </c>
      <c r="F660">
        <v>1963</v>
      </c>
      <c r="G660">
        <v>1963</v>
      </c>
      <c r="H660">
        <v>45.676708900000001</v>
      </c>
      <c r="I660">
        <v>-73.376333000000002</v>
      </c>
      <c r="J660" t="s">
        <v>15</v>
      </c>
      <c r="K660" t="s">
        <v>1634</v>
      </c>
      <c r="L660" t="s">
        <v>1163</v>
      </c>
      <c r="M660">
        <f>20*0.3048</f>
        <v>6.0960000000000001</v>
      </c>
      <c r="N660" t="s">
        <v>1209</v>
      </c>
      <c r="O660" t="s">
        <v>1806</v>
      </c>
      <c r="P660" t="s">
        <v>212</v>
      </c>
      <c r="Q660" t="s">
        <v>213</v>
      </c>
      <c r="R660">
        <f>62*0.3048</f>
        <v>18.897600000000001</v>
      </c>
      <c r="S660">
        <f>70*0.3048</f>
        <v>21.336000000000002</v>
      </c>
      <c r="T660" s="1" t="s">
        <v>3019</v>
      </c>
      <c r="U660" s="1" t="s">
        <v>3020</v>
      </c>
    </row>
    <row r="661" spans="1:21" x14ac:dyDescent="0.3">
      <c r="A661">
        <v>94</v>
      </c>
      <c r="B661" s="8" t="s">
        <v>741</v>
      </c>
      <c r="C661" s="4" t="s">
        <v>3024</v>
      </c>
      <c r="D661" t="s">
        <v>9</v>
      </c>
      <c r="E661">
        <v>1963</v>
      </c>
      <c r="F661" t="s">
        <v>1183</v>
      </c>
      <c r="G661">
        <v>1963</v>
      </c>
      <c r="H661">
        <v>45.666807222000003</v>
      </c>
      <c r="I661">
        <v>-73.376270278000007</v>
      </c>
      <c r="J661" t="s">
        <v>15</v>
      </c>
      <c r="K661" t="s">
        <v>1634</v>
      </c>
      <c r="L661" t="s">
        <v>1163</v>
      </c>
      <c r="M661">
        <f>20*0.3048</f>
        <v>6.0960000000000001</v>
      </c>
      <c r="N661" t="s">
        <v>1766</v>
      </c>
      <c r="O661" t="s">
        <v>1806</v>
      </c>
      <c r="P661" t="s">
        <v>220</v>
      </c>
      <c r="Q661" t="s">
        <v>213</v>
      </c>
      <c r="R661">
        <f>63*0.3048</f>
        <v>19.202400000000001</v>
      </c>
      <c r="S661">
        <f>36*0.3048</f>
        <v>10.972800000000001</v>
      </c>
      <c r="T661" s="1" t="s">
        <v>3026</v>
      </c>
      <c r="U661" s="1" t="s">
        <v>3027</v>
      </c>
    </row>
    <row r="662" spans="1:21" x14ac:dyDescent="0.3">
      <c r="A662">
        <v>95</v>
      </c>
      <c r="B662" s="8" t="s">
        <v>742</v>
      </c>
      <c r="C662" s="4" t="s">
        <v>3025</v>
      </c>
      <c r="D662" t="s">
        <v>9</v>
      </c>
      <c r="E662">
        <v>1963</v>
      </c>
      <c r="F662" t="s">
        <v>1183</v>
      </c>
      <c r="G662">
        <v>1963</v>
      </c>
      <c r="H662">
        <v>45.6586839</v>
      </c>
      <c r="I662">
        <v>-73.382475799999995</v>
      </c>
      <c r="J662" t="s">
        <v>15</v>
      </c>
      <c r="K662" t="s">
        <v>1634</v>
      </c>
      <c r="L662" t="s">
        <v>1163</v>
      </c>
      <c r="M662">
        <f>20*0.3048</f>
        <v>6.0960000000000001</v>
      </c>
      <c r="N662" t="s">
        <v>1766</v>
      </c>
      <c r="O662" t="s">
        <v>1806</v>
      </c>
      <c r="P662" t="s">
        <v>212</v>
      </c>
      <c r="Q662" t="s">
        <v>213</v>
      </c>
      <c r="R662">
        <f>63*0.3048</f>
        <v>19.202400000000001</v>
      </c>
      <c r="S662">
        <f>46*0.3048</f>
        <v>14.020800000000001</v>
      </c>
      <c r="T662" s="1" t="s">
        <v>3031</v>
      </c>
      <c r="U662" s="1" t="s">
        <v>3032</v>
      </c>
    </row>
    <row r="663" spans="1:21" x14ac:dyDescent="0.3">
      <c r="A663">
        <v>96</v>
      </c>
      <c r="B663" t="s">
        <v>744</v>
      </c>
      <c r="C663" s="4" t="s">
        <v>3033</v>
      </c>
      <c r="D663" t="s">
        <v>9</v>
      </c>
      <c r="E663">
        <v>1963</v>
      </c>
      <c r="F663" t="s">
        <v>1183</v>
      </c>
      <c r="G663">
        <v>1963</v>
      </c>
      <c r="H663">
        <v>45.681321599999997</v>
      </c>
      <c r="I663">
        <v>-73.430204399999994</v>
      </c>
      <c r="J663" t="s">
        <v>15</v>
      </c>
      <c r="K663" t="s">
        <v>1634</v>
      </c>
      <c r="L663" t="s">
        <v>1163</v>
      </c>
      <c r="M663">
        <f>20*0.3048</f>
        <v>6.0960000000000001</v>
      </c>
      <c r="N663" t="s">
        <v>1209</v>
      </c>
      <c r="O663" t="s">
        <v>1806</v>
      </c>
      <c r="P663" t="s">
        <v>212</v>
      </c>
      <c r="Q663" t="s">
        <v>213</v>
      </c>
      <c r="R663">
        <f>50*0.3048</f>
        <v>15.24</v>
      </c>
      <c r="S663">
        <f>75*0.3048</f>
        <v>22.86</v>
      </c>
      <c r="T663" s="1" t="s">
        <v>3034</v>
      </c>
      <c r="U663" s="1" t="s">
        <v>3035</v>
      </c>
    </row>
    <row r="664" spans="1:21" x14ac:dyDescent="0.3">
      <c r="A664">
        <v>97</v>
      </c>
      <c r="B664" s="8" t="s">
        <v>745</v>
      </c>
      <c r="C664" s="4" t="s">
        <v>3028</v>
      </c>
      <c r="D664" t="s">
        <v>9</v>
      </c>
      <c r="E664">
        <v>1963</v>
      </c>
      <c r="F664" t="s">
        <v>1183</v>
      </c>
      <c r="G664">
        <v>1963</v>
      </c>
      <c r="H664">
        <v>45.680956600000002</v>
      </c>
      <c r="I664">
        <v>-73.424694299999999</v>
      </c>
      <c r="J664" t="s">
        <v>15</v>
      </c>
      <c r="K664" t="s">
        <v>1634</v>
      </c>
      <c r="L664" t="s">
        <v>1163</v>
      </c>
      <c r="M664">
        <f>20*0.3048</f>
        <v>6.0960000000000001</v>
      </c>
      <c r="N664" t="s">
        <v>1209</v>
      </c>
      <c r="O664" t="s">
        <v>1806</v>
      </c>
      <c r="P664" t="s">
        <v>218</v>
      </c>
      <c r="Q664" t="s">
        <v>213</v>
      </c>
      <c r="R664">
        <f>50*0.3048</f>
        <v>15.24</v>
      </c>
      <c r="S664">
        <f>75*0.3048</f>
        <v>22.86</v>
      </c>
      <c r="T664" s="1" t="s">
        <v>3036</v>
      </c>
      <c r="U664" s="1" t="s">
        <v>3037</v>
      </c>
    </row>
    <row r="665" spans="1:21" x14ac:dyDescent="0.3">
      <c r="A665">
        <v>98</v>
      </c>
      <c r="B665" t="s">
        <v>747</v>
      </c>
      <c r="C665" s="4" t="s">
        <v>3030</v>
      </c>
      <c r="D665" t="s">
        <v>9</v>
      </c>
      <c r="E665">
        <v>1963</v>
      </c>
      <c r="F665" t="s">
        <v>1183</v>
      </c>
      <c r="G665">
        <v>1963</v>
      </c>
      <c r="H665">
        <v>45.676651100000001</v>
      </c>
      <c r="I665">
        <v>-73.430491500000002</v>
      </c>
      <c r="J665" t="s">
        <v>15</v>
      </c>
      <c r="K665" t="s">
        <v>1634</v>
      </c>
      <c r="L665" t="s">
        <v>1163</v>
      </c>
      <c r="M665">
        <f>30*0.3048</f>
        <v>9.1440000000000001</v>
      </c>
      <c r="N665" t="s">
        <v>1209</v>
      </c>
      <c r="O665" t="s">
        <v>1806</v>
      </c>
      <c r="P665" t="s">
        <v>212</v>
      </c>
      <c r="Q665" t="s">
        <v>213</v>
      </c>
      <c r="R665">
        <f>50*0.3048</f>
        <v>15.24</v>
      </c>
      <c r="S665">
        <f>70*0.3048</f>
        <v>21.336000000000002</v>
      </c>
      <c r="T665" s="1" t="s">
        <v>3040</v>
      </c>
      <c r="U665" s="1" t="s">
        <v>3041</v>
      </c>
    </row>
    <row r="666" spans="1:21" x14ac:dyDescent="0.3">
      <c r="A666">
        <v>99</v>
      </c>
      <c r="B666" s="8" t="s">
        <v>756</v>
      </c>
      <c r="C666" t="s">
        <v>1833</v>
      </c>
      <c r="D666" t="s">
        <v>9</v>
      </c>
      <c r="E666">
        <v>1963</v>
      </c>
      <c r="F666" t="s">
        <v>1183</v>
      </c>
      <c r="G666">
        <v>1963</v>
      </c>
      <c r="H666">
        <v>45.767150000000001</v>
      </c>
      <c r="I666">
        <v>-73.334950000000006</v>
      </c>
      <c r="J666" t="s">
        <v>15</v>
      </c>
      <c r="K666" t="s">
        <v>1634</v>
      </c>
      <c r="L666" t="s">
        <v>1163</v>
      </c>
      <c r="M666">
        <f>30*0.3048</f>
        <v>9.1440000000000001</v>
      </c>
      <c r="N666" t="s">
        <v>1225</v>
      </c>
      <c r="O666" t="s">
        <v>1806</v>
      </c>
      <c r="P666" t="s">
        <v>220</v>
      </c>
      <c r="Q666" t="s">
        <v>213</v>
      </c>
      <c r="R666">
        <f>56*0.3048</f>
        <v>17.0688</v>
      </c>
      <c r="S666">
        <f>96*0.3048</f>
        <v>29.260800000000003</v>
      </c>
      <c r="T666" s="1" t="s">
        <v>1834</v>
      </c>
      <c r="U666" s="1" t="s">
        <v>1835</v>
      </c>
    </row>
    <row r="667" spans="1:21" x14ac:dyDescent="0.3">
      <c r="A667">
        <v>100</v>
      </c>
      <c r="B667" s="8" t="s">
        <v>757</v>
      </c>
      <c r="C667" t="s">
        <v>1836</v>
      </c>
      <c r="D667" t="s">
        <v>9</v>
      </c>
      <c r="E667">
        <v>1963</v>
      </c>
      <c r="F667" t="s">
        <v>1183</v>
      </c>
      <c r="G667">
        <v>1963</v>
      </c>
      <c r="H667">
        <v>45.746599000000003</v>
      </c>
      <c r="I667">
        <v>-73.358701999999994</v>
      </c>
      <c r="J667" t="s">
        <v>15</v>
      </c>
      <c r="K667" t="s">
        <v>1634</v>
      </c>
      <c r="L667" t="s">
        <v>1163</v>
      </c>
      <c r="M667">
        <f>30*0.3048</f>
        <v>9.1440000000000001</v>
      </c>
      <c r="N667" t="s">
        <v>1219</v>
      </c>
      <c r="O667" t="s">
        <v>1806</v>
      </c>
      <c r="P667" t="s">
        <v>220</v>
      </c>
      <c r="Q667" t="s">
        <v>213</v>
      </c>
      <c r="R667">
        <f>56*0.3048</f>
        <v>17.0688</v>
      </c>
      <c r="S667">
        <f>96*0.3048</f>
        <v>29.260800000000003</v>
      </c>
      <c r="T667" s="1" t="s">
        <v>1837</v>
      </c>
      <c r="U667" s="1" t="s">
        <v>1838</v>
      </c>
    </row>
    <row r="668" spans="1:21" x14ac:dyDescent="0.3">
      <c r="A668">
        <v>101</v>
      </c>
      <c r="B668" s="8" t="s">
        <v>759</v>
      </c>
      <c r="C668" t="s">
        <v>1842</v>
      </c>
      <c r="D668" t="s">
        <v>9</v>
      </c>
      <c r="E668">
        <v>1963</v>
      </c>
      <c r="F668" t="s">
        <v>1183</v>
      </c>
      <c r="G668">
        <v>1963</v>
      </c>
      <c r="H668">
        <v>45.776066999999998</v>
      </c>
      <c r="I668">
        <v>-73.359266000000005</v>
      </c>
      <c r="J668" t="s">
        <v>15</v>
      </c>
      <c r="K668" t="s">
        <v>1634</v>
      </c>
      <c r="L668" t="s">
        <v>1163</v>
      </c>
      <c r="M668">
        <f>30*0.3048</f>
        <v>9.1440000000000001</v>
      </c>
      <c r="N668" t="s">
        <v>1209</v>
      </c>
      <c r="O668" t="s">
        <v>1806</v>
      </c>
      <c r="P668" t="s">
        <v>212</v>
      </c>
      <c r="Q668" t="s">
        <v>213</v>
      </c>
      <c r="R668">
        <f>25*0.3048</f>
        <v>7.62</v>
      </c>
      <c r="S668">
        <f>63*0.3048</f>
        <v>19.202400000000001</v>
      </c>
      <c r="T668" s="1" t="s">
        <v>1843</v>
      </c>
      <c r="U668" s="1" t="s">
        <v>1844</v>
      </c>
    </row>
    <row r="669" spans="1:21" x14ac:dyDescent="0.3">
      <c r="A669">
        <v>102</v>
      </c>
      <c r="B669" s="8" t="s">
        <v>760</v>
      </c>
      <c r="C669" t="s">
        <v>1845</v>
      </c>
      <c r="D669" t="s">
        <v>9</v>
      </c>
      <c r="E669">
        <v>1963</v>
      </c>
      <c r="F669" t="s">
        <v>1183</v>
      </c>
      <c r="G669">
        <v>1963</v>
      </c>
      <c r="H669">
        <v>45.786196599999997</v>
      </c>
      <c r="I669">
        <v>-73.333316199999999</v>
      </c>
      <c r="J669" t="s">
        <v>15</v>
      </c>
      <c r="K669" t="s">
        <v>1634</v>
      </c>
      <c r="L669" t="s">
        <v>1163</v>
      </c>
      <c r="M669">
        <f>20*0.3048</f>
        <v>6.0960000000000001</v>
      </c>
      <c r="N669" t="s">
        <v>1219</v>
      </c>
      <c r="O669" t="s">
        <v>1806</v>
      </c>
      <c r="P669" t="s">
        <v>220</v>
      </c>
      <c r="Q669" t="s">
        <v>213</v>
      </c>
      <c r="R669">
        <f>45*0.3048</f>
        <v>13.716000000000001</v>
      </c>
      <c r="S669">
        <f>54*0.3048</f>
        <v>16.459199999999999</v>
      </c>
      <c r="T669" s="1" t="s">
        <v>1846</v>
      </c>
      <c r="U669" s="1" t="s">
        <v>1847</v>
      </c>
    </row>
    <row r="670" spans="1:21" x14ac:dyDescent="0.3">
      <c r="A670">
        <v>103</v>
      </c>
      <c r="B670" s="8" t="s">
        <v>761</v>
      </c>
      <c r="C670" t="s">
        <v>1848</v>
      </c>
      <c r="D670" t="s">
        <v>9</v>
      </c>
      <c r="E670">
        <v>1956</v>
      </c>
      <c r="F670" t="s">
        <v>1183</v>
      </c>
      <c r="G670">
        <v>1956</v>
      </c>
      <c r="H670">
        <v>45.973140999999998</v>
      </c>
      <c r="I670">
        <v>-73.235971000000006</v>
      </c>
      <c r="J670" t="s">
        <v>29</v>
      </c>
      <c r="K670" t="s">
        <v>1634</v>
      </c>
      <c r="L670" t="s">
        <v>1163</v>
      </c>
      <c r="M670" t="s">
        <v>1183</v>
      </c>
      <c r="N670" t="s">
        <v>1183</v>
      </c>
      <c r="O670" t="s">
        <v>1849</v>
      </c>
      <c r="P670" t="s">
        <v>220</v>
      </c>
      <c r="Q670" t="s">
        <v>404</v>
      </c>
      <c r="R670" t="s">
        <v>1183</v>
      </c>
      <c r="S670">
        <f>100*0.3048</f>
        <v>30.48</v>
      </c>
      <c r="T670" s="1" t="s">
        <v>1850</v>
      </c>
      <c r="U670" s="1" t="s">
        <v>1851</v>
      </c>
    </row>
    <row r="671" spans="1:21" x14ac:dyDescent="0.3">
      <c r="A671">
        <v>104</v>
      </c>
      <c r="B671" s="8" t="s">
        <v>762</v>
      </c>
      <c r="C671" t="s">
        <v>1852</v>
      </c>
      <c r="D671" t="s">
        <v>9</v>
      </c>
      <c r="E671">
        <v>1957</v>
      </c>
      <c r="F671" t="s">
        <v>1183</v>
      </c>
      <c r="G671">
        <v>1957</v>
      </c>
      <c r="H671">
        <v>46.040137999999999</v>
      </c>
      <c r="I671">
        <v>-73.073791</v>
      </c>
      <c r="J671" t="s">
        <v>15</v>
      </c>
      <c r="K671" t="s">
        <v>1634</v>
      </c>
      <c r="L671" t="s">
        <v>1173</v>
      </c>
      <c r="M671" t="s">
        <v>1183</v>
      </c>
      <c r="N671" t="s">
        <v>1853</v>
      </c>
      <c r="O671" t="s">
        <v>1304</v>
      </c>
      <c r="P671" t="s">
        <v>220</v>
      </c>
      <c r="Q671" t="s">
        <v>213</v>
      </c>
      <c r="R671">
        <f>21*0.3048</f>
        <v>6.4008000000000003</v>
      </c>
      <c r="S671">
        <f>230*0.3048</f>
        <v>70.103999999999999</v>
      </c>
      <c r="T671" s="1" t="s">
        <v>1854</v>
      </c>
      <c r="U671" s="1" t="s">
        <v>1855</v>
      </c>
    </row>
    <row r="672" spans="1:21" x14ac:dyDescent="0.3">
      <c r="A672">
        <v>105</v>
      </c>
      <c r="B672" s="8" t="s">
        <v>763</v>
      </c>
      <c r="C672" t="s">
        <v>1856</v>
      </c>
      <c r="D672" t="s">
        <v>9</v>
      </c>
      <c r="E672">
        <v>1957</v>
      </c>
      <c r="F672" t="s">
        <v>1183</v>
      </c>
      <c r="G672">
        <v>1957</v>
      </c>
      <c r="H672">
        <v>45.953378999999998</v>
      </c>
      <c r="I672">
        <v>-73.095667000000006</v>
      </c>
      <c r="J672" t="s">
        <v>15</v>
      </c>
      <c r="K672" t="s">
        <v>1634</v>
      </c>
      <c r="L672" t="s">
        <v>1173</v>
      </c>
      <c r="M672" t="s">
        <v>1183</v>
      </c>
      <c r="N672" t="s">
        <v>1857</v>
      </c>
      <c r="O672" t="s">
        <v>1304</v>
      </c>
      <c r="P672" t="s">
        <v>220</v>
      </c>
      <c r="Q672" t="s">
        <v>213</v>
      </c>
      <c r="R672">
        <f>73*0.3048</f>
        <v>22.250400000000003</v>
      </c>
      <c r="S672">
        <f>218*0.3048</f>
        <v>66.446399999999997</v>
      </c>
      <c r="T672" s="1" t="s">
        <v>1858</v>
      </c>
      <c r="U672" s="1" t="s">
        <v>1859</v>
      </c>
    </row>
    <row r="673" spans="1:21" x14ac:dyDescent="0.3">
      <c r="A673">
        <v>106</v>
      </c>
      <c r="B673" s="8" t="s">
        <v>764</v>
      </c>
      <c r="C673" t="s">
        <v>1860</v>
      </c>
      <c r="D673" t="s">
        <v>9</v>
      </c>
      <c r="E673">
        <v>1957</v>
      </c>
      <c r="F673" t="s">
        <v>1183</v>
      </c>
      <c r="G673">
        <v>1957</v>
      </c>
      <c r="H673">
        <v>45.966323899999999</v>
      </c>
      <c r="I673">
        <v>-73.140198999999996</v>
      </c>
      <c r="J673" t="s">
        <v>15</v>
      </c>
      <c r="K673" t="s">
        <v>1634</v>
      </c>
      <c r="L673" t="s">
        <v>1173</v>
      </c>
      <c r="M673" t="s">
        <v>1183</v>
      </c>
      <c r="N673" t="s">
        <v>1225</v>
      </c>
      <c r="O673" t="s">
        <v>1304</v>
      </c>
      <c r="P673" t="s">
        <v>220</v>
      </c>
      <c r="Q673" t="s">
        <v>213</v>
      </c>
      <c r="R673" t="s">
        <v>1183</v>
      </c>
      <c r="S673">
        <f>365*0.3048</f>
        <v>111.25200000000001</v>
      </c>
      <c r="T673" s="1" t="s">
        <v>1861</v>
      </c>
      <c r="U673" s="1" t="s">
        <v>1862</v>
      </c>
    </row>
    <row r="674" spans="1:21" x14ac:dyDescent="0.3">
      <c r="A674">
        <v>107</v>
      </c>
      <c r="B674" s="8" t="s">
        <v>770</v>
      </c>
      <c r="C674" t="s">
        <v>1878</v>
      </c>
      <c r="D674" t="s">
        <v>9</v>
      </c>
      <c r="E674">
        <v>1957</v>
      </c>
      <c r="F674" t="s">
        <v>1183</v>
      </c>
      <c r="G674">
        <v>1957</v>
      </c>
      <c r="H674">
        <v>46.451398300000001</v>
      </c>
      <c r="I674">
        <v>-72.555116400000003</v>
      </c>
      <c r="J674" t="s">
        <v>12</v>
      </c>
      <c r="K674" t="s">
        <v>1634</v>
      </c>
      <c r="L674" t="s">
        <v>1173</v>
      </c>
      <c r="M674">
        <f>99*0.3048</f>
        <v>30.1752</v>
      </c>
      <c r="N674" t="s">
        <v>1183</v>
      </c>
      <c r="O674" t="s">
        <v>1216</v>
      </c>
      <c r="P674" t="s">
        <v>212</v>
      </c>
      <c r="Q674" t="s">
        <v>213</v>
      </c>
      <c r="R674" t="s">
        <v>1183</v>
      </c>
      <c r="S674">
        <f>137*0.3048</f>
        <v>41.757600000000004</v>
      </c>
      <c r="T674" s="1" t="s">
        <v>1879</v>
      </c>
      <c r="U674" s="1" t="s">
        <v>1880</v>
      </c>
    </row>
    <row r="675" spans="1:21" x14ac:dyDescent="0.3">
      <c r="A675">
        <v>108</v>
      </c>
      <c r="B675" t="s">
        <v>772</v>
      </c>
      <c r="C675" s="4" t="s">
        <v>3054</v>
      </c>
      <c r="D675" t="s">
        <v>9</v>
      </c>
      <c r="E675">
        <v>1957</v>
      </c>
      <c r="F675">
        <v>1957</v>
      </c>
      <c r="G675" t="s">
        <v>1183</v>
      </c>
      <c r="H675">
        <v>46.4722486</v>
      </c>
      <c r="I675">
        <v>-72.5387767</v>
      </c>
      <c r="J675" t="s">
        <v>12</v>
      </c>
      <c r="K675" t="s">
        <v>1634</v>
      </c>
      <c r="L675" t="s">
        <v>1173</v>
      </c>
      <c r="M675">
        <f>67*0.3048</f>
        <v>20.421600000000002</v>
      </c>
      <c r="N675" t="s">
        <v>1183</v>
      </c>
      <c r="O675" t="s">
        <v>1216</v>
      </c>
      <c r="P675" t="s">
        <v>220</v>
      </c>
      <c r="Q675" t="s">
        <v>404</v>
      </c>
      <c r="R675" t="s">
        <v>1183</v>
      </c>
      <c r="S675">
        <f>79*0.3048</f>
        <v>24.0792</v>
      </c>
      <c r="T675" s="1" t="s">
        <v>3055</v>
      </c>
      <c r="U675" s="1" t="s">
        <v>3056</v>
      </c>
    </row>
    <row r="676" spans="1:21" x14ac:dyDescent="0.3">
      <c r="A676">
        <v>109</v>
      </c>
      <c r="B676" t="s">
        <v>775</v>
      </c>
      <c r="C676" s="4" t="s">
        <v>3057</v>
      </c>
      <c r="D676" t="s">
        <v>9</v>
      </c>
      <c r="E676">
        <v>1957</v>
      </c>
      <c r="F676">
        <v>1957</v>
      </c>
      <c r="G676">
        <v>2010</v>
      </c>
      <c r="H676">
        <v>46.475063900000002</v>
      </c>
      <c r="I676">
        <v>-72.542538899999997</v>
      </c>
      <c r="J676" t="s">
        <v>12</v>
      </c>
      <c r="K676" t="s">
        <v>1634</v>
      </c>
      <c r="L676" t="s">
        <v>1173</v>
      </c>
      <c r="M676">
        <f>37*0.3048</f>
        <v>11.277600000000001</v>
      </c>
      <c r="N676" t="s">
        <v>1183</v>
      </c>
      <c r="O676" t="s">
        <v>1216</v>
      </c>
      <c r="P676" t="s">
        <v>220</v>
      </c>
      <c r="Q676" t="s">
        <v>404</v>
      </c>
      <c r="R676" t="s">
        <v>1183</v>
      </c>
      <c r="S676">
        <f>49*0.3048</f>
        <v>14.9352</v>
      </c>
      <c r="T676" s="1" t="s">
        <v>3058</v>
      </c>
      <c r="U676" s="1" t="s">
        <v>3059</v>
      </c>
    </row>
    <row r="677" spans="1:21" x14ac:dyDescent="0.3">
      <c r="A677">
        <v>110</v>
      </c>
      <c r="B677" t="s">
        <v>779</v>
      </c>
      <c r="C677" s="4" t="s">
        <v>3060</v>
      </c>
      <c r="D677" t="s">
        <v>9</v>
      </c>
      <c r="E677">
        <v>1962</v>
      </c>
      <c r="F677" t="s">
        <v>1183</v>
      </c>
      <c r="G677">
        <v>1962</v>
      </c>
      <c r="H677">
        <v>45.774758300000002</v>
      </c>
      <c r="I677">
        <v>-73.445746999999997</v>
      </c>
      <c r="J677" t="s">
        <v>29</v>
      </c>
      <c r="K677" t="s">
        <v>1634</v>
      </c>
      <c r="L677" t="s">
        <v>1173</v>
      </c>
      <c r="M677">
        <f>30*0.3048</f>
        <v>9.1440000000000001</v>
      </c>
      <c r="N677" t="s">
        <v>1209</v>
      </c>
      <c r="O677" t="s">
        <v>1217</v>
      </c>
      <c r="P677" t="s">
        <v>220</v>
      </c>
      <c r="Q677" t="s">
        <v>404</v>
      </c>
      <c r="R677" t="s">
        <v>1183</v>
      </c>
      <c r="S677">
        <f>123*0.3048</f>
        <v>37.490400000000001</v>
      </c>
      <c r="T677" s="1" t="s">
        <v>3061</v>
      </c>
      <c r="U677" s="1" t="s">
        <v>3062</v>
      </c>
    </row>
    <row r="678" spans="1:21" x14ac:dyDescent="0.3">
      <c r="A678">
        <v>111</v>
      </c>
      <c r="B678" t="s">
        <v>780</v>
      </c>
      <c r="C678" s="4" t="s">
        <v>3063</v>
      </c>
      <c r="D678" t="s">
        <v>9</v>
      </c>
      <c r="E678">
        <v>1962</v>
      </c>
      <c r="F678" t="s">
        <v>1183</v>
      </c>
      <c r="G678">
        <v>1962</v>
      </c>
      <c r="H678">
        <v>45.771132700000003</v>
      </c>
      <c r="I678">
        <v>-73.417480100000006</v>
      </c>
      <c r="J678" t="s">
        <v>29</v>
      </c>
      <c r="K678" t="s">
        <v>1634</v>
      </c>
      <c r="L678" t="s">
        <v>1173</v>
      </c>
      <c r="M678" t="s">
        <v>1183</v>
      </c>
      <c r="N678" t="s">
        <v>1209</v>
      </c>
      <c r="O678" t="s">
        <v>1217</v>
      </c>
      <c r="P678" t="s">
        <v>220</v>
      </c>
      <c r="Q678" t="s">
        <v>404</v>
      </c>
      <c r="R678" t="s">
        <v>1183</v>
      </c>
      <c r="S678">
        <f>5*0.3048</f>
        <v>1.524</v>
      </c>
      <c r="T678" s="1" t="s">
        <v>3064</v>
      </c>
      <c r="U678" s="1" t="s">
        <v>3065</v>
      </c>
    </row>
    <row r="679" spans="1:21" x14ac:dyDescent="0.3">
      <c r="A679">
        <v>112</v>
      </c>
      <c r="B679" t="s">
        <v>782</v>
      </c>
      <c r="C679" s="4" t="s">
        <v>3066</v>
      </c>
      <c r="D679" t="s">
        <v>9</v>
      </c>
      <c r="E679">
        <v>1962</v>
      </c>
      <c r="F679" t="s">
        <v>1183</v>
      </c>
      <c r="G679">
        <v>1962</v>
      </c>
      <c r="H679">
        <v>45.826642</v>
      </c>
      <c r="I679">
        <v>-73.360512700000001</v>
      </c>
      <c r="J679" t="s">
        <v>29</v>
      </c>
      <c r="K679" t="s">
        <v>1634</v>
      </c>
      <c r="L679" t="s">
        <v>1173</v>
      </c>
      <c r="M679">
        <f>30*0.3048</f>
        <v>9.1440000000000001</v>
      </c>
      <c r="N679" t="s">
        <v>1219</v>
      </c>
      <c r="O679" t="s">
        <v>1217</v>
      </c>
      <c r="P679" t="s">
        <v>212</v>
      </c>
      <c r="Q679" t="s">
        <v>213</v>
      </c>
      <c r="R679" t="s">
        <v>1183</v>
      </c>
      <c r="S679">
        <f>58*0.3048</f>
        <v>17.6784</v>
      </c>
      <c r="T679" s="1" t="s">
        <v>3067</v>
      </c>
      <c r="U679" s="1" t="s">
        <v>3068</v>
      </c>
    </row>
    <row r="680" spans="1:21" x14ac:dyDescent="0.3">
      <c r="A680">
        <v>113</v>
      </c>
      <c r="B680" s="8" t="s">
        <v>783</v>
      </c>
      <c r="C680" s="4" t="s">
        <v>3069</v>
      </c>
      <c r="D680" t="s">
        <v>9</v>
      </c>
      <c r="E680">
        <v>1962</v>
      </c>
      <c r="F680" t="s">
        <v>1183</v>
      </c>
      <c r="G680">
        <v>1962</v>
      </c>
      <c r="H680">
        <v>45.834373300000003</v>
      </c>
      <c r="I680">
        <v>-73.333301300000002</v>
      </c>
      <c r="J680" t="s">
        <v>29</v>
      </c>
      <c r="K680" t="s">
        <v>1634</v>
      </c>
      <c r="L680" t="s">
        <v>1173</v>
      </c>
      <c r="M680">
        <f>30*0.3048</f>
        <v>9.1440000000000001</v>
      </c>
      <c r="N680" t="s">
        <v>1209</v>
      </c>
      <c r="O680" t="s">
        <v>1217</v>
      </c>
      <c r="P680" t="s">
        <v>212</v>
      </c>
      <c r="Q680" t="s">
        <v>213</v>
      </c>
      <c r="R680" t="s">
        <v>1183</v>
      </c>
      <c r="S680">
        <f>73*0.3048</f>
        <v>22.250400000000003</v>
      </c>
      <c r="T680" s="1" t="s">
        <v>3070</v>
      </c>
      <c r="U680" s="1" t="s">
        <v>3071</v>
      </c>
    </row>
    <row r="681" spans="1:21" x14ac:dyDescent="0.3">
      <c r="A681">
        <v>114</v>
      </c>
      <c r="B681" t="s">
        <v>784</v>
      </c>
      <c r="C681" s="4" t="s">
        <v>3072</v>
      </c>
      <c r="D681" t="s">
        <v>9</v>
      </c>
      <c r="E681">
        <v>1962</v>
      </c>
      <c r="F681">
        <v>1962</v>
      </c>
      <c r="G681" t="s">
        <v>1183</v>
      </c>
      <c r="H681">
        <v>45.826605100000002</v>
      </c>
      <c r="I681">
        <v>-73.360377900000003</v>
      </c>
      <c r="J681" t="s">
        <v>29</v>
      </c>
      <c r="K681" t="s">
        <v>1634</v>
      </c>
      <c r="L681" t="s">
        <v>1173</v>
      </c>
      <c r="M681">
        <f>50*0.3048</f>
        <v>15.24</v>
      </c>
      <c r="N681" t="s">
        <v>1209</v>
      </c>
      <c r="O681" t="s">
        <v>1217</v>
      </c>
      <c r="P681" t="s">
        <v>212</v>
      </c>
      <c r="Q681" t="s">
        <v>404</v>
      </c>
      <c r="R681" t="s">
        <v>1183</v>
      </c>
      <c r="S681">
        <f>58*0.3048</f>
        <v>17.6784</v>
      </c>
      <c r="T681" s="1" t="s">
        <v>3073</v>
      </c>
      <c r="U681" s="1" t="s">
        <v>3074</v>
      </c>
    </row>
    <row r="682" spans="1:21" x14ac:dyDescent="0.3">
      <c r="A682">
        <v>115</v>
      </c>
      <c r="B682" t="s">
        <v>789</v>
      </c>
      <c r="C682" s="4" t="s">
        <v>3081</v>
      </c>
      <c r="D682" t="s">
        <v>9</v>
      </c>
      <c r="E682">
        <v>1958</v>
      </c>
      <c r="F682" t="s">
        <v>1183</v>
      </c>
      <c r="G682">
        <v>1957</v>
      </c>
      <c r="H682">
        <v>46.3845454</v>
      </c>
      <c r="I682">
        <v>-72.678709499999997</v>
      </c>
      <c r="J682" t="s">
        <v>12</v>
      </c>
      <c r="K682" t="s">
        <v>1634</v>
      </c>
      <c r="L682" t="s">
        <v>1163</v>
      </c>
      <c r="M682">
        <f>140*0.3048</f>
        <v>42.672000000000004</v>
      </c>
      <c r="N682" t="s">
        <v>1208</v>
      </c>
      <c r="O682" t="s">
        <v>3082</v>
      </c>
      <c r="P682" t="s">
        <v>220</v>
      </c>
      <c r="Q682" t="s">
        <v>213</v>
      </c>
      <c r="R682" t="s">
        <v>1183</v>
      </c>
      <c r="S682">
        <f>141*0.3048</f>
        <v>42.976800000000004</v>
      </c>
      <c r="T682" s="1" t="s">
        <v>3083</v>
      </c>
      <c r="U682" s="1" t="s">
        <v>3084</v>
      </c>
    </row>
    <row r="683" spans="1:21" x14ac:dyDescent="0.3">
      <c r="A683">
        <v>116</v>
      </c>
      <c r="B683" t="s">
        <v>790</v>
      </c>
      <c r="C683" s="4" t="s">
        <v>3085</v>
      </c>
      <c r="D683" t="s">
        <v>9</v>
      </c>
      <c r="E683">
        <v>1960</v>
      </c>
      <c r="F683" t="s">
        <v>1183</v>
      </c>
      <c r="G683">
        <v>1960</v>
      </c>
      <c r="H683">
        <v>46.363568100000002</v>
      </c>
      <c r="I683">
        <v>-72.804152299999998</v>
      </c>
      <c r="J683" t="s">
        <v>12</v>
      </c>
      <c r="K683" t="s">
        <v>1634</v>
      </c>
      <c r="L683" t="s">
        <v>1205</v>
      </c>
      <c r="M683">
        <f>50*0.3048</f>
        <v>15.24</v>
      </c>
      <c r="N683" t="s">
        <v>1183</v>
      </c>
      <c r="O683" t="s">
        <v>1186</v>
      </c>
      <c r="P683" t="s">
        <v>220</v>
      </c>
      <c r="Q683" t="s">
        <v>404</v>
      </c>
      <c r="R683" t="s">
        <v>1183</v>
      </c>
      <c r="S683">
        <f>297*0.3048</f>
        <v>90.525600000000011</v>
      </c>
      <c r="T683" s="1" t="s">
        <v>3086</v>
      </c>
      <c r="U683" s="1" t="s">
        <v>3087</v>
      </c>
    </row>
    <row r="684" spans="1:21" x14ac:dyDescent="0.3">
      <c r="A684">
        <v>117</v>
      </c>
      <c r="B684" s="8" t="s">
        <v>792</v>
      </c>
      <c r="C684" t="s">
        <v>1912</v>
      </c>
      <c r="D684" t="s">
        <v>9</v>
      </c>
      <c r="E684">
        <v>1960</v>
      </c>
      <c r="F684" t="s">
        <v>1183</v>
      </c>
      <c r="G684">
        <v>1960</v>
      </c>
      <c r="H684">
        <v>46.333100000000002</v>
      </c>
      <c r="I684">
        <v>-72.673400000000001</v>
      </c>
      <c r="J684" t="s">
        <v>12</v>
      </c>
      <c r="K684" t="s">
        <v>1634</v>
      </c>
      <c r="L684" t="s">
        <v>1163</v>
      </c>
      <c r="M684">
        <f>210*0.3048</f>
        <v>64.00800000000001</v>
      </c>
      <c r="N684" t="s">
        <v>1183</v>
      </c>
      <c r="O684" t="s">
        <v>1186</v>
      </c>
      <c r="P684" t="s">
        <v>212</v>
      </c>
      <c r="Q684" t="s">
        <v>404</v>
      </c>
      <c r="R684" t="s">
        <v>1183</v>
      </c>
      <c r="S684">
        <f>210*0.3048</f>
        <v>64.00800000000001</v>
      </c>
      <c r="T684" s="1" t="s">
        <v>1913</v>
      </c>
      <c r="U684" s="1" t="s">
        <v>1914</v>
      </c>
    </row>
    <row r="685" spans="1:21" x14ac:dyDescent="0.3">
      <c r="A685">
        <v>118</v>
      </c>
      <c r="B685" s="8" t="s">
        <v>793</v>
      </c>
      <c r="C685" t="s">
        <v>1915</v>
      </c>
      <c r="D685" t="s">
        <v>9</v>
      </c>
      <c r="E685">
        <v>1960</v>
      </c>
      <c r="F685">
        <v>1960</v>
      </c>
      <c r="G685" t="s">
        <v>1183</v>
      </c>
      <c r="H685">
        <v>46.333100000000002</v>
      </c>
      <c r="I685">
        <v>-72.673400000000001</v>
      </c>
      <c r="J685" t="s">
        <v>12</v>
      </c>
      <c r="K685" t="s">
        <v>1634</v>
      </c>
      <c r="L685" t="s">
        <v>1163</v>
      </c>
      <c r="M685">
        <f>186*0.3048</f>
        <v>56.692800000000005</v>
      </c>
      <c r="N685" t="s">
        <v>1183</v>
      </c>
      <c r="O685" t="s">
        <v>1186</v>
      </c>
      <c r="P685" t="s">
        <v>220</v>
      </c>
      <c r="Q685" t="s">
        <v>404</v>
      </c>
      <c r="R685" t="s">
        <v>1183</v>
      </c>
      <c r="S685">
        <f>216*0.3048</f>
        <v>65.836799999999997</v>
      </c>
      <c r="T685" s="1" t="s">
        <v>1916</v>
      </c>
      <c r="U685" s="1" t="s">
        <v>1917</v>
      </c>
    </row>
    <row r="686" spans="1:21" x14ac:dyDescent="0.3">
      <c r="A686">
        <v>119</v>
      </c>
      <c r="B686" s="8" t="s">
        <v>795</v>
      </c>
      <c r="C686" t="s">
        <v>1919</v>
      </c>
      <c r="D686" t="s">
        <v>9</v>
      </c>
      <c r="E686">
        <v>1964</v>
      </c>
      <c r="F686" t="s">
        <v>1183</v>
      </c>
      <c r="G686">
        <v>1964</v>
      </c>
      <c r="H686">
        <v>45.669944999999998</v>
      </c>
      <c r="I686">
        <v>-73.649994000000007</v>
      </c>
      <c r="J686" t="s">
        <v>1397</v>
      </c>
      <c r="K686" t="s">
        <v>1634</v>
      </c>
      <c r="L686" t="s">
        <v>1167</v>
      </c>
      <c r="M686" t="s">
        <v>1183</v>
      </c>
      <c r="N686" t="s">
        <v>1183</v>
      </c>
      <c r="O686" t="s">
        <v>1453</v>
      </c>
      <c r="P686" t="s">
        <v>220</v>
      </c>
      <c r="Q686" t="s">
        <v>213</v>
      </c>
      <c r="R686" t="s">
        <v>1183</v>
      </c>
      <c r="S686">
        <f>298*0.3048</f>
        <v>90.830400000000012</v>
      </c>
      <c r="T686" s="1" t="s">
        <v>1920</v>
      </c>
      <c r="U686" s="1" t="s">
        <v>1921</v>
      </c>
    </row>
    <row r="687" spans="1:21" x14ac:dyDescent="0.3">
      <c r="A687">
        <v>120</v>
      </c>
      <c r="B687" s="8" t="s">
        <v>796</v>
      </c>
      <c r="C687" t="s">
        <v>1922</v>
      </c>
      <c r="D687" t="s">
        <v>9</v>
      </c>
      <c r="E687">
        <v>1964</v>
      </c>
      <c r="F687" t="s">
        <v>1183</v>
      </c>
      <c r="G687">
        <v>1964</v>
      </c>
      <c r="H687">
        <v>45.667203499999999</v>
      </c>
      <c r="I687">
        <v>-73.640698599999993</v>
      </c>
      <c r="J687" t="s">
        <v>1397</v>
      </c>
      <c r="K687" t="s">
        <v>1634</v>
      </c>
      <c r="L687" t="s">
        <v>1167</v>
      </c>
      <c r="M687" t="s">
        <v>1183</v>
      </c>
      <c r="N687" t="s">
        <v>1183</v>
      </c>
      <c r="O687" t="s">
        <v>1453</v>
      </c>
      <c r="P687" t="s">
        <v>220</v>
      </c>
      <c r="Q687" t="s">
        <v>213</v>
      </c>
      <c r="R687" t="s">
        <v>1183</v>
      </c>
      <c r="S687">
        <f>234*0.3048</f>
        <v>71.3232</v>
      </c>
      <c r="T687" s="1" t="s">
        <v>1923</v>
      </c>
      <c r="U687" s="1" t="s">
        <v>1924</v>
      </c>
    </row>
    <row r="688" spans="1:21" x14ac:dyDescent="0.3">
      <c r="A688">
        <v>121</v>
      </c>
      <c r="B688" s="8" t="s">
        <v>797</v>
      </c>
      <c r="C688" t="s">
        <v>1925</v>
      </c>
      <c r="D688" t="s">
        <v>9</v>
      </c>
      <c r="E688">
        <v>1964</v>
      </c>
      <c r="F688" t="s">
        <v>1183</v>
      </c>
      <c r="G688">
        <v>1964</v>
      </c>
      <c r="H688">
        <v>45.671232000000003</v>
      </c>
      <c r="I688">
        <v>-73.660804999999996</v>
      </c>
      <c r="J688" t="s">
        <v>1397</v>
      </c>
      <c r="K688" t="s">
        <v>1634</v>
      </c>
      <c r="L688" t="s">
        <v>1167</v>
      </c>
      <c r="M688" t="s">
        <v>1183</v>
      </c>
      <c r="N688" t="s">
        <v>1183</v>
      </c>
      <c r="O688" t="s">
        <v>1453</v>
      </c>
      <c r="P688" t="s">
        <v>220</v>
      </c>
      <c r="Q688" t="s">
        <v>213</v>
      </c>
      <c r="R688">
        <f>81*0.3048</f>
        <v>24.688800000000001</v>
      </c>
      <c r="S688">
        <f>200*0.3048</f>
        <v>60.96</v>
      </c>
      <c r="T688" s="1" t="s">
        <v>1926</v>
      </c>
      <c r="U688" s="1" t="s">
        <v>1927</v>
      </c>
    </row>
    <row r="689" spans="1:21" x14ac:dyDescent="0.3">
      <c r="A689">
        <v>122</v>
      </c>
      <c r="B689" s="8" t="s">
        <v>798</v>
      </c>
      <c r="C689" t="s">
        <v>1928</v>
      </c>
      <c r="D689" t="s">
        <v>9</v>
      </c>
      <c r="E689">
        <v>1964</v>
      </c>
      <c r="F689" t="s">
        <v>1183</v>
      </c>
      <c r="G689">
        <v>1964</v>
      </c>
      <c r="H689">
        <v>45.665292000000001</v>
      </c>
      <c r="I689">
        <v>-73.667905000000005</v>
      </c>
      <c r="J689" t="s">
        <v>1397</v>
      </c>
      <c r="K689" t="s">
        <v>1634</v>
      </c>
      <c r="L689" t="s">
        <v>1167</v>
      </c>
      <c r="M689" t="s">
        <v>1183</v>
      </c>
      <c r="N689" t="s">
        <v>1183</v>
      </c>
      <c r="O689" t="s">
        <v>1453</v>
      </c>
      <c r="P689" t="s">
        <v>220</v>
      </c>
      <c r="Q689" t="s">
        <v>213</v>
      </c>
      <c r="R689" t="s">
        <v>1183</v>
      </c>
      <c r="S689">
        <f>478*0.3048</f>
        <v>145.6944</v>
      </c>
      <c r="T689" s="1" t="s">
        <v>1929</v>
      </c>
      <c r="U689" s="1" t="s">
        <v>1930</v>
      </c>
    </row>
    <row r="690" spans="1:21" x14ac:dyDescent="0.3">
      <c r="A690">
        <v>123</v>
      </c>
      <c r="B690" s="8" t="s">
        <v>800</v>
      </c>
      <c r="C690" t="s">
        <v>1932</v>
      </c>
      <c r="D690" t="s">
        <v>9</v>
      </c>
      <c r="E690">
        <v>1964</v>
      </c>
      <c r="F690" t="s">
        <v>1183</v>
      </c>
      <c r="G690">
        <v>1965</v>
      </c>
      <c r="H690">
        <v>45.670524999999998</v>
      </c>
      <c r="I690">
        <v>-73.616928000000001</v>
      </c>
      <c r="J690" t="s">
        <v>1397</v>
      </c>
      <c r="K690" t="s">
        <v>1634</v>
      </c>
      <c r="L690" t="s">
        <v>1167</v>
      </c>
      <c r="M690" t="s">
        <v>1183</v>
      </c>
      <c r="N690" t="s">
        <v>1183</v>
      </c>
      <c r="O690" t="s">
        <v>1453</v>
      </c>
      <c r="P690" t="s">
        <v>220</v>
      </c>
      <c r="Q690" t="s">
        <v>213</v>
      </c>
      <c r="R690">
        <f>69*0.3048</f>
        <v>21.031200000000002</v>
      </c>
      <c r="S690">
        <f>392*0.3048</f>
        <v>119.4816</v>
      </c>
      <c r="T690" s="1" t="s">
        <v>1933</v>
      </c>
      <c r="U690" s="1" t="s">
        <v>1934</v>
      </c>
    </row>
    <row r="691" spans="1:21" x14ac:dyDescent="0.3">
      <c r="A691">
        <v>124</v>
      </c>
      <c r="B691" s="8" t="s">
        <v>804</v>
      </c>
      <c r="C691" t="s">
        <v>1940</v>
      </c>
      <c r="D691" t="s">
        <v>9</v>
      </c>
      <c r="E691">
        <v>1964</v>
      </c>
      <c r="F691" t="s">
        <v>1183</v>
      </c>
      <c r="G691" t="s">
        <v>1183</v>
      </c>
      <c r="H691">
        <v>45.654708999999997</v>
      </c>
      <c r="I691">
        <v>-73.677156999999994</v>
      </c>
      <c r="J691" t="s">
        <v>1397</v>
      </c>
      <c r="K691" t="s">
        <v>1634</v>
      </c>
      <c r="L691" t="s">
        <v>1167</v>
      </c>
      <c r="M691">
        <f>78*0.3048</f>
        <v>23.7744</v>
      </c>
      <c r="N691" t="s">
        <v>1183</v>
      </c>
      <c r="O691" t="s">
        <v>1453</v>
      </c>
      <c r="P691" t="s">
        <v>220</v>
      </c>
      <c r="Q691" t="s">
        <v>404</v>
      </c>
      <c r="R691">
        <f>134*0.3048</f>
        <v>40.843200000000003</v>
      </c>
      <c r="S691">
        <f>395*0.3048</f>
        <v>120.396</v>
      </c>
      <c r="T691" s="1" t="s">
        <v>1941</v>
      </c>
      <c r="U691" s="1" t="s">
        <v>1942</v>
      </c>
    </row>
    <row r="692" spans="1:21" x14ac:dyDescent="0.3">
      <c r="A692">
        <v>125</v>
      </c>
      <c r="B692" s="8" t="s">
        <v>806</v>
      </c>
      <c r="C692" t="s">
        <v>1944</v>
      </c>
      <c r="D692" t="s">
        <v>9</v>
      </c>
      <c r="E692">
        <v>1964</v>
      </c>
      <c r="F692" t="s">
        <v>1183</v>
      </c>
      <c r="G692">
        <v>1964</v>
      </c>
      <c r="H692">
        <v>45.67118</v>
      </c>
      <c r="I692">
        <v>-73.660722000000007</v>
      </c>
      <c r="J692" t="s">
        <v>1397</v>
      </c>
      <c r="K692" t="s">
        <v>1634</v>
      </c>
      <c r="L692" t="s">
        <v>1167</v>
      </c>
      <c r="M692" t="s">
        <v>1183</v>
      </c>
      <c r="N692" t="s">
        <v>1183</v>
      </c>
      <c r="O692" t="s">
        <v>1453</v>
      </c>
      <c r="P692" t="s">
        <v>220</v>
      </c>
      <c r="Q692" t="s">
        <v>213</v>
      </c>
      <c r="R692">
        <f>121*0.3048</f>
        <v>36.880800000000001</v>
      </c>
      <c r="S692">
        <f>358*0.3048</f>
        <v>109.11840000000001</v>
      </c>
      <c r="T692" s="1" t="s">
        <v>1945</v>
      </c>
      <c r="U692" s="1" t="s">
        <v>1946</v>
      </c>
    </row>
    <row r="693" spans="1:21" x14ac:dyDescent="0.3">
      <c r="A693">
        <v>126</v>
      </c>
      <c r="B693" s="8" t="s">
        <v>811</v>
      </c>
      <c r="C693" t="s">
        <v>1957</v>
      </c>
      <c r="D693" t="s">
        <v>9</v>
      </c>
      <c r="E693">
        <v>1964</v>
      </c>
      <c r="F693" t="s">
        <v>1183</v>
      </c>
      <c r="G693">
        <v>1965</v>
      </c>
      <c r="H693">
        <v>45.658845999999997</v>
      </c>
      <c r="I693">
        <v>-73.664462999999998</v>
      </c>
      <c r="J693" t="s">
        <v>1397</v>
      </c>
      <c r="K693" t="s">
        <v>1634</v>
      </c>
      <c r="L693" t="s">
        <v>1167</v>
      </c>
      <c r="M693">
        <f>28*0.3048</f>
        <v>8.5343999999999998</v>
      </c>
      <c r="N693" t="s">
        <v>1183</v>
      </c>
      <c r="O693" t="s">
        <v>1453</v>
      </c>
      <c r="P693" t="s">
        <v>220</v>
      </c>
      <c r="Q693" t="s">
        <v>213</v>
      </c>
      <c r="R693">
        <f>123*0.3048</f>
        <v>37.490400000000001</v>
      </c>
      <c r="S693">
        <f>400*0.3048</f>
        <v>121.92</v>
      </c>
      <c r="T693" s="1" t="s">
        <v>1958</v>
      </c>
      <c r="U693" s="1" t="s">
        <v>1959</v>
      </c>
    </row>
    <row r="694" spans="1:21" x14ac:dyDescent="0.3">
      <c r="A694">
        <v>127</v>
      </c>
      <c r="B694" s="8" t="s">
        <v>818</v>
      </c>
      <c r="C694" t="s">
        <v>1974</v>
      </c>
      <c r="D694" t="s">
        <v>9</v>
      </c>
      <c r="E694">
        <v>1965</v>
      </c>
      <c r="F694">
        <v>1965</v>
      </c>
      <c r="G694" t="s">
        <v>1183</v>
      </c>
      <c r="H694">
        <v>45.814749999999997</v>
      </c>
      <c r="I694">
        <v>-73.374027999999996</v>
      </c>
      <c r="J694" t="s">
        <v>29</v>
      </c>
      <c r="K694" t="s">
        <v>1634</v>
      </c>
      <c r="L694" t="s">
        <v>1167</v>
      </c>
      <c r="M694" t="s">
        <v>1183</v>
      </c>
      <c r="N694" t="s">
        <v>1225</v>
      </c>
      <c r="O694" t="s">
        <v>1217</v>
      </c>
      <c r="P694" t="s">
        <v>220</v>
      </c>
      <c r="Q694" t="s">
        <v>404</v>
      </c>
      <c r="R694" t="s">
        <v>1183</v>
      </c>
      <c r="S694">
        <f>76*0.3048</f>
        <v>23.1648</v>
      </c>
      <c r="T694" t="s">
        <v>220</v>
      </c>
      <c r="U694" s="1" t="s">
        <v>1975</v>
      </c>
    </row>
    <row r="695" spans="1:21" x14ac:dyDescent="0.3">
      <c r="A695">
        <v>128</v>
      </c>
      <c r="B695" s="8" t="s">
        <v>831</v>
      </c>
      <c r="C695" t="s">
        <v>2002</v>
      </c>
      <c r="D695" t="s">
        <v>9</v>
      </c>
      <c r="E695">
        <v>1965</v>
      </c>
      <c r="F695" t="s">
        <v>1183</v>
      </c>
      <c r="G695">
        <v>1965</v>
      </c>
      <c r="H695">
        <v>46.065027999999998</v>
      </c>
      <c r="I695">
        <v>-73.024861000000001</v>
      </c>
      <c r="J695" t="s">
        <v>15</v>
      </c>
      <c r="K695" t="s">
        <v>1634</v>
      </c>
      <c r="L695" t="s">
        <v>1205</v>
      </c>
      <c r="M695">
        <f>40*0.3048</f>
        <v>12.192</v>
      </c>
      <c r="N695" t="s">
        <v>1219</v>
      </c>
      <c r="O695" t="s">
        <v>1175</v>
      </c>
      <c r="P695" t="s">
        <v>220</v>
      </c>
      <c r="Q695" t="s">
        <v>213</v>
      </c>
      <c r="R695" t="s">
        <v>1183</v>
      </c>
      <c r="S695">
        <f>204*0.3048</f>
        <v>62.179200000000002</v>
      </c>
      <c r="T695" t="s">
        <v>220</v>
      </c>
      <c r="U695" s="1" t="s">
        <v>2003</v>
      </c>
    </row>
    <row r="696" spans="1:21" x14ac:dyDescent="0.3">
      <c r="A696">
        <v>129</v>
      </c>
      <c r="B696" s="8" t="s">
        <v>832</v>
      </c>
      <c r="C696" t="s">
        <v>2004</v>
      </c>
      <c r="D696" t="s">
        <v>9</v>
      </c>
      <c r="E696">
        <v>1965</v>
      </c>
      <c r="F696" t="s">
        <v>1183</v>
      </c>
      <c r="G696" t="s">
        <v>1183</v>
      </c>
      <c r="H696">
        <v>46.067250000000001</v>
      </c>
      <c r="I696">
        <v>-73.017916999999997</v>
      </c>
      <c r="J696" t="s">
        <v>15</v>
      </c>
      <c r="K696" t="s">
        <v>1634</v>
      </c>
      <c r="L696" t="s">
        <v>1205</v>
      </c>
      <c r="M696">
        <f>178*0.3048</f>
        <v>54.254400000000004</v>
      </c>
      <c r="N696" t="s">
        <v>1219</v>
      </c>
      <c r="O696" t="s">
        <v>1175</v>
      </c>
      <c r="P696" t="s">
        <v>212</v>
      </c>
      <c r="Q696" t="s">
        <v>404</v>
      </c>
      <c r="R696" t="s">
        <v>1183</v>
      </c>
      <c r="S696">
        <f>178*0.3048</f>
        <v>54.254400000000004</v>
      </c>
      <c r="T696" t="s">
        <v>220</v>
      </c>
      <c r="U696" s="1" t="s">
        <v>2005</v>
      </c>
    </row>
    <row r="697" spans="1:21" x14ac:dyDescent="0.3">
      <c r="A697">
        <v>130</v>
      </c>
      <c r="B697" s="8" t="s">
        <v>834</v>
      </c>
      <c r="C697" t="s">
        <v>2009</v>
      </c>
      <c r="D697" t="s">
        <v>9</v>
      </c>
      <c r="E697">
        <v>1965</v>
      </c>
      <c r="F697" t="s">
        <v>1183</v>
      </c>
      <c r="G697">
        <v>1965</v>
      </c>
      <c r="H697">
        <v>46.125582999999999</v>
      </c>
      <c r="I697">
        <v>-72.935666999999995</v>
      </c>
      <c r="J697" t="s">
        <v>21</v>
      </c>
      <c r="K697" t="s">
        <v>1634</v>
      </c>
      <c r="L697" t="s">
        <v>1205</v>
      </c>
      <c r="M697">
        <f>40*0.3048</f>
        <v>12.192</v>
      </c>
      <c r="N697" t="s">
        <v>1219</v>
      </c>
      <c r="O697" t="s">
        <v>1175</v>
      </c>
      <c r="P697" t="s">
        <v>220</v>
      </c>
      <c r="Q697" t="s">
        <v>213</v>
      </c>
      <c r="R697" t="s">
        <v>1183</v>
      </c>
      <c r="S697">
        <f>209*0.3048</f>
        <v>63.703200000000002</v>
      </c>
      <c r="T697" t="s">
        <v>220</v>
      </c>
      <c r="U697" s="1" t="s">
        <v>2010</v>
      </c>
    </row>
    <row r="698" spans="1:21" x14ac:dyDescent="0.3">
      <c r="A698">
        <v>131</v>
      </c>
      <c r="B698" s="8" t="s">
        <v>835</v>
      </c>
      <c r="C698" t="s">
        <v>2011</v>
      </c>
      <c r="D698" t="s">
        <v>9</v>
      </c>
      <c r="E698">
        <v>1965</v>
      </c>
      <c r="F698" t="s">
        <v>1183</v>
      </c>
      <c r="G698">
        <v>1965</v>
      </c>
      <c r="H698">
        <v>46.115583000000001</v>
      </c>
      <c r="I698">
        <v>-72.947333</v>
      </c>
      <c r="J698" t="s">
        <v>21</v>
      </c>
      <c r="K698" t="s">
        <v>1634</v>
      </c>
      <c r="L698" t="s">
        <v>1205</v>
      </c>
      <c r="M698">
        <f>60*0.3048</f>
        <v>18.288</v>
      </c>
      <c r="N698" t="s">
        <v>1209</v>
      </c>
      <c r="O698" t="s">
        <v>1175</v>
      </c>
      <c r="P698" t="s">
        <v>220</v>
      </c>
      <c r="Q698" t="s">
        <v>213</v>
      </c>
      <c r="R698" t="s">
        <v>1183</v>
      </c>
      <c r="S698">
        <f>236*0.3048</f>
        <v>71.9328</v>
      </c>
      <c r="T698" t="s">
        <v>220</v>
      </c>
      <c r="U698" s="1" t="s">
        <v>2012</v>
      </c>
    </row>
    <row r="699" spans="1:21" x14ac:dyDescent="0.3">
      <c r="A699">
        <v>132</v>
      </c>
      <c r="B699" s="8" t="s">
        <v>836</v>
      </c>
      <c r="C699" t="s">
        <v>2013</v>
      </c>
      <c r="D699" t="s">
        <v>9</v>
      </c>
      <c r="E699">
        <v>1965</v>
      </c>
      <c r="F699" t="s">
        <v>1183</v>
      </c>
      <c r="G699">
        <v>1965</v>
      </c>
      <c r="H699">
        <v>46.104750000000003</v>
      </c>
      <c r="I699">
        <v>-72.961500000000001</v>
      </c>
      <c r="J699" t="s">
        <v>21</v>
      </c>
      <c r="K699" t="s">
        <v>1634</v>
      </c>
      <c r="L699" t="s">
        <v>1205</v>
      </c>
      <c r="M699">
        <f>60*0.3048</f>
        <v>18.288</v>
      </c>
      <c r="N699" t="s">
        <v>1209</v>
      </c>
      <c r="O699" t="s">
        <v>1175</v>
      </c>
      <c r="P699" t="s">
        <v>220</v>
      </c>
      <c r="Q699" t="s">
        <v>404</v>
      </c>
      <c r="R699" t="s">
        <v>1183</v>
      </c>
      <c r="S699">
        <f>230*0.3048</f>
        <v>70.103999999999999</v>
      </c>
      <c r="T699" t="s">
        <v>220</v>
      </c>
      <c r="U699" s="1" t="s">
        <v>2014</v>
      </c>
    </row>
    <row r="700" spans="1:21" x14ac:dyDescent="0.3">
      <c r="A700">
        <v>133</v>
      </c>
      <c r="B700" s="8" t="s">
        <v>837</v>
      </c>
      <c r="C700" t="s">
        <v>2015</v>
      </c>
      <c r="D700" t="s">
        <v>9</v>
      </c>
      <c r="E700">
        <v>1965</v>
      </c>
      <c r="F700" t="s">
        <v>1183</v>
      </c>
      <c r="G700">
        <v>1965</v>
      </c>
      <c r="H700">
        <v>46.075028000000003</v>
      </c>
      <c r="I700">
        <v>-73.013750000000002</v>
      </c>
      <c r="J700" t="s">
        <v>15</v>
      </c>
      <c r="K700" t="s">
        <v>1634</v>
      </c>
      <c r="L700" t="s">
        <v>1163</v>
      </c>
      <c r="M700">
        <f>45*0.3048</f>
        <v>13.716000000000001</v>
      </c>
      <c r="N700" t="s">
        <v>1209</v>
      </c>
      <c r="O700" t="s">
        <v>2016</v>
      </c>
      <c r="P700" t="s">
        <v>212</v>
      </c>
      <c r="Q700" t="s">
        <v>213</v>
      </c>
      <c r="R700">
        <f>15*0.3048</f>
        <v>4.5720000000000001</v>
      </c>
      <c r="S700">
        <f>174*0.3048</f>
        <v>53.035200000000003</v>
      </c>
      <c r="T700" t="s">
        <v>220</v>
      </c>
      <c r="U700" s="1" t="s">
        <v>2017</v>
      </c>
    </row>
    <row r="701" spans="1:21" x14ac:dyDescent="0.3">
      <c r="A701">
        <v>134</v>
      </c>
      <c r="B701" s="8" t="s">
        <v>839</v>
      </c>
      <c r="C701" t="s">
        <v>2020</v>
      </c>
      <c r="D701" t="s">
        <v>9</v>
      </c>
      <c r="E701">
        <v>1965</v>
      </c>
      <c r="F701" t="s">
        <v>1183</v>
      </c>
      <c r="G701">
        <v>1965</v>
      </c>
      <c r="H701">
        <v>46.074750000000002</v>
      </c>
      <c r="I701">
        <v>-73.010971999999995</v>
      </c>
      <c r="J701" t="s">
        <v>15</v>
      </c>
      <c r="K701" t="s">
        <v>1634</v>
      </c>
      <c r="L701" t="s">
        <v>1163</v>
      </c>
      <c r="M701">
        <f>166*0.3048</f>
        <v>50.596800000000002</v>
      </c>
      <c r="N701" t="s">
        <v>1183</v>
      </c>
      <c r="O701" t="s">
        <v>2016</v>
      </c>
      <c r="P701" t="s">
        <v>212</v>
      </c>
      <c r="Q701" t="s">
        <v>213</v>
      </c>
      <c r="R701">
        <f>20*0.3048</f>
        <v>6.0960000000000001</v>
      </c>
      <c r="S701">
        <f>188*0.3048</f>
        <v>57.302400000000006</v>
      </c>
      <c r="T701" t="s">
        <v>220</v>
      </c>
      <c r="U701" s="1" t="s">
        <v>2021</v>
      </c>
    </row>
    <row r="702" spans="1:21" x14ac:dyDescent="0.3">
      <c r="A702">
        <v>135</v>
      </c>
      <c r="B702" s="8" t="s">
        <v>840</v>
      </c>
      <c r="C702" t="s">
        <v>2022</v>
      </c>
      <c r="D702" t="s">
        <v>9</v>
      </c>
      <c r="E702">
        <v>1965</v>
      </c>
      <c r="F702" t="s">
        <v>1183</v>
      </c>
      <c r="G702">
        <v>1965</v>
      </c>
      <c r="H702">
        <v>46.074472</v>
      </c>
      <c r="I702">
        <v>-73.006249999999994</v>
      </c>
      <c r="J702" t="s">
        <v>15</v>
      </c>
      <c r="K702" t="s">
        <v>1634</v>
      </c>
      <c r="L702" t="s">
        <v>1163</v>
      </c>
      <c r="M702">
        <f>164*0.3048</f>
        <v>49.987200000000001</v>
      </c>
      <c r="N702" t="s">
        <v>1209</v>
      </c>
      <c r="O702" t="s">
        <v>2016</v>
      </c>
      <c r="P702" t="s">
        <v>212</v>
      </c>
      <c r="Q702" t="s">
        <v>213</v>
      </c>
      <c r="R702">
        <f>23*0.3048</f>
        <v>7.0104000000000006</v>
      </c>
      <c r="S702">
        <f>185*0.3048</f>
        <v>56.388000000000005</v>
      </c>
      <c r="T702" t="s">
        <v>220</v>
      </c>
      <c r="U702" s="1" t="s">
        <v>2023</v>
      </c>
    </row>
    <row r="703" spans="1:21" x14ac:dyDescent="0.3">
      <c r="A703">
        <v>136</v>
      </c>
      <c r="B703" s="8" t="s">
        <v>841</v>
      </c>
      <c r="C703" t="s">
        <v>2024</v>
      </c>
      <c r="D703" t="s">
        <v>9</v>
      </c>
      <c r="E703">
        <v>1965</v>
      </c>
      <c r="F703" t="s">
        <v>1183</v>
      </c>
      <c r="G703">
        <v>1965</v>
      </c>
      <c r="H703">
        <v>46.076138999999998</v>
      </c>
      <c r="I703">
        <v>-73.000416999999999</v>
      </c>
      <c r="J703" t="s">
        <v>15</v>
      </c>
      <c r="K703" t="s">
        <v>1634</v>
      </c>
      <c r="L703" t="s">
        <v>1163</v>
      </c>
      <c r="M703">
        <f>53*0.3048</f>
        <v>16.154400000000003</v>
      </c>
      <c r="N703" t="s">
        <v>1209</v>
      </c>
      <c r="O703" t="s">
        <v>2016</v>
      </c>
      <c r="P703" t="s">
        <v>212</v>
      </c>
      <c r="Q703" t="s">
        <v>213</v>
      </c>
      <c r="R703">
        <f>19*0.3048</f>
        <v>5.7911999999999999</v>
      </c>
      <c r="S703">
        <f>183*0.3048</f>
        <v>55.778400000000005</v>
      </c>
      <c r="T703" t="s">
        <v>220</v>
      </c>
      <c r="U703" s="1" t="s">
        <v>2025</v>
      </c>
    </row>
    <row r="704" spans="1:21" x14ac:dyDescent="0.3">
      <c r="A704">
        <v>137</v>
      </c>
      <c r="B704" s="8" t="s">
        <v>842</v>
      </c>
      <c r="C704" t="s">
        <v>2026</v>
      </c>
      <c r="D704" t="s">
        <v>9</v>
      </c>
      <c r="E704">
        <v>1965</v>
      </c>
      <c r="F704" t="s">
        <v>1183</v>
      </c>
      <c r="G704">
        <v>1965</v>
      </c>
      <c r="H704">
        <v>46.085028000000001</v>
      </c>
      <c r="I704">
        <v>-73.003472000000002</v>
      </c>
      <c r="J704" t="s">
        <v>15</v>
      </c>
      <c r="K704" t="s">
        <v>1634</v>
      </c>
      <c r="L704" t="s">
        <v>1163</v>
      </c>
      <c r="M704">
        <f>50*0.3048</f>
        <v>15.24</v>
      </c>
      <c r="N704" t="s">
        <v>1209</v>
      </c>
      <c r="O704" t="s">
        <v>2016</v>
      </c>
      <c r="P704" t="s">
        <v>220</v>
      </c>
      <c r="Q704" t="s">
        <v>213</v>
      </c>
      <c r="R704">
        <f>21*0.3048</f>
        <v>6.4008000000000003</v>
      </c>
      <c r="S704">
        <f>193*0.3048</f>
        <v>58.8264</v>
      </c>
      <c r="T704" t="s">
        <v>220</v>
      </c>
      <c r="U704" s="1" t="s">
        <v>2027</v>
      </c>
    </row>
    <row r="705" spans="1:21" x14ac:dyDescent="0.3">
      <c r="A705">
        <v>138</v>
      </c>
      <c r="B705" s="8" t="s">
        <v>843</v>
      </c>
      <c r="C705" t="s">
        <v>2028</v>
      </c>
      <c r="D705" t="s">
        <v>9</v>
      </c>
      <c r="E705">
        <v>1965</v>
      </c>
      <c r="F705" t="s">
        <v>1183</v>
      </c>
      <c r="G705">
        <v>1965</v>
      </c>
      <c r="H705">
        <v>46.105860999999997</v>
      </c>
      <c r="I705">
        <v>-73.000972000000004</v>
      </c>
      <c r="J705" t="s">
        <v>15</v>
      </c>
      <c r="K705" t="s">
        <v>1634</v>
      </c>
      <c r="L705" t="s">
        <v>1163</v>
      </c>
      <c r="M705">
        <f>54*0.3048</f>
        <v>16.459199999999999</v>
      </c>
      <c r="N705" t="s">
        <v>1209</v>
      </c>
      <c r="O705" t="s">
        <v>2016</v>
      </c>
      <c r="P705" t="s">
        <v>220</v>
      </c>
      <c r="Q705" t="s">
        <v>213</v>
      </c>
      <c r="R705">
        <f>16*0.3048</f>
        <v>4.8768000000000002</v>
      </c>
      <c r="S705">
        <f>187*0.3048</f>
        <v>56.997600000000006</v>
      </c>
      <c r="T705" t="s">
        <v>220</v>
      </c>
      <c r="U705" s="1" t="s">
        <v>2029</v>
      </c>
    </row>
    <row r="706" spans="1:21" x14ac:dyDescent="0.3">
      <c r="A706">
        <v>139</v>
      </c>
      <c r="B706" s="8" t="s">
        <v>844</v>
      </c>
      <c r="C706" t="s">
        <v>2030</v>
      </c>
      <c r="D706" t="s">
        <v>9</v>
      </c>
      <c r="E706">
        <v>1965</v>
      </c>
      <c r="F706" t="s">
        <v>1183</v>
      </c>
      <c r="G706">
        <v>1965</v>
      </c>
      <c r="H706">
        <v>46.110306000000001</v>
      </c>
      <c r="I706">
        <v>-73.048749999999998</v>
      </c>
      <c r="J706" t="s">
        <v>29</v>
      </c>
      <c r="K706" t="s">
        <v>1634</v>
      </c>
      <c r="L706" t="s">
        <v>1163</v>
      </c>
      <c r="M706">
        <f>121*0.3048</f>
        <v>36.880800000000001</v>
      </c>
      <c r="N706" t="s">
        <v>1219</v>
      </c>
      <c r="O706" t="s">
        <v>2016</v>
      </c>
      <c r="P706" t="s">
        <v>212</v>
      </c>
      <c r="Q706" t="s">
        <v>213</v>
      </c>
      <c r="R706">
        <f>16*0.3048</f>
        <v>4.8768000000000002</v>
      </c>
      <c r="S706">
        <f>231*0.3048</f>
        <v>70.408799999999999</v>
      </c>
      <c r="T706" t="s">
        <v>220</v>
      </c>
      <c r="U706" s="1" t="s">
        <v>2031</v>
      </c>
    </row>
    <row r="707" spans="1:21" x14ac:dyDescent="0.3">
      <c r="A707">
        <v>140</v>
      </c>
      <c r="B707" s="8" t="s">
        <v>845</v>
      </c>
      <c r="C707" t="s">
        <v>2032</v>
      </c>
      <c r="D707" t="s">
        <v>9</v>
      </c>
      <c r="E707">
        <v>1965</v>
      </c>
      <c r="F707" t="s">
        <v>1183</v>
      </c>
      <c r="G707">
        <v>1965</v>
      </c>
      <c r="H707">
        <v>46.110306000000001</v>
      </c>
      <c r="I707">
        <v>-73.048749999999998</v>
      </c>
      <c r="J707" t="s">
        <v>29</v>
      </c>
      <c r="K707" t="s">
        <v>1634</v>
      </c>
      <c r="L707" t="s">
        <v>1163</v>
      </c>
      <c r="M707">
        <f>115*0.3048</f>
        <v>35.052</v>
      </c>
      <c r="N707" t="s">
        <v>1219</v>
      </c>
      <c r="O707" t="s">
        <v>2016</v>
      </c>
      <c r="P707" t="s">
        <v>212</v>
      </c>
      <c r="Q707" t="s">
        <v>213</v>
      </c>
      <c r="R707">
        <f>16*0.3048</f>
        <v>4.8768000000000002</v>
      </c>
      <c r="S707">
        <f>128*0.3048</f>
        <v>39.014400000000002</v>
      </c>
      <c r="T707" t="s">
        <v>220</v>
      </c>
      <c r="U707" s="1" t="s">
        <v>2033</v>
      </c>
    </row>
    <row r="708" spans="1:21" x14ac:dyDescent="0.3">
      <c r="A708">
        <v>141</v>
      </c>
      <c r="B708" s="8" t="s">
        <v>846</v>
      </c>
      <c r="C708" t="s">
        <v>2034</v>
      </c>
      <c r="D708" t="s">
        <v>9</v>
      </c>
      <c r="E708">
        <v>1965</v>
      </c>
      <c r="F708" t="s">
        <v>1183</v>
      </c>
      <c r="G708">
        <v>1965</v>
      </c>
      <c r="H708">
        <v>46.110306000000001</v>
      </c>
      <c r="I708">
        <v>-73.048749999999998</v>
      </c>
      <c r="J708" t="s">
        <v>29</v>
      </c>
      <c r="K708" t="s">
        <v>1634</v>
      </c>
      <c r="L708" t="s">
        <v>1163</v>
      </c>
      <c r="M708">
        <f>50*0.3048</f>
        <v>15.24</v>
      </c>
      <c r="N708" t="s">
        <v>1219</v>
      </c>
      <c r="O708" t="s">
        <v>2016</v>
      </c>
      <c r="P708" t="s">
        <v>212</v>
      </c>
      <c r="Q708" t="s">
        <v>213</v>
      </c>
      <c r="R708">
        <f>16*0.3048</f>
        <v>4.8768000000000002</v>
      </c>
      <c r="S708">
        <f>60*0.3048</f>
        <v>18.288</v>
      </c>
      <c r="T708" t="s">
        <v>220</v>
      </c>
      <c r="U708" s="1" t="s">
        <v>2035</v>
      </c>
    </row>
    <row r="709" spans="1:21" x14ac:dyDescent="0.3">
      <c r="A709">
        <v>142</v>
      </c>
      <c r="B709" s="8" t="s">
        <v>847</v>
      </c>
      <c r="C709" t="s">
        <v>2036</v>
      </c>
      <c r="D709" t="s">
        <v>9</v>
      </c>
      <c r="E709">
        <v>1965</v>
      </c>
      <c r="F709" t="s">
        <v>1183</v>
      </c>
      <c r="G709">
        <v>1965</v>
      </c>
      <c r="H709">
        <v>46.125306000000002</v>
      </c>
      <c r="I709">
        <v>-73.063749999999999</v>
      </c>
      <c r="J709" t="s">
        <v>29</v>
      </c>
      <c r="K709" t="s">
        <v>1634</v>
      </c>
      <c r="L709" t="s">
        <v>1163</v>
      </c>
      <c r="M709">
        <f>50*0.3048</f>
        <v>15.24</v>
      </c>
      <c r="N709" t="s">
        <v>1219</v>
      </c>
      <c r="O709" t="s">
        <v>2016</v>
      </c>
      <c r="P709" t="s">
        <v>212</v>
      </c>
      <c r="Q709" t="s">
        <v>213</v>
      </c>
      <c r="R709">
        <f>16*0.3048</f>
        <v>4.8768000000000002</v>
      </c>
      <c r="S709">
        <f>275*0.3048</f>
        <v>83.820000000000007</v>
      </c>
      <c r="T709" t="s">
        <v>220</v>
      </c>
      <c r="U709" s="1" t="s">
        <v>2037</v>
      </c>
    </row>
    <row r="710" spans="1:21" x14ac:dyDescent="0.3">
      <c r="A710">
        <v>143</v>
      </c>
      <c r="B710" s="8" t="s">
        <v>848</v>
      </c>
      <c r="C710" t="s">
        <v>2038</v>
      </c>
      <c r="D710" t="s">
        <v>9</v>
      </c>
      <c r="E710">
        <v>1965</v>
      </c>
      <c r="F710" t="s">
        <v>1183</v>
      </c>
      <c r="G710">
        <v>1965</v>
      </c>
      <c r="H710">
        <v>46.138361000000003</v>
      </c>
      <c r="I710">
        <v>-73.034306000000001</v>
      </c>
      <c r="J710" t="s">
        <v>29</v>
      </c>
      <c r="K710" t="s">
        <v>1634</v>
      </c>
      <c r="L710" t="s">
        <v>1163</v>
      </c>
      <c r="M710">
        <f>50*0.3048</f>
        <v>15.24</v>
      </c>
      <c r="N710" t="s">
        <v>1766</v>
      </c>
      <c r="O710" t="s">
        <v>2016</v>
      </c>
      <c r="P710" t="s">
        <v>212</v>
      </c>
      <c r="Q710" t="s">
        <v>213</v>
      </c>
      <c r="R710">
        <f>14*0.3048</f>
        <v>4.2671999999999999</v>
      </c>
      <c r="S710">
        <f>238*0.3048</f>
        <v>72.542400000000001</v>
      </c>
      <c r="T710" t="s">
        <v>220</v>
      </c>
      <c r="U710" s="1" t="s">
        <v>2039</v>
      </c>
    </row>
    <row r="711" spans="1:21" x14ac:dyDescent="0.3">
      <c r="A711">
        <v>144</v>
      </c>
      <c r="B711" s="8" t="s">
        <v>850</v>
      </c>
      <c r="C711" t="s">
        <v>2042</v>
      </c>
      <c r="D711" t="s">
        <v>9</v>
      </c>
      <c r="E711">
        <v>1965</v>
      </c>
      <c r="F711" t="s">
        <v>1183</v>
      </c>
      <c r="G711">
        <v>1965</v>
      </c>
      <c r="H711">
        <v>46.075028000000003</v>
      </c>
      <c r="I711">
        <v>-73.065693999999993</v>
      </c>
      <c r="J711" t="s">
        <v>15</v>
      </c>
      <c r="K711" t="s">
        <v>1634</v>
      </c>
      <c r="L711" t="s">
        <v>1163</v>
      </c>
      <c r="M711">
        <f>60*0.3048</f>
        <v>18.288</v>
      </c>
      <c r="N711" t="s">
        <v>1225</v>
      </c>
      <c r="O711" t="s">
        <v>2016</v>
      </c>
      <c r="P711" t="s">
        <v>212</v>
      </c>
      <c r="Q711" t="s">
        <v>213</v>
      </c>
      <c r="R711">
        <f>30*0.3048</f>
        <v>9.1440000000000001</v>
      </c>
      <c r="S711">
        <f>214*0.3048</f>
        <v>65.227199999999996</v>
      </c>
      <c r="T711" t="s">
        <v>220</v>
      </c>
      <c r="U711" s="1" t="s">
        <v>2043</v>
      </c>
    </row>
    <row r="712" spans="1:21" x14ac:dyDescent="0.3">
      <c r="A712">
        <v>145</v>
      </c>
      <c r="B712" s="8" t="s">
        <v>851</v>
      </c>
      <c r="C712" t="s">
        <v>2044</v>
      </c>
      <c r="D712" t="s">
        <v>9</v>
      </c>
      <c r="E712">
        <v>1965</v>
      </c>
      <c r="F712" t="s">
        <v>1183</v>
      </c>
      <c r="G712">
        <v>1965</v>
      </c>
      <c r="H712">
        <v>46.076694000000003</v>
      </c>
      <c r="I712">
        <v>-73.050972000000002</v>
      </c>
      <c r="J712" t="s">
        <v>15</v>
      </c>
      <c r="K712" t="s">
        <v>1634</v>
      </c>
      <c r="L712" t="s">
        <v>1163</v>
      </c>
      <c r="M712">
        <f>55*0.3048</f>
        <v>16.763999999999999</v>
      </c>
      <c r="N712" t="s">
        <v>1183</v>
      </c>
      <c r="O712" t="s">
        <v>2016</v>
      </c>
      <c r="P712" t="s">
        <v>212</v>
      </c>
      <c r="Q712" t="s">
        <v>213</v>
      </c>
      <c r="R712">
        <f>32*0.3048</f>
        <v>9.7536000000000005</v>
      </c>
      <c r="S712">
        <f>108*0.3048</f>
        <v>32.918399999999998</v>
      </c>
      <c r="T712" t="s">
        <v>220</v>
      </c>
      <c r="U712" s="1" t="s">
        <v>2045</v>
      </c>
    </row>
    <row r="713" spans="1:21" x14ac:dyDescent="0.3">
      <c r="A713">
        <v>146</v>
      </c>
      <c r="B713" s="8" t="s">
        <v>852</v>
      </c>
      <c r="C713" t="s">
        <v>2046</v>
      </c>
      <c r="D713" t="s">
        <v>9</v>
      </c>
      <c r="E713">
        <v>1965</v>
      </c>
      <c r="F713" t="s">
        <v>1183</v>
      </c>
      <c r="G713">
        <v>1965</v>
      </c>
      <c r="H713">
        <v>46.076971999999998</v>
      </c>
      <c r="I713">
        <v>-73.050972000000002</v>
      </c>
      <c r="J713" t="s">
        <v>15</v>
      </c>
      <c r="K713" t="s">
        <v>1634</v>
      </c>
      <c r="L713" t="s">
        <v>1163</v>
      </c>
      <c r="M713">
        <f>66*0.3048</f>
        <v>20.116800000000001</v>
      </c>
      <c r="N713" t="s">
        <v>1209</v>
      </c>
      <c r="O713" t="s">
        <v>2016</v>
      </c>
      <c r="P713" t="s">
        <v>212</v>
      </c>
      <c r="Q713" t="s">
        <v>213</v>
      </c>
      <c r="R713">
        <f>34*0.3048</f>
        <v>10.363200000000001</v>
      </c>
      <c r="S713">
        <f>80*0.3048</f>
        <v>24.384</v>
      </c>
      <c r="T713" t="s">
        <v>220</v>
      </c>
      <c r="U713" s="1" t="s">
        <v>2047</v>
      </c>
    </row>
    <row r="714" spans="1:21" x14ac:dyDescent="0.3">
      <c r="A714">
        <v>147</v>
      </c>
      <c r="B714" s="8" t="s">
        <v>853</v>
      </c>
      <c r="C714" t="s">
        <v>2048</v>
      </c>
      <c r="D714" t="s">
        <v>9</v>
      </c>
      <c r="E714">
        <v>1965</v>
      </c>
      <c r="F714" t="s">
        <v>1183</v>
      </c>
      <c r="G714">
        <v>1965</v>
      </c>
      <c r="H714">
        <v>46.076694000000003</v>
      </c>
      <c r="I714">
        <v>-73.050972000000002</v>
      </c>
      <c r="J714" t="s">
        <v>15</v>
      </c>
      <c r="K714" t="s">
        <v>1634</v>
      </c>
      <c r="L714" t="s">
        <v>1163</v>
      </c>
      <c r="M714">
        <f>50*0.3048</f>
        <v>15.24</v>
      </c>
      <c r="N714" t="s">
        <v>1219</v>
      </c>
      <c r="O714" t="s">
        <v>2016</v>
      </c>
      <c r="P714" t="s">
        <v>212</v>
      </c>
      <c r="Q714" t="s">
        <v>213</v>
      </c>
      <c r="R714">
        <f>34*0.3048</f>
        <v>10.363200000000001</v>
      </c>
      <c r="S714">
        <f>93*0.3048</f>
        <v>28.346400000000003</v>
      </c>
      <c r="T714" t="s">
        <v>220</v>
      </c>
      <c r="U714" s="1" t="s">
        <v>2049</v>
      </c>
    </row>
    <row r="715" spans="1:21" x14ac:dyDescent="0.3">
      <c r="A715">
        <v>148</v>
      </c>
      <c r="B715" s="8" t="s">
        <v>854</v>
      </c>
      <c r="C715" t="s">
        <v>2050</v>
      </c>
      <c r="D715" t="s">
        <v>9</v>
      </c>
      <c r="E715">
        <v>1965</v>
      </c>
      <c r="F715" t="s">
        <v>1183</v>
      </c>
      <c r="G715">
        <v>1965</v>
      </c>
      <c r="H715">
        <v>46.077806000000002</v>
      </c>
      <c r="I715">
        <v>-73.052916999999994</v>
      </c>
      <c r="J715" t="s">
        <v>15</v>
      </c>
      <c r="K715" t="s">
        <v>1634</v>
      </c>
      <c r="L715" t="s">
        <v>1163</v>
      </c>
      <c r="M715">
        <f>51*0.3048</f>
        <v>15.5448</v>
      </c>
      <c r="N715" t="s">
        <v>1219</v>
      </c>
      <c r="O715" t="s">
        <v>2016</v>
      </c>
      <c r="P715" t="s">
        <v>212</v>
      </c>
      <c r="Q715" t="s">
        <v>213</v>
      </c>
      <c r="R715">
        <f>34*0.3048</f>
        <v>10.363200000000001</v>
      </c>
      <c r="S715">
        <f>108*0.3048</f>
        <v>32.918399999999998</v>
      </c>
      <c r="T715" t="s">
        <v>220</v>
      </c>
      <c r="U715" s="1" t="s">
        <v>2051</v>
      </c>
    </row>
    <row r="716" spans="1:21" x14ac:dyDescent="0.3">
      <c r="A716">
        <v>149</v>
      </c>
      <c r="B716" s="8" t="s">
        <v>855</v>
      </c>
      <c r="C716" t="s">
        <v>2052</v>
      </c>
      <c r="D716" t="s">
        <v>9</v>
      </c>
      <c r="E716">
        <v>1965</v>
      </c>
      <c r="F716" t="s">
        <v>1183</v>
      </c>
      <c r="G716">
        <v>1965</v>
      </c>
      <c r="H716">
        <v>46.077806000000002</v>
      </c>
      <c r="I716">
        <v>-73.052916999999994</v>
      </c>
      <c r="J716" t="s">
        <v>15</v>
      </c>
      <c r="K716" t="s">
        <v>1634</v>
      </c>
      <c r="L716" t="s">
        <v>1163</v>
      </c>
      <c r="M716">
        <f>103*0.3048</f>
        <v>31.394400000000001</v>
      </c>
      <c r="N716" t="s">
        <v>1225</v>
      </c>
      <c r="O716" t="s">
        <v>2016</v>
      </c>
      <c r="P716" t="s">
        <v>212</v>
      </c>
      <c r="Q716" t="s">
        <v>213</v>
      </c>
      <c r="R716">
        <f>34*0.3048</f>
        <v>10.363200000000001</v>
      </c>
      <c r="S716">
        <f>216*0.3048</f>
        <v>65.836799999999997</v>
      </c>
      <c r="T716" t="s">
        <v>220</v>
      </c>
      <c r="U716" s="1" t="s">
        <v>2053</v>
      </c>
    </row>
    <row r="717" spans="1:21" x14ac:dyDescent="0.3">
      <c r="A717">
        <v>150</v>
      </c>
      <c r="B717" s="8" t="s">
        <v>856</v>
      </c>
      <c r="C717" t="s">
        <v>2054</v>
      </c>
      <c r="D717" t="s">
        <v>9</v>
      </c>
      <c r="E717">
        <v>1965</v>
      </c>
      <c r="F717" t="s">
        <v>1183</v>
      </c>
      <c r="G717">
        <v>1965</v>
      </c>
      <c r="H717">
        <v>46.115583000000001</v>
      </c>
      <c r="I717">
        <v>-73.092639000000005</v>
      </c>
      <c r="J717" t="s">
        <v>29</v>
      </c>
      <c r="K717" t="s">
        <v>1634</v>
      </c>
      <c r="L717" t="s">
        <v>1163</v>
      </c>
      <c r="M717">
        <f>50*0.3048</f>
        <v>15.24</v>
      </c>
      <c r="N717" t="s">
        <v>1219</v>
      </c>
      <c r="O717" t="s">
        <v>2016</v>
      </c>
      <c r="P717" t="s">
        <v>212</v>
      </c>
      <c r="Q717" t="s">
        <v>213</v>
      </c>
      <c r="R717">
        <f>15*0.3048</f>
        <v>4.5720000000000001</v>
      </c>
      <c r="S717">
        <f>252*0.3048</f>
        <v>76.809600000000003</v>
      </c>
      <c r="T717" t="s">
        <v>220</v>
      </c>
      <c r="U717" s="1" t="s">
        <v>2055</v>
      </c>
    </row>
    <row r="718" spans="1:21" x14ac:dyDescent="0.3">
      <c r="A718">
        <v>151</v>
      </c>
      <c r="B718" s="8" t="s">
        <v>857</v>
      </c>
      <c r="C718" t="s">
        <v>2056</v>
      </c>
      <c r="D718" t="s">
        <v>9</v>
      </c>
      <c r="E718">
        <v>1965</v>
      </c>
      <c r="F718" t="s">
        <v>1183</v>
      </c>
      <c r="G718">
        <v>1965</v>
      </c>
      <c r="H718">
        <v>46.078639000000003</v>
      </c>
      <c r="I718">
        <v>-73.029583000000002</v>
      </c>
      <c r="J718" t="s">
        <v>15</v>
      </c>
      <c r="K718" t="s">
        <v>1634</v>
      </c>
      <c r="L718" t="s">
        <v>1163</v>
      </c>
      <c r="M718">
        <f>50*0.3048</f>
        <v>15.24</v>
      </c>
      <c r="N718" t="s">
        <v>1219</v>
      </c>
      <c r="O718" t="s">
        <v>2016</v>
      </c>
      <c r="P718" t="s">
        <v>220</v>
      </c>
      <c r="Q718" t="s">
        <v>213</v>
      </c>
      <c r="R718">
        <f>24*0.3048</f>
        <v>7.3152000000000008</v>
      </c>
      <c r="S718">
        <f>203*0.3048</f>
        <v>61.874400000000001</v>
      </c>
      <c r="T718" t="s">
        <v>220</v>
      </c>
      <c r="U718" s="1" t="s">
        <v>2057</v>
      </c>
    </row>
    <row r="719" spans="1:21" x14ac:dyDescent="0.3">
      <c r="A719">
        <v>152</v>
      </c>
      <c r="B719" s="8" t="s">
        <v>858</v>
      </c>
      <c r="C719" t="s">
        <v>2058</v>
      </c>
      <c r="D719" t="s">
        <v>9</v>
      </c>
      <c r="E719">
        <v>1965</v>
      </c>
      <c r="F719" t="s">
        <v>1183</v>
      </c>
      <c r="G719">
        <v>1965</v>
      </c>
      <c r="H719">
        <v>46.109194000000002</v>
      </c>
      <c r="I719">
        <v>-73.076527999999996</v>
      </c>
      <c r="J719" t="s">
        <v>29</v>
      </c>
      <c r="K719" t="s">
        <v>1634</v>
      </c>
      <c r="L719" t="s">
        <v>1163</v>
      </c>
      <c r="M719">
        <f>60*0.3048</f>
        <v>18.288</v>
      </c>
      <c r="N719" t="s">
        <v>1219</v>
      </c>
      <c r="O719" t="s">
        <v>2016</v>
      </c>
      <c r="P719" t="s">
        <v>220</v>
      </c>
      <c r="Q719" t="s">
        <v>213</v>
      </c>
      <c r="R719">
        <f>24*0.3048</f>
        <v>7.3152000000000008</v>
      </c>
      <c r="S719">
        <f>222*0.3048</f>
        <v>67.665599999999998</v>
      </c>
      <c r="T719" t="s">
        <v>220</v>
      </c>
      <c r="U719" s="1" t="s">
        <v>2059</v>
      </c>
    </row>
    <row r="720" spans="1:21" x14ac:dyDescent="0.3">
      <c r="A720">
        <v>153</v>
      </c>
      <c r="B720" s="8" t="s">
        <v>859</v>
      </c>
      <c r="C720" t="s">
        <v>2060</v>
      </c>
      <c r="D720" t="s">
        <v>9</v>
      </c>
      <c r="E720">
        <v>1966</v>
      </c>
      <c r="F720" t="s">
        <v>1183</v>
      </c>
      <c r="G720">
        <v>1965</v>
      </c>
      <c r="H720">
        <v>45.661844199999997</v>
      </c>
      <c r="I720">
        <v>-73.642932599999995</v>
      </c>
      <c r="J720" t="s">
        <v>1397</v>
      </c>
      <c r="K720" t="s">
        <v>1634</v>
      </c>
      <c r="L720" t="s">
        <v>1167</v>
      </c>
      <c r="M720">
        <f>115*0.3048</f>
        <v>35.052</v>
      </c>
      <c r="N720" t="s">
        <v>1183</v>
      </c>
      <c r="O720" t="s">
        <v>1453</v>
      </c>
      <c r="P720" t="s">
        <v>220</v>
      </c>
      <c r="Q720" t="s">
        <v>213</v>
      </c>
      <c r="R720">
        <f>123*0.3048</f>
        <v>37.490400000000001</v>
      </c>
      <c r="S720">
        <f>200*0.3048</f>
        <v>60.96</v>
      </c>
      <c r="T720" s="1" t="s">
        <v>2061</v>
      </c>
      <c r="U720" s="1" t="s">
        <v>2062</v>
      </c>
    </row>
    <row r="721" spans="1:21" x14ac:dyDescent="0.3">
      <c r="A721">
        <v>154</v>
      </c>
      <c r="B721" s="8" t="s">
        <v>863</v>
      </c>
      <c r="C721" t="s">
        <v>2072</v>
      </c>
      <c r="D721" t="s">
        <v>9</v>
      </c>
      <c r="E721">
        <v>1959</v>
      </c>
      <c r="F721" t="s">
        <v>1183</v>
      </c>
      <c r="G721">
        <v>1959</v>
      </c>
      <c r="H721">
        <v>46.406451500000003</v>
      </c>
      <c r="I721">
        <v>-72.846618100000001</v>
      </c>
      <c r="J721" t="s">
        <v>12</v>
      </c>
      <c r="K721" t="s">
        <v>1634</v>
      </c>
      <c r="L721" t="s">
        <v>2073</v>
      </c>
      <c r="M721">
        <f>88*0.3048</f>
        <v>26.822400000000002</v>
      </c>
      <c r="N721" t="s">
        <v>1183</v>
      </c>
      <c r="O721" t="s">
        <v>2074</v>
      </c>
      <c r="P721" t="s">
        <v>220</v>
      </c>
      <c r="Q721" t="s">
        <v>404</v>
      </c>
      <c r="R721" t="s">
        <v>1183</v>
      </c>
      <c r="S721">
        <f>89*0.3048</f>
        <v>27.127200000000002</v>
      </c>
      <c r="T721" s="1" t="s">
        <v>2075</v>
      </c>
      <c r="U721" s="1" t="s">
        <v>2076</v>
      </c>
    </row>
    <row r="722" spans="1:21" x14ac:dyDescent="0.3">
      <c r="A722">
        <v>155</v>
      </c>
      <c r="B722" t="s">
        <v>881</v>
      </c>
      <c r="C722" s="4" t="s">
        <v>3088</v>
      </c>
      <c r="D722" t="s">
        <v>9</v>
      </c>
      <c r="E722" t="s">
        <v>1183</v>
      </c>
      <c r="F722" t="s">
        <v>1183</v>
      </c>
      <c r="G722" t="s">
        <v>1183</v>
      </c>
      <c r="H722">
        <v>46.383361000000001</v>
      </c>
      <c r="I722">
        <v>-72.532888999999997</v>
      </c>
      <c r="J722" t="s">
        <v>12</v>
      </c>
      <c r="K722" t="s">
        <v>1634</v>
      </c>
      <c r="L722" t="s">
        <v>1183</v>
      </c>
      <c r="M722" t="s">
        <v>1183</v>
      </c>
      <c r="N722" t="s">
        <v>1183</v>
      </c>
      <c r="O722" t="s">
        <v>1183</v>
      </c>
      <c r="P722" t="s">
        <v>220</v>
      </c>
      <c r="Q722" t="s">
        <v>404</v>
      </c>
      <c r="R722" t="s">
        <v>1183</v>
      </c>
      <c r="S722">
        <f>260*0.3048</f>
        <v>79.248000000000005</v>
      </c>
      <c r="T722" s="1" t="s">
        <v>3089</v>
      </c>
      <c r="U722" s="1" t="s">
        <v>3090</v>
      </c>
    </row>
    <row r="723" spans="1:21" x14ac:dyDescent="0.3">
      <c r="A723">
        <v>156</v>
      </c>
      <c r="B723" s="8" t="s">
        <v>891</v>
      </c>
      <c r="C723" t="s">
        <v>2162</v>
      </c>
      <c r="D723" t="s">
        <v>9</v>
      </c>
      <c r="E723">
        <v>1959</v>
      </c>
      <c r="F723" t="s">
        <v>1183</v>
      </c>
      <c r="G723">
        <v>1960</v>
      </c>
      <c r="H723">
        <v>48.803150000000002</v>
      </c>
      <c r="I723">
        <v>-64.659639999999996</v>
      </c>
      <c r="J723" t="s">
        <v>124</v>
      </c>
      <c r="K723" t="s">
        <v>1228</v>
      </c>
      <c r="L723" t="s">
        <v>1163</v>
      </c>
      <c r="M723">
        <f>717*0.3048</f>
        <v>218.54160000000002</v>
      </c>
      <c r="N723" t="s">
        <v>2163</v>
      </c>
      <c r="O723" t="s">
        <v>2164</v>
      </c>
      <c r="P723" t="s">
        <v>218</v>
      </c>
      <c r="Q723" t="s">
        <v>213</v>
      </c>
      <c r="R723">
        <f>460*0.3048</f>
        <v>140.208</v>
      </c>
      <c r="S723">
        <f>3270*0.3048</f>
        <v>996.69600000000003</v>
      </c>
      <c r="T723" s="1" t="s">
        <v>2165</v>
      </c>
      <c r="U723" s="1" t="s">
        <v>2166</v>
      </c>
    </row>
    <row r="724" spans="1:21" x14ac:dyDescent="0.3">
      <c r="A724">
        <v>157</v>
      </c>
      <c r="B724" s="8" t="s">
        <v>894</v>
      </c>
      <c r="C724" t="s">
        <v>2176</v>
      </c>
      <c r="D724" t="s">
        <v>9</v>
      </c>
      <c r="E724">
        <v>1899</v>
      </c>
      <c r="F724" t="s">
        <v>1183</v>
      </c>
      <c r="G724" t="s">
        <v>1183</v>
      </c>
      <c r="H724">
        <v>48.827831389000004</v>
      </c>
      <c r="I724">
        <v>-64.854337778000001</v>
      </c>
      <c r="J724" t="s">
        <v>124</v>
      </c>
      <c r="K724" t="s">
        <v>1228</v>
      </c>
      <c r="L724" t="s">
        <v>1163</v>
      </c>
      <c r="M724">
        <f>900*0.3048</f>
        <v>274.32</v>
      </c>
      <c r="N724" t="s">
        <v>1234</v>
      </c>
      <c r="O724" t="s">
        <v>1230</v>
      </c>
      <c r="P724" t="s">
        <v>218</v>
      </c>
      <c r="Q724" t="s">
        <v>404</v>
      </c>
      <c r="R724">
        <v>97</v>
      </c>
      <c r="S724">
        <v>485</v>
      </c>
      <c r="T724" s="1" t="s">
        <v>2177</v>
      </c>
      <c r="U724" s="1" t="s">
        <v>2178</v>
      </c>
    </row>
    <row r="725" spans="1:21" x14ac:dyDescent="0.3">
      <c r="A725">
        <v>158</v>
      </c>
      <c r="B725" s="8" t="s">
        <v>896</v>
      </c>
      <c r="C725" t="s">
        <v>2183</v>
      </c>
      <c r="D725" t="s">
        <v>9</v>
      </c>
      <c r="E725">
        <v>1899</v>
      </c>
      <c r="F725" t="s">
        <v>1183</v>
      </c>
      <c r="G725" t="s">
        <v>1183</v>
      </c>
      <c r="H725">
        <v>48.840130000000002</v>
      </c>
      <c r="I725">
        <v>-64.622699999999995</v>
      </c>
      <c r="J725" t="s">
        <v>124</v>
      </c>
      <c r="K725" t="s">
        <v>1228</v>
      </c>
      <c r="L725" t="s">
        <v>1163</v>
      </c>
      <c r="M725" t="s">
        <v>1183</v>
      </c>
      <c r="N725" t="s">
        <v>1239</v>
      </c>
      <c r="O725" t="s">
        <v>1230</v>
      </c>
      <c r="P725" t="s">
        <v>329</v>
      </c>
      <c r="Q725" t="s">
        <v>404</v>
      </c>
      <c r="R725">
        <f>100*0.3048</f>
        <v>30.48</v>
      </c>
      <c r="S725">
        <f>2065*0.3048</f>
        <v>629.41200000000003</v>
      </c>
      <c r="T725" s="1" t="s">
        <v>2184</v>
      </c>
      <c r="U725" s="1" t="s">
        <v>2185</v>
      </c>
    </row>
    <row r="726" spans="1:21" x14ac:dyDescent="0.3">
      <c r="A726">
        <v>159</v>
      </c>
      <c r="B726" s="8" t="s">
        <v>898</v>
      </c>
      <c r="C726" t="s">
        <v>2189</v>
      </c>
      <c r="D726" t="s">
        <v>9</v>
      </c>
      <c r="E726">
        <v>1900</v>
      </c>
      <c r="F726" t="s">
        <v>1183</v>
      </c>
      <c r="G726" t="s">
        <v>1183</v>
      </c>
      <c r="H726">
        <v>48.848129999999998</v>
      </c>
      <c r="I726">
        <v>-64.622640000000004</v>
      </c>
      <c r="J726" t="s">
        <v>124</v>
      </c>
      <c r="K726" t="s">
        <v>1228</v>
      </c>
      <c r="L726" t="s">
        <v>1163</v>
      </c>
      <c r="M726" t="s">
        <v>1183</v>
      </c>
      <c r="N726" t="s">
        <v>1239</v>
      </c>
      <c r="O726" t="s">
        <v>1230</v>
      </c>
      <c r="P726" t="s">
        <v>220</v>
      </c>
      <c r="Q726" t="s">
        <v>404</v>
      </c>
      <c r="R726">
        <f>100*0.3048</f>
        <v>30.48</v>
      </c>
      <c r="S726">
        <f>2226*0.3048</f>
        <v>678.48480000000006</v>
      </c>
      <c r="T726" s="1" t="s">
        <v>2190</v>
      </c>
      <c r="U726" s="1" t="s">
        <v>2191</v>
      </c>
    </row>
    <row r="727" spans="1:21" x14ac:dyDescent="0.3">
      <c r="A727">
        <v>160</v>
      </c>
      <c r="B727" s="8" t="s">
        <v>899</v>
      </c>
      <c r="C727" t="s">
        <v>2192</v>
      </c>
      <c r="D727" t="s">
        <v>9</v>
      </c>
      <c r="E727">
        <v>1901</v>
      </c>
      <c r="F727" t="s">
        <v>1183</v>
      </c>
      <c r="G727" t="s">
        <v>1183</v>
      </c>
      <c r="H727">
        <v>48.845996999999997</v>
      </c>
      <c r="I727">
        <v>-64.638339000000002</v>
      </c>
      <c r="J727" t="s">
        <v>124</v>
      </c>
      <c r="K727" t="s">
        <v>1228</v>
      </c>
      <c r="L727" t="s">
        <v>1163</v>
      </c>
      <c r="M727" t="s">
        <v>1183</v>
      </c>
      <c r="N727" t="s">
        <v>2180</v>
      </c>
      <c r="O727" t="s">
        <v>1230</v>
      </c>
      <c r="P727" t="s">
        <v>329</v>
      </c>
      <c r="Q727" t="s">
        <v>404</v>
      </c>
      <c r="R727">
        <f>35*0.3048</f>
        <v>10.668000000000001</v>
      </c>
      <c r="S727">
        <f>2383*0.3048</f>
        <v>726.33840000000009</v>
      </c>
      <c r="T727" s="1" t="s">
        <v>2193</v>
      </c>
      <c r="U727" s="1" t="s">
        <v>2194</v>
      </c>
    </row>
    <row r="728" spans="1:21" x14ac:dyDescent="0.3">
      <c r="A728">
        <v>161</v>
      </c>
      <c r="B728" s="8" t="s">
        <v>900</v>
      </c>
      <c r="C728" t="s">
        <v>2195</v>
      </c>
      <c r="D728" t="s">
        <v>9</v>
      </c>
      <c r="E728">
        <v>1901</v>
      </c>
      <c r="F728" t="s">
        <v>1183</v>
      </c>
      <c r="G728" t="s">
        <v>1183</v>
      </c>
      <c r="H728">
        <v>48.826749999999997</v>
      </c>
      <c r="I728">
        <v>-64.839969999999994</v>
      </c>
      <c r="J728" t="s">
        <v>124</v>
      </c>
      <c r="K728" t="s">
        <v>1228</v>
      </c>
      <c r="L728" t="s">
        <v>1163</v>
      </c>
      <c r="M728" t="s">
        <v>1183</v>
      </c>
      <c r="N728" t="s">
        <v>1239</v>
      </c>
      <c r="O728" t="s">
        <v>1230</v>
      </c>
      <c r="P728" t="s">
        <v>329</v>
      </c>
      <c r="Q728" t="s">
        <v>404</v>
      </c>
      <c r="R728">
        <f>240*0.3048</f>
        <v>73.152000000000001</v>
      </c>
      <c r="S728">
        <f>1924*0.3048</f>
        <v>586.43520000000001</v>
      </c>
      <c r="T728" s="1" t="s">
        <v>2196</v>
      </c>
      <c r="U728" s="1" t="s">
        <v>2197</v>
      </c>
    </row>
    <row r="729" spans="1:21" x14ac:dyDescent="0.3">
      <c r="A729">
        <v>162</v>
      </c>
      <c r="B729" s="8" t="s">
        <v>901</v>
      </c>
      <c r="C729" t="s">
        <v>2198</v>
      </c>
      <c r="D729" t="s">
        <v>9</v>
      </c>
      <c r="E729">
        <v>1901</v>
      </c>
      <c r="F729" t="s">
        <v>1183</v>
      </c>
      <c r="G729" t="s">
        <v>1183</v>
      </c>
      <c r="H729">
        <v>48.799393999999999</v>
      </c>
      <c r="I729">
        <v>-64.945436999999998</v>
      </c>
      <c r="J729" t="s">
        <v>124</v>
      </c>
      <c r="K729" t="s">
        <v>1228</v>
      </c>
      <c r="L729" t="s">
        <v>1163</v>
      </c>
      <c r="M729" t="s">
        <v>1183</v>
      </c>
      <c r="N729" t="s">
        <v>1234</v>
      </c>
      <c r="O729" t="s">
        <v>1230</v>
      </c>
      <c r="P729" t="s">
        <v>220</v>
      </c>
      <c r="Q729" t="s">
        <v>404</v>
      </c>
      <c r="R729">
        <f>380*0.3048</f>
        <v>115.82400000000001</v>
      </c>
      <c r="S729">
        <f>1500*0.3048</f>
        <v>457.20000000000005</v>
      </c>
      <c r="T729" s="1" t="s">
        <v>2199</v>
      </c>
      <c r="U729" s="1" t="s">
        <v>2200</v>
      </c>
    </row>
    <row r="730" spans="1:21" x14ac:dyDescent="0.3">
      <c r="A730">
        <v>163</v>
      </c>
      <c r="B730" s="8" t="s">
        <v>911</v>
      </c>
      <c r="C730" t="s">
        <v>2228</v>
      </c>
      <c r="D730" t="s">
        <v>9</v>
      </c>
      <c r="E730">
        <v>1913</v>
      </c>
      <c r="F730" t="s">
        <v>1183</v>
      </c>
      <c r="G730" t="s">
        <v>1183</v>
      </c>
      <c r="H730">
        <v>48.649749999999997</v>
      </c>
      <c r="I730">
        <v>-64.423576999999995</v>
      </c>
      <c r="J730" t="s">
        <v>124</v>
      </c>
      <c r="K730" t="s">
        <v>1228</v>
      </c>
      <c r="L730" t="s">
        <v>1163</v>
      </c>
      <c r="M730" t="s">
        <v>1183</v>
      </c>
      <c r="N730" t="s">
        <v>1234</v>
      </c>
      <c r="O730" t="s">
        <v>1171</v>
      </c>
      <c r="P730" t="s">
        <v>220</v>
      </c>
      <c r="Q730" t="s">
        <v>404</v>
      </c>
      <c r="R730">
        <f>275*0.3048</f>
        <v>83.820000000000007</v>
      </c>
      <c r="S730">
        <f>2950*0.3048</f>
        <v>899.16000000000008</v>
      </c>
      <c r="T730" s="1" t="s">
        <v>2229</v>
      </c>
      <c r="U730" s="1" t="s">
        <v>2230</v>
      </c>
    </row>
    <row r="731" spans="1:21" x14ac:dyDescent="0.3">
      <c r="A731">
        <v>164</v>
      </c>
      <c r="B731" s="8" t="s">
        <v>912</v>
      </c>
      <c r="C731" t="s">
        <v>2231</v>
      </c>
      <c r="D731" t="s">
        <v>9</v>
      </c>
      <c r="E731">
        <v>1860</v>
      </c>
      <c r="F731" t="s">
        <v>1183</v>
      </c>
      <c r="G731" t="s">
        <v>1183</v>
      </c>
      <c r="H731">
        <v>48.845832000000001</v>
      </c>
      <c r="I731">
        <v>-64.688703000000004</v>
      </c>
      <c r="J731" t="s">
        <v>124</v>
      </c>
      <c r="K731" t="s">
        <v>1228</v>
      </c>
      <c r="L731" t="s">
        <v>1163</v>
      </c>
      <c r="M731" t="s">
        <v>1183</v>
      </c>
      <c r="N731" t="s">
        <v>1234</v>
      </c>
      <c r="O731" t="s">
        <v>2232</v>
      </c>
      <c r="P731" t="s">
        <v>218</v>
      </c>
      <c r="Q731" t="s">
        <v>404</v>
      </c>
      <c r="R731">
        <f>300*0.3048</f>
        <v>91.44</v>
      </c>
      <c r="S731">
        <f>600*0.3048</f>
        <v>182.88</v>
      </c>
      <c r="T731" s="1" t="s">
        <v>2233</v>
      </c>
      <c r="U731" s="1" t="s">
        <v>2234</v>
      </c>
    </row>
    <row r="732" spans="1:21" x14ac:dyDescent="0.3">
      <c r="A732">
        <v>165</v>
      </c>
      <c r="B732" s="8" t="s">
        <v>913</v>
      </c>
      <c r="C732" t="s">
        <v>2235</v>
      </c>
      <c r="D732" t="s">
        <v>9</v>
      </c>
      <c r="E732">
        <v>1860</v>
      </c>
      <c r="F732" t="s">
        <v>1183</v>
      </c>
      <c r="G732" t="s">
        <v>1183</v>
      </c>
      <c r="H732">
        <v>48.770820000000001</v>
      </c>
      <c r="I732">
        <v>-64.41422</v>
      </c>
      <c r="J732" t="s">
        <v>124</v>
      </c>
      <c r="K732" t="s">
        <v>1228</v>
      </c>
      <c r="L732" t="s">
        <v>1163</v>
      </c>
      <c r="M732" t="s">
        <v>1183</v>
      </c>
      <c r="N732" t="s">
        <v>1234</v>
      </c>
      <c r="O732" t="s">
        <v>2232</v>
      </c>
      <c r="P732" t="s">
        <v>329</v>
      </c>
      <c r="Q732" t="s">
        <v>404</v>
      </c>
      <c r="R732">
        <f>15*0.3048</f>
        <v>4.5720000000000001</v>
      </c>
      <c r="S732">
        <f>600*0.3048</f>
        <v>182.88</v>
      </c>
      <c r="T732" s="1" t="s">
        <v>2236</v>
      </c>
      <c r="U732" s="1" t="s">
        <v>2237</v>
      </c>
    </row>
    <row r="733" spans="1:21" x14ac:dyDescent="0.3">
      <c r="A733">
        <v>166</v>
      </c>
      <c r="B733" s="8" t="s">
        <v>916</v>
      </c>
      <c r="C733" t="s">
        <v>2248</v>
      </c>
      <c r="D733" t="s">
        <v>9</v>
      </c>
      <c r="E733">
        <v>1888</v>
      </c>
      <c r="F733" t="s">
        <v>1183</v>
      </c>
      <c r="G733" t="s">
        <v>1183</v>
      </c>
      <c r="H733">
        <v>48.839220832999999</v>
      </c>
      <c r="I733">
        <v>-64.788780000000003</v>
      </c>
      <c r="J733" t="s">
        <v>124</v>
      </c>
      <c r="K733" t="s">
        <v>1228</v>
      </c>
      <c r="L733" t="s">
        <v>1163</v>
      </c>
      <c r="M733" t="s">
        <v>1183</v>
      </c>
      <c r="N733" t="s">
        <v>1234</v>
      </c>
      <c r="O733" t="s">
        <v>2249</v>
      </c>
      <c r="P733" t="s">
        <v>220</v>
      </c>
      <c r="Q733" t="s">
        <v>404</v>
      </c>
      <c r="R733">
        <f>345*0.3048</f>
        <v>105.15600000000001</v>
      </c>
      <c r="S733">
        <f>2200*0.3048</f>
        <v>670.56000000000006</v>
      </c>
      <c r="T733" s="1" t="s">
        <v>2250</v>
      </c>
      <c r="U733" s="1" t="s">
        <v>2251</v>
      </c>
    </row>
    <row r="734" spans="1:21" x14ac:dyDescent="0.3">
      <c r="A734">
        <v>167</v>
      </c>
      <c r="B734" s="8" t="s">
        <v>920</v>
      </c>
      <c r="C734" t="s">
        <v>2264</v>
      </c>
      <c r="D734" t="s">
        <v>9</v>
      </c>
      <c r="E734">
        <v>1889</v>
      </c>
      <c r="F734" t="s">
        <v>1183</v>
      </c>
      <c r="G734">
        <v>1891</v>
      </c>
      <c r="H734">
        <v>48.812609999999999</v>
      </c>
      <c r="I734">
        <v>-64.445400000000006</v>
      </c>
      <c r="J734" t="s">
        <v>124</v>
      </c>
      <c r="K734" t="s">
        <v>1228</v>
      </c>
      <c r="L734" t="s">
        <v>1163</v>
      </c>
      <c r="M734" t="s">
        <v>1183</v>
      </c>
      <c r="N734" t="s">
        <v>1234</v>
      </c>
      <c r="O734" t="s">
        <v>1236</v>
      </c>
      <c r="P734" t="s">
        <v>329</v>
      </c>
      <c r="Q734" t="s">
        <v>404</v>
      </c>
      <c r="R734">
        <f>345*0.3048</f>
        <v>105.15600000000001</v>
      </c>
      <c r="S734">
        <f>2430*0.3048</f>
        <v>740.66399999999999</v>
      </c>
      <c r="T734" s="1" t="s">
        <v>2265</v>
      </c>
      <c r="U734" s="1" t="s">
        <v>2266</v>
      </c>
    </row>
    <row r="735" spans="1:21" x14ac:dyDescent="0.3">
      <c r="A735">
        <v>168</v>
      </c>
      <c r="B735" s="8" t="s">
        <v>922</v>
      </c>
      <c r="C735" t="s">
        <v>2270</v>
      </c>
      <c r="D735" t="s">
        <v>9</v>
      </c>
      <c r="E735">
        <v>1894</v>
      </c>
      <c r="F735" t="s">
        <v>1183</v>
      </c>
      <c r="G735" t="s">
        <v>1183</v>
      </c>
      <c r="H735">
        <v>48.871270000000003</v>
      </c>
      <c r="I735">
        <v>-64.560169999999999</v>
      </c>
      <c r="J735" t="s">
        <v>124</v>
      </c>
      <c r="K735" t="s">
        <v>1228</v>
      </c>
      <c r="L735" t="s">
        <v>1163</v>
      </c>
      <c r="M735" t="s">
        <v>1183</v>
      </c>
      <c r="N735" t="s">
        <v>1234</v>
      </c>
      <c r="O735" t="s">
        <v>1236</v>
      </c>
      <c r="P735" t="s">
        <v>220</v>
      </c>
      <c r="Q735" t="s">
        <v>404</v>
      </c>
      <c r="R735">
        <f>245*0.3048</f>
        <v>74.676000000000002</v>
      </c>
      <c r="S735">
        <f>2719*0.3048</f>
        <v>828.75120000000004</v>
      </c>
      <c r="T735" s="1" t="s">
        <v>2271</v>
      </c>
      <c r="U735" s="1" t="s">
        <v>2272</v>
      </c>
    </row>
    <row r="736" spans="1:21" x14ac:dyDescent="0.3">
      <c r="A736">
        <v>169</v>
      </c>
      <c r="B736" s="8" t="s">
        <v>923</v>
      </c>
      <c r="C736" t="s">
        <v>2273</v>
      </c>
      <c r="D736" t="s">
        <v>9</v>
      </c>
      <c r="E736">
        <v>1894</v>
      </c>
      <c r="F736" t="s">
        <v>1183</v>
      </c>
      <c r="G736" t="s">
        <v>1183</v>
      </c>
      <c r="H736">
        <v>48.842362000000001</v>
      </c>
      <c r="I736">
        <v>-64.643968000000001</v>
      </c>
      <c r="J736" t="s">
        <v>124</v>
      </c>
      <c r="K736" t="s">
        <v>1228</v>
      </c>
      <c r="L736" t="s">
        <v>1163</v>
      </c>
      <c r="M736">
        <f>816*0.3048</f>
        <v>248.71680000000001</v>
      </c>
      <c r="N736" t="s">
        <v>2163</v>
      </c>
      <c r="O736" t="s">
        <v>1236</v>
      </c>
      <c r="P736" t="s">
        <v>218</v>
      </c>
      <c r="Q736" t="s">
        <v>404</v>
      </c>
      <c r="R736">
        <f>30*0.3048</f>
        <v>9.1440000000000001</v>
      </c>
      <c r="S736">
        <f>3002*0.3048</f>
        <v>915.00960000000009</v>
      </c>
      <c r="T736" s="1" t="s">
        <v>2274</v>
      </c>
      <c r="U736" s="1" t="s">
        <v>2275</v>
      </c>
    </row>
    <row r="737" spans="1:21" x14ac:dyDescent="0.3">
      <c r="A737">
        <v>170</v>
      </c>
      <c r="B737" s="8" t="s">
        <v>924</v>
      </c>
      <c r="C737" t="s">
        <v>2276</v>
      </c>
      <c r="D737" t="s">
        <v>9</v>
      </c>
      <c r="E737">
        <v>1895</v>
      </c>
      <c r="F737" t="s">
        <v>1183</v>
      </c>
      <c r="G737" t="s">
        <v>1183</v>
      </c>
      <c r="H737">
        <v>48.843820000000001</v>
      </c>
      <c r="I737">
        <v>-64.649969999999996</v>
      </c>
      <c r="J737" t="s">
        <v>124</v>
      </c>
      <c r="K737" t="s">
        <v>1228</v>
      </c>
      <c r="L737" t="s">
        <v>1163</v>
      </c>
      <c r="M737">
        <f>811*0.3048</f>
        <v>247.19280000000001</v>
      </c>
      <c r="N737" t="s">
        <v>2163</v>
      </c>
      <c r="O737" t="s">
        <v>1236</v>
      </c>
      <c r="P737" t="s">
        <v>218</v>
      </c>
      <c r="Q737" t="s">
        <v>404</v>
      </c>
      <c r="R737">
        <f>100*0.3048</f>
        <v>30.48</v>
      </c>
      <c r="S737">
        <f>2775*0.3048</f>
        <v>845.82</v>
      </c>
      <c r="T737" s="1" t="s">
        <v>2277</v>
      </c>
      <c r="U737" s="1" t="s">
        <v>2278</v>
      </c>
    </row>
    <row r="738" spans="1:21" x14ac:dyDescent="0.3">
      <c r="A738">
        <v>171</v>
      </c>
      <c r="B738" s="8" t="s">
        <v>927</v>
      </c>
      <c r="C738" t="s">
        <v>2285</v>
      </c>
      <c r="D738" t="s">
        <v>9</v>
      </c>
      <c r="E738">
        <v>1895</v>
      </c>
      <c r="F738" t="s">
        <v>1183</v>
      </c>
      <c r="G738" t="s">
        <v>1183</v>
      </c>
      <c r="H738">
        <v>48.833944443999997</v>
      </c>
      <c r="I738">
        <v>-64.850444444000004</v>
      </c>
      <c r="J738" t="s">
        <v>124</v>
      </c>
      <c r="K738" t="s">
        <v>1228</v>
      </c>
      <c r="L738" t="s">
        <v>1163</v>
      </c>
      <c r="M738">
        <f>495*0.3048</f>
        <v>150.876</v>
      </c>
      <c r="N738" t="s">
        <v>2163</v>
      </c>
      <c r="O738" t="s">
        <v>1236</v>
      </c>
      <c r="P738" t="s">
        <v>218</v>
      </c>
      <c r="Q738" t="s">
        <v>404</v>
      </c>
      <c r="R738">
        <f>475*0.3048</f>
        <v>144.78</v>
      </c>
      <c r="S738">
        <f>1960*0.3048</f>
        <v>597.40800000000002</v>
      </c>
      <c r="T738" s="1" t="s">
        <v>2286</v>
      </c>
      <c r="U738" s="1" t="s">
        <v>2287</v>
      </c>
    </row>
    <row r="739" spans="1:21" x14ac:dyDescent="0.3">
      <c r="A739">
        <v>172</v>
      </c>
      <c r="B739" s="8" t="s">
        <v>928</v>
      </c>
      <c r="C739" t="s">
        <v>2288</v>
      </c>
      <c r="D739" t="s">
        <v>9</v>
      </c>
      <c r="E739">
        <v>1895</v>
      </c>
      <c r="F739" t="s">
        <v>1183</v>
      </c>
      <c r="G739" t="s">
        <v>1183</v>
      </c>
      <c r="H739">
        <v>48.831722222000003</v>
      </c>
      <c r="I739">
        <v>-64.860166667000001</v>
      </c>
      <c r="J739" t="s">
        <v>124</v>
      </c>
      <c r="K739" t="s">
        <v>1228</v>
      </c>
      <c r="L739" t="s">
        <v>1163</v>
      </c>
      <c r="M739">
        <f>2040*0.3048</f>
        <v>621.79200000000003</v>
      </c>
      <c r="N739" t="s">
        <v>2163</v>
      </c>
      <c r="O739" t="s">
        <v>1236</v>
      </c>
      <c r="P739" t="s">
        <v>329</v>
      </c>
      <c r="Q739" t="s">
        <v>404</v>
      </c>
      <c r="R739">
        <f>415*0.3048</f>
        <v>126.492</v>
      </c>
      <c r="S739">
        <f>2250*0.3048</f>
        <v>685.80000000000007</v>
      </c>
      <c r="T739" s="1" t="s">
        <v>2289</v>
      </c>
      <c r="U739" s="1" t="s">
        <v>2290</v>
      </c>
    </row>
    <row r="740" spans="1:21" x14ac:dyDescent="0.3">
      <c r="A740">
        <v>173</v>
      </c>
      <c r="B740" s="8" t="s">
        <v>931</v>
      </c>
      <c r="C740" t="s">
        <v>2296</v>
      </c>
      <c r="D740" t="s">
        <v>9</v>
      </c>
      <c r="E740">
        <v>1897</v>
      </c>
      <c r="F740" t="s">
        <v>1183</v>
      </c>
      <c r="G740" t="s">
        <v>1183</v>
      </c>
      <c r="H740">
        <v>48.827833333000001</v>
      </c>
      <c r="I740">
        <v>-64.852111110999999</v>
      </c>
      <c r="J740" t="s">
        <v>124</v>
      </c>
      <c r="K740" t="s">
        <v>1228</v>
      </c>
      <c r="L740" t="s">
        <v>1163</v>
      </c>
      <c r="M740">
        <f>806*0.3048</f>
        <v>245.6688</v>
      </c>
      <c r="N740" t="s">
        <v>2163</v>
      </c>
      <c r="O740" t="s">
        <v>1236</v>
      </c>
      <c r="P740" t="s">
        <v>218</v>
      </c>
      <c r="Q740" t="s">
        <v>404</v>
      </c>
      <c r="R740">
        <f>315*0.3048</f>
        <v>96.012</v>
      </c>
      <c r="S740">
        <f>2200*0.3048</f>
        <v>670.56000000000006</v>
      </c>
      <c r="T740" s="1" t="s">
        <v>2297</v>
      </c>
      <c r="U740" s="1" t="s">
        <v>2298</v>
      </c>
    </row>
    <row r="741" spans="1:21" x14ac:dyDescent="0.3">
      <c r="A741">
        <v>174</v>
      </c>
      <c r="B741" s="8" t="s">
        <v>932</v>
      </c>
      <c r="C741" t="s">
        <v>2299</v>
      </c>
      <c r="D741" t="s">
        <v>9</v>
      </c>
      <c r="E741">
        <v>1897</v>
      </c>
      <c r="F741" t="s">
        <v>1183</v>
      </c>
      <c r="G741" t="s">
        <v>1183</v>
      </c>
      <c r="H741">
        <v>48.829999000000001</v>
      </c>
      <c r="I741">
        <v>-64.968629000000007</v>
      </c>
      <c r="J741" t="s">
        <v>124</v>
      </c>
      <c r="K741" t="s">
        <v>1228</v>
      </c>
      <c r="L741" t="s">
        <v>1163</v>
      </c>
      <c r="M741" t="s">
        <v>1183</v>
      </c>
      <c r="N741" t="s">
        <v>1237</v>
      </c>
      <c r="O741" t="s">
        <v>1236</v>
      </c>
      <c r="P741" t="s">
        <v>212</v>
      </c>
      <c r="Q741" t="s">
        <v>404</v>
      </c>
      <c r="R741">
        <f>1010*0.3048</f>
        <v>307.84800000000001</v>
      </c>
      <c r="S741">
        <f>3525*0.3048</f>
        <v>1074.42</v>
      </c>
      <c r="T741" s="1" t="s">
        <v>2300</v>
      </c>
      <c r="U741" s="1" t="s">
        <v>2301</v>
      </c>
    </row>
    <row r="742" spans="1:21" x14ac:dyDescent="0.3">
      <c r="A742">
        <v>175</v>
      </c>
      <c r="B742" s="8" t="s">
        <v>933</v>
      </c>
      <c r="C742" t="s">
        <v>2302</v>
      </c>
      <c r="D742" t="s">
        <v>9</v>
      </c>
      <c r="E742">
        <v>1897</v>
      </c>
      <c r="F742" t="s">
        <v>1183</v>
      </c>
      <c r="G742" t="s">
        <v>1183</v>
      </c>
      <c r="H742">
        <v>48.824720278000001</v>
      </c>
      <c r="I742">
        <v>-64.852948889000004</v>
      </c>
      <c r="J742" t="s">
        <v>124</v>
      </c>
      <c r="K742" t="s">
        <v>1228</v>
      </c>
      <c r="L742" t="s">
        <v>1163</v>
      </c>
      <c r="M742">
        <f>1488*0.3048</f>
        <v>453.54240000000004</v>
      </c>
      <c r="N742" t="s">
        <v>2303</v>
      </c>
      <c r="O742" t="s">
        <v>1236</v>
      </c>
      <c r="P742" t="s">
        <v>218</v>
      </c>
      <c r="Q742" t="s">
        <v>404</v>
      </c>
      <c r="R742">
        <f>230*0.3048</f>
        <v>70.103999999999999</v>
      </c>
      <c r="S742">
        <f>2183*0.3048</f>
        <v>665.37840000000006</v>
      </c>
      <c r="T742" s="1" t="s">
        <v>2304</v>
      </c>
      <c r="U742" s="1" t="s">
        <v>2305</v>
      </c>
    </row>
    <row r="743" spans="1:21" x14ac:dyDescent="0.3">
      <c r="A743">
        <v>176</v>
      </c>
      <c r="B743" s="8" t="s">
        <v>935</v>
      </c>
      <c r="C743" t="s">
        <v>2309</v>
      </c>
      <c r="D743" t="s">
        <v>9</v>
      </c>
      <c r="E743">
        <v>1899</v>
      </c>
      <c r="F743" t="s">
        <v>1183</v>
      </c>
      <c r="G743" t="s">
        <v>1183</v>
      </c>
      <c r="H743">
        <v>48.828111110999998</v>
      </c>
      <c r="I743">
        <v>-64.843777778000003</v>
      </c>
      <c r="J743" t="s">
        <v>124</v>
      </c>
      <c r="K743" t="s">
        <v>1228</v>
      </c>
      <c r="L743" t="s">
        <v>1163</v>
      </c>
      <c r="M743">
        <f>701*0.3048</f>
        <v>213.66480000000001</v>
      </c>
      <c r="N743" t="s">
        <v>2163</v>
      </c>
      <c r="O743" t="s">
        <v>1236</v>
      </c>
      <c r="P743" t="s">
        <v>218</v>
      </c>
      <c r="Q743" t="s">
        <v>404</v>
      </c>
      <c r="R743">
        <f>305*0.3048</f>
        <v>92.963999999999999</v>
      </c>
      <c r="S743">
        <f>1925*0.3048</f>
        <v>586.74</v>
      </c>
      <c r="T743" s="1" t="s">
        <v>2310</v>
      </c>
      <c r="U743" s="1" t="s">
        <v>2311</v>
      </c>
    </row>
    <row r="744" spans="1:21" x14ac:dyDescent="0.3">
      <c r="A744">
        <v>177</v>
      </c>
      <c r="B744" s="8" t="s">
        <v>936</v>
      </c>
      <c r="C744" t="s">
        <v>2312</v>
      </c>
      <c r="D744" t="s">
        <v>9</v>
      </c>
      <c r="E744">
        <v>1899</v>
      </c>
      <c r="F744" t="s">
        <v>1183</v>
      </c>
      <c r="G744" t="s">
        <v>1183</v>
      </c>
      <c r="H744">
        <v>48.817995556</v>
      </c>
      <c r="I744">
        <v>-64.888847777999999</v>
      </c>
      <c r="J744" t="s">
        <v>124</v>
      </c>
      <c r="K744" t="s">
        <v>1228</v>
      </c>
      <c r="L744" t="s">
        <v>1163</v>
      </c>
      <c r="M744">
        <f>1199*0.3048</f>
        <v>365.45519999999999</v>
      </c>
      <c r="N744" t="s">
        <v>1237</v>
      </c>
      <c r="O744" t="s">
        <v>1236</v>
      </c>
      <c r="P744" t="s">
        <v>212</v>
      </c>
      <c r="Q744" t="s">
        <v>404</v>
      </c>
      <c r="R744">
        <f>300*0.3048</f>
        <v>91.44</v>
      </c>
      <c r="S744">
        <f>2607*0.3048</f>
        <v>794.61360000000002</v>
      </c>
      <c r="T744" s="1" t="s">
        <v>2313</v>
      </c>
      <c r="U744" s="1" t="s">
        <v>2314</v>
      </c>
    </row>
    <row r="745" spans="1:21" x14ac:dyDescent="0.3">
      <c r="A745">
        <v>178</v>
      </c>
      <c r="B745" s="8" t="s">
        <v>937</v>
      </c>
      <c r="C745" t="s">
        <v>2315</v>
      </c>
      <c r="D745" t="s">
        <v>9</v>
      </c>
      <c r="E745">
        <v>1900</v>
      </c>
      <c r="F745" t="s">
        <v>1183</v>
      </c>
      <c r="G745" t="s">
        <v>1183</v>
      </c>
      <c r="H745">
        <v>48.829884</v>
      </c>
      <c r="I745">
        <v>-64.855957000000004</v>
      </c>
      <c r="J745" t="s">
        <v>124</v>
      </c>
      <c r="K745" t="s">
        <v>1228</v>
      </c>
      <c r="L745" t="s">
        <v>1163</v>
      </c>
      <c r="M745">
        <f>844*0.3048</f>
        <v>257.25120000000004</v>
      </c>
      <c r="N745" t="s">
        <v>1237</v>
      </c>
      <c r="O745" t="s">
        <v>1236</v>
      </c>
      <c r="P745" t="s">
        <v>218</v>
      </c>
      <c r="Q745" t="s">
        <v>404</v>
      </c>
      <c r="R745">
        <f>380*0.3048</f>
        <v>115.82400000000001</v>
      </c>
      <c r="S745">
        <f>1677*0.3048</f>
        <v>511.14960000000002</v>
      </c>
      <c r="T745" s="1" t="s">
        <v>2316</v>
      </c>
      <c r="U745" s="1" t="s">
        <v>2317</v>
      </c>
    </row>
    <row r="746" spans="1:21" x14ac:dyDescent="0.3">
      <c r="A746">
        <v>179</v>
      </c>
      <c r="B746" s="8" t="s">
        <v>938</v>
      </c>
      <c r="C746" t="s">
        <v>2318</v>
      </c>
      <c r="D746" t="s">
        <v>9</v>
      </c>
      <c r="E746">
        <v>1901</v>
      </c>
      <c r="F746" t="s">
        <v>1183</v>
      </c>
      <c r="G746" t="s">
        <v>1183</v>
      </c>
      <c r="H746">
        <v>48.833370555999998</v>
      </c>
      <c r="I746">
        <v>-64.892146389000004</v>
      </c>
      <c r="J746" t="s">
        <v>124</v>
      </c>
      <c r="K746" t="s">
        <v>1228</v>
      </c>
      <c r="L746" t="s">
        <v>1163</v>
      </c>
      <c r="M746">
        <f>670*0.3048</f>
        <v>204.21600000000001</v>
      </c>
      <c r="N746" t="s">
        <v>2163</v>
      </c>
      <c r="O746" t="s">
        <v>1236</v>
      </c>
      <c r="P746" t="s">
        <v>220</v>
      </c>
      <c r="Q746" t="s">
        <v>404</v>
      </c>
      <c r="R746">
        <f>500*0.3048</f>
        <v>152.4</v>
      </c>
      <c r="S746">
        <f>1810*0.3048</f>
        <v>551.68799999999999</v>
      </c>
      <c r="T746" s="1" t="s">
        <v>2319</v>
      </c>
      <c r="U746" s="1" t="s">
        <v>2320</v>
      </c>
    </row>
    <row r="747" spans="1:21" x14ac:dyDescent="0.3">
      <c r="A747">
        <v>180</v>
      </c>
      <c r="B747" s="8" t="s">
        <v>939</v>
      </c>
      <c r="C747" t="s">
        <v>2321</v>
      </c>
      <c r="D747" t="s">
        <v>9</v>
      </c>
      <c r="E747">
        <v>1902</v>
      </c>
      <c r="F747" t="s">
        <v>1183</v>
      </c>
      <c r="G747" t="s">
        <v>1183</v>
      </c>
      <c r="H747">
        <v>48.843111</v>
      </c>
      <c r="I747">
        <v>-64.801277999999996</v>
      </c>
      <c r="J747" t="s">
        <v>124</v>
      </c>
      <c r="K747" t="s">
        <v>1228</v>
      </c>
      <c r="L747" t="s">
        <v>1163</v>
      </c>
      <c r="M747">
        <f>44*0.3048</f>
        <v>13.411200000000001</v>
      </c>
      <c r="N747" t="s">
        <v>1239</v>
      </c>
      <c r="O747" t="s">
        <v>1236</v>
      </c>
      <c r="P747" t="s">
        <v>220</v>
      </c>
      <c r="Q747" t="s">
        <v>404</v>
      </c>
      <c r="R747">
        <f>475*0.3048</f>
        <v>144.78</v>
      </c>
      <c r="S747">
        <f>465*0.3048</f>
        <v>141.732</v>
      </c>
      <c r="T747" t="s">
        <v>220</v>
      </c>
      <c r="U747" s="1" t="s">
        <v>2322</v>
      </c>
    </row>
    <row r="748" spans="1:21" x14ac:dyDescent="0.3">
      <c r="A748">
        <v>181</v>
      </c>
      <c r="B748" s="8" t="s">
        <v>943</v>
      </c>
      <c r="C748" t="s">
        <v>1183</v>
      </c>
      <c r="D748" t="s">
        <v>9</v>
      </c>
      <c r="E748" t="s">
        <v>1183</v>
      </c>
      <c r="F748" t="s">
        <v>1183</v>
      </c>
      <c r="G748" t="s">
        <v>1183</v>
      </c>
      <c r="H748">
        <v>48.842680000000001</v>
      </c>
      <c r="I748">
        <v>-64.639390000000006</v>
      </c>
      <c r="J748" t="s">
        <v>124</v>
      </c>
      <c r="K748" t="s">
        <v>1228</v>
      </c>
      <c r="L748" t="s">
        <v>1163</v>
      </c>
      <c r="M748" t="s">
        <v>1183</v>
      </c>
      <c r="N748" t="s">
        <v>1183</v>
      </c>
      <c r="O748" t="s">
        <v>1183</v>
      </c>
      <c r="P748" t="s">
        <v>220</v>
      </c>
      <c r="Q748" t="s">
        <v>404</v>
      </c>
      <c r="R748">
        <f>39*0.3048</f>
        <v>11.8872</v>
      </c>
      <c r="S748" t="s">
        <v>1183</v>
      </c>
      <c r="T748" s="1" t="s">
        <v>2334</v>
      </c>
      <c r="U748" s="1" t="s">
        <v>2335</v>
      </c>
    </row>
    <row r="749" spans="1:21" x14ac:dyDescent="0.3">
      <c r="A749">
        <v>182</v>
      </c>
      <c r="B749" s="8" t="s">
        <v>945</v>
      </c>
      <c r="C749" t="s">
        <v>2339</v>
      </c>
      <c r="D749" t="s">
        <v>9</v>
      </c>
      <c r="E749">
        <v>1962</v>
      </c>
      <c r="F749" t="s">
        <v>1183</v>
      </c>
      <c r="G749">
        <v>1962</v>
      </c>
      <c r="H749">
        <v>48.826098700000003</v>
      </c>
      <c r="I749">
        <v>-65.821762399999997</v>
      </c>
      <c r="J749" t="s">
        <v>124</v>
      </c>
      <c r="K749" t="s">
        <v>1228</v>
      </c>
      <c r="L749" t="s">
        <v>1167</v>
      </c>
      <c r="M749">
        <f>248*0.3048</f>
        <v>75.590400000000002</v>
      </c>
      <c r="N749" t="s">
        <v>2225</v>
      </c>
      <c r="O749" t="s">
        <v>1178</v>
      </c>
      <c r="P749" t="s">
        <v>220</v>
      </c>
      <c r="Q749" t="s">
        <v>213</v>
      </c>
      <c r="R749">
        <f>1559*0.3048</f>
        <v>475.1832</v>
      </c>
      <c r="S749">
        <f>4172*0.3048</f>
        <v>1271.6256000000001</v>
      </c>
      <c r="T749" s="1" t="s">
        <v>2340</v>
      </c>
      <c r="U749" s="1" t="s">
        <v>2341</v>
      </c>
    </row>
    <row r="750" spans="1:21" x14ac:dyDescent="0.3">
      <c r="A750">
        <v>183</v>
      </c>
      <c r="B750" s="8" t="s">
        <v>960</v>
      </c>
      <c r="C750" s="4" t="s">
        <v>3094</v>
      </c>
      <c r="D750" t="s">
        <v>9</v>
      </c>
      <c r="E750">
        <v>1984</v>
      </c>
      <c r="F750" t="s">
        <v>1183</v>
      </c>
      <c r="G750" t="s">
        <v>1183</v>
      </c>
      <c r="H750">
        <v>48.837154722000001</v>
      </c>
      <c r="I750">
        <v>-64.784163610999997</v>
      </c>
      <c r="J750" t="s">
        <v>124</v>
      </c>
      <c r="K750" t="s">
        <v>1228</v>
      </c>
      <c r="L750" t="s">
        <v>1167</v>
      </c>
      <c r="M750" t="s">
        <v>1183</v>
      </c>
      <c r="N750" t="s">
        <v>1237</v>
      </c>
      <c r="O750" t="s">
        <v>1240</v>
      </c>
      <c r="P750" t="s">
        <v>329</v>
      </c>
      <c r="Q750" t="s">
        <v>404</v>
      </c>
      <c r="R750" t="s">
        <v>1183</v>
      </c>
      <c r="S750">
        <v>108</v>
      </c>
      <c r="T750" s="1" t="s">
        <v>3095</v>
      </c>
      <c r="U750" s="1" t="s">
        <v>3096</v>
      </c>
    </row>
    <row r="751" spans="1:21" x14ac:dyDescent="0.3">
      <c r="A751">
        <v>184</v>
      </c>
      <c r="B751" s="8" t="s">
        <v>977</v>
      </c>
      <c r="C751" s="4" t="s">
        <v>3114</v>
      </c>
      <c r="D751" t="s">
        <v>9</v>
      </c>
      <c r="E751">
        <v>1983</v>
      </c>
      <c r="F751">
        <v>1983</v>
      </c>
      <c r="G751">
        <v>1999</v>
      </c>
      <c r="H751">
        <v>48.841036111000001</v>
      </c>
      <c r="I751">
        <v>-64.794999443999998</v>
      </c>
      <c r="J751" t="s">
        <v>124</v>
      </c>
      <c r="K751" t="s">
        <v>1228</v>
      </c>
      <c r="L751" t="s">
        <v>1167</v>
      </c>
      <c r="M751" t="s">
        <v>1183</v>
      </c>
      <c r="N751" t="s">
        <v>1234</v>
      </c>
      <c r="O751" t="s">
        <v>1246</v>
      </c>
      <c r="P751" t="s">
        <v>220</v>
      </c>
      <c r="Q751" t="s">
        <v>404</v>
      </c>
      <c r="R751" t="s">
        <v>1183</v>
      </c>
      <c r="S751">
        <v>20</v>
      </c>
      <c r="T751" s="1" t="s">
        <v>3115</v>
      </c>
      <c r="U751" s="1" t="s">
        <v>3116</v>
      </c>
    </row>
    <row r="752" spans="1:21" x14ac:dyDescent="0.3">
      <c r="A752">
        <v>185</v>
      </c>
      <c r="B752" s="7" t="s">
        <v>980</v>
      </c>
      <c r="C752" s="4" t="s">
        <v>2419</v>
      </c>
      <c r="D752" t="s">
        <v>9</v>
      </c>
      <c r="E752">
        <v>1984</v>
      </c>
      <c r="F752" t="s">
        <v>1183</v>
      </c>
      <c r="G752">
        <v>1999</v>
      </c>
      <c r="H752">
        <v>48.841389999999997</v>
      </c>
      <c r="I752">
        <v>-64.796310000000005</v>
      </c>
      <c r="J752" t="s">
        <v>124</v>
      </c>
      <c r="K752" t="s">
        <v>1228</v>
      </c>
      <c r="L752" t="s">
        <v>1167</v>
      </c>
      <c r="M752" t="s">
        <v>1183</v>
      </c>
      <c r="N752" t="s">
        <v>1182</v>
      </c>
      <c r="O752" t="s">
        <v>1246</v>
      </c>
      <c r="P752" t="s">
        <v>329</v>
      </c>
      <c r="Q752" t="s">
        <v>404</v>
      </c>
      <c r="R752" t="s">
        <v>1183</v>
      </c>
      <c r="S752">
        <v>22</v>
      </c>
      <c r="T752" s="1" t="s">
        <v>2420</v>
      </c>
      <c r="U752" s="1" t="s">
        <v>2421</v>
      </c>
    </row>
    <row r="753" spans="1:21" x14ac:dyDescent="0.3">
      <c r="A753">
        <v>186</v>
      </c>
      <c r="B753" s="8" t="s">
        <v>981</v>
      </c>
      <c r="C753" s="4" t="s">
        <v>3120</v>
      </c>
      <c r="D753" t="s">
        <v>9</v>
      </c>
      <c r="E753">
        <v>1984</v>
      </c>
      <c r="F753" t="s">
        <v>1183</v>
      </c>
      <c r="G753">
        <v>1999</v>
      </c>
      <c r="H753">
        <v>48.841416389000003</v>
      </c>
      <c r="I753">
        <v>-64.796404722000005</v>
      </c>
      <c r="J753" t="s">
        <v>124</v>
      </c>
      <c r="K753" t="s">
        <v>1228</v>
      </c>
      <c r="L753" t="s">
        <v>1167</v>
      </c>
      <c r="M753" t="s">
        <v>1183</v>
      </c>
      <c r="N753" t="s">
        <v>1239</v>
      </c>
      <c r="O753" t="s">
        <v>1246</v>
      </c>
      <c r="P753" t="s">
        <v>220</v>
      </c>
      <c r="Q753" t="s">
        <v>404</v>
      </c>
      <c r="R753" t="s">
        <v>1183</v>
      </c>
      <c r="S753">
        <v>32</v>
      </c>
      <c r="T753" s="1" t="s">
        <v>3121</v>
      </c>
      <c r="U753" s="1" t="s">
        <v>3122</v>
      </c>
    </row>
    <row r="754" spans="1:21" x14ac:dyDescent="0.3">
      <c r="A754">
        <v>187</v>
      </c>
      <c r="B754" s="8" t="s">
        <v>982</v>
      </c>
      <c r="C754" s="4" t="s">
        <v>3123</v>
      </c>
      <c r="D754" t="s">
        <v>9</v>
      </c>
      <c r="E754">
        <v>1984</v>
      </c>
      <c r="F754" t="s">
        <v>1183</v>
      </c>
      <c r="G754">
        <v>1999</v>
      </c>
      <c r="H754">
        <v>48.837154722000001</v>
      </c>
      <c r="I754">
        <v>-64.784163610999997</v>
      </c>
      <c r="J754" t="s">
        <v>124</v>
      </c>
      <c r="K754" t="s">
        <v>1228</v>
      </c>
      <c r="L754" t="s">
        <v>1167</v>
      </c>
      <c r="M754" t="s">
        <v>1183</v>
      </c>
      <c r="N754" t="s">
        <v>1237</v>
      </c>
      <c r="O754" t="s">
        <v>1246</v>
      </c>
      <c r="P754" t="s">
        <v>220</v>
      </c>
      <c r="Q754" t="s">
        <v>404</v>
      </c>
      <c r="R754" t="s">
        <v>1183</v>
      </c>
      <c r="S754">
        <v>67</v>
      </c>
      <c r="T754" s="1" t="s">
        <v>3124</v>
      </c>
      <c r="U754" s="1" t="s">
        <v>3125</v>
      </c>
    </row>
    <row r="755" spans="1:21" x14ac:dyDescent="0.3">
      <c r="A755">
        <v>188</v>
      </c>
      <c r="B755" s="8" t="s">
        <v>983</v>
      </c>
      <c r="C755" s="4" t="s">
        <v>3126</v>
      </c>
      <c r="D755" t="s">
        <v>9</v>
      </c>
      <c r="E755">
        <v>1984</v>
      </c>
      <c r="F755" t="s">
        <v>1183</v>
      </c>
      <c r="G755">
        <v>1999</v>
      </c>
      <c r="H755">
        <v>48.836709999999997</v>
      </c>
      <c r="I755">
        <v>-64.784750833000004</v>
      </c>
      <c r="J755" t="s">
        <v>124</v>
      </c>
      <c r="K755" t="s">
        <v>1228</v>
      </c>
      <c r="L755" t="s">
        <v>1167</v>
      </c>
      <c r="M755" t="s">
        <v>1183</v>
      </c>
      <c r="N755" t="s">
        <v>1237</v>
      </c>
      <c r="O755" t="s">
        <v>1246</v>
      </c>
      <c r="P755" t="s">
        <v>329</v>
      </c>
      <c r="Q755" t="s">
        <v>404</v>
      </c>
      <c r="R755" t="s">
        <v>1183</v>
      </c>
      <c r="S755">
        <v>42</v>
      </c>
      <c r="T755" s="1" t="s">
        <v>3127</v>
      </c>
      <c r="U755" s="1" t="s">
        <v>3128</v>
      </c>
    </row>
    <row r="756" spans="1:21" x14ac:dyDescent="0.3">
      <c r="A756">
        <v>189</v>
      </c>
      <c r="B756" s="8" t="s">
        <v>984</v>
      </c>
      <c r="C756" s="4" t="s">
        <v>3129</v>
      </c>
      <c r="D756" t="s">
        <v>9</v>
      </c>
      <c r="E756">
        <v>1984</v>
      </c>
      <c r="F756" t="s">
        <v>1183</v>
      </c>
      <c r="G756">
        <v>1999</v>
      </c>
      <c r="H756">
        <v>48.840338611</v>
      </c>
      <c r="I756">
        <v>-64.790213889</v>
      </c>
      <c r="J756" t="s">
        <v>124</v>
      </c>
      <c r="K756" t="s">
        <v>1228</v>
      </c>
      <c r="L756" t="s">
        <v>1167</v>
      </c>
      <c r="M756" t="s">
        <v>1183</v>
      </c>
      <c r="N756" t="s">
        <v>1237</v>
      </c>
      <c r="O756" t="s">
        <v>1246</v>
      </c>
      <c r="P756" t="s">
        <v>220</v>
      </c>
      <c r="Q756" t="s">
        <v>404</v>
      </c>
      <c r="R756" t="s">
        <v>1183</v>
      </c>
      <c r="S756">
        <v>109</v>
      </c>
      <c r="T756" s="1" t="s">
        <v>3130</v>
      </c>
      <c r="U756" s="1" t="s">
        <v>3131</v>
      </c>
    </row>
    <row r="757" spans="1:21" x14ac:dyDescent="0.3">
      <c r="A757">
        <v>190</v>
      </c>
      <c r="B757" s="8" t="s">
        <v>985</v>
      </c>
      <c r="C757" s="4" t="s">
        <v>3132</v>
      </c>
      <c r="D757" t="s">
        <v>9</v>
      </c>
      <c r="E757">
        <v>1984</v>
      </c>
      <c r="F757" t="s">
        <v>1183</v>
      </c>
      <c r="G757">
        <v>1999</v>
      </c>
      <c r="H757">
        <v>48.842248056000003</v>
      </c>
      <c r="I757">
        <v>-64.792609443999993</v>
      </c>
      <c r="J757" t="s">
        <v>124</v>
      </c>
      <c r="K757" t="s">
        <v>1228</v>
      </c>
      <c r="L757" t="s">
        <v>1167</v>
      </c>
      <c r="M757" t="s">
        <v>1183</v>
      </c>
      <c r="N757" t="s">
        <v>1237</v>
      </c>
      <c r="O757" t="s">
        <v>1246</v>
      </c>
      <c r="P757" t="s">
        <v>220</v>
      </c>
      <c r="Q757" t="s">
        <v>404</v>
      </c>
      <c r="R757" t="s">
        <v>1183</v>
      </c>
      <c r="S757">
        <v>132</v>
      </c>
      <c r="T757" s="1" t="s">
        <v>3133</v>
      </c>
      <c r="U757" s="1" t="s">
        <v>3134</v>
      </c>
    </row>
    <row r="758" spans="1:21" x14ac:dyDescent="0.3">
      <c r="A758">
        <v>191</v>
      </c>
      <c r="B758" s="8" t="s">
        <v>987</v>
      </c>
      <c r="C758" s="4" t="s">
        <v>3138</v>
      </c>
      <c r="D758" t="s">
        <v>9</v>
      </c>
      <c r="E758">
        <v>1984</v>
      </c>
      <c r="F758" t="s">
        <v>1183</v>
      </c>
      <c r="G758">
        <v>1999</v>
      </c>
      <c r="H758">
        <v>48.839669166999997</v>
      </c>
      <c r="I758">
        <v>-64.78913</v>
      </c>
      <c r="J758" t="s">
        <v>124</v>
      </c>
      <c r="K758" t="s">
        <v>1228</v>
      </c>
      <c r="L758" t="s">
        <v>1167</v>
      </c>
      <c r="M758" t="s">
        <v>1183</v>
      </c>
      <c r="N758" t="s">
        <v>1237</v>
      </c>
      <c r="O758" t="s">
        <v>1246</v>
      </c>
      <c r="P758" t="s">
        <v>329</v>
      </c>
      <c r="Q758" t="s">
        <v>404</v>
      </c>
      <c r="R758" t="s">
        <v>1183</v>
      </c>
      <c r="S758">
        <v>119</v>
      </c>
      <c r="T758" s="1" t="s">
        <v>3139</v>
      </c>
      <c r="U758" s="1" t="s">
        <v>3140</v>
      </c>
    </row>
    <row r="759" spans="1:21" x14ac:dyDescent="0.3">
      <c r="A759">
        <v>192</v>
      </c>
      <c r="B759" s="8" t="s">
        <v>988</v>
      </c>
      <c r="C759" s="4" t="s">
        <v>3141</v>
      </c>
      <c r="D759" t="s">
        <v>9</v>
      </c>
      <c r="E759">
        <v>1984</v>
      </c>
      <c r="F759" t="s">
        <v>1183</v>
      </c>
      <c r="G759">
        <v>1999</v>
      </c>
      <c r="H759">
        <v>48.838590000000003</v>
      </c>
      <c r="I759">
        <v>-64.787636667000001</v>
      </c>
      <c r="J759" t="s">
        <v>124</v>
      </c>
      <c r="K759" t="s">
        <v>1228</v>
      </c>
      <c r="L759" t="s">
        <v>1167</v>
      </c>
      <c r="M759" t="s">
        <v>1183</v>
      </c>
      <c r="N759" t="s">
        <v>1237</v>
      </c>
      <c r="O759" t="s">
        <v>1246</v>
      </c>
      <c r="P759" t="s">
        <v>329</v>
      </c>
      <c r="Q759" t="s">
        <v>404</v>
      </c>
      <c r="R759" t="s">
        <v>1183</v>
      </c>
      <c r="S759">
        <v>106</v>
      </c>
      <c r="T759" s="1" t="s">
        <v>3143</v>
      </c>
      <c r="U759" s="1" t="s">
        <v>3144</v>
      </c>
    </row>
    <row r="760" spans="1:21" x14ac:dyDescent="0.3">
      <c r="A760">
        <v>193</v>
      </c>
      <c r="B760" s="8" t="s">
        <v>989</v>
      </c>
      <c r="C760" s="4" t="s">
        <v>3142</v>
      </c>
      <c r="D760" t="s">
        <v>9</v>
      </c>
      <c r="E760">
        <v>1984</v>
      </c>
      <c r="F760" t="s">
        <v>1183</v>
      </c>
      <c r="G760">
        <v>1999</v>
      </c>
      <c r="H760">
        <v>48.838631667000001</v>
      </c>
      <c r="I760">
        <v>-64.787635832999996</v>
      </c>
      <c r="J760" t="s">
        <v>124</v>
      </c>
      <c r="K760" t="s">
        <v>1228</v>
      </c>
      <c r="L760" t="s">
        <v>1167</v>
      </c>
      <c r="M760" t="s">
        <v>1183</v>
      </c>
      <c r="N760" t="s">
        <v>1237</v>
      </c>
      <c r="O760" t="s">
        <v>1246</v>
      </c>
      <c r="P760" t="s">
        <v>329</v>
      </c>
      <c r="Q760" t="s">
        <v>404</v>
      </c>
      <c r="R760" t="s">
        <v>1183</v>
      </c>
      <c r="S760">
        <v>164</v>
      </c>
      <c r="T760" s="1" t="s">
        <v>3145</v>
      </c>
      <c r="U760" s="1" t="s">
        <v>3146</v>
      </c>
    </row>
    <row r="761" spans="1:21" x14ac:dyDescent="0.3">
      <c r="A761">
        <v>194</v>
      </c>
      <c r="B761" s="7" t="s">
        <v>992</v>
      </c>
      <c r="C761" s="4" t="s">
        <v>2425</v>
      </c>
      <c r="D761" t="s">
        <v>9</v>
      </c>
      <c r="E761">
        <v>1985</v>
      </c>
      <c r="F761" t="s">
        <v>1183</v>
      </c>
      <c r="G761">
        <v>1999</v>
      </c>
      <c r="H761">
        <v>48.836860000000001</v>
      </c>
      <c r="I761">
        <v>-64.784909999999996</v>
      </c>
      <c r="J761" t="s">
        <v>124</v>
      </c>
      <c r="K761" t="s">
        <v>1228</v>
      </c>
      <c r="L761" t="s">
        <v>1167</v>
      </c>
      <c r="M761" t="s">
        <v>1183</v>
      </c>
      <c r="N761" t="s">
        <v>1237</v>
      </c>
      <c r="O761" t="s">
        <v>1246</v>
      </c>
      <c r="P761" t="s">
        <v>220</v>
      </c>
      <c r="Q761" t="s">
        <v>404</v>
      </c>
      <c r="R761" t="s">
        <v>1183</v>
      </c>
      <c r="S761">
        <v>191</v>
      </c>
      <c r="T761" s="1" t="s">
        <v>2426</v>
      </c>
      <c r="U761" s="1" t="s">
        <v>2427</v>
      </c>
    </row>
    <row r="762" spans="1:21" x14ac:dyDescent="0.3">
      <c r="A762">
        <v>195</v>
      </c>
      <c r="B762" s="8" t="s">
        <v>995</v>
      </c>
      <c r="C762" s="4" t="s">
        <v>3150</v>
      </c>
      <c r="D762" t="s">
        <v>9</v>
      </c>
      <c r="E762">
        <v>1985</v>
      </c>
      <c r="F762" t="s">
        <v>1183</v>
      </c>
      <c r="G762">
        <v>1999</v>
      </c>
      <c r="H762">
        <v>48.838995277999999</v>
      </c>
      <c r="I762">
        <v>-64.788041389</v>
      </c>
      <c r="J762" t="s">
        <v>124</v>
      </c>
      <c r="K762" t="s">
        <v>1228</v>
      </c>
      <c r="L762" t="s">
        <v>1167</v>
      </c>
      <c r="M762" t="s">
        <v>1183</v>
      </c>
      <c r="N762" t="s">
        <v>1237</v>
      </c>
      <c r="O762" t="s">
        <v>1246</v>
      </c>
      <c r="P762" t="s">
        <v>220</v>
      </c>
      <c r="Q762" t="s">
        <v>404</v>
      </c>
      <c r="R762" t="s">
        <v>1183</v>
      </c>
      <c r="S762">
        <v>191</v>
      </c>
      <c r="T762" s="1" t="s">
        <v>3151</v>
      </c>
      <c r="U762" s="1" t="s">
        <v>3152</v>
      </c>
    </row>
    <row r="763" spans="1:21" x14ac:dyDescent="0.3">
      <c r="A763">
        <v>196</v>
      </c>
      <c r="B763" s="8" t="s">
        <v>1005</v>
      </c>
      <c r="C763" s="4" t="s">
        <v>3159</v>
      </c>
      <c r="D763" t="s">
        <v>9</v>
      </c>
      <c r="E763">
        <v>1985</v>
      </c>
      <c r="F763" t="s">
        <v>1183</v>
      </c>
      <c r="G763" t="s">
        <v>1183</v>
      </c>
      <c r="H763">
        <v>48.890830000000001</v>
      </c>
      <c r="I763">
        <v>-64.856669999999994</v>
      </c>
      <c r="J763" t="s">
        <v>124</v>
      </c>
      <c r="K763" t="s">
        <v>1228</v>
      </c>
      <c r="L763" t="s">
        <v>1167</v>
      </c>
      <c r="M763" t="s">
        <v>1183</v>
      </c>
      <c r="N763" t="s">
        <v>1183</v>
      </c>
      <c r="O763" t="s">
        <v>1246</v>
      </c>
      <c r="P763" t="s">
        <v>220</v>
      </c>
      <c r="Q763" t="s">
        <v>404</v>
      </c>
      <c r="R763" t="s">
        <v>1183</v>
      </c>
      <c r="S763">
        <v>130</v>
      </c>
      <c r="T763" s="1" t="s">
        <v>3160</v>
      </c>
      <c r="U763" s="1" t="s">
        <v>3161</v>
      </c>
    </row>
    <row r="764" spans="1:21" x14ac:dyDescent="0.3">
      <c r="A764">
        <v>197</v>
      </c>
      <c r="B764" s="9" t="s">
        <v>3281</v>
      </c>
      <c r="C764" s="4" t="s">
        <v>3282</v>
      </c>
      <c r="D764" t="s">
        <v>9</v>
      </c>
      <c r="E764" t="s">
        <v>1183</v>
      </c>
      <c r="F764" t="s">
        <v>1183</v>
      </c>
      <c r="G764" t="s">
        <v>1183</v>
      </c>
      <c r="H764" t="s">
        <v>1183</v>
      </c>
      <c r="I764" t="s">
        <v>1183</v>
      </c>
      <c r="J764" t="s">
        <v>124</v>
      </c>
      <c r="K764" t="s">
        <v>1228</v>
      </c>
      <c r="L764" t="s">
        <v>1183</v>
      </c>
      <c r="M764" t="s">
        <v>1183</v>
      </c>
      <c r="N764" t="s">
        <v>1183</v>
      </c>
      <c r="O764" t="s">
        <v>1183</v>
      </c>
      <c r="P764" t="s">
        <v>220</v>
      </c>
      <c r="Q764" t="s">
        <v>404</v>
      </c>
      <c r="R764" t="s">
        <v>1183</v>
      </c>
      <c r="S764" t="s">
        <v>1183</v>
      </c>
      <c r="T764" t="s">
        <v>220</v>
      </c>
      <c r="U764" t="s">
        <v>220</v>
      </c>
    </row>
    <row r="765" spans="1:21" x14ac:dyDescent="0.3">
      <c r="A765">
        <v>198</v>
      </c>
      <c r="B765" t="s">
        <v>1028</v>
      </c>
      <c r="C765" s="4" t="s">
        <v>3180</v>
      </c>
      <c r="D765" t="s">
        <v>9</v>
      </c>
      <c r="E765">
        <v>1909</v>
      </c>
      <c r="F765" t="s">
        <v>1183</v>
      </c>
      <c r="G765" t="s">
        <v>1183</v>
      </c>
      <c r="H765">
        <v>48.462000000000003</v>
      </c>
      <c r="I765">
        <v>-72.186300000000003</v>
      </c>
      <c r="J765" t="s">
        <v>208</v>
      </c>
      <c r="K765" t="s">
        <v>1250</v>
      </c>
      <c r="L765" t="s">
        <v>1163</v>
      </c>
      <c r="M765" t="s">
        <v>1183</v>
      </c>
      <c r="N765" t="s">
        <v>1181</v>
      </c>
      <c r="O765" t="s">
        <v>3181</v>
      </c>
      <c r="P765" t="s">
        <v>218</v>
      </c>
      <c r="Q765" t="s">
        <v>404</v>
      </c>
      <c r="R765" t="s">
        <v>1183</v>
      </c>
      <c r="S765">
        <f>659*0.3048</f>
        <v>200.86320000000001</v>
      </c>
      <c r="T765" s="1" t="s">
        <v>3182</v>
      </c>
      <c r="U765" s="1" t="s">
        <v>3183</v>
      </c>
    </row>
    <row r="766" spans="1:21" x14ac:dyDescent="0.3">
      <c r="A766">
        <v>199</v>
      </c>
      <c r="B766" t="s">
        <v>1029</v>
      </c>
      <c r="C766" s="4" t="s">
        <v>3184</v>
      </c>
      <c r="D766" t="s">
        <v>9</v>
      </c>
      <c r="E766">
        <v>1909</v>
      </c>
      <c r="F766" t="s">
        <v>1183</v>
      </c>
      <c r="G766" t="s">
        <v>1183</v>
      </c>
      <c r="H766">
        <v>48.462000000000003</v>
      </c>
      <c r="I766">
        <v>-72.186300000000003</v>
      </c>
      <c r="J766" t="s">
        <v>208</v>
      </c>
      <c r="K766" t="s">
        <v>1250</v>
      </c>
      <c r="L766" t="s">
        <v>1163</v>
      </c>
      <c r="M766" t="s">
        <v>1183</v>
      </c>
      <c r="N766" t="s">
        <v>1181</v>
      </c>
      <c r="O766" t="s">
        <v>3181</v>
      </c>
      <c r="P766" t="s">
        <v>212</v>
      </c>
      <c r="Q766" t="s">
        <v>404</v>
      </c>
      <c r="R766" t="s">
        <v>1183</v>
      </c>
      <c r="S766">
        <f>400*0.3048</f>
        <v>121.92</v>
      </c>
      <c r="T766" s="1" t="s">
        <v>3185</v>
      </c>
      <c r="U766" s="1" t="s">
        <v>3186</v>
      </c>
    </row>
    <row r="767" spans="1:21" x14ac:dyDescent="0.3">
      <c r="A767">
        <v>200</v>
      </c>
      <c r="B767" t="s">
        <v>1035</v>
      </c>
      <c r="C767" s="4" t="s">
        <v>3194</v>
      </c>
      <c r="D767" t="s">
        <v>9</v>
      </c>
      <c r="E767">
        <v>1962</v>
      </c>
      <c r="F767" t="s">
        <v>1183</v>
      </c>
      <c r="G767">
        <v>1962</v>
      </c>
      <c r="H767">
        <v>48.418321400000004</v>
      </c>
      <c r="I767">
        <v>-71.989558099999996</v>
      </c>
      <c r="J767" t="s">
        <v>208</v>
      </c>
      <c r="K767" t="s">
        <v>1250</v>
      </c>
      <c r="L767" t="s">
        <v>1167</v>
      </c>
      <c r="M767" t="s">
        <v>1183</v>
      </c>
      <c r="N767" t="s">
        <v>3195</v>
      </c>
      <c r="O767" t="s">
        <v>3196</v>
      </c>
      <c r="P767" t="s">
        <v>220</v>
      </c>
      <c r="Q767" t="s">
        <v>404</v>
      </c>
      <c r="R767" t="s">
        <v>1183</v>
      </c>
      <c r="S767">
        <f>100*0.3048</f>
        <v>30.48</v>
      </c>
      <c r="T767" s="1" t="s">
        <v>3197</v>
      </c>
      <c r="U767" s="1" t="s">
        <v>3198</v>
      </c>
    </row>
    <row r="768" spans="1:21" x14ac:dyDescent="0.3">
      <c r="A768">
        <v>201</v>
      </c>
      <c r="B768" s="8" t="s">
        <v>1039</v>
      </c>
      <c r="C768" s="4" t="s">
        <v>3204</v>
      </c>
      <c r="D768" t="s">
        <v>9</v>
      </c>
      <c r="E768">
        <v>1973</v>
      </c>
      <c r="F768" t="s">
        <v>1183</v>
      </c>
      <c r="G768" t="s">
        <v>1183</v>
      </c>
      <c r="H768">
        <v>47.664743199999997</v>
      </c>
      <c r="I768">
        <v>-69.728939499999996</v>
      </c>
      <c r="J768" t="s">
        <v>2168</v>
      </c>
      <c r="K768" t="s">
        <v>2527</v>
      </c>
      <c r="L768" t="s">
        <v>1167</v>
      </c>
      <c r="M768" t="s">
        <v>1183</v>
      </c>
      <c r="N768" t="s">
        <v>1183</v>
      </c>
      <c r="O768" t="s">
        <v>3205</v>
      </c>
      <c r="P768" t="s">
        <v>220</v>
      </c>
      <c r="Q768" t="s">
        <v>213</v>
      </c>
      <c r="R768" t="s">
        <v>1183</v>
      </c>
      <c r="S768">
        <f>334*0.3048</f>
        <v>101.8032</v>
      </c>
      <c r="T768" s="1" t="s">
        <v>3206</v>
      </c>
      <c r="U768" s="1" t="s">
        <v>3207</v>
      </c>
    </row>
    <row r="769" spans="1:21" x14ac:dyDescent="0.3">
      <c r="A769">
        <v>202</v>
      </c>
      <c r="B769" s="9" t="s">
        <v>3283</v>
      </c>
      <c r="C769" s="4" t="s">
        <v>3284</v>
      </c>
      <c r="D769" t="s">
        <v>9</v>
      </c>
      <c r="E769" t="s">
        <v>1183</v>
      </c>
      <c r="F769" t="s">
        <v>1183</v>
      </c>
      <c r="G769" t="s">
        <v>1183</v>
      </c>
      <c r="H769" t="s">
        <v>1183</v>
      </c>
      <c r="I769" t="s">
        <v>1183</v>
      </c>
      <c r="J769" t="s">
        <v>2168</v>
      </c>
      <c r="K769" t="s">
        <v>2527</v>
      </c>
      <c r="L769" t="s">
        <v>1183</v>
      </c>
      <c r="M769" t="s">
        <v>1183</v>
      </c>
      <c r="N769" t="s">
        <v>1183</v>
      </c>
      <c r="O769" t="s">
        <v>1183</v>
      </c>
      <c r="P769" t="s">
        <v>220</v>
      </c>
      <c r="Q769" t="s">
        <v>404</v>
      </c>
      <c r="R769" t="s">
        <v>1183</v>
      </c>
      <c r="S769" t="s">
        <v>1183</v>
      </c>
      <c r="T769" t="s">
        <v>220</v>
      </c>
      <c r="U769" t="s">
        <v>220</v>
      </c>
    </row>
    <row r="770" spans="1:21" x14ac:dyDescent="0.3">
      <c r="A770">
        <v>203</v>
      </c>
      <c r="B770" s="9" t="s">
        <v>3285</v>
      </c>
      <c r="C770" s="4" t="s">
        <v>3286</v>
      </c>
      <c r="D770" t="s">
        <v>9</v>
      </c>
      <c r="E770">
        <v>2010</v>
      </c>
      <c r="F770" t="s">
        <v>1183</v>
      </c>
      <c r="G770">
        <v>2010</v>
      </c>
      <c r="H770">
        <v>48.187832999999998</v>
      </c>
      <c r="I770">
        <v>-68.440888999999999</v>
      </c>
      <c r="J770" t="s">
        <v>2168</v>
      </c>
      <c r="K770" t="s">
        <v>2527</v>
      </c>
      <c r="L770" t="s">
        <v>1183</v>
      </c>
      <c r="M770" t="s">
        <v>1183</v>
      </c>
      <c r="N770" t="s">
        <v>1183</v>
      </c>
      <c r="O770" t="s">
        <v>1183</v>
      </c>
      <c r="P770" t="s">
        <v>220</v>
      </c>
      <c r="Q770" t="s">
        <v>404</v>
      </c>
      <c r="R770">
        <v>283</v>
      </c>
      <c r="S770">
        <v>9</v>
      </c>
      <c r="T770" t="s">
        <v>220</v>
      </c>
      <c r="U770" s="1" t="s">
        <v>3318</v>
      </c>
    </row>
    <row r="771" spans="1:21" x14ac:dyDescent="0.3">
      <c r="A771">
        <v>204</v>
      </c>
      <c r="B771" s="8" t="s">
        <v>1047</v>
      </c>
      <c r="C771" s="4" t="s">
        <v>3213</v>
      </c>
      <c r="D771" t="s">
        <v>9</v>
      </c>
      <c r="E771">
        <v>1973</v>
      </c>
      <c r="F771" t="s">
        <v>1183</v>
      </c>
      <c r="G771">
        <v>1973</v>
      </c>
      <c r="H771">
        <v>47.975833000000002</v>
      </c>
      <c r="I771">
        <v>-63.118333</v>
      </c>
      <c r="J771" t="s">
        <v>124</v>
      </c>
      <c r="K771" t="s">
        <v>2546</v>
      </c>
      <c r="L771" t="s">
        <v>1173</v>
      </c>
      <c r="M771">
        <f>5736*0.3048</f>
        <v>1748.3328000000001</v>
      </c>
      <c r="N771" t="s">
        <v>2476</v>
      </c>
      <c r="O771" t="s">
        <v>1495</v>
      </c>
      <c r="P771" t="s">
        <v>212</v>
      </c>
      <c r="Q771" t="s">
        <v>213</v>
      </c>
      <c r="R771">
        <f>-186*0.3048</f>
        <v>-56.692800000000005</v>
      </c>
      <c r="S771">
        <f>14503*0.3048</f>
        <v>4420.5144</v>
      </c>
      <c r="T771" t="s">
        <v>220</v>
      </c>
      <c r="U771" s="1" t="s">
        <v>3214</v>
      </c>
    </row>
    <row r="772" spans="1:21" x14ac:dyDescent="0.3">
      <c r="A772">
        <v>205</v>
      </c>
      <c r="B772" s="8" t="s">
        <v>1049</v>
      </c>
      <c r="C772" s="4" t="s">
        <v>3215</v>
      </c>
      <c r="D772" t="s">
        <v>9</v>
      </c>
      <c r="E772">
        <v>1965</v>
      </c>
      <c r="F772" t="s">
        <v>1183</v>
      </c>
      <c r="G772" t="s">
        <v>1183</v>
      </c>
      <c r="H772">
        <v>47.928944000000001</v>
      </c>
      <c r="I772">
        <v>-62.089582999999998</v>
      </c>
      <c r="J772" t="s">
        <v>124</v>
      </c>
      <c r="K772" t="s">
        <v>2546</v>
      </c>
      <c r="L772" t="s">
        <v>1183</v>
      </c>
      <c r="M772" t="s">
        <v>1183</v>
      </c>
      <c r="N772" t="s">
        <v>1219</v>
      </c>
      <c r="O772" t="s">
        <v>2550</v>
      </c>
      <c r="P772" t="s">
        <v>220</v>
      </c>
      <c r="Q772" t="s">
        <v>404</v>
      </c>
      <c r="R772">
        <f>-186*0.3048</f>
        <v>-56.692800000000005</v>
      </c>
      <c r="S772">
        <f>772*0.3048</f>
        <v>235.3056</v>
      </c>
      <c r="T772" t="s">
        <v>220</v>
      </c>
      <c r="U772" s="1" t="s">
        <v>3216</v>
      </c>
    </row>
    <row r="773" spans="1:21" x14ac:dyDescent="0.3">
      <c r="A773">
        <v>206</v>
      </c>
      <c r="B773" s="8" t="s">
        <v>1050</v>
      </c>
      <c r="C773" s="4" t="s">
        <v>3217</v>
      </c>
      <c r="D773" t="s">
        <v>9</v>
      </c>
      <c r="E773">
        <v>1965</v>
      </c>
      <c r="F773" t="s">
        <v>1183</v>
      </c>
      <c r="G773" t="s">
        <v>1183</v>
      </c>
      <c r="H773">
        <v>47.650610999999998</v>
      </c>
      <c r="I773">
        <v>-63.182639000000002</v>
      </c>
      <c r="J773" t="s">
        <v>124</v>
      </c>
      <c r="K773" t="s">
        <v>2546</v>
      </c>
      <c r="L773" t="s">
        <v>1183</v>
      </c>
      <c r="M773" t="s">
        <v>1183</v>
      </c>
      <c r="N773" t="s">
        <v>3218</v>
      </c>
      <c r="O773" t="s">
        <v>2550</v>
      </c>
      <c r="P773" t="s">
        <v>220</v>
      </c>
      <c r="Q773" t="s">
        <v>404</v>
      </c>
      <c r="R773">
        <f>-240*0.3048</f>
        <v>-73.152000000000001</v>
      </c>
      <c r="S773">
        <f>486*0.3048</f>
        <v>148.1328</v>
      </c>
      <c r="T773" t="s">
        <v>220</v>
      </c>
      <c r="U773" s="1" t="s">
        <v>3219</v>
      </c>
    </row>
    <row r="774" spans="1:21" x14ac:dyDescent="0.3">
      <c r="A774">
        <v>207</v>
      </c>
      <c r="B774" s="8" t="s">
        <v>1051</v>
      </c>
      <c r="C774" s="4" t="s">
        <v>2549</v>
      </c>
      <c r="D774" t="s">
        <v>9</v>
      </c>
      <c r="E774">
        <v>1965</v>
      </c>
      <c r="F774" t="s">
        <v>1183</v>
      </c>
      <c r="G774" t="s">
        <v>1183</v>
      </c>
      <c r="H774">
        <v>47.650610999999998</v>
      </c>
      <c r="I774">
        <v>-63.182639000000002</v>
      </c>
      <c r="J774" t="s">
        <v>124</v>
      </c>
      <c r="K774" t="s">
        <v>2546</v>
      </c>
      <c r="L774" t="s">
        <v>1183</v>
      </c>
      <c r="M774" t="s">
        <v>1183</v>
      </c>
      <c r="N774" t="s">
        <v>2457</v>
      </c>
      <c r="O774" t="s">
        <v>2550</v>
      </c>
      <c r="P774" t="s">
        <v>220</v>
      </c>
      <c r="Q774" t="s">
        <v>404</v>
      </c>
      <c r="R774">
        <f>-228*0.3048</f>
        <v>-69.494399999999999</v>
      </c>
      <c r="S774">
        <f>922*0.3048</f>
        <v>281.0256</v>
      </c>
      <c r="T774" t="s">
        <v>220</v>
      </c>
      <c r="U774" s="1" t="s">
        <v>2551</v>
      </c>
    </row>
    <row r="775" spans="1:21" x14ac:dyDescent="0.3">
      <c r="A775">
        <v>208</v>
      </c>
      <c r="B775" s="8" t="s">
        <v>1052</v>
      </c>
      <c r="C775" s="4" t="s">
        <v>2552</v>
      </c>
      <c r="D775" t="s">
        <v>9</v>
      </c>
      <c r="E775">
        <v>1965</v>
      </c>
      <c r="F775" t="s">
        <v>1183</v>
      </c>
      <c r="G775" t="s">
        <v>1183</v>
      </c>
      <c r="H775">
        <v>48.250056000000001</v>
      </c>
      <c r="I775">
        <v>-63.374305999999997</v>
      </c>
      <c r="J775" t="s">
        <v>124</v>
      </c>
      <c r="K775" t="s">
        <v>2546</v>
      </c>
      <c r="L775" t="s">
        <v>1183</v>
      </c>
      <c r="M775" t="s">
        <v>1183</v>
      </c>
      <c r="N775" t="s">
        <v>2173</v>
      </c>
      <c r="O775" t="s">
        <v>2550</v>
      </c>
      <c r="P775" t="s">
        <v>220</v>
      </c>
      <c r="Q775" t="s">
        <v>404</v>
      </c>
      <c r="R775">
        <f>-313*0.3048</f>
        <v>-95.4024</v>
      </c>
      <c r="S775">
        <f>443*0.3048</f>
        <v>135.0264</v>
      </c>
      <c r="T775" t="s">
        <v>220</v>
      </c>
      <c r="U775" s="1" t="s">
        <v>2553</v>
      </c>
    </row>
    <row r="776" spans="1:21" x14ac:dyDescent="0.3">
      <c r="A776">
        <v>209</v>
      </c>
      <c r="B776" s="8" t="s">
        <v>1053</v>
      </c>
      <c r="C776" s="4" t="s">
        <v>2554</v>
      </c>
      <c r="D776" t="s">
        <v>9</v>
      </c>
      <c r="E776">
        <v>1965</v>
      </c>
      <c r="F776" t="s">
        <v>1183</v>
      </c>
      <c r="G776" t="s">
        <v>1183</v>
      </c>
      <c r="H776">
        <v>48.250056000000001</v>
      </c>
      <c r="I776">
        <v>-63.374305999999997</v>
      </c>
      <c r="J776" t="s">
        <v>124</v>
      </c>
      <c r="K776" t="s">
        <v>2546</v>
      </c>
      <c r="L776" t="s">
        <v>1183</v>
      </c>
      <c r="M776" t="s">
        <v>1183</v>
      </c>
      <c r="N776" t="s">
        <v>1183</v>
      </c>
      <c r="O776" t="s">
        <v>2550</v>
      </c>
      <c r="P776" t="s">
        <v>220</v>
      </c>
      <c r="Q776" t="s">
        <v>404</v>
      </c>
      <c r="R776">
        <f>-312*0.3048</f>
        <v>-95.0976</v>
      </c>
      <c r="S776">
        <f>512*0.3048</f>
        <v>156.05760000000001</v>
      </c>
      <c r="T776" t="s">
        <v>220</v>
      </c>
      <c r="U776" s="1" t="s">
        <v>2555</v>
      </c>
    </row>
    <row r="779" spans="1:21" x14ac:dyDescent="0.3">
      <c r="C779" s="4"/>
      <c r="U779" s="1"/>
    </row>
    <row r="780" spans="1:21" x14ac:dyDescent="0.3">
      <c r="T780" s="1"/>
      <c r="U780" s="1"/>
    </row>
    <row r="781" spans="1:21" x14ac:dyDescent="0.3">
      <c r="C781" s="4"/>
      <c r="U781" s="1"/>
    </row>
    <row r="782" spans="1:21" x14ac:dyDescent="0.3">
      <c r="C782" s="4"/>
      <c r="T782" s="1"/>
      <c r="U782" s="1"/>
    </row>
    <row r="783" spans="1:21" x14ac:dyDescent="0.3">
      <c r="C783" s="4"/>
      <c r="T783" s="1"/>
      <c r="U783" s="1"/>
    </row>
    <row r="784" spans="1:21" x14ac:dyDescent="0.3">
      <c r="C784" s="4"/>
      <c r="T784" s="1"/>
      <c r="U784" s="1"/>
    </row>
    <row r="785" spans="3:21" x14ac:dyDescent="0.3">
      <c r="C785" s="4"/>
      <c r="T785" s="1"/>
      <c r="U785" s="1"/>
    </row>
    <row r="786" spans="3:21" x14ac:dyDescent="0.3">
      <c r="C786" s="4"/>
      <c r="T786" s="1"/>
      <c r="U786" s="1"/>
    </row>
    <row r="787" spans="3:21" x14ac:dyDescent="0.3">
      <c r="C787" s="4"/>
      <c r="T787" s="1"/>
      <c r="U787" s="1"/>
    </row>
  </sheetData>
  <sortState xmlns:xlrd2="http://schemas.microsoft.com/office/spreadsheetml/2017/richdata2" ref="B568:U776">
    <sortCondition ref="B568:B776"/>
  </sortState>
  <hyperlinks>
    <hyperlink ref="T2" r:id="rId1" xr:uid="{7878229A-56C2-49E7-9EC6-9907401EA554}"/>
    <hyperlink ref="T3" r:id="rId2" xr:uid="{250A1BD8-8A4D-4FEA-ABDB-296BC9B12017}"/>
    <hyperlink ref="T4" r:id="rId3" xr:uid="{3587D95F-F8E6-4F23-8129-931F6BEE4BD4}"/>
    <hyperlink ref="T5" r:id="rId4" xr:uid="{3FB7F93C-CEFF-40CF-915F-42A5650638AE}"/>
    <hyperlink ref="T6" r:id="rId5" xr:uid="{18431AFC-CF9C-43C4-BD4E-0FA82A425229}"/>
    <hyperlink ref="T7" r:id="rId6" xr:uid="{C6E5D664-3299-4F7C-8CD5-EF598C82A72B}"/>
    <hyperlink ref="T8" r:id="rId7" xr:uid="{262309B4-9FDC-4F70-9679-17ABD5F451CB}"/>
    <hyperlink ref="T9" r:id="rId8" xr:uid="{2D709D7E-58C4-4B02-9BF0-25B6E5B249DC}"/>
    <hyperlink ref="T10" r:id="rId9" xr:uid="{19ED2D37-7E94-4D0E-8203-EC88936C3942}"/>
    <hyperlink ref="U3" r:id="rId10" xr:uid="{1D513146-AA2E-421A-8015-16753218F902}"/>
    <hyperlink ref="U2" r:id="rId11" xr:uid="{C3F8CBE5-AD6E-4E12-94EA-962A5C455028}"/>
    <hyperlink ref="U7" r:id="rId12" xr:uid="{83A7B4C8-EA4D-4199-BA4A-64A79694DDAB}"/>
    <hyperlink ref="U11" r:id="rId13" xr:uid="{A02D6390-B181-46F4-A869-48DA152B983B}"/>
    <hyperlink ref="U13" r:id="rId14" xr:uid="{92174EB1-F1CF-4428-AF63-1AA15E1F2536}"/>
    <hyperlink ref="U6" r:id="rId15" xr:uid="{74BF30BD-EEBF-4C65-A2A2-75BE209A525E}"/>
    <hyperlink ref="U14" r:id="rId16" xr:uid="{A55C7592-51F6-4B2D-98A6-7EC8E9AF8018}"/>
    <hyperlink ref="T23" r:id="rId17" xr:uid="{F8BF7E3A-A753-493D-BFCC-7027E0A131C2}"/>
    <hyperlink ref="U4" r:id="rId18" xr:uid="{AA933FE9-F585-4369-8E6F-E12E31E4E92A}"/>
    <hyperlink ref="U5" r:id="rId19" xr:uid="{59B7FFEF-03BC-48EB-85D2-7102643C22DC}"/>
    <hyperlink ref="U8" r:id="rId20" xr:uid="{6E1C1E0C-302D-4191-999A-85DAAA9BEAF4}"/>
    <hyperlink ref="U9" r:id="rId21" xr:uid="{D237EBF2-C925-4DC2-B79B-EAD2DEFAD0D5}"/>
    <hyperlink ref="U10" r:id="rId22" xr:uid="{7695E9EB-F36D-4FD9-8B09-58E56644A4A9}"/>
    <hyperlink ref="U12" r:id="rId23" xr:uid="{4FF044DE-5706-4904-9434-33800F045C8E}"/>
    <hyperlink ref="U15" r:id="rId24" xr:uid="{DD9F74D4-C104-4B1A-BAFC-2FCEAD9E3508}"/>
    <hyperlink ref="U16" r:id="rId25" xr:uid="{F3D7219A-158A-42ED-93C8-F14C45548F35}"/>
    <hyperlink ref="U17" r:id="rId26" xr:uid="{DA5A21D6-9E20-4052-BF94-44456DE69DFB}"/>
    <hyperlink ref="U18" r:id="rId27" xr:uid="{9A2F36A8-E643-431F-A710-2C5528D34466}"/>
    <hyperlink ref="U19" r:id="rId28" xr:uid="{4D63B992-8B89-4609-8F78-E56548F92F96}"/>
    <hyperlink ref="U20" r:id="rId29" xr:uid="{C3B4953F-D16E-4716-B308-026C8A497128}"/>
    <hyperlink ref="U21" r:id="rId30" xr:uid="{B68B345B-B8A4-4617-A9BD-6F3B42262676}"/>
    <hyperlink ref="U22" r:id="rId31" xr:uid="{9FDAB9E2-2019-475C-9A93-21013AA1F438}"/>
    <hyperlink ref="U23" r:id="rId32" xr:uid="{FC739638-CBD4-419B-8439-50A55BFEB3F5}"/>
    <hyperlink ref="U24" r:id="rId33" xr:uid="{70CD2E36-53D6-4199-95EC-14F067C15597}"/>
    <hyperlink ref="U25" r:id="rId34" xr:uid="{9FA1A516-B166-4012-B6F8-90C0723F1A83}"/>
    <hyperlink ref="U26" r:id="rId35" xr:uid="{82270840-12AF-490D-96EA-03D9B042150C}"/>
    <hyperlink ref="T11" r:id="rId36" xr:uid="{CCDC8736-A17E-469E-9FFF-B789251262F1}"/>
    <hyperlink ref="T12" r:id="rId37" xr:uid="{C08B6D22-7F9C-48D5-A872-0CEAE27F3244}"/>
    <hyperlink ref="T13" r:id="rId38" xr:uid="{11B99439-CE85-4503-A36F-7390F78A4225}"/>
    <hyperlink ref="T14" r:id="rId39" xr:uid="{049CCE13-6D9D-4A82-BAA0-C19B5940B42C}"/>
    <hyperlink ref="T15" r:id="rId40" xr:uid="{9DF691BF-1CA9-4CD3-9F64-A6B08F206EDF}"/>
    <hyperlink ref="T16" r:id="rId41" xr:uid="{FE09D025-3E36-4459-9B51-0B1707523063}"/>
    <hyperlink ref="T17" r:id="rId42" xr:uid="{B4334B7A-EBF7-4C83-8920-83E214EC14DB}"/>
    <hyperlink ref="T18" r:id="rId43" xr:uid="{30A6E4D0-8093-4277-8821-2ACFFDECD941}"/>
    <hyperlink ref="T19" r:id="rId44" xr:uid="{192E9CA9-FF1D-48AB-84A0-C104E569ECE6}"/>
    <hyperlink ref="T20" r:id="rId45" xr:uid="{44233EFC-B48E-46C2-B9B0-97DC7EF7743E}"/>
    <hyperlink ref="T21" r:id="rId46" xr:uid="{B0ECD8C1-2FCA-47C8-B75A-8679522D382F}"/>
    <hyperlink ref="T22" r:id="rId47" xr:uid="{E0B4661A-4511-4DD1-9E86-876886BE02D8}"/>
    <hyperlink ref="T24" r:id="rId48" xr:uid="{EA874884-0023-4D6E-A45A-0BF99B0B71F3}"/>
    <hyperlink ref="T25" r:id="rId49" xr:uid="{60A5EA93-8F7E-487C-8EE4-A88900258A02}"/>
    <hyperlink ref="T26" r:id="rId50" xr:uid="{2A2B6F5D-3000-4048-9163-03B6E2E6B83A}"/>
    <hyperlink ref="T27" r:id="rId51" xr:uid="{5A37A650-8687-4A3E-8E86-E4B156A8B9D0}"/>
    <hyperlink ref="T28" r:id="rId52" xr:uid="{255ECB87-2396-46BC-8848-C817F0F1BEDB}"/>
    <hyperlink ref="T29" r:id="rId53" xr:uid="{86168DA0-638D-43DC-AF6D-1B285C717ED0}"/>
    <hyperlink ref="T30" r:id="rId54" xr:uid="{4DD7C71B-D6B1-4496-9386-6999B654ED93}"/>
    <hyperlink ref="T31" r:id="rId55" xr:uid="{248B5E61-5954-44EC-867C-A6E59060F25C}"/>
    <hyperlink ref="T32" r:id="rId56" xr:uid="{B3AED3EC-8C9E-4EF9-9622-802DC919ABAB}"/>
    <hyperlink ref="T33" r:id="rId57" xr:uid="{499E5689-F13B-4CA0-8B16-E64325BA8691}"/>
    <hyperlink ref="T35" r:id="rId58" xr:uid="{5828E5F8-F7F3-4CC0-85C2-4A5B658BB106}"/>
    <hyperlink ref="T36" r:id="rId59" xr:uid="{3CB8AC17-1F19-41EC-B6DF-8DE30E98D75A}"/>
    <hyperlink ref="T34" r:id="rId60" xr:uid="{47667E45-1579-4C8B-95C9-A08ED9644A19}"/>
    <hyperlink ref="T37" r:id="rId61" xr:uid="{73A6A3DE-8F22-4171-893B-5AEB8EFC3D88}"/>
    <hyperlink ref="T38" r:id="rId62" xr:uid="{78A1359A-3C15-4DC3-97D5-23A1830D9861}"/>
    <hyperlink ref="T39" r:id="rId63" xr:uid="{9B1C12F6-3E55-49F5-B12C-54A0823F9EBD}"/>
    <hyperlink ref="T40" r:id="rId64" xr:uid="{DECB851A-6938-45B2-99AD-04C61583FA50}"/>
    <hyperlink ref="T42" r:id="rId65" xr:uid="{F5E642DE-0A8C-453C-9370-A31EB963FEB4}"/>
    <hyperlink ref="T43" r:id="rId66" xr:uid="{5B3B7A17-638D-4C48-98CD-02B8D1C2EDEC}"/>
    <hyperlink ref="T45" r:id="rId67" xr:uid="{C96767FE-DBF0-4EEE-9007-B3AAB0B09AA2}"/>
    <hyperlink ref="T44" r:id="rId68" xr:uid="{283D8011-D1A5-495D-92AC-BC655F7DCC6E}"/>
    <hyperlink ref="T46" r:id="rId69" xr:uid="{43978474-1D75-4AB8-AF42-8DD46975ABFE}"/>
    <hyperlink ref="T47" r:id="rId70" xr:uid="{F5DE0589-0865-473C-9B06-38511E60E5B4}"/>
    <hyperlink ref="T48" r:id="rId71" xr:uid="{6392E49A-6999-4150-B81F-D7B53D0B41F5}"/>
    <hyperlink ref="T49" r:id="rId72" xr:uid="{64A42A2B-3107-49D2-A193-0F73C2745CE0}"/>
    <hyperlink ref="T50" r:id="rId73" xr:uid="{FA97AA07-8332-49F2-A41C-C22970BD91EC}"/>
    <hyperlink ref="T51" r:id="rId74" xr:uid="{3BA75355-3C5F-4C22-B61B-DFE168E4E34F}"/>
    <hyperlink ref="T52" r:id="rId75" xr:uid="{5790988A-FE4F-4F62-927E-5CAB51F7A97C}"/>
    <hyperlink ref="T53" r:id="rId76" xr:uid="{0659441E-2FAF-4022-8DE9-05E2CD5747F9}"/>
    <hyperlink ref="T55" r:id="rId77" xr:uid="{15BA4FF5-2532-41D3-B6C0-341AD407D703}"/>
    <hyperlink ref="T54" r:id="rId78" xr:uid="{8817D92D-3F26-41D8-BD1A-E894054E044F}"/>
    <hyperlink ref="T56" r:id="rId79" xr:uid="{2D8C13CA-90C5-4E20-B071-9C352D0D4E0C}"/>
    <hyperlink ref="T57" r:id="rId80" xr:uid="{44E42844-3745-4681-8928-F8F843AC53D2}"/>
    <hyperlink ref="T58" r:id="rId81" xr:uid="{8A8A1E40-FD1E-476B-AB07-6C944DB2F769}"/>
    <hyperlink ref="T59" r:id="rId82" xr:uid="{94E898C2-A58E-4811-AEC4-FD97978695B7}"/>
    <hyperlink ref="T60" r:id="rId83" xr:uid="{4907A846-194B-4CDD-812D-AE2051AA6533}"/>
    <hyperlink ref="T61" r:id="rId84" xr:uid="{A2CB51E3-2012-4C0F-B95C-B91580F9247B}"/>
    <hyperlink ref="T62" r:id="rId85" xr:uid="{07E7A5DF-1455-4E17-8E3F-23DFDE03F5A7}"/>
    <hyperlink ref="T63" r:id="rId86" xr:uid="{863F22AA-9586-44F5-9CA4-149D9A154221}"/>
    <hyperlink ref="T64" r:id="rId87" xr:uid="{CEABAFD9-B91B-45E5-BA0C-69497C286B37}"/>
    <hyperlink ref="T65" r:id="rId88" xr:uid="{31EC6410-91E2-4675-8B9F-2C43B8757ED2}"/>
    <hyperlink ref="T66" r:id="rId89" xr:uid="{D5601D84-6974-4B2A-AD1B-E07FDBCFA626}"/>
    <hyperlink ref="T67" r:id="rId90" xr:uid="{B3C9F20F-8946-47A7-A4C0-BFD76F6BBE2C}"/>
    <hyperlink ref="T68" r:id="rId91" xr:uid="{3D766C94-3E01-4F65-AA0F-F5BFFFD27739}"/>
    <hyperlink ref="T69" r:id="rId92" xr:uid="{F9BCA4F7-E0AC-4774-B52D-EBDB3B2E65A7}"/>
    <hyperlink ref="T70" r:id="rId93" xr:uid="{2B65F557-F4AD-4F81-BA79-499EAEC18990}"/>
    <hyperlink ref="T71" r:id="rId94" xr:uid="{DB62BCA0-9ECD-4F30-B2E2-6FBA4255145F}"/>
    <hyperlink ref="T72" r:id="rId95" xr:uid="{23D64F0D-7438-4C5D-A6FD-D9B89646F43B}"/>
    <hyperlink ref="T73" r:id="rId96" xr:uid="{A5906B51-F4FC-405B-9EB9-56D16F6B2293}"/>
    <hyperlink ref="T74" r:id="rId97" xr:uid="{6E7E56A6-F025-4F69-AB30-3A2A4BDEF5D8}"/>
    <hyperlink ref="T75" r:id="rId98" xr:uid="{96D87E99-C111-4181-BB26-422118775D7D}"/>
    <hyperlink ref="T76" r:id="rId99" xr:uid="{45BE416E-E7E5-4C67-93C4-562C19FC9ED2}"/>
    <hyperlink ref="T77" r:id="rId100" xr:uid="{50614A2B-F4FE-4302-BAE9-7CEB6E2BE7D4}"/>
    <hyperlink ref="T78" r:id="rId101" xr:uid="{E7032375-3135-4D76-A103-5C228A67D774}"/>
    <hyperlink ref="T79" r:id="rId102" xr:uid="{402310CF-1614-4468-962B-69B488D07FAA}"/>
    <hyperlink ref="T81" r:id="rId103" xr:uid="{5E172B07-F86D-4562-A126-9016BE50C17E}"/>
    <hyperlink ref="T82" r:id="rId104" xr:uid="{1AC329BB-CA12-4154-AD49-D2DEA3EBDCBD}"/>
    <hyperlink ref="T83" r:id="rId105" xr:uid="{DC6E33DA-1B18-40E2-BCA5-F711A6B935EA}"/>
    <hyperlink ref="T85" r:id="rId106" xr:uid="{ABAB244A-71DB-4CC8-A48C-5044A6399650}"/>
    <hyperlink ref="T86" r:id="rId107" xr:uid="{69D31896-1216-4BE9-9D56-DA6D498780DF}"/>
    <hyperlink ref="T87" r:id="rId108" xr:uid="{72D968F3-8511-4152-A6FE-83C401402534}"/>
    <hyperlink ref="T88" r:id="rId109" xr:uid="{BFCE58B6-189A-4A8D-8809-865BA5639DD6}"/>
    <hyperlink ref="T89" r:id="rId110" xr:uid="{A41B3E80-C0AC-4AD0-9626-B09C5F05C908}"/>
    <hyperlink ref="T90" r:id="rId111" xr:uid="{4665A95A-67E1-42CE-8397-36B5C1312855}"/>
    <hyperlink ref="T91" r:id="rId112" xr:uid="{9CB576C0-3EF1-4C9E-BB31-6E73D930CB16}"/>
    <hyperlink ref="T92" r:id="rId113" xr:uid="{30593221-27BB-4D81-A69F-F2B43991F0E5}"/>
    <hyperlink ref="T93" r:id="rId114" xr:uid="{1D36C73C-2193-4782-9FF2-62774124576D}"/>
    <hyperlink ref="T94" r:id="rId115" xr:uid="{5006B29E-7E0E-40BD-82C3-3AC3C5EDFF5A}"/>
    <hyperlink ref="T96" r:id="rId116" xr:uid="{444505EE-1801-492A-8411-572414DFC7B1}"/>
    <hyperlink ref="U27" r:id="rId117" xr:uid="{12151303-C95D-4279-B701-A387391F9EA4}"/>
    <hyperlink ref="U28" r:id="rId118" xr:uid="{1682E05A-9D29-42DC-8C7B-0F0719A29BBE}"/>
    <hyperlink ref="U29" r:id="rId119" xr:uid="{B8B4961C-5C2C-4E12-83B6-CBDBDE07ADA3}"/>
    <hyperlink ref="U30" r:id="rId120" xr:uid="{847B302A-9D2D-489B-9CCB-E0324D407345}"/>
    <hyperlink ref="U31" r:id="rId121" xr:uid="{9AEA1356-E8D9-43A3-B4B6-912A46A215F4}"/>
    <hyperlink ref="U32" r:id="rId122" xr:uid="{5F557E2D-9750-435E-9973-84AF3BBF285C}"/>
    <hyperlink ref="U33" r:id="rId123" xr:uid="{C80388D2-22D4-49BD-B6A6-7DCA83BFC196}"/>
    <hyperlink ref="U34" r:id="rId124" xr:uid="{E56E7AE2-27ED-4D2A-A7DC-0687AFF1EBF1}"/>
    <hyperlink ref="U35" r:id="rId125" xr:uid="{9CC8466A-D156-4A78-B07E-5ABDD27AB1EE}"/>
    <hyperlink ref="U36" r:id="rId126" xr:uid="{F089F636-87AA-42CE-9DD5-38B628E66EF7}"/>
    <hyperlink ref="U37" r:id="rId127" xr:uid="{9E234BE9-186B-4944-82CB-EB988F5D13B8}"/>
    <hyperlink ref="U38" r:id="rId128" xr:uid="{DC5017D8-EEAB-4CD6-85D5-77C78BC117E0}"/>
    <hyperlink ref="U39" r:id="rId129" xr:uid="{FCA84616-6F64-41AC-AAA4-F8A89FAA3A79}"/>
    <hyperlink ref="U40" r:id="rId130" xr:uid="{87A52BF4-C22E-45B9-9D1D-D73657FFA208}"/>
    <hyperlink ref="U41" r:id="rId131" xr:uid="{3BE74208-C0AA-4F0F-A1B6-481F013B6A3E}"/>
    <hyperlink ref="U42" r:id="rId132" xr:uid="{59EAA9E8-7ACF-4157-819C-B13DC56F2064}"/>
    <hyperlink ref="U43" r:id="rId133" xr:uid="{86D37BB5-B95A-4DDF-B1D9-DFC57295667B}"/>
    <hyperlink ref="U44" r:id="rId134" xr:uid="{33C5A53A-63D9-44CD-8E6A-E6E5E8CF6BB6}"/>
    <hyperlink ref="U45" r:id="rId135" xr:uid="{9BC6ACFB-4D17-442A-A513-50271ACC05F6}"/>
    <hyperlink ref="U46" r:id="rId136" xr:uid="{C1CD80BB-7AE0-4800-9800-9029697853EF}"/>
    <hyperlink ref="U47" r:id="rId137" xr:uid="{159A9230-A9D8-479C-AE19-884B3CADA781}"/>
    <hyperlink ref="U48" r:id="rId138" xr:uid="{42BDA2C8-202C-4684-B492-D6D3246068AA}"/>
    <hyperlink ref="U49" r:id="rId139" xr:uid="{94627BB3-5777-41A6-B431-F16F8BFCCB63}"/>
    <hyperlink ref="U50" r:id="rId140" xr:uid="{DE643FC8-FBE8-47E0-907D-41D8B0B61A1C}"/>
    <hyperlink ref="U51" r:id="rId141" xr:uid="{3E8E5087-4BC9-4542-A722-421EA0D0ABFF}"/>
    <hyperlink ref="U52" r:id="rId142" xr:uid="{4E2AF317-9F96-4FB1-8609-CED6D6B6122E}"/>
    <hyperlink ref="U53" r:id="rId143" xr:uid="{227A1C40-818A-4BBF-A453-79224426B8B0}"/>
    <hyperlink ref="U54" r:id="rId144" xr:uid="{D8CCF84B-CCDE-4F41-908B-1738A9A33907}"/>
    <hyperlink ref="U55" r:id="rId145" xr:uid="{20D88154-3726-4CD4-AFCE-EBEFB6C4FC29}"/>
    <hyperlink ref="U56" r:id="rId146" xr:uid="{C01AE5C8-2250-4EED-8D23-47C0E7AFD3D0}"/>
    <hyperlink ref="U57" r:id="rId147" xr:uid="{74DD17A9-9607-4090-B1D9-12CDCFF5FAD1}"/>
    <hyperlink ref="U58" r:id="rId148" xr:uid="{6D3BD107-ABDB-4E7E-A3A7-D9F42D85D8BF}"/>
    <hyperlink ref="U59" r:id="rId149" xr:uid="{FA9FC151-1B04-476F-A715-5562DE445023}"/>
    <hyperlink ref="U60" r:id="rId150" xr:uid="{9E109CA0-E5BC-4C72-9A73-89D2F63C0BF2}"/>
    <hyperlink ref="U61" r:id="rId151" xr:uid="{E41A35EE-A6F1-463F-8D53-1B4A1F436C66}"/>
    <hyperlink ref="U62" r:id="rId152" xr:uid="{C206B8E4-41AA-4A51-B264-2729961659FC}"/>
    <hyperlink ref="U63" r:id="rId153" xr:uid="{034DC7B9-2CFE-41E8-AAB8-FF21B852AC81}"/>
    <hyperlink ref="U64" r:id="rId154" xr:uid="{FCB3F213-5098-48CA-B33F-5F7E34478654}"/>
    <hyperlink ref="U65" r:id="rId155" xr:uid="{6D19BBA1-65CE-411B-B310-44E8057BF05B}"/>
    <hyperlink ref="U66" r:id="rId156" xr:uid="{B6C311D6-6A15-43C8-8A40-CEE51CBD555E}"/>
    <hyperlink ref="U67" r:id="rId157" xr:uid="{43356951-81AF-4018-A81B-CDE436BBD8C0}"/>
    <hyperlink ref="U68" r:id="rId158" xr:uid="{47321492-B391-4222-97DB-42B5B58F035F}"/>
    <hyperlink ref="U69" r:id="rId159" xr:uid="{71B5F65D-31FE-4552-879F-BA63E0D8E915}"/>
    <hyperlink ref="U70" r:id="rId160" xr:uid="{C35835CA-6EB9-4F76-9DA9-3D6912F9AA49}"/>
    <hyperlink ref="U71" r:id="rId161" xr:uid="{5107A8AC-9753-46E2-AB18-FA6E71F87EC3}"/>
    <hyperlink ref="U72" r:id="rId162" xr:uid="{9E17A8BF-1593-402A-85AC-08DCE5BD3F28}"/>
    <hyperlink ref="U73" r:id="rId163" xr:uid="{AB1A3031-287F-4357-BD37-FF513B98AFA3}"/>
    <hyperlink ref="U74" r:id="rId164" xr:uid="{4A0464B6-1CB1-4C6E-8C25-DF6223F5A74B}"/>
    <hyperlink ref="U75" r:id="rId165" xr:uid="{5EF08847-A7D5-4169-9F3A-66926E69AC03}"/>
    <hyperlink ref="U76" r:id="rId166" xr:uid="{E084EC3A-2AED-4D51-ABE0-BCCF64F3447C}"/>
    <hyperlink ref="U77" r:id="rId167" xr:uid="{5B01C6A5-A980-4C21-A0D7-E4333C3B29B1}"/>
    <hyperlink ref="U78" r:id="rId168" xr:uid="{3AD9F300-CF83-4198-8B3A-59144CE7086F}"/>
    <hyperlink ref="U79" r:id="rId169" xr:uid="{B5DD5ED9-7928-4A67-99BD-CC47CF17E1F2}"/>
    <hyperlink ref="U80" r:id="rId170" xr:uid="{E60B264F-2A4B-4EFA-9AC4-976849B783C8}"/>
    <hyperlink ref="U81" r:id="rId171" xr:uid="{672D2D90-AA81-4C7A-9B23-D089F0EB8323}"/>
    <hyperlink ref="U82" r:id="rId172" xr:uid="{E6BBF6ED-1075-4148-BF7C-7B3E5C8681ED}"/>
    <hyperlink ref="U83" r:id="rId173" xr:uid="{3D9E2B8F-93B3-4D73-8B32-EB0766F0D530}"/>
    <hyperlink ref="U84" r:id="rId174" xr:uid="{365CEA4C-2596-4658-B1FB-5F608A19E918}"/>
    <hyperlink ref="U85" r:id="rId175" xr:uid="{C085ED5A-6916-478E-92A7-0A70A6A4BA4D}"/>
    <hyperlink ref="U86" r:id="rId176" xr:uid="{C774F87C-70C6-4875-9937-A02E645D0CA6}"/>
    <hyperlink ref="U87" r:id="rId177" xr:uid="{3EDD1695-A49A-473A-B700-906C5762A705}"/>
    <hyperlink ref="U88" r:id="rId178" xr:uid="{10B9FE96-75CE-4A02-ACCC-15E5456DE13C}"/>
    <hyperlink ref="U89" r:id="rId179" xr:uid="{7DDAB544-B2E5-48D2-9F86-816F2DCBF29D}"/>
    <hyperlink ref="U90" r:id="rId180" xr:uid="{E4BB8BC9-485E-4399-8F44-8BBDC13F9405}"/>
    <hyperlink ref="U91" r:id="rId181" xr:uid="{2D22990E-FC7A-46A3-97BF-EC5E9FA5F7B3}"/>
    <hyperlink ref="U92" r:id="rId182" xr:uid="{06879E24-C5B8-4135-A278-48F554D2AFD7}"/>
    <hyperlink ref="U93" r:id="rId183" xr:uid="{4F8B35BC-C92C-4CAE-ACEE-86C9E309733E}"/>
    <hyperlink ref="U94" r:id="rId184" xr:uid="{8936D207-7B29-4318-AC5A-EBF4A1091CB7}"/>
    <hyperlink ref="U95" r:id="rId185" xr:uid="{43D1BE02-C278-4944-9D0E-84A0F7BC67BD}"/>
    <hyperlink ref="U96" r:id="rId186" xr:uid="{F8E319B6-4472-413A-B8FB-F1C26751B252}"/>
    <hyperlink ref="T41" r:id="rId187" xr:uid="{B4918BF2-88E1-4848-8981-65953ED4B589}"/>
    <hyperlink ref="T109" r:id="rId188" xr:uid="{541E1479-9C03-49D5-9B19-07BED69E8062}"/>
    <hyperlink ref="T110" r:id="rId189" xr:uid="{B4A59E7A-6F22-40CA-ABE3-0087470EA54A}"/>
    <hyperlink ref="T111" r:id="rId190" xr:uid="{E57B3CFD-495A-43BA-AA09-F847890EA544}"/>
    <hyperlink ref="T148" r:id="rId191" xr:uid="{AFFC4316-9AFE-4004-86C2-AB4611EA52C7}"/>
    <hyperlink ref="T149" r:id="rId192" xr:uid="{3F3C42DF-606C-4FB7-A172-ADBD244E22FD}"/>
    <hyperlink ref="T150" r:id="rId193" xr:uid="{744758F4-F5A2-44F2-B3BA-F7DF6A7D278C}"/>
    <hyperlink ref="T154" r:id="rId194" xr:uid="{4A9FAEE3-13A6-4219-BC94-F116541A3091}"/>
    <hyperlink ref="T156" r:id="rId195" xr:uid="{E6F01B95-A511-4A14-9A85-6E6439AAFE65}"/>
    <hyperlink ref="T157" r:id="rId196" xr:uid="{A1590BD4-85FF-455D-B98A-7E8E46D8BBCB}"/>
    <hyperlink ref="T158" r:id="rId197" xr:uid="{B5427C7A-FF1B-4AF6-8686-8E3DCF67F052}"/>
    <hyperlink ref="T159" r:id="rId198" xr:uid="{7051E1CA-504E-49FF-87F6-D09D953F02AF}"/>
    <hyperlink ref="T160" r:id="rId199" xr:uid="{EE1820EA-CE8E-410D-863F-96F13E4828AE}"/>
    <hyperlink ref="T161" r:id="rId200" xr:uid="{83A005CC-914E-4F8E-8906-CF448C411D3D}"/>
    <hyperlink ref="T164" r:id="rId201" xr:uid="{EA272371-E4A2-48E8-9E7E-D7FE058EB628}"/>
    <hyperlink ref="T165" r:id="rId202" xr:uid="{28B7813F-897A-4AEA-BBE7-24740D68CCDC}"/>
    <hyperlink ref="T168" r:id="rId203" xr:uid="{02149C76-0962-4ACD-A709-ED11D322AD6A}"/>
    <hyperlink ref="T169" r:id="rId204" xr:uid="{D4BE5B76-88F2-418E-B0B0-5E0F14590761}"/>
    <hyperlink ref="T181" r:id="rId205" xr:uid="{94CEE4E6-E10E-484C-93AF-E93521080BFA}"/>
    <hyperlink ref="T183" r:id="rId206" xr:uid="{D33AE80C-0801-4089-A289-6B246061D8CC}"/>
    <hyperlink ref="T184" r:id="rId207" xr:uid="{03385295-9BBE-4645-AEA4-66C3B86FFA75}"/>
    <hyperlink ref="T188" r:id="rId208" xr:uid="{53DBACE4-C076-4DB0-ACC4-DDD101F3FBC8}"/>
    <hyperlink ref="T192" r:id="rId209" xr:uid="{922A07F3-2A2D-4942-8173-C04FA7118909}"/>
    <hyperlink ref="T211" r:id="rId210" xr:uid="{6E3B63CE-7923-4D39-97CB-CCDC94BA0F83}"/>
    <hyperlink ref="T219" r:id="rId211" xr:uid="{EA2F3878-5EAA-4E33-9A43-90885B61F7A3}"/>
    <hyperlink ref="T230" r:id="rId212" xr:uid="{F07EF4C5-F10F-487B-A7AB-EF95494D6456}"/>
    <hyperlink ref="T231" r:id="rId213" xr:uid="{E4356678-D153-485F-86D5-3932570606A6}"/>
    <hyperlink ref="T232" r:id="rId214" xr:uid="{288BEB58-255F-44A9-81F1-C4E1EDD0C833}"/>
    <hyperlink ref="T233" r:id="rId215" xr:uid="{22CCD31A-98AC-4A6A-8BAB-5204067849CC}"/>
    <hyperlink ref="T234" r:id="rId216" xr:uid="{DCF86336-F4A2-4317-94D4-E7AD9D15E23A}"/>
    <hyperlink ref="T235" r:id="rId217" xr:uid="{876E6517-7E8B-4730-AAB3-A441F36E76AE}"/>
    <hyperlink ref="T236" r:id="rId218" xr:uid="{5138DEE4-FBEE-4C4E-BB18-BF94FAE1969E}"/>
    <hyperlink ref="T237" r:id="rId219" xr:uid="{346FE1E6-3CB6-4078-8BBD-3B567F4A19FB}"/>
    <hyperlink ref="T238" r:id="rId220" xr:uid="{867E2212-CBED-47F7-938A-A8BF0C1006B9}"/>
    <hyperlink ref="T239" r:id="rId221" xr:uid="{8509FD66-56D3-482E-B22F-FE2280B4A377}"/>
    <hyperlink ref="T359" r:id="rId222" xr:uid="{60587DE3-7826-4C29-896E-BACBE16A36DC}"/>
    <hyperlink ref="T360" r:id="rId223" xr:uid="{F4164636-C641-4F04-A463-0DEC2182F02C}"/>
    <hyperlink ref="T361" r:id="rId224" xr:uid="{14E2C34A-5EC0-45C7-B8B0-6503DC03C2A9}"/>
    <hyperlink ref="T362" r:id="rId225" xr:uid="{F3B4A1C5-37E3-4C58-B8AB-723EF2122AAD}"/>
    <hyperlink ref="T364" r:id="rId226" xr:uid="{B2FDCB67-E259-4FA0-BA9A-067E41D24378}"/>
    <hyperlink ref="T367" r:id="rId227" xr:uid="{7A0F316E-5025-4B75-A1C8-999F2FB1577E}"/>
    <hyperlink ref="T378" r:id="rId228" xr:uid="{A9038AF5-4955-4690-A55F-63F3CD33D957}"/>
    <hyperlink ref="T379" r:id="rId229" xr:uid="{FE285FE6-3F05-48B3-865E-172386B1A537}"/>
    <hyperlink ref="T380" r:id="rId230" xr:uid="{155E7710-DD2C-4F31-8F86-626EF59DD006}"/>
    <hyperlink ref="T381" r:id="rId231" xr:uid="{7134CC18-F38E-4579-A785-8BC90EF399A3}"/>
    <hyperlink ref="T120" r:id="rId232" xr:uid="{65741BAA-233F-4D62-BC7B-91CBA33777C5}"/>
    <hyperlink ref="T123" r:id="rId233" xr:uid="{89548755-85C7-4943-808A-95B6F9F0074A}"/>
    <hyperlink ref="T124" r:id="rId234" xr:uid="{5AF82C11-BE6F-4648-BEA6-F4ADF9C22D6F}"/>
    <hyperlink ref="T127" r:id="rId235" xr:uid="{A9B24FB1-726F-4FEB-B4C9-9C45C65786D0}"/>
    <hyperlink ref="T145" r:id="rId236" xr:uid="{D9F7C27E-A1BF-4235-A8A5-8972948D617C}"/>
    <hyperlink ref="T172" r:id="rId237" xr:uid="{5EBDC068-1DD5-471E-8942-C669BE7B9B0A}"/>
    <hyperlink ref="T249" r:id="rId238" xr:uid="{57273793-2DD5-4C4D-BC14-F51B1F728C0E}"/>
    <hyperlink ref="U98" r:id="rId239" xr:uid="{3E7BBEDA-787E-48CE-AF32-40C3BA815AB1}"/>
    <hyperlink ref="U99" r:id="rId240" xr:uid="{5C170D82-9687-4802-B559-F088202265ED}"/>
    <hyperlink ref="U100" r:id="rId241" xr:uid="{F412E7BC-4211-4AFC-8A65-8BBE70396CDA}"/>
    <hyperlink ref="U101" r:id="rId242" xr:uid="{75F58BD1-2B10-4A54-86DD-F20C518AFC02}"/>
    <hyperlink ref="U102" r:id="rId243" xr:uid="{B8250104-3032-44FA-816A-F54390745BA4}"/>
    <hyperlink ref="U103" r:id="rId244" xr:uid="{4921525C-923D-4270-B9C4-4E9FCCA5E284}"/>
    <hyperlink ref="U104" r:id="rId245" xr:uid="{B3B07F4E-2DEF-4CD8-A03C-C910459D0BE4}"/>
    <hyperlink ref="U105" r:id="rId246" xr:uid="{86FDDD7E-7E77-4D4B-BDDB-73E7F702E0F3}"/>
    <hyperlink ref="U106" r:id="rId247" xr:uid="{5318A5A3-EDDA-4AEF-BDDF-A0D886CE845E}"/>
    <hyperlink ref="U107" r:id="rId248" xr:uid="{757F070D-5D9C-4BF1-B54C-498DAB6349C0}"/>
    <hyperlink ref="U108" r:id="rId249" xr:uid="{D6FD64DD-CCFD-479C-BFA5-67B915106F99}"/>
    <hyperlink ref="U109" r:id="rId250" xr:uid="{49A242D3-5A21-429D-A777-B000033C741C}"/>
    <hyperlink ref="U110" r:id="rId251" xr:uid="{8AD3FB59-D938-41AE-97AA-F7ADD1E70C0B}"/>
    <hyperlink ref="U111" r:id="rId252" xr:uid="{84D426D3-FE07-4CFC-AF3E-BB11E7355835}"/>
    <hyperlink ref="T98" r:id="rId253" xr:uid="{8023EF93-B18D-45A7-A553-CC5613A55EDA}"/>
    <hyperlink ref="T99" r:id="rId254" xr:uid="{2724A4D8-6B2B-427C-82D5-0D9A92DEE46D}"/>
    <hyperlink ref="T100" r:id="rId255" xr:uid="{42AD12A9-244A-44A8-A55D-1D457DBE8EC3}"/>
    <hyperlink ref="T101" r:id="rId256" xr:uid="{21687615-D927-4E70-8811-148D46BAC449}"/>
    <hyperlink ref="T102" r:id="rId257" xr:uid="{A71CF3FE-0CC8-405C-B7EA-5CDA24811AC1}"/>
    <hyperlink ref="T103" r:id="rId258" xr:uid="{057A81A5-A0C6-4E23-ABD9-DAD8C24D7D46}"/>
    <hyperlink ref="T104" r:id="rId259" xr:uid="{F9D70F23-45E9-4E3F-B8BA-A9E0831EDA0E}"/>
    <hyperlink ref="T105" r:id="rId260" xr:uid="{8C1940A4-0BA6-4015-88E6-FC0A634C5C68}"/>
    <hyperlink ref="T106" r:id="rId261" xr:uid="{A133472A-B40C-484D-A55B-7B3EE0AE3536}"/>
    <hyperlink ref="T107" r:id="rId262" xr:uid="{210063BE-9A19-4382-8B2D-DFE6D83E29B1}"/>
    <hyperlink ref="T108" r:id="rId263" xr:uid="{C1C38C43-805A-46E1-836B-1C4B9F46F6AF}"/>
    <hyperlink ref="T114" r:id="rId264" xr:uid="{160FE261-F7E3-4A63-A356-6DE1BE4409B1}"/>
    <hyperlink ref="T115" r:id="rId265" xr:uid="{3FFA1107-71D1-4B1C-B91B-CEB42A884DCA}"/>
    <hyperlink ref="T117" r:id="rId266" xr:uid="{C1BF154F-24E7-4099-89DF-ECF93D6BE3CD}"/>
    <hyperlink ref="T118" r:id="rId267" xr:uid="{2C79D543-63B7-476D-8953-43A31FFBC317}"/>
    <hyperlink ref="T119" r:id="rId268" xr:uid="{D79189AD-F137-4DB4-B05A-0956A9A23A65}"/>
    <hyperlink ref="T121" r:id="rId269" xr:uid="{771EEB2D-3444-4497-86FC-E079CE0D7D1C}"/>
    <hyperlink ref="T128" r:id="rId270" xr:uid="{1EADBDE4-9A51-400D-A0F9-1485DE89066E}"/>
    <hyperlink ref="T129" r:id="rId271" xr:uid="{0D20233A-9E0F-4EF6-B839-3670C196CF5A}"/>
    <hyperlink ref="T130" r:id="rId272" xr:uid="{0D184A7C-FEB8-4136-8325-C13045D538D7}"/>
    <hyperlink ref="T131" r:id="rId273" xr:uid="{D46E1DBC-EE79-4349-A33B-B251E695CAB3}"/>
    <hyperlink ref="T132" r:id="rId274" xr:uid="{016A7040-4A16-4B49-BE27-D9412F50D177}"/>
    <hyperlink ref="T134" r:id="rId275" xr:uid="{FD8AA622-59FE-4762-8F05-D4CCEB5AB229}"/>
    <hyperlink ref="T135" r:id="rId276" xr:uid="{FA385C1D-4376-44CA-9FF8-75255CA67E7B}"/>
    <hyperlink ref="T136" r:id="rId277" xr:uid="{8B92ACAB-8213-4277-87F6-1CA4831C178E}"/>
    <hyperlink ref="T137" r:id="rId278" xr:uid="{8C819282-34EF-474C-B42E-3835AC31B020}"/>
    <hyperlink ref="T138" r:id="rId279" xr:uid="{30F5F586-FA9F-453E-946F-A1B04403192C}"/>
    <hyperlink ref="T139" r:id="rId280" xr:uid="{E30081F0-D185-4979-B115-5858907C6B21}"/>
    <hyperlink ref="T140" r:id="rId281" xr:uid="{9B8CE16C-E3F2-43A6-A00E-30ECC853E152}"/>
    <hyperlink ref="T141" r:id="rId282" xr:uid="{2E2EE326-97E1-4285-9D8D-1B888BCF5CCC}"/>
    <hyperlink ref="T142" r:id="rId283" xr:uid="{0D168FF6-2721-4C65-9BBA-742D40897F3C}"/>
    <hyperlink ref="T143" r:id="rId284" xr:uid="{E949B6A8-7051-4EBD-8BE6-BAE5EC63B29E}"/>
    <hyperlink ref="T144" r:id="rId285" xr:uid="{947B58B2-2719-484D-8968-AA5CF93877F9}"/>
    <hyperlink ref="T146" r:id="rId286" xr:uid="{C2C1B2A4-AF53-4F16-B42E-C393E0462B59}"/>
    <hyperlink ref="T151" r:id="rId287" xr:uid="{29BF581D-F218-4A54-BA35-17D0D6881CC0}"/>
    <hyperlink ref="T152" r:id="rId288" xr:uid="{4BEC1D12-509C-41E2-BC16-329839C4D396}"/>
    <hyperlink ref="T155" r:id="rId289" xr:uid="{B10C92B3-585E-4BA2-B84D-3CAB7DDEE20B}"/>
    <hyperlink ref="T162" r:id="rId290" xr:uid="{D92F18AB-CAA3-4D05-B0C5-03B30F71E31A}"/>
    <hyperlink ref="T163" r:id="rId291" xr:uid="{B0B4835A-02E5-4287-882E-50DCA8DD5792}"/>
    <hyperlink ref="T170" r:id="rId292" xr:uid="{10E40301-7EBD-4C11-B9E6-F116684D5A4C}"/>
    <hyperlink ref="T171" r:id="rId293" xr:uid="{BFCE128C-7A97-4041-8005-38C6024233EC}"/>
    <hyperlink ref="U114" r:id="rId294" xr:uid="{B86D020D-2B31-4F58-B18C-D3B594FA58A4}"/>
    <hyperlink ref="U115" r:id="rId295" xr:uid="{D17596B3-F41E-4F60-B745-67534C060B19}"/>
    <hyperlink ref="U117" r:id="rId296" xr:uid="{8215FECB-3784-4BA9-8D1A-7D0EB147C5A0}"/>
    <hyperlink ref="U118" r:id="rId297" xr:uid="{0EEB08C4-ADB4-459E-A55A-935D20C77BEB}"/>
    <hyperlink ref="U119" r:id="rId298" xr:uid="{19BB55F3-BA0D-4AFE-A8FF-635F28357433}"/>
    <hyperlink ref="U120" r:id="rId299" xr:uid="{7AE04831-B839-4453-9A0F-E474FB53FED9}"/>
    <hyperlink ref="U121" r:id="rId300" xr:uid="{0BE239E4-B952-4C05-992D-78147C626312}"/>
    <hyperlink ref="U123" r:id="rId301" xr:uid="{6768B93E-047E-48B1-B14E-90A05B8C565A}"/>
    <hyperlink ref="U124" r:id="rId302" xr:uid="{E2DA6FB9-D6AC-4BED-B491-979BC85B4217}"/>
    <hyperlink ref="U127" r:id="rId303" xr:uid="{AF8A9D56-E768-4064-8755-6C6361AC829B}"/>
    <hyperlink ref="U129" r:id="rId304" xr:uid="{CCE6EB1F-5227-4261-82C3-206B1D855545}"/>
    <hyperlink ref="U130" r:id="rId305" xr:uid="{82B8D8BE-1E07-4DB5-8BC2-BE0556747BA5}"/>
    <hyperlink ref="U132" r:id="rId306" xr:uid="{FF34E1F3-499B-40B2-8885-9D9E4EBF0D4E}"/>
    <hyperlink ref="U134" r:id="rId307" xr:uid="{66F0F3B8-E65D-443E-8104-A2E70DB7CC36}"/>
    <hyperlink ref="U135" r:id="rId308" xr:uid="{AEDF07F2-CE26-4EDF-BA69-C9FE1FD278CE}"/>
    <hyperlink ref="U136" r:id="rId309" xr:uid="{48C22894-DED1-42D9-A2C1-F65EC7337800}"/>
    <hyperlink ref="U137" r:id="rId310" xr:uid="{EF010287-E695-43BF-A256-FCBA326D0535}"/>
    <hyperlink ref="U138" r:id="rId311" xr:uid="{9EEDA748-0B0A-40E6-8C0E-C4F4F372B6D2}"/>
    <hyperlink ref="U139" r:id="rId312" xr:uid="{90C6AE0F-1ACE-4BEF-B01B-FD645B81BCD1}"/>
    <hyperlink ref="U128" r:id="rId313" xr:uid="{0DD9A0EA-0D09-4AB2-9765-C4EEAB1F9536}"/>
    <hyperlink ref="U131" r:id="rId314" xr:uid="{C936CFC7-E67D-433A-8EE2-D2F58EDAA376}"/>
    <hyperlink ref="U140" r:id="rId315" xr:uid="{12CD84E0-FB56-4DD5-B19E-2E72847F994E}"/>
    <hyperlink ref="U141" r:id="rId316" xr:uid="{E46EC42B-44B8-4C70-9EE8-C5B34680B5F2}"/>
    <hyperlink ref="U142" r:id="rId317" xr:uid="{1AA0C7ED-5B0A-4AE7-9CC2-FD1665AD8920}"/>
    <hyperlink ref="U143" r:id="rId318" xr:uid="{3CD0F911-C229-4BC2-8701-376A466E306A}"/>
    <hyperlink ref="U144" r:id="rId319" xr:uid="{FB7546EB-ED2A-4BB6-A13A-E1B2BE273F4A}"/>
    <hyperlink ref="U145" r:id="rId320" xr:uid="{32C09CBB-A854-44B6-96FC-B9FD289F0FFE}"/>
    <hyperlink ref="U146" r:id="rId321" xr:uid="{1A8C8A74-561C-42C7-B53E-95BF6F2DDEA4}"/>
    <hyperlink ref="U148" r:id="rId322" xr:uid="{83A7E24C-6197-4FC6-8C5D-DD9FFF03B83C}"/>
    <hyperlink ref="U149" r:id="rId323" xr:uid="{0AC9E0DB-2F4A-42FF-8CB9-1BCADAD0B10C}"/>
    <hyperlink ref="U150" r:id="rId324" xr:uid="{7A2EBD19-F023-4365-98B0-D2DE2D967EF9}"/>
    <hyperlink ref="U151" r:id="rId325" xr:uid="{4B02F310-C5D9-4FCF-8502-C848AFE15666}"/>
    <hyperlink ref="U152" r:id="rId326" xr:uid="{8338B6D7-55F3-4CE9-A19E-B3E97D711D1D}"/>
    <hyperlink ref="U154" r:id="rId327" xr:uid="{C4A83E75-441B-464A-BB31-5C82ED8EC0BA}"/>
    <hyperlink ref="U155" r:id="rId328" xr:uid="{AA571E8C-7E50-4B57-852B-1D53656FE34A}"/>
    <hyperlink ref="U156" r:id="rId329" xr:uid="{E895A423-64EB-4A59-AD85-3773F79A0CC0}"/>
    <hyperlink ref="U157" r:id="rId330" xr:uid="{FED296EF-0A35-4B07-816D-E9A7CAE09FF1}"/>
    <hyperlink ref="U158" r:id="rId331" xr:uid="{4A7020C3-AC62-4E86-B47E-6CFF4B631A7C}"/>
    <hyperlink ref="U159" r:id="rId332" xr:uid="{2AC7E204-1F98-4801-B9C6-534F6030A1DC}"/>
    <hyperlink ref="U160" r:id="rId333" xr:uid="{3028CB5D-10C0-4602-A9D2-B0D5E0D41499}"/>
    <hyperlink ref="U161" r:id="rId334" xr:uid="{7B31378B-4823-40E8-B2CB-7612CDB6ABC0}"/>
    <hyperlink ref="U162" r:id="rId335" xr:uid="{D71D1982-3359-4920-8734-A54456D050F4}"/>
    <hyperlink ref="U163" r:id="rId336" xr:uid="{22EA930C-5E75-4193-A756-0CEF8AA52422}"/>
    <hyperlink ref="U164" r:id="rId337" xr:uid="{D9C89650-1DAC-460D-B040-38951216D940}"/>
    <hyperlink ref="U165" r:id="rId338" xr:uid="{90365956-61D0-4FAF-AD77-9620D80D749E}"/>
    <hyperlink ref="U168" r:id="rId339" xr:uid="{A38BF63F-280F-4542-8B67-E2101537454E}"/>
    <hyperlink ref="U169" r:id="rId340" xr:uid="{1B03327F-F2B3-4B74-AE9E-AE58FC775E7F}"/>
    <hyperlink ref="U170" r:id="rId341" xr:uid="{000EE80D-6EEA-4484-BA1C-8653B3401DB1}"/>
    <hyperlink ref="U171" r:id="rId342" xr:uid="{FB00A842-0218-44A1-BEE8-5CF2CC4E20F3}"/>
    <hyperlink ref="U172" r:id="rId343" xr:uid="{012F8E72-29AF-40E3-9CE9-FB3986B596C5}"/>
    <hyperlink ref="T174" r:id="rId344" xr:uid="{9337973F-3789-443F-90C2-89AED3074896}"/>
    <hyperlink ref="T175" r:id="rId345" xr:uid="{2009C210-2F12-44F9-A4E2-5EAD92942ECD}"/>
    <hyperlink ref="T176" r:id="rId346" xr:uid="{7A35D865-9A67-4F2B-A5D5-A561B1587CAE}"/>
    <hyperlink ref="T177" r:id="rId347" xr:uid="{0A7298FB-AFCE-4379-A90B-B3FE43BF0FFF}"/>
    <hyperlink ref="T185" r:id="rId348" xr:uid="{F60D9EB1-F44C-449D-BC9B-365A8A492265}"/>
    <hyperlink ref="T186" r:id="rId349" xr:uid="{1A57BA69-6164-448B-A9C2-C4E6769FF55A}"/>
    <hyperlink ref="T187" r:id="rId350" xr:uid="{A4D36F13-DB89-445C-8428-2B6D5F8B8DC2}"/>
    <hyperlink ref="T190" r:id="rId351" xr:uid="{C3E738FD-86AD-4062-BBE4-6F09CBAB6458}"/>
    <hyperlink ref="T191" r:id="rId352" xr:uid="{B47F183D-60CF-44AB-9B2F-7BAABB7C05D5}"/>
    <hyperlink ref="T193" r:id="rId353" xr:uid="{2E15F50A-8294-4FE3-A8B6-0559821F6C61}"/>
    <hyperlink ref="T194" r:id="rId354" xr:uid="{DE080062-344E-441C-9A26-C5205FE0E804}"/>
    <hyperlink ref="T195" r:id="rId355" xr:uid="{0FFB75CE-1EB2-4A83-B641-B040C1C8B2E3}"/>
    <hyperlink ref="T196" r:id="rId356" xr:uid="{6C3BC9ED-09D4-492A-9A6C-68EA2C5C3AF2}"/>
    <hyperlink ref="T197" r:id="rId357" xr:uid="{DB85E059-6CDB-4599-BA90-EF152C963AE7}"/>
    <hyperlink ref="T199" r:id="rId358" xr:uid="{C2FD9DDC-859B-4555-9A95-1982F6BE901E}"/>
    <hyperlink ref="T200" r:id="rId359" xr:uid="{4FBDA214-0138-4DA5-9530-BB3D63A0368C}"/>
    <hyperlink ref="T202" r:id="rId360" xr:uid="{9750D71A-3DC6-43AB-B4C8-46BAAE6BB64E}"/>
    <hyperlink ref="T203" r:id="rId361" xr:uid="{86F62E19-612C-4C78-B924-0AB37694D964}"/>
    <hyperlink ref="T204" r:id="rId362" xr:uid="{45F44CD9-0B30-491D-9256-45A63AB3597F}"/>
    <hyperlink ref="T205" r:id="rId363" xr:uid="{6AB627B2-03AE-4E5F-BC48-5DF542D428FC}"/>
    <hyperlink ref="T207" r:id="rId364" xr:uid="{8AD90DC7-0418-4DC1-8EA5-B28F30FF7781}"/>
    <hyperlink ref="T206" r:id="rId365" xr:uid="{CE57B8EA-2068-444E-8FF5-CD5301C03376}"/>
    <hyperlink ref="T210" r:id="rId366" xr:uid="{744DD741-5301-41C8-AF7E-8284CD658A7D}"/>
    <hyperlink ref="T214" r:id="rId367" xr:uid="{1320E09B-BD89-4E09-B213-5DD087EA7A12}"/>
    <hyperlink ref="T215" r:id="rId368" xr:uid="{D47CBD29-C854-4DF1-97FC-3E2B01FBBA89}"/>
    <hyperlink ref="T216" r:id="rId369" xr:uid="{B15FF12E-0813-4C9C-A14E-BBB429912874}"/>
    <hyperlink ref="T217" r:id="rId370" xr:uid="{06B53736-1E99-4434-966C-DC336F0A0163}"/>
    <hyperlink ref="T218" r:id="rId371" xr:uid="{B884923E-FE15-407D-B447-AAC5C8FF3CAF}"/>
    <hyperlink ref="T221" r:id="rId372" xr:uid="{72874AF8-16B4-4507-AA9F-713E5461A429}"/>
    <hyperlink ref="T222" r:id="rId373" xr:uid="{B1E04B9F-6E85-480F-8C86-98D153B1CF1C}"/>
    <hyperlink ref="T223" r:id="rId374" xr:uid="{6B8C9649-3E3A-4991-8BF5-A4B65258E141}"/>
    <hyperlink ref="T224" r:id="rId375" xr:uid="{56B05EC6-CE48-46AD-8FCA-909BFFE6A045}"/>
    <hyperlink ref="T226" r:id="rId376" xr:uid="{73A807C2-BA1F-4B96-BF3F-8AFA2C33EE36}"/>
    <hyperlink ref="T229" r:id="rId377" xr:uid="{B79FB0DC-1771-4F6A-8E0B-8A8E0C5F1487}"/>
    <hyperlink ref="T240" r:id="rId378" xr:uid="{747F02E6-1983-4C62-878A-71D21A4CFB03}"/>
    <hyperlink ref="T241" r:id="rId379" xr:uid="{BF34B718-6AE8-4CE9-ADBE-C60592AA7ED9}"/>
    <hyperlink ref="T242" r:id="rId380" xr:uid="{148195F7-F5DA-4C31-A0CA-05D9AEAA22E8}"/>
    <hyperlink ref="T243" r:id="rId381" xr:uid="{50234FCA-CBF3-4A02-9F1D-E0C3E2428E41}"/>
    <hyperlink ref="T244" r:id="rId382" xr:uid="{8121671A-A0B2-42FB-9A93-F3D9C11AFBAC}"/>
    <hyperlink ref="T245" r:id="rId383" xr:uid="{4D2400B5-BF6A-4345-A043-1CAF8249018B}"/>
    <hyperlink ref="T246" r:id="rId384" xr:uid="{585A6F2F-90D8-4D11-A881-58C0B513F738}"/>
    <hyperlink ref="T247" r:id="rId385" xr:uid="{980999E7-E272-4C3C-BA58-D7D3A01545A1}"/>
    <hyperlink ref="T248" r:id="rId386" xr:uid="{C1B49950-0271-47D7-978C-7CCBDD3EFE4F}"/>
    <hyperlink ref="T250" r:id="rId387" xr:uid="{B0FB10A4-1E83-46EF-B29E-8A282AC68079}"/>
    <hyperlink ref="T251" r:id="rId388" xr:uid="{125D9435-CCEC-4CE0-8740-DD3798B4452C}"/>
    <hyperlink ref="T257" r:id="rId389" xr:uid="{413EABB9-A98B-4AE0-84E7-B5B116E758D2}"/>
    <hyperlink ref="T260" r:id="rId390" xr:uid="{E955BC44-5EDB-4407-8FEF-02472A478B8E}"/>
    <hyperlink ref="T261" r:id="rId391" xr:uid="{B0CDDAA5-A41D-44B7-936A-38C5EDFB4790}"/>
    <hyperlink ref="T263" r:id="rId392" xr:uid="{493B813F-6B24-4F32-B1E2-F5AB46A1F3BB}"/>
    <hyperlink ref="U174" r:id="rId393" xr:uid="{01FB7B41-CE19-4229-8EB3-8B14665D771F}"/>
    <hyperlink ref="U175" r:id="rId394" xr:uid="{D3523DFF-37A6-4813-925E-33728828887E}"/>
    <hyperlink ref="U176" r:id="rId395" xr:uid="{9D6ACDF0-AE94-4CB6-A9DB-920D897B20F7}"/>
    <hyperlink ref="U177" r:id="rId396" xr:uid="{C34DBDF8-72F5-4FD3-A38E-243B5BB22730}"/>
    <hyperlink ref="U181" r:id="rId397" xr:uid="{1C9415A1-6318-49C3-981E-AD8384091E6E}"/>
    <hyperlink ref="U183" r:id="rId398" xr:uid="{7F5DA1D8-AC62-4326-BB89-9003E6F325E0}"/>
    <hyperlink ref="U184" r:id="rId399" xr:uid="{ED713E27-1D07-4F23-A4FA-B0AD18389691}"/>
    <hyperlink ref="U185" r:id="rId400" xr:uid="{9815F782-1771-4CDF-B141-CA75A92705FB}"/>
    <hyperlink ref="U186" r:id="rId401" xr:uid="{4ED3D440-BB78-463D-8A05-51873FA33AD5}"/>
    <hyperlink ref="U187" r:id="rId402" xr:uid="{EE5B84AF-BE42-4ABE-BD56-82699FC7D5EC}"/>
    <hyperlink ref="U188" r:id="rId403" xr:uid="{6A255E1C-1E3E-41E1-9685-4AA8177BF2FB}"/>
    <hyperlink ref="U190" r:id="rId404" xr:uid="{A389A3DB-CD1D-40A8-8615-43BC7E3A8166}"/>
    <hyperlink ref="U191" r:id="rId405" xr:uid="{86BAD3CD-E0FF-4C81-85F4-14174368EA07}"/>
    <hyperlink ref="U192" r:id="rId406" xr:uid="{197D241B-FFD4-4B36-AF1D-02E04024EE78}"/>
    <hyperlink ref="U193" r:id="rId407" xr:uid="{DEFAA8C1-BEF7-4B65-B52A-780DE8085185}"/>
    <hyperlink ref="U194" r:id="rId408" xr:uid="{DA04A765-4F7B-49F6-903A-F3C409686DDE}"/>
    <hyperlink ref="U195" r:id="rId409" xr:uid="{BD3C15B5-C35C-4563-855D-95C1CCC99E70}"/>
    <hyperlink ref="U196" r:id="rId410" xr:uid="{E7233D20-63F0-4636-B62D-3CCAD1DA9A0B}"/>
    <hyperlink ref="U197" r:id="rId411" xr:uid="{81190067-B28C-47DE-B91D-00D4978A7D6C}"/>
    <hyperlink ref="U199" r:id="rId412" xr:uid="{1ED4FCE3-D1AD-4402-B910-B6E7E1328096}"/>
    <hyperlink ref="U200" r:id="rId413" xr:uid="{CB0A4C8F-BF39-4558-A157-6CBFB5D12A78}"/>
    <hyperlink ref="U202" r:id="rId414" xr:uid="{4D605D31-A26D-4AF7-84AD-F5AB4A8CCBEC}"/>
    <hyperlink ref="U203" r:id="rId415" xr:uid="{148EDD7E-A0F0-4DCD-A4FE-FBA726E5D850}"/>
    <hyperlink ref="U204" r:id="rId416" xr:uid="{A93B5D7B-2714-4168-99DF-9DD3C70D77AD}"/>
    <hyperlink ref="U205" r:id="rId417" xr:uid="{08BF0771-4C8A-4851-A630-4D5495035675}"/>
    <hyperlink ref="U206" r:id="rId418" xr:uid="{123C345B-50D1-401D-B5C5-88D8A522F377}"/>
    <hyperlink ref="U207" r:id="rId419" xr:uid="{93B7299F-CD8D-4D28-82C9-D81E21253735}"/>
    <hyperlink ref="U210" r:id="rId420" xr:uid="{286431F6-17F3-4E82-AC8E-CA7A52E5D2CF}"/>
    <hyperlink ref="U211" r:id="rId421" xr:uid="{539FEEFD-67C9-48F7-9D76-D14AC569FF7E}"/>
    <hyperlink ref="U214" r:id="rId422" xr:uid="{5914E478-D90D-448B-BDDF-597B7DA52951}"/>
    <hyperlink ref="U215" r:id="rId423" xr:uid="{3AF2EF16-648F-40E6-B00E-BE1FFC125EC3}"/>
    <hyperlink ref="U216" r:id="rId424" xr:uid="{3766172B-DEC1-4B16-9657-1D8A3F9E3250}"/>
    <hyperlink ref="U217" r:id="rId425" xr:uid="{CF91DAFD-0673-43A8-B4DE-5DC623FEC5F2}"/>
    <hyperlink ref="U218" r:id="rId426" xr:uid="{B9AA170A-1DD7-4962-8029-83B6144A4A99}"/>
    <hyperlink ref="U219" r:id="rId427" xr:uid="{B0F49E78-998B-4A5C-9334-F2EFBFC5D582}"/>
    <hyperlink ref="U221" r:id="rId428" xr:uid="{ADF5EF2D-6AB2-48B7-8174-8490BB06F3E3}"/>
    <hyperlink ref="U222" r:id="rId429" xr:uid="{AB4267F5-F3FB-4171-9A62-00ECAB4EEAA0}"/>
    <hyperlink ref="U223" r:id="rId430" xr:uid="{760E37E8-F2F5-43FC-AC57-225FC2B1C3B6}"/>
    <hyperlink ref="U224" r:id="rId431" xr:uid="{58CF7CE7-F272-4300-BC2D-CBE5CF4832E5}"/>
    <hyperlink ref="U226" r:id="rId432" xr:uid="{EF838DA7-7E61-4BF8-A369-012A31449EFC}"/>
    <hyperlink ref="U229" r:id="rId433" xr:uid="{3BFE7B77-45BD-4871-908C-D652968ECF99}"/>
    <hyperlink ref="U230" r:id="rId434" xr:uid="{A9AEEC7B-5174-4D90-871B-22FBC9C8A3A2}"/>
    <hyperlink ref="U231" r:id="rId435" xr:uid="{68C0EEF4-430B-41C7-BB6C-6FA17F97CF52}"/>
    <hyperlink ref="U232" r:id="rId436" xr:uid="{542BEEFC-CCAE-457C-B62C-5A5337049F5F}"/>
    <hyperlink ref="U233" r:id="rId437" xr:uid="{61F49096-9571-4B10-933A-506E59A3B582}"/>
    <hyperlink ref="U234" r:id="rId438" xr:uid="{53456265-40D8-4D0C-BB93-13530ECEEEFA}"/>
    <hyperlink ref="U235" r:id="rId439" xr:uid="{4153F391-65F4-4322-8ED6-C81141020F28}"/>
    <hyperlink ref="U236" r:id="rId440" xr:uid="{ADE55BE4-7296-40ED-9BD4-5CD183E1A625}"/>
    <hyperlink ref="U237" r:id="rId441" xr:uid="{8C667EA1-6597-4089-8F4E-C21C00DDBE1B}"/>
    <hyperlink ref="U238" r:id="rId442" xr:uid="{2219B979-A152-4DF1-B890-C32216180820}"/>
    <hyperlink ref="U239" r:id="rId443" xr:uid="{D677E9A5-A358-4595-85A6-31ACDFE8BDEF}"/>
    <hyperlink ref="U240" r:id="rId444" xr:uid="{C6989549-D97C-43C0-91A3-33515F6880FA}"/>
    <hyperlink ref="U241" r:id="rId445" xr:uid="{A4BD848A-6255-4254-B09B-B978D9E5B724}"/>
    <hyperlink ref="U242" r:id="rId446" xr:uid="{EA5A3D96-F16B-42B1-B379-A4F4F3683653}"/>
    <hyperlink ref="U243" r:id="rId447" xr:uid="{D8C7B2A1-8ED2-47D3-A039-98B0BA28FC1E}"/>
    <hyperlink ref="U244" r:id="rId448" xr:uid="{9760D2BB-7C61-4461-885C-7FB343F42F61}"/>
    <hyperlink ref="U245" r:id="rId449" xr:uid="{D7BD4830-4607-4FFA-8E7D-BCD458FC0D28}"/>
    <hyperlink ref="U246" r:id="rId450" xr:uid="{E28A337E-1622-4091-9633-7C15D3178D68}"/>
    <hyperlink ref="U247" r:id="rId451" xr:uid="{6AEE407D-11DE-4801-8B4A-321EEC710E19}"/>
    <hyperlink ref="U248" r:id="rId452" xr:uid="{DD899561-4DDC-491D-870A-1DCB3209C722}"/>
    <hyperlink ref="U249" r:id="rId453" xr:uid="{406D7BD7-EE3E-470D-92DE-0A9D2DEF56A4}"/>
    <hyperlink ref="U250" r:id="rId454" xr:uid="{C47D9A9E-87D7-4137-A023-46BA7946ABD6}"/>
    <hyperlink ref="U251" r:id="rId455" xr:uid="{599EFC48-849A-411D-AB3F-3A30990C8246}"/>
    <hyperlink ref="U257" r:id="rId456" xr:uid="{86884DFD-42DD-4E0C-9FF7-AF532CAA87F0}"/>
    <hyperlink ref="U260" r:id="rId457" xr:uid="{7C926CD4-729C-4D05-A1B5-9ABDE6161D2F}"/>
    <hyperlink ref="U261" r:id="rId458" xr:uid="{A5E7BB9D-4450-4ED7-B46E-D1A31987C3E6}"/>
    <hyperlink ref="U263" r:id="rId459" xr:uid="{3B303330-AC62-4A3E-ABA7-F88534907BB6}"/>
    <hyperlink ref="T264" r:id="rId460" xr:uid="{B85EF6B8-F74D-4D04-8617-7DC4E3E22BEF}"/>
    <hyperlink ref="T265" r:id="rId461" xr:uid="{75EE6269-B865-4973-8432-49F6F4E529F1}"/>
    <hyperlink ref="T266" r:id="rId462" xr:uid="{919A72AE-938B-4C9B-8F1C-5536E76734B0}"/>
    <hyperlink ref="T268" r:id="rId463" xr:uid="{8F7EA08C-80FD-4E11-9E96-6D8BC5A99F84}"/>
    <hyperlink ref="T267" r:id="rId464" xr:uid="{7AF60C48-39A3-4A4B-9806-74D1282AE8CD}"/>
    <hyperlink ref="T269" r:id="rId465" xr:uid="{F60F5C08-FD20-41DC-84C8-4101E3B85FD9}"/>
    <hyperlink ref="T270" r:id="rId466" xr:uid="{4E0DC246-D9C2-4E70-BDDD-EC952C43F7CB}"/>
    <hyperlink ref="T271" r:id="rId467" xr:uid="{2B880C9C-60E5-43EF-91F9-FD958808E41A}"/>
    <hyperlink ref="T272" r:id="rId468" xr:uid="{B5ECFA9B-A4CA-401F-9F0F-FA0A1EA2851B}"/>
    <hyperlink ref="T273" r:id="rId469" xr:uid="{187BCDA5-EA2F-4146-B333-5C5D614CEAB7}"/>
    <hyperlink ref="T275" r:id="rId470" xr:uid="{B9E29AE8-ED1F-4AD5-8832-D56FE2C8E832}"/>
    <hyperlink ref="T274" r:id="rId471" xr:uid="{AE4DEE59-C64E-4DFB-86B2-0B34A6F196B0}"/>
    <hyperlink ref="T276" r:id="rId472" xr:uid="{B4D67CDE-F4B5-4EE0-9EE6-932A481696AF}"/>
    <hyperlink ref="T277" r:id="rId473" xr:uid="{4D38C9AC-6EDF-45C3-B9F1-57FCAA1E3366}"/>
    <hyperlink ref="T278" r:id="rId474" xr:uid="{8E03039B-A6EC-4F2D-BD5A-77EC96307DF5}"/>
    <hyperlink ref="T279" r:id="rId475" xr:uid="{A6F46156-F68D-439F-929A-AB968D37BF4C}"/>
    <hyperlink ref="T280" r:id="rId476" xr:uid="{9F601C12-58B9-42CA-91E5-D5109FD7BF4F}"/>
    <hyperlink ref="T281" r:id="rId477" xr:uid="{C04BDA89-8EF2-4FA4-818C-393B7D4DAE15}"/>
    <hyperlink ref="T283" r:id="rId478" xr:uid="{C6ACB8F8-C856-460B-899B-D6BB729DA184}"/>
    <hyperlink ref="T284" r:id="rId479" xr:uid="{CB3C6371-85D5-4D63-9568-D59D2627C1A9}"/>
    <hyperlink ref="T285" r:id="rId480" xr:uid="{E5C74D32-D139-43A5-8DEA-384E5E4A75AE}"/>
    <hyperlink ref="T286" r:id="rId481" xr:uid="{378D0A96-9649-487E-9683-6B391C0E5F88}"/>
    <hyperlink ref="T287" r:id="rId482" xr:uid="{B13C370B-1884-4ADB-B523-12B838A66A6A}"/>
    <hyperlink ref="T288" r:id="rId483" xr:uid="{85E82A72-2D21-4C44-B4C1-DD96726EFA68}"/>
    <hyperlink ref="T289" r:id="rId484" xr:uid="{FE09D67F-DE40-4E89-9A7A-C2E9AA93BE74}"/>
    <hyperlink ref="T290" r:id="rId485" xr:uid="{964C2E6B-D4C3-492A-B36A-6499AA37F537}"/>
    <hyperlink ref="T291" r:id="rId486" xr:uid="{99D5208D-C1BD-41C2-92EC-67AA83752B29}"/>
    <hyperlink ref="T292" r:id="rId487" xr:uid="{3886AD40-6203-4E64-9C84-1014570B7C41}"/>
    <hyperlink ref="T293" r:id="rId488" xr:uid="{E76ADA48-3255-48A0-8C62-C5572D2B8EC3}"/>
    <hyperlink ref="T295" r:id="rId489" xr:uid="{A13ACB00-1FF2-45D6-B293-B9BABF346C33}"/>
    <hyperlink ref="T296" r:id="rId490" xr:uid="{ED7A2227-CF34-453C-8047-8CDAE84F9A6C}"/>
    <hyperlink ref="T297" r:id="rId491" xr:uid="{E5886733-7044-4733-9798-C34E82D4DCE9}"/>
    <hyperlink ref="T298" r:id="rId492" xr:uid="{13A56F41-5562-4316-93C4-51CA13D429DC}"/>
    <hyperlink ref="T299" r:id="rId493" xr:uid="{18554F78-DA6C-488A-B2CC-1695CF0D5058}"/>
    <hyperlink ref="T300" r:id="rId494" xr:uid="{8AEDBF75-663D-41EA-81EB-D4F687BDD870}"/>
    <hyperlink ref="T301" r:id="rId495" xr:uid="{8E279A36-5593-423B-8EA7-8DFE7CB71D6F}"/>
    <hyperlink ref="T302" r:id="rId496" xr:uid="{A1D748C3-3642-43C5-905F-8D453F09D1F9}"/>
    <hyperlink ref="T303" r:id="rId497" xr:uid="{CEF06F78-6E2D-4581-8AB7-95214BF9C8E9}"/>
    <hyperlink ref="T304" r:id="rId498" xr:uid="{48356867-9851-467E-8394-0311EEC8EA77}"/>
    <hyperlink ref="T305" r:id="rId499" xr:uid="{FBF65797-467F-4666-9D98-86565CC05545}"/>
    <hyperlink ref="U264" r:id="rId500" xr:uid="{0997F8B3-B539-4751-84AE-A3ED7D8212DD}"/>
    <hyperlink ref="U265" r:id="rId501" xr:uid="{E1F86255-5D8D-458E-9127-9C12C01DD1CF}"/>
    <hyperlink ref="U266" r:id="rId502" xr:uid="{AD29E4C7-D66A-4EAC-AB98-177C259CF1AD}"/>
    <hyperlink ref="U267" r:id="rId503" xr:uid="{84103E4F-CFB5-4633-9D4A-E9DEC28FEFD2}"/>
    <hyperlink ref="U268" r:id="rId504" xr:uid="{693BAFDF-D683-49ED-85A4-F03C4E14F903}"/>
    <hyperlink ref="U269" r:id="rId505" xr:uid="{9953D743-08DC-4BB8-AE6B-E97F31B3994A}"/>
    <hyperlink ref="U270" r:id="rId506" xr:uid="{1A53A6C6-8C87-4EBB-9D99-79257BD93B97}"/>
    <hyperlink ref="U272" r:id="rId507" xr:uid="{E324CC23-5D6D-492C-9427-199D1F071E58}"/>
    <hyperlink ref="U271" r:id="rId508" xr:uid="{3A9E5B75-3C03-4176-B53E-52D958213429}"/>
    <hyperlink ref="U273" r:id="rId509" xr:uid="{72304822-1FD4-4FC7-8D1B-37F56B3340CD}"/>
    <hyperlink ref="U274" r:id="rId510" xr:uid="{82CC5B7F-7B1E-4CCA-9E58-744B8653A6BB}"/>
    <hyperlink ref="U275" r:id="rId511" xr:uid="{E0E96263-7AB8-459E-9D1A-20209F20113D}"/>
    <hyperlink ref="U276" r:id="rId512" xr:uid="{5D0350D5-F814-4DFC-897D-4423ADE0AC33}"/>
    <hyperlink ref="U277" r:id="rId513" xr:uid="{C27D860A-451A-4439-AFED-0428CDFD2841}"/>
    <hyperlink ref="U278" r:id="rId514" xr:uid="{71E5B101-AC86-4052-A480-95A6D383BB8A}"/>
    <hyperlink ref="U280" r:id="rId515" xr:uid="{C3673CB7-CEFC-416A-9EEB-A07F33E33C32}"/>
    <hyperlink ref="U279" r:id="rId516" xr:uid="{5D0AE0F5-9685-474D-97AF-A0AFA0B269E3}"/>
    <hyperlink ref="U281" r:id="rId517" xr:uid="{473D8F52-5FB4-4F51-B370-F820271A4773}"/>
    <hyperlink ref="U283" r:id="rId518" xr:uid="{2EE2AB70-A8BE-4C26-B095-5997B9C24D6A}"/>
    <hyperlink ref="U284" r:id="rId519" xr:uid="{8896BB27-266A-4758-9EBB-58CA2790BEC6}"/>
    <hyperlink ref="U285" r:id="rId520" xr:uid="{CA36AF7C-4F10-430B-8B86-EDE260DC852E}"/>
    <hyperlink ref="U286" r:id="rId521" xr:uid="{19A2F575-4794-42F2-859A-770746940348}"/>
    <hyperlink ref="U287" r:id="rId522" xr:uid="{7B7C51A6-F6CE-4F43-865A-D9DC584B79E0}"/>
    <hyperlink ref="U288" r:id="rId523" xr:uid="{EC7EB39C-3D04-4DFB-BB3F-F0A9A4AA567C}"/>
    <hyperlink ref="U289" r:id="rId524" xr:uid="{0DAB3085-23E0-4921-B9A5-2105F0022DF6}"/>
    <hyperlink ref="U290" r:id="rId525" xr:uid="{07333B36-9B31-4281-9877-4F8AEC4EAA2C}"/>
    <hyperlink ref="U291" r:id="rId526" xr:uid="{144A926E-5F91-4C50-B37C-D34043359028}"/>
    <hyperlink ref="U292" r:id="rId527" xr:uid="{32E8D642-7FBB-4046-84D6-BFF6A8B3EAEE}"/>
    <hyperlink ref="U293" r:id="rId528" xr:uid="{F789DDDF-0E3C-41B8-99BD-EE151B8F0384}"/>
    <hyperlink ref="U295" r:id="rId529" xr:uid="{C42F6D88-B5DD-4487-8724-D431BC67B99A}"/>
    <hyperlink ref="U296" r:id="rId530" xr:uid="{75AA5340-39D4-453F-A44D-C5CF1D9FFEF0}"/>
    <hyperlink ref="U297" r:id="rId531" xr:uid="{7B02273B-79AB-42FB-8D8C-8856DC23EB68}"/>
    <hyperlink ref="U298" r:id="rId532" xr:uid="{DD877CDF-5E46-4E16-809C-C7E6E60E6B46}"/>
    <hyperlink ref="U299" r:id="rId533" xr:uid="{96EA0E33-4782-4CF2-9178-6FD6AFEB6AEA}"/>
    <hyperlink ref="U300" r:id="rId534" xr:uid="{B2825950-734D-40E0-8A9E-81B5F11F729E}"/>
    <hyperlink ref="U301" r:id="rId535" xr:uid="{99006111-EC97-40F7-BB70-0848772BA2FE}"/>
    <hyperlink ref="U302" r:id="rId536" xr:uid="{3D4F92FA-0799-4D06-8D69-EB9DB75883C6}"/>
    <hyperlink ref="U303" r:id="rId537" xr:uid="{015E500F-CA8C-4AC8-8AEA-D98FB40FA04E}"/>
    <hyperlink ref="U304" r:id="rId538" xr:uid="{89C766DE-41EC-4B9B-A156-AF8B15AB9265}"/>
    <hyperlink ref="U305" r:id="rId539" xr:uid="{E0D0937C-D939-4C1A-9DE2-EFCC91252012}"/>
    <hyperlink ref="T306" r:id="rId540" xr:uid="{3D4A3607-E7D1-48B1-9557-74F57A56AED6}"/>
    <hyperlink ref="T307" r:id="rId541" xr:uid="{BD0830DB-5F6D-40BB-B5D0-6B76A4FB7A27}"/>
    <hyperlink ref="T308" r:id="rId542" xr:uid="{25108F53-D12D-4E41-86CE-58528A7498C9}"/>
    <hyperlink ref="T309" r:id="rId543" xr:uid="{6A8F69C0-8AC9-4AD8-94E6-4C1FC90AA5F5}"/>
    <hyperlink ref="T310" r:id="rId544" xr:uid="{526A7B55-5659-4E23-B61E-089A665E35A9}"/>
    <hyperlink ref="T311" r:id="rId545" xr:uid="{FAE98DE6-AD27-485E-A187-79C3CBC6D812}"/>
    <hyperlink ref="T312" r:id="rId546" xr:uid="{EA518410-1BAA-4DC8-81AE-BFF79AA1EBF1}"/>
    <hyperlink ref="T313" r:id="rId547" xr:uid="{4359A9EA-98AB-4FD0-A1EA-0D8DC2067F8B}"/>
    <hyperlink ref="T314" r:id="rId548" xr:uid="{6AFBA85B-6B45-4380-A026-374DB90E423B}"/>
    <hyperlink ref="T315" r:id="rId549" xr:uid="{6D3A1622-6E6D-4E5A-9180-F1945FC13C63}"/>
    <hyperlink ref="U306" r:id="rId550" xr:uid="{203E400C-53D3-41BF-A107-A81C74F9E58E}"/>
    <hyperlink ref="U307" r:id="rId551" xr:uid="{03E3A80C-74E0-428C-AD01-2CDB0CA9DB6E}"/>
    <hyperlink ref="U308" r:id="rId552" xr:uid="{47251FB5-9E51-479C-9254-CAAE60A62AAB}"/>
    <hyperlink ref="U309" r:id="rId553" xr:uid="{F2D1DB1F-61AE-400B-ADE8-B57795170ADE}"/>
    <hyperlink ref="U310" r:id="rId554" xr:uid="{6F0B6C01-AD0E-4201-A754-C3C552238F2E}"/>
    <hyperlink ref="U311" r:id="rId555" xr:uid="{F7D0CDC7-9862-406C-820A-070AD78D1BBF}"/>
    <hyperlink ref="U312" r:id="rId556" xr:uid="{15C8323B-98F6-4DBC-9B36-8AD574E4F424}"/>
    <hyperlink ref="U313" r:id="rId557" xr:uid="{4975E186-6CBE-4D5B-964D-45CC1A8AD21D}"/>
    <hyperlink ref="U314" r:id="rId558" xr:uid="{08A74034-CA4C-4217-9F8C-E1CCDB947656}"/>
    <hyperlink ref="U315" r:id="rId559" xr:uid="{6325ACE6-5DEB-4F2E-B9D2-63A746AFD652}"/>
    <hyperlink ref="T316" r:id="rId560" xr:uid="{63912D84-344A-4EDD-AF1F-1929DE2761AE}"/>
    <hyperlink ref="T319" r:id="rId561" xr:uid="{8EF98372-070F-4D2B-9230-E6BC6C3C8773}"/>
    <hyperlink ref="T321" r:id="rId562" xr:uid="{CBCD571A-5700-46DF-8637-779EC62DE340}"/>
    <hyperlink ref="T324" r:id="rId563" xr:uid="{C58E135E-00DC-4AD2-9741-09BDB4E168A6}"/>
    <hyperlink ref="T326" r:id="rId564" xr:uid="{004217E2-285D-462E-AF93-4FB76BDB66CD}"/>
    <hyperlink ref="T327" r:id="rId565" xr:uid="{1C0738B5-C310-42C1-80D3-2228AD20CC83}"/>
    <hyperlink ref="T328" r:id="rId566" xr:uid="{656E44AB-83BE-47FD-92CF-F83F52486EB9}"/>
    <hyperlink ref="T332" r:id="rId567" xr:uid="{4144FE6A-9524-4A01-87D3-CA64530A7E70}"/>
    <hyperlink ref="T334" r:id="rId568" xr:uid="{96E533B1-95DE-4768-A72B-946829AF5B79}"/>
    <hyperlink ref="T335" r:id="rId569" xr:uid="{17CD1C49-85EF-4A64-90D9-B25D96BE015D}"/>
    <hyperlink ref="T341" r:id="rId570" xr:uid="{DBC65A62-6148-499C-9BCA-D2D79C0AE070}"/>
    <hyperlink ref="T336" r:id="rId571" xr:uid="{79939859-BD6F-431E-8F42-94636DD28CA0}"/>
    <hyperlink ref="T666" r:id="rId572" xr:uid="{D15A77DC-B603-4CCE-AABA-15E8A2D51C10}"/>
    <hyperlink ref="T667" r:id="rId573" xr:uid="{99BA64C2-A8D9-4910-8C24-A4B3C3F9B24B}"/>
    <hyperlink ref="T342" r:id="rId574" xr:uid="{A6887F64-E2F4-42EC-9A4E-88E55BE83CFD}"/>
    <hyperlink ref="T668" r:id="rId575" xr:uid="{7042876B-3101-4F90-AA43-4976DEE22A74}"/>
    <hyperlink ref="T669" r:id="rId576" xr:uid="{4AD04270-FCE6-4A3C-8A59-594BF17FCB70}"/>
    <hyperlink ref="T670" r:id="rId577" xr:uid="{F193F7F6-C5CA-4AA3-8724-BB97304FDFF9}"/>
    <hyperlink ref="T671" r:id="rId578" xr:uid="{6B93710D-06CF-4FEA-9D40-4368D95A2CB0}"/>
    <hyperlink ref="T672" r:id="rId579" xr:uid="{001CF669-38DA-4D48-BE29-18DE8536E23A}"/>
    <hyperlink ref="T673" r:id="rId580" xr:uid="{5A65B926-8985-4E7A-A025-7400F3637332}"/>
    <hyperlink ref="T343" r:id="rId581" xr:uid="{38A46A61-5D48-4B76-9701-CC69DE8F6F81}"/>
    <hyperlink ref="T344" r:id="rId582" xr:uid="{6BB1FEB0-D7D1-4E60-84C7-38A41C7CECC1}"/>
    <hyperlink ref="T345" r:id="rId583" xr:uid="{8941273A-3D33-4628-B6B3-1E2E614F299C}"/>
    <hyperlink ref="T346" r:id="rId584" xr:uid="{B3822E2B-8FCA-428E-AE1F-13ABBD5B21A4}"/>
    <hyperlink ref="T347" r:id="rId585" xr:uid="{C4C0A02C-6B5E-46E4-AF9D-714CAA50E934}"/>
    <hyperlink ref="T674" r:id="rId586" xr:uid="{382BBDA2-21C7-4D36-B6B0-FECC1C3E4A7B}"/>
    <hyperlink ref="T348" r:id="rId587" xr:uid="{35E11055-56A1-466F-9A63-93AD2AA66FD8}"/>
    <hyperlink ref="T349" r:id="rId588" xr:uid="{ECDF9D27-B838-413F-BB6C-E7D8033F6884}"/>
    <hyperlink ref="T350" r:id="rId589" xr:uid="{EA0A9397-E4F1-48C6-A996-F00ADB80FBB8}"/>
    <hyperlink ref="T351" r:id="rId590" xr:uid="{BF164A8F-6B77-4500-9A42-E48ACA830BC9}"/>
    <hyperlink ref="T352" r:id="rId591" xr:uid="{EAC09517-C884-47BF-9F76-1935E829EC0B}"/>
    <hyperlink ref="T542" r:id="rId592" xr:uid="{89D4D9D4-6777-4F30-A8DC-1CF9E595526A}"/>
    <hyperlink ref="T353" r:id="rId593" xr:uid="{58649712-754A-48C5-B048-BBE9ACC877EE}"/>
    <hyperlink ref="T356" r:id="rId594" xr:uid="{C09D40D8-0135-4774-BC6F-B22ED5105AAE}"/>
    <hyperlink ref="T357" r:id="rId595" xr:uid="{C50FFFA9-AF49-4736-96D7-BBB1872000DE}"/>
    <hyperlink ref="T358" r:id="rId596" xr:uid="{94004211-66E7-40C1-A2A0-7C7144E001F2}"/>
    <hyperlink ref="T684" r:id="rId597" xr:uid="{A9E301D0-E69B-4D26-94CC-A837802A83A4}"/>
    <hyperlink ref="T685" r:id="rId598" xr:uid="{EE880C35-8617-46C5-8A9A-5D4010EFD22D}"/>
    <hyperlink ref="T686" r:id="rId599" xr:uid="{7D4AB267-AA00-424F-981E-AB7313FE7A9F}"/>
    <hyperlink ref="T687" r:id="rId600" xr:uid="{9B6157AA-35DF-47BE-A5B4-7D729BE5A4E3}"/>
    <hyperlink ref="T688" r:id="rId601" xr:uid="{B77B5BE0-F17C-4837-B5A8-692DA7A86C3E}"/>
    <hyperlink ref="T689" r:id="rId602" xr:uid="{C0CD6AFE-60B5-49E2-B369-D15ADC275ED7}"/>
    <hyperlink ref="T690" r:id="rId603" xr:uid="{CC7CACA6-2A02-4249-8E59-443ABD383E82}"/>
    <hyperlink ref="T363" r:id="rId604" xr:uid="{F8F14869-A46D-4D3F-8219-964E06B32BD5}"/>
    <hyperlink ref="U316" r:id="rId605" xr:uid="{C64726E4-C2A5-4E8C-8ED1-8E5B5FE48846}"/>
    <hyperlink ref="U319" r:id="rId606" xr:uid="{07FE8332-AACE-4864-9617-BA3AFA63099C}"/>
    <hyperlink ref="U321" r:id="rId607" xr:uid="{3E5AFE62-08C4-490B-A0F6-474268DCBD91}"/>
    <hyperlink ref="U324" r:id="rId608" xr:uid="{12DE8D47-C9B4-412E-A3CE-78383EFEBE6B}"/>
    <hyperlink ref="U326" r:id="rId609" xr:uid="{622D565B-EDFF-4A1E-AFD6-CF5484345944}"/>
    <hyperlink ref="U327" r:id="rId610" xr:uid="{C3143149-3CDA-4137-9008-2EFF7FF9B929}"/>
    <hyperlink ref="U328" r:id="rId611" xr:uid="{4E0D8844-7688-4B25-B0E7-8520956335DF}"/>
    <hyperlink ref="U332" r:id="rId612" xr:uid="{E067D33B-2A06-43F0-83A8-0AFA776E01CC}"/>
    <hyperlink ref="U334" r:id="rId613" xr:uid="{964DC514-5690-4D62-8AC5-1AD19919D555}"/>
    <hyperlink ref="U335" r:id="rId614" xr:uid="{1DF98A4D-4AE7-4CB3-9276-836557087203}"/>
    <hyperlink ref="U336" r:id="rId615" xr:uid="{D207A649-3700-4286-B2FA-C40BACAC8801}"/>
    <hyperlink ref="U341" r:id="rId616" xr:uid="{CD19F2B0-A259-47DF-ABD5-9F24B0A8215A}"/>
    <hyperlink ref="U666" r:id="rId617" xr:uid="{406B61AA-E81D-442B-AEDF-6597EF337C78}"/>
    <hyperlink ref="U667" r:id="rId618" xr:uid="{0007F84D-A4F5-40F3-953C-6ED9D06A3820}"/>
    <hyperlink ref="U342" r:id="rId619" xr:uid="{CDD8A896-935E-4CDA-911A-5F9CA67A7A87}"/>
    <hyperlink ref="U668" r:id="rId620" xr:uid="{12F8393A-C01B-49F1-9AFF-6B95B6205570}"/>
    <hyperlink ref="U669" r:id="rId621" xr:uid="{B9AC850B-74D0-46DE-8787-1774845BE90B}"/>
    <hyperlink ref="U670" r:id="rId622" xr:uid="{173FC274-2996-4E35-B712-7F9A353091B7}"/>
    <hyperlink ref="U671" r:id="rId623" xr:uid="{537C5C49-C6E2-4B7F-8346-0D8E3F6F6B70}"/>
    <hyperlink ref="U672" r:id="rId624" xr:uid="{8A77A35C-EEF5-476E-96BC-736661B89AEA}"/>
    <hyperlink ref="U673" r:id="rId625" xr:uid="{D18C77F9-FD6B-414A-A87F-FDC09AD7D665}"/>
    <hyperlink ref="U343" r:id="rId626" xr:uid="{8C426A64-5784-4325-B2C4-58CC3E0810C3}"/>
    <hyperlink ref="U344" r:id="rId627" xr:uid="{E567254C-A61A-492C-9C35-3EEF3D5AA23C}"/>
    <hyperlink ref="U345" r:id="rId628" xr:uid="{0F126614-5237-4C29-8DAB-AECBAAF4304D}"/>
    <hyperlink ref="U346" r:id="rId629" xr:uid="{81742ACF-5826-4471-A51A-F89E83F0303F}"/>
    <hyperlink ref="U347" r:id="rId630" xr:uid="{E854AC5B-7F40-4434-9CAF-710BBB033161}"/>
    <hyperlink ref="U674" r:id="rId631" xr:uid="{8F77FA5C-E0A3-4070-B60D-F768BE1152B2}"/>
    <hyperlink ref="U348" r:id="rId632" xr:uid="{306CC6B7-CDB9-4339-B492-EF30AE80A177}"/>
    <hyperlink ref="U349" r:id="rId633" xr:uid="{4F15BA75-59D5-429E-8ADB-EAD9072DA6DE}"/>
    <hyperlink ref="U350" r:id="rId634" xr:uid="{CAC2C314-C3BD-4732-BFC5-17825161EB21}"/>
    <hyperlink ref="U351" r:id="rId635" xr:uid="{3A18BB77-0D2F-4587-9CE2-F36F4222316C}"/>
    <hyperlink ref="U352" r:id="rId636" xr:uid="{765329B9-60F0-4CC0-86DD-823F416D0F76}"/>
    <hyperlink ref="U542" r:id="rId637" xr:uid="{0507D5C9-733E-47B2-A85B-B3BEE3A43C48}"/>
    <hyperlink ref="U353" r:id="rId638" xr:uid="{67C03AAE-7308-495E-A1C6-6DBD1B3D1B48}"/>
    <hyperlink ref="U356" r:id="rId639" xr:uid="{A8DC97D2-A766-4236-97AB-633778952B1E}"/>
    <hyperlink ref="U357" r:id="rId640" xr:uid="{4FC5D914-051F-40E4-A2C6-FF60CA33E99D}"/>
    <hyperlink ref="U358" r:id="rId641" xr:uid="{1A4C750E-DA9D-4211-B257-8A5CB27F79BB}"/>
    <hyperlink ref="U684" r:id="rId642" xr:uid="{BE7BA6A0-5234-44ED-B1B7-D9A02D8B0660}"/>
    <hyperlink ref="U685" r:id="rId643" xr:uid="{F9C768E6-3B44-466F-AF24-7A0A7E8C4D5A}"/>
    <hyperlink ref="U359" r:id="rId644" xr:uid="{22AA3445-B856-48D0-9668-4A793BBDEA79}"/>
    <hyperlink ref="U686" r:id="rId645" xr:uid="{B5CFAA6B-7338-4E9A-BF8F-F7D58AA34F6D}"/>
    <hyperlink ref="U687" r:id="rId646" xr:uid="{0909AF67-EB13-4DA8-8C85-95CE3DA43954}"/>
    <hyperlink ref="U688" r:id="rId647" xr:uid="{5F52FAEC-D9C6-43A5-8790-E6AB3B466898}"/>
    <hyperlink ref="U689" r:id="rId648" xr:uid="{920A6FF2-BB27-4CFB-B461-DBC9FFBBF763}"/>
    <hyperlink ref="U360" r:id="rId649" xr:uid="{9896FF24-942E-45C6-814E-5D63E4B13907}"/>
    <hyperlink ref="U690" r:id="rId650" xr:uid="{F76B0329-44F7-4418-B722-2BCA72FD1E83}"/>
    <hyperlink ref="U361" r:id="rId651" xr:uid="{068A58F2-4C97-4537-9CBA-8D621041A2D2}"/>
    <hyperlink ref="U362" r:id="rId652" xr:uid="{AA929BB0-87E8-4C43-9514-F7876C7450DD}"/>
    <hyperlink ref="U363" r:id="rId653" xr:uid="{63ABD71C-82B1-4D24-8AB2-F561C0E0677A}"/>
    <hyperlink ref="T691" r:id="rId654" xr:uid="{5CD48EA1-3E1E-4D07-A1F1-6AF34AC42B67}"/>
    <hyperlink ref="T692" r:id="rId655" xr:uid="{F02341C8-1173-4EAC-AC16-399F1176A20B}"/>
    <hyperlink ref="T365" r:id="rId656" xr:uid="{95089624-C209-4DDF-B597-D7EC0FA7FF58}"/>
    <hyperlink ref="T366" r:id="rId657" xr:uid="{BDA361F3-E9E0-48F2-9A67-1766FB8E16EE}"/>
    <hyperlink ref="T368" r:id="rId658" xr:uid="{9A45F4A9-E398-44C8-A7DC-0433C1782A8D}"/>
    <hyperlink ref="T693" r:id="rId659" xr:uid="{39CC108B-8087-41F8-84E9-B47BE8820E0E}"/>
    <hyperlink ref="T369" r:id="rId660" xr:uid="{396828D4-41AF-4125-9819-25C39BBCD739}"/>
    <hyperlink ref="T372" r:id="rId661" xr:uid="{0CF3C513-8CC2-488E-BFA3-04A938B1918A}"/>
    <hyperlink ref="T373" r:id="rId662" xr:uid="{E6C504DF-A101-4EE0-920C-A08A72E52A0F}"/>
    <hyperlink ref="T374" r:id="rId663" xr:uid="{DB33BEE3-B5ED-449C-833D-F47361B6F4FB}"/>
    <hyperlink ref="T375" r:id="rId664" xr:uid="{03F5E994-C5D2-4A08-8F19-13503C44CD5B}"/>
    <hyperlink ref="T376" r:id="rId665" xr:uid="{BFFF6F3F-20C5-4B1C-AA9F-8067FDA6B1FF}"/>
    <hyperlink ref="T377" r:id="rId666" xr:uid="{DEABAD08-DBFD-4730-80E8-EA5C01BF93AF}"/>
    <hyperlink ref="T382" r:id="rId667" xr:uid="{93B6259B-33F6-4984-9035-4157AB3E047E}"/>
    <hyperlink ref="U691" r:id="rId668" xr:uid="{4195A60A-71CA-43EE-AB42-D0A9A767CFCD}"/>
    <hyperlink ref="U364" r:id="rId669" xr:uid="{94AECA3C-95CC-4205-BF01-AFF9B3C29304}"/>
    <hyperlink ref="U692" r:id="rId670" xr:uid="{3FB77793-2200-4DA5-8EEF-09ACACA09C95}"/>
    <hyperlink ref="U365" r:id="rId671" xr:uid="{29368D0F-F9C6-4E40-B3E5-C1DC3931ACFC}"/>
    <hyperlink ref="U366" r:id="rId672" xr:uid="{234126DF-9259-444A-A868-FFD3B31DD6B8}"/>
    <hyperlink ref="U367" r:id="rId673" xr:uid="{AB51F02C-373A-444A-8EFE-1B5C9C0A62C0}"/>
    <hyperlink ref="U368" r:id="rId674" xr:uid="{DACB5EE7-4418-4E72-89E9-6D630A3A1BD2}"/>
    <hyperlink ref="U693" r:id="rId675" xr:uid="{9F39FF8C-6C3D-49E8-8291-396AC19428A9}"/>
    <hyperlink ref="U369" r:id="rId676" xr:uid="{719CCC87-59A9-4D0E-9EBF-DF8636035388}"/>
    <hyperlink ref="U370" r:id="rId677" xr:uid="{C1A2B521-2F8E-4C9E-B72F-ACA416527A56}"/>
    <hyperlink ref="U371" r:id="rId678" xr:uid="{8C5DA956-8151-47A3-B3AD-66ED1765BDC5}"/>
    <hyperlink ref="U543" r:id="rId679" xr:uid="{CEB3462A-A99C-4597-8DE7-2F9613CAB5E1}"/>
    <hyperlink ref="U544" r:id="rId680" xr:uid="{C653DE7C-46C3-4788-AA35-0C36695D7E73}"/>
    <hyperlink ref="U372" r:id="rId681" xr:uid="{9228134D-48D3-4961-820F-6B2F53A96177}"/>
    <hyperlink ref="U694" r:id="rId682" xr:uid="{908E834A-BE5C-47EE-B958-AE0B0D001997}"/>
    <hyperlink ref="U545" r:id="rId683" xr:uid="{20CF12ED-E3DB-4398-B692-B93F88328FEF}"/>
    <hyperlink ref="U373" r:id="rId684" xr:uid="{E000A833-E01E-4EE8-B565-93507BFC51ED}"/>
    <hyperlink ref="U374" r:id="rId685" xr:uid="{4F0E709F-C9F7-4C65-8050-34B652DDBC04}"/>
    <hyperlink ref="U375" r:id="rId686" xr:uid="{CA8288FB-D30D-415C-8171-A293775DD6CB}"/>
    <hyperlink ref="U376" r:id="rId687" xr:uid="{27B324D1-188A-4D2D-BCA5-595FDA1942B7}"/>
    <hyperlink ref="U377" r:id="rId688" xr:uid="{BC4622C1-C252-4F82-8F03-DEEF5700BBB8}"/>
    <hyperlink ref="U378" r:id="rId689" xr:uid="{20856862-3ED2-4208-8C76-39DDA414E217}"/>
    <hyperlink ref="U379" r:id="rId690" xr:uid="{9CD6933D-3B21-4711-8F6F-16C0B834569E}"/>
    <hyperlink ref="U380" r:id="rId691" xr:uid="{85FFD155-C9C1-4E46-AF72-A35B1E11FFFF}"/>
    <hyperlink ref="U381" r:id="rId692" xr:uid="{2CFD2426-18A1-4B8E-BB5C-F9E0088F2B0A}"/>
    <hyperlink ref="U382" r:id="rId693" xr:uid="{22529ABA-529E-4AE1-A56D-51B671D8CA30}"/>
    <hyperlink ref="U546" r:id="rId694" xr:uid="{EA6F18F3-E37D-4D3C-989C-6841E594DE42}"/>
    <hyperlink ref="U695" r:id="rId695" xr:uid="{00A5A01B-B62D-41C7-AE83-AE480EEFC24C}"/>
    <hyperlink ref="U696" r:id="rId696" xr:uid="{BDB84E1A-DA14-44B3-B52D-50617D42ABF1}"/>
    <hyperlink ref="U547" r:id="rId697" xr:uid="{94E4A958-5B4C-4D25-81FD-094AF8A1311E}"/>
    <hyperlink ref="U697" r:id="rId698" xr:uid="{184E1A1A-1DF0-4C3A-AA13-E19C54C7EE62}"/>
    <hyperlink ref="U698" r:id="rId699" xr:uid="{D532D1A9-6E64-4BAB-B673-353EE4735C5B}"/>
    <hyperlink ref="U699" r:id="rId700" xr:uid="{E3E7A217-28EB-4A30-A6BA-C3B2B3B3B829}"/>
    <hyperlink ref="U700" r:id="rId701" xr:uid="{D3621B2E-2C2E-4498-81DE-2AF9AF20F772}"/>
    <hyperlink ref="U548" r:id="rId702" xr:uid="{C9B5AEF0-B359-45B0-80BC-3952CD9FBB92}"/>
    <hyperlink ref="U701" r:id="rId703" xr:uid="{9FCA33C3-EC1D-4402-9897-8F6B165B68B4}"/>
    <hyperlink ref="U702" r:id="rId704" xr:uid="{010AC1D1-11EA-4259-8317-FA52523ECFB2}"/>
    <hyperlink ref="U703" r:id="rId705" xr:uid="{AA99445D-43F3-464E-BDE3-EDB1C52B6139}"/>
    <hyperlink ref="U704" r:id="rId706" xr:uid="{41E4CA9C-F310-4894-AF59-DF51343F4969}"/>
    <hyperlink ref="U705" r:id="rId707" xr:uid="{7D8957D2-E40E-462A-A692-3C2F3D155C47}"/>
    <hyperlink ref="U706" r:id="rId708" xr:uid="{7B494D38-D724-4F7B-8CB3-68C25E4D1BCB}"/>
    <hyperlink ref="U707" r:id="rId709" xr:uid="{BCD425C3-AF0D-4EF3-B8D1-C4F814ABD332}"/>
    <hyperlink ref="U708" r:id="rId710" xr:uid="{36F9361A-9267-4AFF-99C8-38413F4E2F57}"/>
    <hyperlink ref="U709" r:id="rId711" xr:uid="{4C584780-B726-4E6A-A62A-9174EC9D9E02}"/>
    <hyperlink ref="U710" r:id="rId712" xr:uid="{F0D7CA1B-2227-4DB9-9066-3F1F642AD544}"/>
    <hyperlink ref="U549" r:id="rId713" xr:uid="{71FF9EA5-1BAD-46BE-90BC-BCDCD4951FB0}"/>
    <hyperlink ref="U711" r:id="rId714" xr:uid="{AA602CDB-DB16-4895-90E3-A2277A545F96}"/>
    <hyperlink ref="U712" r:id="rId715" xr:uid="{70FB662B-BA15-4133-9E0B-5D8AC6DDA5F0}"/>
    <hyperlink ref="U713" r:id="rId716" xr:uid="{40376E69-35BF-4CF5-9E51-EF58D3E08F2C}"/>
    <hyperlink ref="U714" r:id="rId717" xr:uid="{E98127A6-E28A-4260-9A74-FE7AE5A531F9}"/>
    <hyperlink ref="U715" r:id="rId718" xr:uid="{C8566558-7EAD-4CE1-9DAA-9EAF543BFE0A}"/>
    <hyperlink ref="U716" r:id="rId719" xr:uid="{76AEEE2B-6AB1-4537-B78F-99EB1605D39F}"/>
    <hyperlink ref="U717" r:id="rId720" xr:uid="{E8533B24-AD8E-41F7-A164-C02E3BD2A35A}"/>
    <hyperlink ref="U718" r:id="rId721" xr:uid="{196C75EF-6A4F-4B89-943A-40B9381E0E63}"/>
    <hyperlink ref="U719" r:id="rId722" xr:uid="{1F0EA8D3-2E3C-4E0F-A8F9-9F8F59FBEC82}"/>
    <hyperlink ref="U720" r:id="rId723" xr:uid="{29061E74-12B9-46BA-B532-A4184E43E8C0}"/>
    <hyperlink ref="U383" r:id="rId724" xr:uid="{1E4346B8-4BD2-4E00-A064-3E87180EDD54}"/>
    <hyperlink ref="U384" r:id="rId725" xr:uid="{E9F8DD37-A15C-47E4-8E17-482A7E4998D5}"/>
    <hyperlink ref="U385" r:id="rId726" xr:uid="{30E6B13F-F3D9-4059-8F8B-4FA106A397EA}"/>
    <hyperlink ref="U721" r:id="rId727" xr:uid="{321E937E-2E17-42AE-BCC1-A4B402598DFB}"/>
    <hyperlink ref="U386" r:id="rId728" xr:uid="{7947D342-B0F3-4EAD-879B-30008B99200B}"/>
    <hyperlink ref="U387" r:id="rId729" xr:uid="{3CFAD2C6-1E0E-4939-A5C7-45118CE86293}"/>
    <hyperlink ref="U388" r:id="rId730" xr:uid="{0E742601-0CFC-4B1F-960A-7E72A23B8EAE}"/>
    <hyperlink ref="U390" r:id="rId731" xr:uid="{1BAF54A0-9918-4EE2-8170-E22CD1FDC8B7}"/>
    <hyperlink ref="U389" r:id="rId732" xr:uid="{D63892A6-65A2-4643-A968-CAEAD33200B7}"/>
    <hyperlink ref="T720" r:id="rId733" xr:uid="{D99DCDCA-CAF3-4E9A-A01B-F1FA3A615D12}"/>
    <hyperlink ref="T383" r:id="rId734" xr:uid="{CB00EDD3-DEB6-4ACC-9AE1-FBA0EFA61525}"/>
    <hyperlink ref="T385" r:id="rId735" xr:uid="{6824DDC5-0BF4-4721-8073-3F43041767E2}"/>
    <hyperlink ref="T384" r:id="rId736" xr:uid="{1CEFD6CD-A944-4312-95FF-604EFAA1C5D3}"/>
    <hyperlink ref="T721" r:id="rId737" xr:uid="{335C3185-38EF-41DE-8493-67E6497E58E3}"/>
    <hyperlink ref="T386" r:id="rId738" xr:uid="{2456BCEF-22E2-4F04-B302-BCEA58143085}"/>
    <hyperlink ref="T387" r:id="rId739" xr:uid="{52D5C1F4-8A94-469D-9C45-1AFEE24B87BE}"/>
    <hyperlink ref="T388" r:id="rId740" xr:uid="{963D7CDD-D1CB-4BFE-86A1-DE9558E20B4D}"/>
    <hyperlink ref="T389" r:id="rId741" xr:uid="{13BBC774-D137-463D-8013-7211D08B54E0}"/>
    <hyperlink ref="T390" r:id="rId742" xr:uid="{650B29BE-7388-4C96-BC95-86B825E5AEB9}"/>
    <hyperlink ref="T391" r:id="rId743" xr:uid="{1B98FFAE-D17C-4B3F-BC18-79ECF5B2B979}"/>
    <hyperlink ref="T392" r:id="rId744" xr:uid="{E8BFAA19-8F60-4DD0-ABFA-F69CC5A6D904}"/>
    <hyperlink ref="T393" r:id="rId745" xr:uid="{D0E2B83D-6369-485D-AE6B-792316D8AFF8}"/>
    <hyperlink ref="T394" r:id="rId746" xr:uid="{B80C7CAA-1727-4772-A80C-127E684BB9A5}"/>
    <hyperlink ref="T395" r:id="rId747" xr:uid="{1A96C1CD-4100-4BD0-BA30-933C4A94CC14}"/>
    <hyperlink ref="T396" r:id="rId748" xr:uid="{4762AEA9-78AB-4D9E-951F-B4F4AA1ECE89}"/>
    <hyperlink ref="T397" r:id="rId749" xr:uid="{FCA81961-642E-41F8-8BB3-C8FE8C7292A5}"/>
    <hyperlink ref="T398" r:id="rId750" xr:uid="{9721B4C1-6864-4565-99C5-FF7DA2B9E030}"/>
    <hyperlink ref="T399" r:id="rId751" xr:uid="{C707DDE4-7063-4B71-BBE6-5A0B6328B458}"/>
    <hyperlink ref="T400" r:id="rId752" xr:uid="{EF48E472-E2F9-4672-9FD6-743ACB89066D}"/>
    <hyperlink ref="T401" r:id="rId753" xr:uid="{2D8254CB-7A6E-4975-AC8C-CBB9FD19F7E4}"/>
    <hyperlink ref="T402" r:id="rId754" xr:uid="{305FE597-CFB8-4714-9F5C-947287478499}"/>
    <hyperlink ref="T403" r:id="rId755" xr:uid="{095B51DB-FE83-400C-81F9-57E0C22EF7E4}"/>
    <hyperlink ref="T404" r:id="rId756" xr:uid="{2BE0547E-96F5-47FA-8028-DA43357AF27F}"/>
    <hyperlink ref="T550" r:id="rId757" xr:uid="{CF510A44-51E8-468A-8CEA-C373BC927037}"/>
    <hyperlink ref="T551" r:id="rId758" xr:uid="{C2A3B018-0F51-470C-AE18-BA8B4AF6A55D}"/>
    <hyperlink ref="T552" r:id="rId759" xr:uid="{F93D46FD-4F71-48FD-934D-17491C1AAD68}"/>
    <hyperlink ref="T405" r:id="rId760" xr:uid="{DC23D115-E232-4DA8-8846-27564657C319}"/>
    <hyperlink ref="T406" r:id="rId761" xr:uid="{213ADEFE-4D5B-4A49-9766-CD31B854AEFD}"/>
    <hyperlink ref="T407" r:id="rId762" xr:uid="{E4CD6570-6D6E-4693-A8C8-17673576AA1B}"/>
    <hyperlink ref="T408" r:id="rId763" xr:uid="{5D8D037B-6D5E-4720-A8BD-3152A2C9B7E0}"/>
    <hyperlink ref="U391" r:id="rId764" xr:uid="{90CD7E30-96E6-49BB-B096-B1C6F89DDF0F}"/>
    <hyperlink ref="U392" r:id="rId765" xr:uid="{46740BB2-188E-4718-82A0-135CB8EA2F27}"/>
    <hyperlink ref="U393" r:id="rId766" xr:uid="{7DF68C65-2BE5-4D65-BE2D-4DEE450BE5A4}"/>
    <hyperlink ref="U394" r:id="rId767" xr:uid="{247C2DA2-63A5-44CC-8BD5-46E80F314AC7}"/>
    <hyperlink ref="U395" r:id="rId768" xr:uid="{3A09587F-1DEB-4A63-96E0-E631C1071DF2}"/>
    <hyperlink ref="U396" r:id="rId769" xr:uid="{8910C571-76D9-4906-9ED5-8BA11FD0C6DE}"/>
    <hyperlink ref="U397" r:id="rId770" xr:uid="{4D4B0871-3568-40E8-9A49-C06FAF5D6A6E}"/>
    <hyperlink ref="U398" r:id="rId771" xr:uid="{C753E5BB-6129-4CEF-9A19-F6DCFDF7A39C}"/>
    <hyperlink ref="U399" r:id="rId772" xr:uid="{0892EE48-B927-41E5-82A2-6E97DEA74867}"/>
    <hyperlink ref="U400" r:id="rId773" xr:uid="{19D46A44-EB2B-425A-839A-38FE6BC56D41}"/>
    <hyperlink ref="U401" r:id="rId774" xr:uid="{13AD93D5-B958-4229-80FA-9492FF2C4A2D}"/>
    <hyperlink ref="U402" r:id="rId775" xr:uid="{6CE00FED-4935-4C12-8153-24485E7DC205}"/>
    <hyperlink ref="U403" r:id="rId776" xr:uid="{D1BEC18B-8407-4266-B86E-B7B4094C34A1}"/>
    <hyperlink ref="U404" r:id="rId777" xr:uid="{BCE62EF5-225A-4759-A9C4-D6A5C47C4E1B}"/>
    <hyperlink ref="U550" r:id="rId778" xr:uid="{BDC840F0-57BF-4B65-BD4E-A1D8A91C453E}"/>
    <hyperlink ref="U551" r:id="rId779" xr:uid="{DC8C0632-7CAC-4570-89A2-89C678E3D511}"/>
    <hyperlink ref="U552" r:id="rId780" xr:uid="{99687F43-0E0D-4B3C-A681-E470C652D32B}"/>
    <hyperlink ref="U405" r:id="rId781" xr:uid="{8F07A35B-D278-40DA-88E6-EB10291F35B8}"/>
    <hyperlink ref="U406" r:id="rId782" xr:uid="{C6994E8A-C844-4052-843C-C92C54324F5A}"/>
    <hyperlink ref="U407" r:id="rId783" xr:uid="{58E089E7-EA71-4D0F-9671-7719B1921D2A}"/>
    <hyperlink ref="U408" r:id="rId784" xr:uid="{35EFFBAA-D083-468F-BD14-913E09D0B3AA}"/>
    <hyperlink ref="T723" r:id="rId785" xr:uid="{8676ABF2-5FC0-4B22-8D89-2628400C88DC}"/>
    <hyperlink ref="T409" r:id="rId786" xr:uid="{831055D2-5012-4045-959A-CC7332D75B50}"/>
    <hyperlink ref="T410" r:id="rId787" xr:uid="{1C95C9F8-1E05-46FF-A8F4-3C3E0D9D5B34}"/>
    <hyperlink ref="T724" r:id="rId788" xr:uid="{CB038781-C1D8-4AF5-AF62-26CDBFA581E1}"/>
    <hyperlink ref="T725" r:id="rId789" xr:uid="{16C3ADED-8077-4066-96CF-F5F7D4A8FDF7}"/>
    <hyperlink ref="T411" r:id="rId790" xr:uid="{C522B690-D404-44D6-94AE-E40592094055}"/>
    <hyperlink ref="T412" r:id="rId791" xr:uid="{5A3FF3F5-A1A4-47FE-90BE-A85B9D844ACA}"/>
    <hyperlink ref="T726" r:id="rId792" xr:uid="{62756C80-73F6-4275-AC01-649B852AB7A6}"/>
    <hyperlink ref="T727" r:id="rId793" xr:uid="{3ED27F30-381E-48D9-8C9F-9352F10F003E}"/>
    <hyperlink ref="T728" r:id="rId794" xr:uid="{19EC8752-ED8B-449A-8BB6-3AFFDB3D2ABA}"/>
    <hyperlink ref="T729" r:id="rId795" xr:uid="{6147D8AC-8A56-4AD9-9D7E-2D0666B41C55}"/>
    <hyperlink ref="T413" r:id="rId796" xr:uid="{7DA8BDE1-48B6-4CF5-A1C1-74D0E227F3E0}"/>
    <hyperlink ref="T414" r:id="rId797" xr:uid="{7795EC14-2ED2-492B-A5DC-DCA4204A7B2B}"/>
    <hyperlink ref="T415" r:id="rId798" xr:uid="{C0DB9E25-01FE-4473-8DF9-875CDF9D6BD7}"/>
    <hyperlink ref="T417" r:id="rId799" xr:uid="{3675DDF6-6BE0-49EC-BA78-3588432F4AF3}"/>
    <hyperlink ref="T416" r:id="rId800" xr:uid="{9A5A1E73-B623-47D7-A87C-B3F410434607}"/>
    <hyperlink ref="T418" r:id="rId801" xr:uid="{FC66337C-8C46-43DB-AA24-C46F8F57E91E}"/>
    <hyperlink ref="T419" r:id="rId802" xr:uid="{33245670-8FB4-4AAF-918B-AA0C8DDDC346}"/>
    <hyperlink ref="T420" r:id="rId803" xr:uid="{5C0E65A2-ACFA-469C-99AB-62DF05165AB6}"/>
    <hyperlink ref="T730" r:id="rId804" xr:uid="{1F143394-85DF-4390-A03C-6A2E22A1C893}"/>
    <hyperlink ref="T731" r:id="rId805" xr:uid="{2072296B-7844-4F74-82F7-57F51630B8C3}"/>
    <hyperlink ref="T732" r:id="rId806" xr:uid="{A6A8D418-AD51-4655-B22B-CA68E35E0D73}"/>
    <hyperlink ref="T421" r:id="rId807" xr:uid="{73804338-4CC0-4DBA-ACC4-A627C27ED5A9}"/>
    <hyperlink ref="T422" r:id="rId808" xr:uid="{3F9D18DF-E95D-4E87-BECF-3DFC0BEA91A5}"/>
    <hyperlink ref="T423" r:id="rId809" xr:uid="{DCCBE67A-6990-4887-B294-DB3F1D8D0229}"/>
    <hyperlink ref="T733" r:id="rId810" xr:uid="{08B9E939-6D2D-4E13-9048-1B061BA8924D}"/>
    <hyperlink ref="T424" r:id="rId811" xr:uid="{EE575F1B-1A1C-42FE-B260-D3456B54C7E3}"/>
    <hyperlink ref="T425" r:id="rId812" xr:uid="{D3A8D171-30B6-43C9-AB7C-53A288CD8544}"/>
    <hyperlink ref="T426" r:id="rId813" xr:uid="{EE25526A-7CD8-442A-B648-7559973A3F3E}"/>
    <hyperlink ref="T734" r:id="rId814" xr:uid="{5FF5139C-0C1B-42CC-A27B-498C32842508}"/>
    <hyperlink ref="T553" r:id="rId815" xr:uid="{ADF46DAA-A2FA-4DF9-83AD-2C049757AD7E}"/>
    <hyperlink ref="T735" r:id="rId816" xr:uid="{0C28A1E9-BA16-462A-9693-3AAEF7ED7C91}"/>
    <hyperlink ref="T736" r:id="rId817" xr:uid="{59CAE6CD-9847-4BE9-B486-5FF5C34A255B}"/>
    <hyperlink ref="T737" r:id="rId818" xr:uid="{738B22D3-9E83-4495-98BB-22E064D75CA0}"/>
    <hyperlink ref="T427" r:id="rId819" xr:uid="{3791189C-7C03-4B70-A26D-A38A65709715}"/>
    <hyperlink ref="T428" r:id="rId820" xr:uid="{F0055CB6-3228-4E4C-93D7-FEE366DECD25}"/>
    <hyperlink ref="T738" r:id="rId821" xr:uid="{94CE8F17-633F-4110-8001-EBE98AE7B6B7}"/>
    <hyperlink ref="T739" r:id="rId822" xr:uid="{AA45926C-C915-48AB-AA0D-FFA6C0C8CBB6}"/>
    <hyperlink ref="T430" r:id="rId823" xr:uid="{E52D5D82-7ACE-4DAE-B498-66CCE52EA271}"/>
    <hyperlink ref="T740" r:id="rId824" xr:uid="{72D19C99-B569-4499-983C-D1EA8746E9E5}"/>
    <hyperlink ref="T741" r:id="rId825" xr:uid="{49B68C19-232E-48CA-8391-1668E101E234}"/>
    <hyperlink ref="T742" r:id="rId826" xr:uid="{B617305C-4EB8-46A7-BCCF-0756BE69EFDC}"/>
    <hyperlink ref="T431" r:id="rId827" xr:uid="{6B13A020-E497-4470-83F7-ADD9705BADF1}"/>
    <hyperlink ref="T743" r:id="rId828" xr:uid="{AB8FE0FC-1715-4EB2-9762-9BE55506A846}"/>
    <hyperlink ref="U723" r:id="rId829" xr:uid="{3E641718-2B69-472D-AE1D-02BA725D8874}"/>
    <hyperlink ref="U409" r:id="rId830" xr:uid="{96F9FBCA-E88C-4FF7-B854-BF5B2A3652D4}"/>
    <hyperlink ref="U410" r:id="rId831" xr:uid="{078438B0-6E23-4C88-9FEB-315A5464E200}"/>
    <hyperlink ref="U724" r:id="rId832" xr:uid="{903EFCED-450C-4BE3-BDEE-3B108D1BCF3F}"/>
    <hyperlink ref="U411" r:id="rId833" xr:uid="{5AC10222-BE6B-47F7-B253-94DF2C692E32}"/>
    <hyperlink ref="U725" r:id="rId834" xr:uid="{3C66F3C4-5368-4265-9D00-CF3F78E4ABAB}"/>
    <hyperlink ref="U412" r:id="rId835" xr:uid="{37BC77FE-24B8-4B8B-BBCD-F85BA63BD757}"/>
    <hyperlink ref="U726" r:id="rId836" xr:uid="{ED2916B7-EB7E-4308-A7DA-B2BC59A2C81F}"/>
    <hyperlink ref="U727" r:id="rId837" xr:uid="{B7D48A85-0FF3-418E-BD45-2CE6A680C996}"/>
    <hyperlink ref="U728" r:id="rId838" xr:uid="{41D2F43E-DA57-4D32-9ECB-33CFE11FFF22}"/>
    <hyperlink ref="U729" r:id="rId839" xr:uid="{7A265782-C993-4572-B593-D4471CA77E8D}"/>
    <hyperlink ref="U413" r:id="rId840" xr:uid="{05922364-92DF-4F70-9C72-99B9FBED6EF7}"/>
    <hyperlink ref="U414" r:id="rId841" xr:uid="{F59C44D2-BA0F-45DE-99F8-BCA1678C2BC7}"/>
    <hyperlink ref="U415" r:id="rId842" xr:uid="{5CDAA76D-C45D-4C63-8DE4-D9279A676CDD}"/>
    <hyperlink ref="U416" r:id="rId843" xr:uid="{8430DC25-BB00-463D-AA42-A9FEB969BCF6}"/>
    <hyperlink ref="U417" r:id="rId844" xr:uid="{8E40FD15-E79D-4754-A2B8-45C92E394B7E}"/>
    <hyperlink ref="U418" r:id="rId845" xr:uid="{0B651956-71D1-4A56-8197-1E4EEFC02E20}"/>
    <hyperlink ref="U419" r:id="rId846" xr:uid="{F859F19A-2769-4B02-9554-BCD2D57C21E9}"/>
    <hyperlink ref="U420" r:id="rId847" xr:uid="{C48CB942-54FA-4FFE-9700-F9930C46E905}"/>
    <hyperlink ref="U730" r:id="rId848" xr:uid="{3ADE3BC0-A84D-4A56-87D5-D4F6E354AEC8}"/>
    <hyperlink ref="U731" r:id="rId849" xr:uid="{D6E39430-CA85-44F2-A4AE-4D4D2D973590}"/>
    <hyperlink ref="U732" r:id="rId850" xr:uid="{88620561-58BA-4097-A1E5-1336CAE7CBA6}"/>
    <hyperlink ref="U421" r:id="rId851" xr:uid="{625814D9-A60E-467A-8520-A625B38BFBF6}"/>
    <hyperlink ref="U422" r:id="rId852" xr:uid="{C836C792-2159-461F-BF9C-510850B6CD3E}"/>
    <hyperlink ref="U423" r:id="rId853" xr:uid="{903762EF-4DB9-4E2B-A9DC-2C33A107F3DF}"/>
    <hyperlink ref="U733" r:id="rId854" xr:uid="{DD4CA4B3-2BFD-4EB1-9D92-0DDAEDB4B332}"/>
    <hyperlink ref="U424" r:id="rId855" xr:uid="{8835AF17-AA7F-48E9-9C8A-B1B1E68FBAAC}"/>
    <hyperlink ref="U425" r:id="rId856" xr:uid="{C35EC225-C663-4030-B3C7-174132509063}"/>
    <hyperlink ref="U426" r:id="rId857" xr:uid="{BA095870-6D9B-4C3A-81A8-B8336D4C58FD}"/>
    <hyperlink ref="U734" r:id="rId858" xr:uid="{62B0A576-93A5-4D03-A5E7-FDDBC9315BC7}"/>
    <hyperlink ref="U735" r:id="rId859" xr:uid="{087EDA0C-0995-4D0F-BD70-4E50ACA83AC0}"/>
    <hyperlink ref="U553" r:id="rId860" xr:uid="{379E4E3E-62DB-48A4-A120-FE5C1B243FEA}"/>
    <hyperlink ref="U736" r:id="rId861" xr:uid="{C1E5C0B6-7913-4F9A-A876-675B78E56DF2}"/>
    <hyperlink ref="U737" r:id="rId862" xr:uid="{02D1B724-D536-49D1-959C-526FACA6364E}"/>
    <hyperlink ref="U427" r:id="rId863" xr:uid="{F9FFC188-220A-480C-8978-D4FB21C38018}"/>
    <hyperlink ref="U428" r:id="rId864" xr:uid="{8B947930-0C1F-4D91-BC54-7D99BA2BAFD3}"/>
    <hyperlink ref="U738" r:id="rId865" xr:uid="{3B1BA1F4-FCD4-4B37-83ED-729DB435E766}"/>
    <hyperlink ref="U739" r:id="rId866" xr:uid="{87475A65-928A-493D-8D6C-BD6496255F3A}"/>
    <hyperlink ref="U429" r:id="rId867" xr:uid="{C0F777A9-D5B5-496E-B0DB-EBDC0DCFEE08}"/>
    <hyperlink ref="U430" r:id="rId868" xr:uid="{BACE4FC5-B69E-4991-80D5-841F6FD3E546}"/>
    <hyperlink ref="U740" r:id="rId869" xr:uid="{53F40AA5-4F30-4DA5-8E44-165E1832EE0A}"/>
    <hyperlink ref="U741" r:id="rId870" xr:uid="{F715AEF8-E32A-4599-A783-1C3648A9FA4D}"/>
    <hyperlink ref="U742" r:id="rId871" xr:uid="{E9039359-C2AE-44B6-877B-7DA1F7B3D09E}"/>
    <hyperlink ref="U431" r:id="rId872" xr:uid="{C233F83B-C675-4A85-A4BD-DA53C40A7D08}"/>
    <hyperlink ref="U743" r:id="rId873" xr:uid="{E7904DC6-087D-42C4-9372-1B0CF2D7DAFF}"/>
    <hyperlink ref="T744" r:id="rId874" xr:uid="{501B4F56-01F6-4A1C-A566-12F4542098B5}"/>
    <hyperlink ref="T745" r:id="rId875" xr:uid="{FA6CEE37-31EB-4F9E-8B63-DA639639C507}"/>
    <hyperlink ref="T746" r:id="rId876" xr:uid="{1CCAABE3-CE17-4A0F-A3CA-3357BCF31545}"/>
    <hyperlink ref="T432" r:id="rId877" xr:uid="{5C5D18E0-CD73-4F82-921C-FA4F2B1F1972}"/>
    <hyperlink ref="T433" r:id="rId878" xr:uid="{1AE4A8ED-65F4-4C4F-B364-CC3A06A97611}"/>
    <hyperlink ref="T434" r:id="rId879" xr:uid="{953CE542-F545-429C-89D1-BA30655C1704}"/>
    <hyperlink ref="T748" r:id="rId880" xr:uid="{3671D6A6-EF04-4430-BB14-05AB7C3FC3E3}"/>
    <hyperlink ref="T435" r:id="rId881" xr:uid="{218D998B-5616-44DE-8B2D-25319A517AA2}"/>
    <hyperlink ref="T749" r:id="rId882" xr:uid="{3DDF5F45-B9EE-4040-810D-7F4313E82F18}"/>
    <hyperlink ref="T436" r:id="rId883" xr:uid="{708FE3E2-D431-47B5-9EC8-F0F18CEE86E5}"/>
    <hyperlink ref="T437" r:id="rId884" xr:uid="{F8A2A5C1-255E-4A33-9A74-9DA618A48FB0}"/>
    <hyperlink ref="T438" r:id="rId885" xr:uid="{AD57D0EB-9863-4C07-B719-ED131651C1DA}"/>
    <hyperlink ref="T439" r:id="rId886" xr:uid="{195B2D28-4F13-4967-9C7A-AC823411FF7C}"/>
    <hyperlink ref="T440" r:id="rId887" xr:uid="{47B487F0-86F7-4B13-BB72-2AD61262F898}"/>
    <hyperlink ref="T441" r:id="rId888" xr:uid="{1B05822A-4A06-4212-9EBC-4E5D2EE14D33}"/>
    <hyperlink ref="T443" r:id="rId889" xr:uid="{E5508F0A-2743-4B22-BB14-E41DCAFB1118}"/>
    <hyperlink ref="T444" r:id="rId890" xr:uid="{36D8DA4B-1E16-4A9C-8B11-A3C37D7A8D3C}"/>
    <hyperlink ref="T445" r:id="rId891" xr:uid="{A96E7F48-1B3F-4999-B3B1-1727C8EB7102}"/>
    <hyperlink ref="T446" r:id="rId892" xr:uid="{5DFADA42-500E-4C81-AEA7-97ECE8A79D19}"/>
    <hyperlink ref="T451" r:id="rId893" xr:uid="{4D57A141-1E7C-48FC-9FA6-B56BB1EAD99A}"/>
    <hyperlink ref="T456" r:id="rId894" xr:uid="{E74B6A0D-4EBB-45A0-BD60-9EA4120FA8EB}"/>
    <hyperlink ref="T458" r:id="rId895" xr:uid="{D17D8EC8-2FCF-4F55-9707-7BB90BDB9063}"/>
    <hyperlink ref="T459" r:id="rId896" xr:uid="{9B94E576-6863-425B-AACE-56BF2C88BBCA}"/>
    <hyperlink ref="T460" r:id="rId897" xr:uid="{6638B477-28BF-42C0-8539-9BEC9953435D}"/>
    <hyperlink ref="T461" r:id="rId898" xr:uid="{84AAFD62-2412-45F2-B9D8-22C862CEDA73}"/>
    <hyperlink ref="T462" r:id="rId899" xr:uid="{D2D2FF78-1C4A-4D41-AEC9-C5362744AC21}"/>
    <hyperlink ref="T463" r:id="rId900" xr:uid="{AF078D6D-03A0-4121-ADEC-E2433BE86414}"/>
    <hyperlink ref="T464" r:id="rId901" xr:uid="{7F76C53D-1BE1-44B0-93E4-5A4C1B0FA21D}"/>
    <hyperlink ref="T465" r:id="rId902" xr:uid="{2095FF53-295E-4AB1-8BC1-70616A38B83C}"/>
    <hyperlink ref="U744" r:id="rId903" xr:uid="{2D8DC286-67DA-48DB-95A5-8AA63F91B6E5}"/>
    <hyperlink ref="U745" r:id="rId904" xr:uid="{D7D08884-5C5B-4528-B2C8-9AB0AB62C518}"/>
    <hyperlink ref="U746" r:id="rId905" xr:uid="{C51DB1C9-C8EB-4DC0-8016-3A3A38F8507A}"/>
    <hyperlink ref="U747" r:id="rId906" xr:uid="{D9C2AE0E-238B-40AE-8172-6F96D8362930}"/>
    <hyperlink ref="U432" r:id="rId907" xr:uid="{3FD34782-51A5-47C9-BFFE-986765A18615}"/>
    <hyperlink ref="U433" r:id="rId908" xr:uid="{72AFB812-817A-457D-8DBF-1DDA996FA5F0}"/>
    <hyperlink ref="U434" r:id="rId909" xr:uid="{7C46618E-D425-460D-9E2A-F929A438C92C}"/>
    <hyperlink ref="U748" r:id="rId910" xr:uid="{DD72240B-A8AA-4D0E-A0E3-353AC0878909}"/>
    <hyperlink ref="U435" r:id="rId911" xr:uid="{7BDA3D4A-6506-48EB-B9BB-0C45F02B01E3}"/>
    <hyperlink ref="U749" r:id="rId912" xr:uid="{B3D7C939-A43B-47B7-96D3-A8E504BD37A1}"/>
    <hyperlink ref="U436" r:id="rId913" xr:uid="{F2772DA9-E09E-44EA-98A7-202E0AF838F2}"/>
    <hyperlink ref="U437" r:id="rId914" xr:uid="{5E8C4459-666F-4613-BA6A-A64E16079E61}"/>
    <hyperlink ref="U438" r:id="rId915" xr:uid="{37888C7F-AB82-4640-88EB-3A669339F0B4}"/>
    <hyperlink ref="U439" r:id="rId916" xr:uid="{A40C30B8-5151-44CB-AC67-A05CEA6A38E7}"/>
    <hyperlink ref="U440" r:id="rId917" xr:uid="{148DC448-F9DF-4F36-97D3-0035636740AE}"/>
    <hyperlink ref="U441" r:id="rId918" xr:uid="{21BF5DF2-8B7E-4060-8EC5-F06FD0E4BFFA}"/>
    <hyperlink ref="U442" r:id="rId919" xr:uid="{56899875-8AC6-4FC0-B71B-E339BDBF5562}"/>
    <hyperlink ref="U443" r:id="rId920" xr:uid="{A24E8878-7603-4FBB-B2DB-25B567F7BD6B}"/>
    <hyperlink ref="U444" r:id="rId921" xr:uid="{A127B16D-3BEC-4C20-96E6-439997E98629}"/>
    <hyperlink ref="U445" r:id="rId922" xr:uid="{1FF1D41E-EEC4-4DF0-AAF1-06213FC06E97}"/>
    <hyperlink ref="U446" r:id="rId923" xr:uid="{7CFD0046-49A7-4126-A324-CAB023864AAD}"/>
    <hyperlink ref="U447" r:id="rId924" xr:uid="{D0A99FA7-819A-4F65-B3FD-777C959C7BB3}"/>
    <hyperlink ref="U448" r:id="rId925" xr:uid="{3F4944C6-ED3A-4652-AE10-BDFC23F385C5}"/>
    <hyperlink ref="U451" r:id="rId926" xr:uid="{62CA4602-CB74-4F75-90A3-F4501DBD4F17}"/>
    <hyperlink ref="U456" r:id="rId927" xr:uid="{2AEAF55B-5AAF-4B4A-8E89-657BFDD6B1FA}"/>
    <hyperlink ref="U458" r:id="rId928" xr:uid="{A729F3BC-AE96-49AD-A49F-6DCA7D664B31}"/>
    <hyperlink ref="U459" r:id="rId929" xr:uid="{2C9E359E-A6D7-445D-ACD7-42D4459F5C18}"/>
    <hyperlink ref="U460" r:id="rId930" xr:uid="{02BDE783-9C63-4195-A5CF-5A7FD9D4B5EC}"/>
    <hyperlink ref="U461" r:id="rId931" xr:uid="{94336F83-159C-4F9E-B32C-B78DCDC88DFA}"/>
    <hyperlink ref="U462" r:id="rId932" xr:uid="{DA8F63CA-968E-4A49-B63A-F1509E05DB16}"/>
    <hyperlink ref="U463" r:id="rId933" xr:uid="{42D8313D-7E6C-4B16-AD2C-6014347FB0FC}"/>
    <hyperlink ref="U464" r:id="rId934" xr:uid="{866C26D9-E680-418E-B5EE-B6589AAABD27}"/>
    <hyperlink ref="U465" r:id="rId935" xr:uid="{BF73B802-D771-4D3D-9E55-B33E036ED8B3}"/>
    <hyperlink ref="T467" r:id="rId936" xr:uid="{D2B663DF-F5B0-40C2-8C9A-DFD4AE88B198}"/>
    <hyperlink ref="T752" r:id="rId937" xr:uid="{1EC0CAD8-2050-401A-9D9B-A642FC5D7FE1}"/>
    <hyperlink ref="T468" r:id="rId938" xr:uid="{6872794F-FCD4-4392-8CE7-4C67FA7EA284}"/>
    <hyperlink ref="T761" r:id="rId939" xr:uid="{63A06798-8CA7-4853-BF76-B372C06F8503}"/>
    <hyperlink ref="T470" r:id="rId940" xr:uid="{9789E892-9704-4778-9CC5-9DD8EBAD2248}"/>
    <hyperlink ref="T471" r:id="rId941" xr:uid="{3575F305-D59C-4903-B7A1-17DE336C8D7B}"/>
    <hyperlink ref="T474" r:id="rId942" xr:uid="{9A98BE9D-06B8-4359-AF78-78BCBC77E02B}"/>
    <hyperlink ref="T475" r:id="rId943" xr:uid="{B99A8581-34E3-4013-BAF7-7DF7FB3DC49B}"/>
    <hyperlink ref="T476" r:id="rId944" xr:uid="{79B27062-5C3B-4104-94DE-950C7FDD0900}"/>
    <hyperlink ref="T477" r:id="rId945" xr:uid="{962025EC-0EBC-4655-AC76-A276252B362D}"/>
    <hyperlink ref="T478" r:id="rId946" xr:uid="{57C4E838-997B-4E6E-99E8-467A76952EE4}"/>
    <hyperlink ref="T479" r:id="rId947" xr:uid="{6F413BCB-8223-4577-A80D-6C5A2D3235AF}"/>
    <hyperlink ref="T480" r:id="rId948" xr:uid="{DD9CFAEA-8049-48F9-BBFB-26AF810BE37A}"/>
    <hyperlink ref="T481" r:id="rId949" xr:uid="{5FDE5811-935D-4DE4-A073-8CB1C5D5B9C3}"/>
    <hyperlink ref="T482" r:id="rId950" xr:uid="{92C745F3-D53F-4B51-97A4-3F0D460D3A36}"/>
    <hyperlink ref="T483" r:id="rId951" xr:uid="{56D7D1ED-0B16-4EEA-BF88-95B71A163CC4}"/>
    <hyperlink ref="T484" r:id="rId952" xr:uid="{2F067FB3-4121-4DA8-AD6A-D86ACCF8384C}"/>
    <hyperlink ref="T485" r:id="rId953" xr:uid="{EF9F288C-2CFC-4E55-9A84-E3389DCA45CF}"/>
    <hyperlink ref="T494" r:id="rId954" xr:uid="{90982EAD-F9CD-465D-BB13-B29FB730DD94}"/>
    <hyperlink ref="T495" r:id="rId955" xr:uid="{BB13EA2A-2FA0-48D1-8BD5-A3B49C144DCC}"/>
    <hyperlink ref="T496" r:id="rId956" xr:uid="{CEA58F45-9305-4FDE-B408-C547EBEA8275}"/>
    <hyperlink ref="T497" r:id="rId957" xr:uid="{03BDC801-F41C-49B7-A441-671337262FE9}"/>
    <hyperlink ref="T498" r:id="rId958" xr:uid="{02705CB9-DA74-4B79-9FB3-67BE7C279591}"/>
    <hyperlink ref="T499" r:id="rId959" xr:uid="{C0736EB7-1892-45E0-BEA1-67D3FACAF0A4}"/>
    <hyperlink ref="T500" r:id="rId960" xr:uid="{7E3639B9-6EC5-4E92-8A3D-00A76536FF57}"/>
    <hyperlink ref="T501" r:id="rId961" xr:uid="{65CF83F5-1982-4CDE-AC2B-BC8E49FA0FA3}"/>
    <hyperlink ref="T502" r:id="rId962" xr:uid="{D9281DAA-3A43-4105-8FD0-52AB890E524D}"/>
    <hyperlink ref="T503" r:id="rId963" xr:uid="{B3496319-5A45-4FC6-B2F0-9A728DC3C2D4}"/>
    <hyperlink ref="T504" r:id="rId964" xr:uid="{13A26265-09CF-4FBE-B997-9C6A28FE3913}"/>
    <hyperlink ref="T505" r:id="rId965" xr:uid="{805379CC-5BA0-4776-9F02-121BF54C5180}"/>
    <hyperlink ref="T522" r:id="rId966" xr:uid="{A6C18E89-617C-4161-BB04-D245E9948675}"/>
    <hyperlink ref="T523" r:id="rId967" xr:uid="{794F86CB-5582-4F23-989C-EBDD4FA6FC9F}"/>
    <hyperlink ref="T524" r:id="rId968" xr:uid="{2240BDAB-5727-40B2-A005-B8668F7C6680}"/>
    <hyperlink ref="T525" r:id="rId969" xr:uid="{194F6A50-DC24-4EEB-8D86-97890016CCBD}"/>
    <hyperlink ref="T526" r:id="rId970" xr:uid="{A3D3C0F4-EC9A-4558-ACDE-F1A6334C5E06}"/>
    <hyperlink ref="T528" r:id="rId971" xr:uid="{74EEA982-F106-4996-8351-4C7BBBAFD764}"/>
    <hyperlink ref="T529" r:id="rId972" xr:uid="{F7C65EF4-E8DB-4875-8038-3F9DE25DF644}"/>
    <hyperlink ref="T530" r:id="rId973" xr:uid="{23DAA666-DE9C-4CEC-978F-21BE47404B18}"/>
    <hyperlink ref="T533" r:id="rId974" xr:uid="{A0C33D11-FB35-4615-87DC-09CFD8AC86A3}"/>
    <hyperlink ref="T535" r:id="rId975" xr:uid="{55CF72DB-8B71-4CA8-A823-38CA48E6CC4A}"/>
    <hyperlink ref="U467" r:id="rId976" xr:uid="{2E7AAA2A-9F11-4BBB-9D8C-10A67BC9D1BE}"/>
    <hyperlink ref="U752" r:id="rId977" xr:uid="{922F803A-B48B-4805-9082-14DB4485A509}"/>
    <hyperlink ref="U468" r:id="rId978" xr:uid="{53540B67-CE19-44AC-88F5-FB4831A83D26}"/>
    <hyperlink ref="U761" r:id="rId979" xr:uid="{99698174-6EC4-4D19-9C85-6EFD59D35522}"/>
    <hyperlink ref="U470" r:id="rId980" xr:uid="{6B54AF96-B648-4D93-A669-DC3CA3F8104C}"/>
    <hyperlink ref="U471" r:id="rId981" xr:uid="{4BECB186-F947-4704-B3F0-4BBE4F6A1F58}"/>
    <hyperlink ref="U474" r:id="rId982" xr:uid="{DFE3F8AC-5ED0-420D-9DAA-D2E589CD9149}"/>
    <hyperlink ref="U475" r:id="rId983" xr:uid="{737A3995-B245-48C3-A14C-E615CC7E41B4}"/>
    <hyperlink ref="U476" r:id="rId984" xr:uid="{3CF309E6-B5A0-40DE-9A61-96CFC0E47B86}"/>
    <hyperlink ref="U477" r:id="rId985" xr:uid="{10EF00B4-BFEA-42A5-8DAE-A0DE4ACBF2E1}"/>
    <hyperlink ref="U478" r:id="rId986" xr:uid="{C441E0EF-4EBF-4E16-B90C-99E4B4286BCC}"/>
    <hyperlink ref="U479" r:id="rId987" xr:uid="{542614BD-ADF1-4487-AC28-6D953AD2E818}"/>
    <hyperlink ref="U480" r:id="rId988" xr:uid="{C68D5D83-4F85-4B1C-B968-F2484BA3AB52}"/>
    <hyperlink ref="U481" r:id="rId989" xr:uid="{A2ABDF63-CDE5-4096-92F3-F7D165695737}"/>
    <hyperlink ref="U482" r:id="rId990" xr:uid="{06CA6070-6C63-4221-893A-CA0475A2CAA1}"/>
    <hyperlink ref="U483" r:id="rId991" xr:uid="{2D4CBCD2-2CF9-48A9-8FB6-86098EB3422E}"/>
    <hyperlink ref="U484" r:id="rId992" xr:uid="{B8FF2F32-4F39-49B7-BAB0-73154D0FBF84}"/>
    <hyperlink ref="U485" r:id="rId993" xr:uid="{15DE0E82-FF73-4C4C-8469-B8AD78C1130E}"/>
    <hyperlink ref="U494" r:id="rId994" xr:uid="{B144DC8C-F8B4-45A2-A482-C38286B0D352}"/>
    <hyperlink ref="U495" r:id="rId995" xr:uid="{959B016D-802F-40E9-8F62-76CC514F43BC}"/>
    <hyperlink ref="U496" r:id="rId996" xr:uid="{1D6CE561-C89F-4314-AC20-65588D8B1A73}"/>
    <hyperlink ref="U497" r:id="rId997" xr:uid="{CD03459D-A945-406F-A091-874AE5E33530}"/>
    <hyperlink ref="U498" r:id="rId998" xr:uid="{39594363-34D5-4764-A9E2-4712C2AD39C0}"/>
    <hyperlink ref="U499" r:id="rId999" xr:uid="{CB4D133C-9FC9-4448-94AA-5FE1573B7EB1}"/>
    <hyperlink ref="U500" r:id="rId1000" xr:uid="{3E86F8DE-DFE9-49A0-98AE-F2B2FF4E2CE8}"/>
    <hyperlink ref="U501" r:id="rId1001" xr:uid="{07293C26-F333-4F12-B2B1-1C0BA3D6079D}"/>
    <hyperlink ref="U502" r:id="rId1002" xr:uid="{CC2C4B37-5C82-4C90-8042-A83C5FE483DC}"/>
    <hyperlink ref="U503" r:id="rId1003" xr:uid="{2CD66912-2C60-4144-B972-EEEC4737BE74}"/>
    <hyperlink ref="U504" r:id="rId1004" xr:uid="{5AB8F851-595C-4AA4-9ABD-220C6AE4907B}"/>
    <hyperlink ref="U505" r:id="rId1005" xr:uid="{B3D3D692-1B74-47F6-88C2-4F9C00853B32}"/>
    <hyperlink ref="U522" r:id="rId1006" xr:uid="{F47CE739-28A5-4812-A22E-C83955F2D62B}"/>
    <hyperlink ref="U523" r:id="rId1007" xr:uid="{F748759E-E0AF-4BC4-BEB1-3B3E08C2CE37}"/>
    <hyperlink ref="U524" r:id="rId1008" xr:uid="{4AA7DC8F-708A-48E5-8E63-B4F0F184EBAC}"/>
    <hyperlink ref="U525" r:id="rId1009" xr:uid="{21EE229E-83DC-4314-969B-F81BE8722E97}"/>
    <hyperlink ref="U526" r:id="rId1010" xr:uid="{3BFFA697-CE44-4D04-A4EF-61B95B558408}"/>
    <hyperlink ref="U528" r:id="rId1011" xr:uid="{2C930F38-6239-47FD-95F3-A30C7E25D3B0}"/>
    <hyperlink ref="U529" r:id="rId1012" xr:uid="{930065F5-7F69-459A-BB10-BEC2CA88C687}"/>
    <hyperlink ref="U530" r:id="rId1013" xr:uid="{EFA4F258-80B8-4ADA-AF5B-22879B0466EA}"/>
    <hyperlink ref="U533" r:id="rId1014" xr:uid="{4913B5AB-883E-450C-97CD-7CA715754F1D}"/>
    <hyperlink ref="U535" r:id="rId1015" xr:uid="{90B8ED90-5DD6-499A-A488-A2C57596BD84}"/>
    <hyperlink ref="U774" r:id="rId1016" xr:uid="{D2A9B9FF-FA88-4332-8F61-26B461309FA2}"/>
    <hyperlink ref="U775" r:id="rId1017" xr:uid="{3E10F7AB-7021-4B3C-B9BD-765183DA6D21}"/>
    <hyperlink ref="U776" r:id="rId1018" xr:uid="{26E00121-7C54-4524-9D13-D2B32B9477D7}"/>
    <hyperlink ref="T568" r:id="rId1019" xr:uid="{92F817DD-1668-4652-AD37-28EB6E863A98}"/>
    <hyperlink ref="T570" r:id="rId1020" xr:uid="{7D20ED5B-24B3-4CFD-B4AB-0E3A0052DD65}"/>
    <hyperlink ref="T113" r:id="rId1021" xr:uid="{5B95CE76-8579-4197-8E51-798B9FADAE46}"/>
    <hyperlink ref="T112" r:id="rId1022" xr:uid="{E9557AE1-204E-4E36-86F9-A3C2C3E42680}"/>
    <hyperlink ref="T573" r:id="rId1023" xr:uid="{4FC83785-C894-4B07-BA2B-10815E2B34EC}"/>
    <hyperlink ref="T575" r:id="rId1024" xr:uid="{01A3949A-E9C1-40D5-AB65-6F360C83592C}"/>
    <hyperlink ref="T576" r:id="rId1025" xr:uid="{77CA498D-6AD0-46BF-ACEB-F17E254B2170}"/>
    <hyperlink ref="T122" r:id="rId1026" xr:uid="{1A29F91C-3244-47C6-BC67-BBBB9282E30E}"/>
    <hyperlink ref="T125" r:id="rId1027" xr:uid="{8EF465BE-3E49-4F98-B7AF-9DD8A219384D}"/>
    <hyperlink ref="T126" r:id="rId1028" xr:uid="{A4E8932D-D588-41E7-9C3C-FBEFDD0C5B7E}"/>
    <hyperlink ref="T133" r:id="rId1029" xr:uid="{B52BABA2-84AA-45E4-B2E9-62121E7E9A4C}"/>
    <hyperlink ref="T583" r:id="rId1030" xr:uid="{6F9A1353-FE6E-4A4D-BAB3-6A27851300CB}"/>
    <hyperlink ref="T584" r:id="rId1031" xr:uid="{14251AEB-7BD6-4526-93FF-08413EC6B243}"/>
    <hyperlink ref="T536" r:id="rId1032" xr:uid="{B23117AB-4CC4-4098-AEA9-F44FCC9AC00E}"/>
    <hyperlink ref="T585" r:id="rId1033" xr:uid="{122A8553-EAB5-4E72-BCD1-7A25F15230FA}"/>
    <hyperlink ref="T586" r:id="rId1034" xr:uid="{28BB5AD4-1188-4203-B8EA-CB160F59D60B}"/>
    <hyperlink ref="T147" r:id="rId1035" xr:uid="{4CE2B33D-E464-401A-9A6D-DBC6B766EAC6}"/>
    <hyperlink ref="T589" r:id="rId1036" xr:uid="{91AE1D32-3F61-49EC-9F82-497E7B59470C}"/>
    <hyperlink ref="T590" r:id="rId1037" xr:uid="{41F38BFB-CD2D-4D70-A27C-144755A1A6A8}"/>
    <hyperlink ref="T537" r:id="rId1038" xr:uid="{35A0319A-65F1-4875-AA83-CE8C11AC730D}"/>
    <hyperlink ref="T166" r:id="rId1039" xr:uid="{C304BDA5-4BE8-48AE-8B3F-93FD545735D1}"/>
    <hyperlink ref="T591" r:id="rId1040" xr:uid="{5D39DBB7-DF48-4668-9E89-B18BF78A844C}"/>
    <hyperlink ref="T592" r:id="rId1041" xr:uid="{B9C814DA-B3A8-4566-92BE-505158AAE446}"/>
    <hyperlink ref="T593" r:id="rId1042" xr:uid="{F77D7200-D639-4F37-AE3F-8A04BBDA69F5}"/>
    <hyperlink ref="T167" r:id="rId1043" xr:uid="{9860A0A6-EE49-4B1D-A529-D1EF469C0422}"/>
    <hyperlink ref="T594" r:id="rId1044" xr:uid="{22882D1C-776A-4772-B0BE-47EF93FECBFE}"/>
    <hyperlink ref="T173" r:id="rId1045" xr:uid="{769D57FD-A4ED-4798-8085-A52AD58C1BA7}"/>
    <hyperlink ref="T178" r:id="rId1046" xr:uid="{E19B783D-4AC7-4235-810D-9AC1D2585D08}"/>
    <hyperlink ref="T179" r:id="rId1047" xr:uid="{C9C265A3-DE31-4C89-8E0D-0BC09471E9A4}"/>
    <hyperlink ref="T180" r:id="rId1048" xr:uid="{903415D1-7C66-49D6-839C-36B08E7A73E7}"/>
    <hyperlink ref="U568" r:id="rId1049" xr:uid="{B2D25FE8-88D6-4D16-97C4-ADE0FDDB6EC4}"/>
    <hyperlink ref="U570" r:id="rId1050" xr:uid="{8DD1E4BD-49DF-4561-B83D-CA11D3F95853}"/>
    <hyperlink ref="U112" r:id="rId1051" xr:uid="{13B57DB3-0D5A-41D8-B3D9-C8C51ED2C96D}"/>
    <hyperlink ref="U113" r:id="rId1052" xr:uid="{16DCD361-6350-4C7F-8CF2-33A814CDE0F7}"/>
    <hyperlink ref="U573" r:id="rId1053" xr:uid="{FF921041-E615-44F2-8B3C-7ACCFF7FC444}"/>
    <hyperlink ref="U575" r:id="rId1054" xr:uid="{25CF0369-7701-4C91-B76C-049E26E5A47C}"/>
    <hyperlink ref="U576" r:id="rId1055" xr:uid="{C3C7D0EE-E451-41DB-B96B-D30C64DE38E1}"/>
    <hyperlink ref="U122" r:id="rId1056" xr:uid="{6652A440-CB99-42A2-851C-73E10DF3AC6E}"/>
    <hyperlink ref="U125" r:id="rId1057" xr:uid="{6D6768A3-2859-4A1D-972C-D2FB7951C155}"/>
    <hyperlink ref="U126" r:id="rId1058" xr:uid="{801E21F0-CC32-4833-966C-5456B7A92B95}"/>
    <hyperlink ref="U133" r:id="rId1059" xr:uid="{DC2E99B9-5AF4-41B2-9A64-170E0D93F785}"/>
    <hyperlink ref="U583" r:id="rId1060" xr:uid="{829FA341-3EC6-47C5-9C0D-DB512B492DB9}"/>
    <hyperlink ref="U584" r:id="rId1061" xr:uid="{8C67F8AB-9E56-48F5-B779-187D1CBFDC3E}"/>
    <hyperlink ref="U536" r:id="rId1062" xr:uid="{57B38535-D556-4FD3-AA26-5B873799F4B9}"/>
    <hyperlink ref="U585" r:id="rId1063" xr:uid="{E3B703C8-C078-4D7A-B4CF-2ADFB06A83E9}"/>
    <hyperlink ref="U586" r:id="rId1064" xr:uid="{9811F363-62CD-480C-8D58-999E4899EF7F}"/>
    <hyperlink ref="U147" r:id="rId1065" xr:uid="{068431D6-779D-4633-B76F-6418B5F89CEF}"/>
    <hyperlink ref="U589" r:id="rId1066" xr:uid="{0D541470-002A-461A-AB3A-3D0D7B2CFCB2}"/>
    <hyperlink ref="U153" r:id="rId1067" xr:uid="{6114E4DC-5E8D-434B-9C52-472E5D1B3837}"/>
    <hyperlink ref="U590" r:id="rId1068" xr:uid="{59B0B488-06FD-4AD0-851B-3A5DB8DBDCA7}"/>
    <hyperlink ref="U537" r:id="rId1069" xr:uid="{2696C84E-7EB2-4FD4-8C1B-694BDCA385C1}"/>
    <hyperlink ref="U166" r:id="rId1070" xr:uid="{09756A9A-7392-4445-AF05-74091FA03782}"/>
    <hyperlink ref="U591" r:id="rId1071" xr:uid="{1903D42A-E08E-4F30-846C-48C8D7A48BFA}"/>
    <hyperlink ref="U592" r:id="rId1072" xr:uid="{78B00E65-40CF-4524-BF58-1938EE5711CD}"/>
    <hyperlink ref="U593" r:id="rId1073" xr:uid="{FE74C0A9-75CC-4806-BF1D-53147669EF65}"/>
    <hyperlink ref="U167" r:id="rId1074" xr:uid="{FE291112-BAD9-4856-966D-3320234BE30D}"/>
    <hyperlink ref="U594" r:id="rId1075" xr:uid="{4A8F9136-6A33-45CE-B326-70045FEFDB4B}"/>
    <hyperlink ref="U173" r:id="rId1076" xr:uid="{42FB95BC-BD2C-4766-9E46-F1AB5E574D19}"/>
    <hyperlink ref="U178" r:id="rId1077" xr:uid="{6BC1007E-ACAF-4C4D-AEFE-4A156F551AA5}"/>
    <hyperlink ref="U179" r:id="rId1078" xr:uid="{EEAA3576-3830-4F1C-8F4F-5C69FA16241B}"/>
    <hyperlink ref="U180" r:id="rId1079" xr:uid="{68D3025C-2916-4048-993C-9CB2ACA8FF61}"/>
    <hyperlink ref="T220" r:id="rId1080" xr:uid="{5567019A-6AFA-4AA3-B24D-6F7D641F60E2}"/>
    <hyperlink ref="T569" r:id="rId1081" xr:uid="{71FBB063-4DC5-4E59-AC07-BF3B68D50625}"/>
    <hyperlink ref="T571" r:id="rId1082" xr:uid="{39CAECB1-498E-4684-B2B7-5B5720116B5D}"/>
    <hyperlink ref="T572" r:id="rId1083" xr:uid="{D331BE14-28FA-467E-8906-0302E0306959}"/>
    <hyperlink ref="T116" r:id="rId1084" xr:uid="{C99CC022-8606-4293-A973-2721914603A5}"/>
    <hyperlink ref="T574" r:id="rId1085" xr:uid="{DB70FEE9-B67D-4C1B-A5DC-3FB95117E247}"/>
    <hyperlink ref="T577" r:id="rId1086" xr:uid="{37EBC182-110E-4B6D-9A41-18C4AA64CD77}"/>
    <hyperlink ref="T578" r:id="rId1087" xr:uid="{1F24A252-670F-442A-8FA6-8A7628525230}"/>
    <hyperlink ref="T579" r:id="rId1088" xr:uid="{02CB7DC3-750D-4CE6-97EA-5C769E6046E7}"/>
    <hyperlink ref="T580" r:id="rId1089" xr:uid="{EF841AD1-B0B0-4BF4-82AC-0B2080E377C2}"/>
    <hyperlink ref="T581" r:id="rId1090" xr:uid="{E94D50F5-329B-4E75-95A6-D8CFE927F74C}"/>
    <hyperlink ref="T582" r:id="rId1091" xr:uid="{954953FC-D8E8-42C2-9B65-6E463A975F4A}"/>
    <hyperlink ref="T587" r:id="rId1092" xr:uid="{37705235-BD7E-4578-B072-A56CE75B1881}"/>
    <hyperlink ref="T588" r:id="rId1093" xr:uid="{31085731-4032-4571-A829-331A3244327A}"/>
    <hyperlink ref="T595" r:id="rId1094" xr:uid="{EE418A59-97E6-4E24-8609-5BF8B1C1DAF0}"/>
    <hyperlink ref="T596" r:id="rId1095" xr:uid="{07D2CDE1-BBCD-4A10-A2BE-5D0AF5118E1C}"/>
    <hyperlink ref="T597" r:id="rId1096" xr:uid="{22C53F22-B0A8-4C61-B3AB-672A8ADFC9D1}"/>
    <hyperlink ref="T182" r:id="rId1097" xr:uid="{7C698CDC-2AAD-4036-8F59-D9FD2EC8E207}"/>
    <hyperlink ref="T189" r:id="rId1098" xr:uid="{F121D76A-3FF0-4431-9C0D-6689CC5110D9}"/>
    <hyperlink ref="T538" r:id="rId1099" xr:uid="{986D4726-E87E-481D-A66E-DA275CD14AFC}"/>
    <hyperlink ref="T598" r:id="rId1100" xr:uid="{9706D9E4-1183-4B46-866A-74A64B398CAA}"/>
    <hyperlink ref="T599" r:id="rId1101" xr:uid="{39535FF3-C383-4103-BA79-0458CA09B068}"/>
    <hyperlink ref="T600" r:id="rId1102" xr:uid="{96A6875D-CD27-4897-BD34-C688DB41B460}"/>
    <hyperlink ref="T198" r:id="rId1103" xr:uid="{BED3E07C-34D0-494F-B0B7-D5286A479B27}"/>
    <hyperlink ref="T201" r:id="rId1104" xr:uid="{32A55F8A-39FB-41A3-8C8A-6F1A2204F781}"/>
    <hyperlink ref="T601" r:id="rId1105" xr:uid="{E7316AB4-4A37-4AA5-8F1C-ED3190AC2584}"/>
    <hyperlink ref="T227" r:id="rId1106" xr:uid="{2FED2626-A11F-4F01-AD4D-FFA2076457A4}"/>
    <hyperlink ref="T228" r:id="rId1107" xr:uid="{C42383A1-37C3-44DA-8EFC-380C2C92DF15}"/>
    <hyperlink ref="T602" r:id="rId1108" xr:uid="{ECE305CD-D58A-45C1-BFA7-BB561E4F6E5D}"/>
    <hyperlink ref="T603" r:id="rId1109" xr:uid="{8B4BC812-7A0D-44D7-98A4-467896396715}"/>
    <hyperlink ref="T604" r:id="rId1110" xr:uid="{CFFFA411-94DC-4506-934C-AED24664B7F9}"/>
    <hyperlink ref="T605" r:id="rId1111" xr:uid="{436F3592-85A4-46C8-A89D-F4E6A6609302}"/>
    <hyperlink ref="T606" r:id="rId1112" xr:uid="{79E02A8B-8623-487B-B882-1126FE18D289}"/>
    <hyperlink ref="T252" r:id="rId1113" xr:uid="{EFDFD4A0-C098-4450-85C8-80BD7ED87F7B}"/>
    <hyperlink ref="T607" r:id="rId1114" xr:uid="{8256F868-5F2A-4246-BAF7-42F9F91B636D}"/>
    <hyperlink ref="T253" r:id="rId1115" xr:uid="{E370DA39-B5C3-4C4B-9774-D30DB5694F59}"/>
    <hyperlink ref="T254" r:id="rId1116" xr:uid="{D27690A0-59E7-490F-9F5C-26E6C4E50E4D}"/>
    <hyperlink ref="T608" r:id="rId1117" xr:uid="{4F6E5421-A4E7-43AD-AC03-56EAA4600354}"/>
    <hyperlink ref="T609" r:id="rId1118" xr:uid="{9E5E49F3-0D02-4446-AFF0-BFAC3C9DA93E}"/>
    <hyperlink ref="T610" r:id="rId1119" xr:uid="{ECFA5A05-EEEA-4D29-A02E-AD61EA4EA225}"/>
    <hyperlink ref="T611" r:id="rId1120" xr:uid="{27943976-0E24-4DF0-A599-2FD7F14C72DF}"/>
    <hyperlink ref="T612" r:id="rId1121" xr:uid="{5A4C1F41-0332-4498-8938-75B242DEF95C}"/>
    <hyperlink ref="T613" r:id="rId1122" xr:uid="{B3F67BEB-5376-4B6F-976E-8B0813C77024}"/>
    <hyperlink ref="T614" r:id="rId1123" xr:uid="{69476084-2A0D-4AB2-8EEC-EA6097C6D515}"/>
    <hyperlink ref="T615" r:id="rId1124" xr:uid="{FCAD2406-EE06-4266-B0D9-89D6CEDB0A66}"/>
    <hyperlink ref="T255" r:id="rId1125" xr:uid="{5CC31A5D-5E7C-4BE9-A9BE-BCEFB457C946}"/>
    <hyperlink ref="U569" r:id="rId1126" xr:uid="{CE379E4B-2CBE-4676-BDEA-5873842E45A7}"/>
    <hyperlink ref="U571" r:id="rId1127" xr:uid="{546800D7-3F54-4F50-91DB-B974B2505D4F}"/>
    <hyperlink ref="U572" r:id="rId1128" xr:uid="{A68E5518-4ACD-4D94-8E80-25B3D2943AAC}"/>
    <hyperlink ref="U116" r:id="rId1129" xr:uid="{12925309-767E-4F42-B76A-47E251D364C6}"/>
    <hyperlink ref="U574" r:id="rId1130" xr:uid="{5B129068-1056-453F-AAE1-03FF782397EB}"/>
    <hyperlink ref="U577" r:id="rId1131" xr:uid="{F69F560E-08B8-4379-9FE2-1808832ADD9F}"/>
    <hyperlink ref="U578" r:id="rId1132" xr:uid="{FC6DFB9C-4302-4C2A-BEF9-081B90FE7343}"/>
    <hyperlink ref="U579" r:id="rId1133" xr:uid="{1DACDE7C-6929-40F2-8771-705C39C70153}"/>
    <hyperlink ref="U580" r:id="rId1134" xr:uid="{C88E8ECC-C974-488F-A1CF-1CDE6EB97459}"/>
    <hyperlink ref="U581" r:id="rId1135" xr:uid="{EB7AB9EB-34D2-424E-B784-3B5A947FDA73}"/>
    <hyperlink ref="U582" r:id="rId1136" xr:uid="{1A14DA7E-FC39-4F60-A6B8-7DCD3D0FBA91}"/>
    <hyperlink ref="U587" r:id="rId1137" xr:uid="{D30A4748-EE73-47B7-B0D3-A000995346B1}"/>
    <hyperlink ref="U588" r:id="rId1138" xr:uid="{352C387E-C177-4E92-B0C7-2C62C9F99D2C}"/>
    <hyperlink ref="U595" r:id="rId1139" xr:uid="{B736FC26-D12F-46BD-9C85-1712653B2117}"/>
    <hyperlink ref="U596" r:id="rId1140" xr:uid="{CFAE1300-0DDB-4FB9-8351-73353BD26850}"/>
    <hyperlink ref="U597" r:id="rId1141" xr:uid="{B76CCC5F-C13C-4647-AA00-36C7787EAC7D}"/>
    <hyperlink ref="U182" r:id="rId1142" xr:uid="{83C10D49-829E-4DDC-9FE4-46074F6DAEDC}"/>
    <hyperlink ref="U189" r:id="rId1143" xr:uid="{C793FAEB-030A-4E1B-B860-5570B99DDE02}"/>
    <hyperlink ref="U538" r:id="rId1144" xr:uid="{D43A6718-2959-4E0D-A76D-05C6D55041CC}"/>
    <hyperlink ref="U598" r:id="rId1145" xr:uid="{3BA70AA3-AAB3-4AE9-A335-6BB179AC875B}"/>
    <hyperlink ref="U599" r:id="rId1146" xr:uid="{AC88C580-44FB-4FEB-9A9A-2C1C84DDB7F0}"/>
    <hyperlink ref="U600" r:id="rId1147" xr:uid="{AC4A3C10-C44A-411C-883F-CD1DD7530C6C}"/>
    <hyperlink ref="U198" r:id="rId1148" xr:uid="{BA9CDA8E-C574-42D4-8A4C-83AA82EF8D74}"/>
    <hyperlink ref="U201" r:id="rId1149" xr:uid="{1D614F07-780B-4124-9100-BA91F119A939}"/>
    <hyperlink ref="U208" r:id="rId1150" xr:uid="{A7399F03-E82D-4F79-B892-8B67E533F544}"/>
    <hyperlink ref="U209" r:id="rId1151" xr:uid="{7FF5F2D1-A8B3-4CEC-9846-9FBCA7A14E0A}"/>
    <hyperlink ref="U212" r:id="rId1152" xr:uid="{962B8483-E1F3-46A3-BC58-0B368365EC71}"/>
    <hyperlink ref="U213" r:id="rId1153" xr:uid="{5B4268CD-CAD8-463B-B1B8-020EFCBACB07}"/>
    <hyperlink ref="U220" r:id="rId1154" xr:uid="{04B2AAB6-BA15-4A5E-9A68-E04250DDA7D7}"/>
    <hyperlink ref="U225" r:id="rId1155" xr:uid="{D656330B-CC12-48CE-B74C-EE51D097A23C}"/>
    <hyperlink ref="U601" r:id="rId1156" xr:uid="{BDA5E16A-EE59-4584-95D4-18085F4084E8}"/>
    <hyperlink ref="U227" r:id="rId1157" xr:uid="{B078A600-2E68-4A27-992D-2C9C38D0AAD1}"/>
    <hyperlink ref="U228" r:id="rId1158" xr:uid="{58C1188B-43B9-4579-AF9E-A52DC7EB5DB9}"/>
    <hyperlink ref="U602" r:id="rId1159" xr:uid="{E073069E-5A69-4B94-ADFB-9D9163AABF0D}"/>
    <hyperlink ref="U603" r:id="rId1160" xr:uid="{121C2171-50CE-4B2C-AFF4-C196839009BD}"/>
    <hyperlink ref="U604" r:id="rId1161" xr:uid="{C0522456-6F63-4A06-867B-AE53E44D7AD3}"/>
    <hyperlink ref="U605" r:id="rId1162" xr:uid="{34358FEF-7E01-416A-B276-680CE69501F6}"/>
    <hyperlink ref="U606" r:id="rId1163" xr:uid="{E97008F4-0372-4521-A37B-8EBEFA00AC85}"/>
    <hyperlink ref="U252" r:id="rId1164" xr:uid="{DF495A75-5057-4C0E-A0BA-1E926362F0D4}"/>
    <hyperlink ref="U607" r:id="rId1165" xr:uid="{9C86A98E-DFF4-4436-B7BC-888C41D6A45C}"/>
    <hyperlink ref="U253" r:id="rId1166" xr:uid="{7469772E-BBBC-4836-89D0-B548F39E1A9F}"/>
    <hyperlink ref="U254" r:id="rId1167" xr:uid="{1B4050FE-A4D0-4383-BD80-1306E9F64755}"/>
    <hyperlink ref="U608" r:id="rId1168" xr:uid="{8A849CE6-1011-49E9-803A-EDCB58F665C3}"/>
    <hyperlink ref="U609" r:id="rId1169" xr:uid="{346C2AE0-2A2A-40C4-9C4F-EDF8D86D1136}"/>
    <hyperlink ref="U610" r:id="rId1170" xr:uid="{A0211140-CA17-40A3-92E3-EB1FDFB34E09}"/>
    <hyperlink ref="U611" r:id="rId1171" xr:uid="{8C7CC5E6-632F-44ED-98DC-C18B48D766CB}"/>
    <hyperlink ref="U612" r:id="rId1172" xr:uid="{9E936009-D052-4AF3-8037-0296D96FA159}"/>
    <hyperlink ref="U613" r:id="rId1173" xr:uid="{5F395FF6-8C7A-4861-B269-F9F82ACA0058}"/>
    <hyperlink ref="U614" r:id="rId1174" xr:uid="{CCE4F993-9832-4EBA-89CA-30D0DAAC65E5}"/>
    <hyperlink ref="U615" r:id="rId1175" xr:uid="{B4E00C47-4FAC-4502-A77A-E94C2484A5BA}"/>
    <hyperlink ref="U255" r:id="rId1176" xr:uid="{595D7844-ED3F-4EF5-938A-470C785B87D3}"/>
    <hyperlink ref="T616" r:id="rId1177" xr:uid="{E46FD867-D54C-4CD7-90AB-C5DFC3AEA39E}"/>
    <hyperlink ref="T256" r:id="rId1178" xr:uid="{3E359659-FE85-4474-B156-B81377DE646A}"/>
    <hyperlink ref="T258" r:id="rId1179" xr:uid="{1948D2F5-DB8C-41EC-96A4-EADCBC8691B7}"/>
    <hyperlink ref="T259" r:id="rId1180" xr:uid="{471F652D-5D2C-475A-BFB1-ADDA8DD4D76C}"/>
    <hyperlink ref="T617" r:id="rId1181" xr:uid="{A01471AD-947A-45A0-B4AF-3016595A6D16}"/>
    <hyperlink ref="T618" r:id="rId1182" xr:uid="{2BE045D5-970F-4DEE-A68F-786CBBA28A55}"/>
    <hyperlink ref="T619" r:id="rId1183" xr:uid="{1CAE4901-4FFC-4792-9D21-9005D57B94D2}"/>
    <hyperlink ref="T620" r:id="rId1184" xr:uid="{0874F4E5-70E3-4DD7-B4E2-5D98F5BD74CF}"/>
    <hyperlink ref="T621" r:id="rId1185" xr:uid="{9F177FB1-91E5-4421-8C1B-99036B7D8FDF}"/>
    <hyperlink ref="T622" r:id="rId1186" xr:uid="{9A0C2E5C-6016-4DAF-9175-8A8DA727DB99}"/>
    <hyperlink ref="T623" r:id="rId1187" xr:uid="{222FDF99-A9FD-4927-984A-C8DB662E4CF0}"/>
    <hyperlink ref="T625" r:id="rId1188" xr:uid="{4F24D965-9991-4D83-9101-D19D85A419E4}"/>
    <hyperlink ref="T626" r:id="rId1189" xr:uid="{3AC8E416-85C1-4A6A-88F3-AC2CFDD109F3}"/>
    <hyperlink ref="T262" r:id="rId1190" xr:uid="{39CC937C-095F-4B7D-A07A-65AF90BF7E50}"/>
    <hyperlink ref="T627" r:id="rId1191" xr:uid="{A6138928-1AB6-4D29-B94D-E216F590F421}"/>
    <hyperlink ref="T628" r:id="rId1192" xr:uid="{60461058-BE3A-4307-98DF-9B4644A5A31D}"/>
    <hyperlink ref="T629" r:id="rId1193" xr:uid="{E27848C8-864A-4A70-B4CE-2DB44043AFD0}"/>
    <hyperlink ref="T631" r:id="rId1194" xr:uid="{B17E45BE-891C-4ECC-8FCA-7CAD7B378894}"/>
    <hyperlink ref="T630" r:id="rId1195" xr:uid="{CBCB7400-C13B-4082-AB57-BD1CEF6A532F}"/>
    <hyperlink ref="T632" r:id="rId1196" xr:uid="{89BE4267-4B2B-4895-8298-00E7B0B7E578}"/>
    <hyperlink ref="T539" r:id="rId1197" xr:uid="{C36FA426-A9B7-49A8-AB6A-3FA12050A67C}"/>
    <hyperlink ref="T540" r:id="rId1198" xr:uid="{E16C1C8E-7983-4313-A1C4-775C89EEBF05}"/>
    <hyperlink ref="T282" r:id="rId1199" xr:uid="{0353BDDF-EC40-4097-A543-35878733235A}"/>
    <hyperlink ref="T633" r:id="rId1200" xr:uid="{D193C87B-0874-4F23-A457-7870E6C3A360}"/>
    <hyperlink ref="T634" r:id="rId1201" xr:uid="{AF92DBEA-93D0-4E81-A6F0-37E3D1B4DDCB}"/>
    <hyperlink ref="T541" r:id="rId1202" xr:uid="{F40B2A64-1D67-40AB-95B3-AF0615B62E72}"/>
    <hyperlink ref="T635" r:id="rId1203" xr:uid="{249846AA-87D2-43F4-8871-C39285BE90A9}"/>
    <hyperlink ref="T636" r:id="rId1204" xr:uid="{34943283-CA1E-48D2-AE0E-28A3EF6E72A9}"/>
    <hyperlink ref="T294" r:id="rId1205" xr:uid="{9A0695AF-C334-4D4F-944D-92FDDFC97DD2}"/>
    <hyperlink ref="T637" r:id="rId1206" xr:uid="{52232DE1-3760-4C74-90CF-76F492E0C80A}"/>
    <hyperlink ref="T638" r:id="rId1207" xr:uid="{CAA1EA44-D139-4066-89CB-B35F1A75FAEF}"/>
    <hyperlink ref="T639" r:id="rId1208" xr:uid="{E22CCDC9-C1EF-4389-B411-6DCC6D4974AF}"/>
    <hyperlink ref="T640" r:id="rId1209" xr:uid="{52C57322-DD85-48E5-B6E8-71220C172D05}"/>
    <hyperlink ref="T641" r:id="rId1210" xr:uid="{FDA99A14-9236-467C-BBBF-54063AB52EAE}"/>
    <hyperlink ref="T642" r:id="rId1211" xr:uid="{F2B36277-F8B2-4B51-B1BE-6903B7AF4DA5}"/>
    <hyperlink ref="T317" r:id="rId1212" xr:uid="{911AA0A5-944E-4D2B-9094-D8620E9D32D5}"/>
    <hyperlink ref="T318" r:id="rId1213" xr:uid="{F1E9E666-1820-4575-AF95-01F11D6A4027}"/>
    <hyperlink ref="T320" r:id="rId1214" xr:uid="{34B8F214-844A-4489-9B29-B98EAA67FCF2}"/>
    <hyperlink ref="T643" r:id="rId1215" xr:uid="{9ABB1799-E54C-42C3-8BFC-31E1D6135181}"/>
    <hyperlink ref="T644" r:id="rId1216" xr:uid="{EFEFC524-8ED2-4809-8C78-D5B0D9D539F4}"/>
    <hyperlink ref="T645" r:id="rId1217" xr:uid="{764F61C8-BA78-4D16-BCE9-9217199EACFD}"/>
    <hyperlink ref="T646" r:id="rId1218" xr:uid="{18DD6DC5-CBDA-4D9D-9009-F2C831FCCB6A}"/>
    <hyperlink ref="T322" r:id="rId1219" xr:uid="{EE37B201-B32C-400F-9FF6-8F8BFE6861B6}"/>
    <hyperlink ref="T323" r:id="rId1220" xr:uid="{11258C2D-2370-4BDE-97D5-B5B7769F0832}"/>
    <hyperlink ref="T647" r:id="rId1221" xr:uid="{E2A1835B-B73D-43EA-A978-70017CD7B46E}"/>
    <hyperlink ref="T648" r:id="rId1222" xr:uid="{216941A2-2324-49FF-955E-9B524038D553}"/>
    <hyperlink ref="T649" r:id="rId1223" xr:uid="{717EBA1B-4723-446C-A7BD-5A0B0FAA97C2}"/>
    <hyperlink ref="T325" r:id="rId1224" xr:uid="{031BEC46-3FC9-43D1-964A-36A02E37BA1D}"/>
    <hyperlink ref="T650" r:id="rId1225" xr:uid="{99E36C8D-CFF4-4211-8B62-5A1D43513CD9}"/>
    <hyperlink ref="U616" r:id="rId1226" xr:uid="{B047671C-826C-493B-889C-C47B83DD8A86}"/>
    <hyperlink ref="U256" r:id="rId1227" xr:uid="{0E5EC1DE-1BC9-4BBE-A42B-B5B7CC2CD19C}"/>
    <hyperlink ref="U258" r:id="rId1228" xr:uid="{2286538E-1FA3-4886-BFB8-29F8011AF54A}"/>
    <hyperlink ref="U259" r:id="rId1229" xr:uid="{6FE6B486-688B-4934-9DDF-56CBB3B5486B}"/>
    <hyperlink ref="U617" r:id="rId1230" xr:uid="{7DCA1791-7713-497B-B9C5-CEACED9647DD}"/>
    <hyperlink ref="U618" r:id="rId1231" xr:uid="{29DEE518-7621-4A4C-9B37-A18EC8807E34}"/>
    <hyperlink ref="U619" r:id="rId1232" xr:uid="{61F316A9-D572-400D-9AD5-301C7ABDB77C}"/>
    <hyperlink ref="U620" r:id="rId1233" xr:uid="{371AB55D-738E-4A45-8B67-F706F337900F}"/>
    <hyperlink ref="U621" r:id="rId1234" xr:uid="{41FA9885-B48D-41C4-B575-D733DB740B84}"/>
    <hyperlink ref="U622" r:id="rId1235" xr:uid="{7AA29B17-E68D-4AB2-99BE-E516C1A15E75}"/>
    <hyperlink ref="U623" r:id="rId1236" xr:uid="{EFDBF224-6860-4032-BAAA-54CEA512C635}"/>
    <hyperlink ref="U624" r:id="rId1237" xr:uid="{126D1160-9466-4BA5-A63D-7598ED654D41}"/>
    <hyperlink ref="U625" r:id="rId1238" xr:uid="{692A8081-6C20-4654-ACA9-BD794C4456DF}"/>
    <hyperlink ref="U626" r:id="rId1239" xr:uid="{B9B1628E-7ED5-464C-A68A-5AC455F723E6}"/>
    <hyperlink ref="U262" r:id="rId1240" xr:uid="{10BDA534-C065-4780-9E6E-1DB9A45EFA18}"/>
    <hyperlink ref="U627" r:id="rId1241" xr:uid="{460597E8-B210-485E-BB4A-CA87A05D4584}"/>
    <hyperlink ref="U628" r:id="rId1242" xr:uid="{E9800013-47CA-4612-AF04-CBDC94BB3652}"/>
    <hyperlink ref="U629" r:id="rId1243" xr:uid="{1387A559-B8F3-4B2C-BACA-45D700A25A65}"/>
    <hyperlink ref="U630" r:id="rId1244" xr:uid="{A751A06A-C284-4BFC-A23B-CECD317C32F0}"/>
    <hyperlink ref="U631" r:id="rId1245" xr:uid="{11A967D3-7474-46E3-A9E3-CBD2E8A61796}"/>
    <hyperlink ref="U632" r:id="rId1246" xr:uid="{6CE0FDCD-FB5C-4EB3-8CF9-028CF2A58441}"/>
    <hyperlink ref="U539" r:id="rId1247" xr:uid="{E829265D-AEC8-4548-985C-39FE4105066A}"/>
    <hyperlink ref="U540" r:id="rId1248" xr:uid="{2939B18A-2FB2-4ED9-A232-5DEB72B18E9A}"/>
    <hyperlink ref="U282" r:id="rId1249" xr:uid="{EE0496E3-5039-4541-8605-2C24EE07CF7F}"/>
    <hyperlink ref="U633" r:id="rId1250" xr:uid="{1D621535-8251-4E70-B700-F0F6F665B74C}"/>
    <hyperlink ref="U634" r:id="rId1251" xr:uid="{14F8672F-ED4A-4255-ACBD-30439100626F}"/>
    <hyperlink ref="U541" r:id="rId1252" xr:uid="{9F1948BD-5FF6-46B2-BD7D-947F7F80A4BE}"/>
    <hyperlink ref="U635" r:id="rId1253" xr:uid="{1FDE37EC-C926-4D52-8617-FC59A04BFFEB}"/>
    <hyperlink ref="U636" r:id="rId1254" xr:uid="{78E77E95-E41C-4823-94BB-53256EB5387B}"/>
    <hyperlink ref="U294" r:id="rId1255" xr:uid="{78AD258C-8EAB-469E-8738-A702BBE37164}"/>
    <hyperlink ref="U637" r:id="rId1256" xr:uid="{69A32C16-02AD-4E5D-876B-3F76591E1516}"/>
    <hyperlink ref="U638" r:id="rId1257" xr:uid="{9E451431-9C79-4EE1-93C7-26979D8518C2}"/>
    <hyperlink ref="U640" r:id="rId1258" xr:uid="{7441B312-AB73-4E19-B5E9-2BA17CB35974}"/>
    <hyperlink ref="U639" r:id="rId1259" xr:uid="{7480D0F4-3372-4358-86B2-D0DD2791E148}"/>
    <hyperlink ref="U641" r:id="rId1260" xr:uid="{C876DDB0-0EE2-4A94-A510-2FBBE221D536}"/>
    <hyperlink ref="U642" r:id="rId1261" xr:uid="{DE50FCCD-1620-4CE0-82D1-6891CD19814F}"/>
    <hyperlink ref="U317" r:id="rId1262" xr:uid="{83887552-9713-48F3-9A36-03D4DA40E642}"/>
    <hyperlink ref="U318" r:id="rId1263" xr:uid="{7AFD754A-41FB-4DE6-B55F-26379E54E4D2}"/>
    <hyperlink ref="U320" r:id="rId1264" xr:uid="{792E88F8-49BD-44A3-8C35-87DBAC4CF333}"/>
    <hyperlink ref="U643" r:id="rId1265" xr:uid="{9ABA5D39-AEAF-4529-BD14-8315826A8ABA}"/>
    <hyperlink ref="U644" r:id="rId1266" xr:uid="{5D586CFA-B673-4319-808D-CF192F27D45A}"/>
    <hyperlink ref="U645" r:id="rId1267" xr:uid="{7497CAD2-7453-4FBD-B457-BC80E8E1234D}"/>
    <hyperlink ref="U646" r:id="rId1268" xr:uid="{CCA9F219-536F-4CBB-87C1-39A39C4B1C06}"/>
    <hyperlink ref="U322" r:id="rId1269" xr:uid="{71849B2C-E741-49F3-88B8-2429EC6CC782}"/>
    <hyperlink ref="U323" r:id="rId1270" xr:uid="{C3ABBC49-A9E0-4687-A776-B4BC81E56C20}"/>
    <hyperlink ref="U647" r:id="rId1271" xr:uid="{E2477E97-2F61-4526-AE4E-1E547F6A766C}"/>
    <hyperlink ref="U648" r:id="rId1272" xr:uid="{37D3DED8-AC8C-45A1-B3C6-D099A664E93C}"/>
    <hyperlink ref="U649" r:id="rId1273" xr:uid="{41F36633-04E4-49F6-A4BB-EB6E4532F79C}"/>
    <hyperlink ref="U325" r:id="rId1274" xr:uid="{C1A6CC04-39FA-4275-9D6A-2C8FC16012FA}"/>
    <hyperlink ref="U650" r:id="rId1275" xr:uid="{DB63ACDE-CC11-488A-BCC1-264E98A5DA68}"/>
    <hyperlink ref="T651" r:id="rId1276" xr:uid="{A9174F0F-520A-4A00-B16F-FE98F5790C98}"/>
    <hyperlink ref="T652" r:id="rId1277" xr:uid="{1EAAC4A6-ED93-420A-AC5D-F98B32391D0A}"/>
    <hyperlink ref="T653" r:id="rId1278" xr:uid="{7A41E11E-0886-4452-B0C5-5FAD32EF2351}"/>
    <hyperlink ref="T654" r:id="rId1279" xr:uid="{E0D3241A-018A-428D-9525-51981D541B28}"/>
    <hyperlink ref="T655" r:id="rId1280" xr:uid="{DCCB9756-31E1-457C-86EE-581899EAB0C5}"/>
    <hyperlink ref="T656" r:id="rId1281" xr:uid="{68BBF4C0-3E0E-4DA7-AA18-32D706038BB8}"/>
    <hyperlink ref="T657" r:id="rId1282" xr:uid="{EF80F2E8-9FC7-4A3E-8988-84104B2EBAA2}"/>
    <hyperlink ref="T329" r:id="rId1283" xr:uid="{E6ADD6BA-9131-4E9C-8E4F-BEDACDAA1221}"/>
    <hyperlink ref="T330" r:id="rId1284" xr:uid="{18918E3B-F56A-4B6E-AF3A-D168F3B70B6A}"/>
    <hyperlink ref="T658" r:id="rId1285" xr:uid="{BDB88352-1EFE-4417-A30B-D78126E5F598}"/>
    <hyperlink ref="T659" r:id="rId1286" xr:uid="{A47619EF-129A-4437-AC71-0C5E1F0C5F66}"/>
    <hyperlink ref="T660" r:id="rId1287" xr:uid="{D7481BE8-80CC-49C6-BEA1-8EB3EDD1D588}"/>
    <hyperlink ref="T331" r:id="rId1288" xr:uid="{A922FC4D-FB26-4A53-8A58-54DC95FB8FFB}"/>
    <hyperlink ref="T661" r:id="rId1289" xr:uid="{9A2DD76E-7387-451E-BE36-21CA2F32E19B}"/>
    <hyperlink ref="T662" r:id="rId1290" xr:uid="{F56B9CCA-FABF-49D3-869E-DEE3E1876C9F}"/>
    <hyperlink ref="T663" r:id="rId1291" xr:uid="{17D8CC98-07EC-4C3C-95F5-AE909F14F9A8}"/>
    <hyperlink ref="T664" r:id="rId1292" xr:uid="{19420D3B-2DF1-429F-8E31-4732249238F1}"/>
    <hyperlink ref="T333" r:id="rId1293" xr:uid="{10108DD2-7789-40AA-B75B-9CA368462377}"/>
    <hyperlink ref="T665" r:id="rId1294" xr:uid="{362168C4-398B-4FB7-9DCF-27EE76102415}"/>
    <hyperlink ref="T337" r:id="rId1295" xr:uid="{09F98ADB-CA30-44D7-9999-DC40BB934082}"/>
    <hyperlink ref="T338" r:id="rId1296" xr:uid="{8264A5E5-E50B-438B-9625-D06F5B147227}"/>
    <hyperlink ref="T339" r:id="rId1297" xr:uid="{420C6547-E260-4424-9D66-6059C323B8AC}"/>
    <hyperlink ref="T675" r:id="rId1298" xr:uid="{FD6E2A28-AC50-47AB-BA21-84E695967925}"/>
    <hyperlink ref="T340" r:id="rId1299" xr:uid="{BE6EDF9F-70FD-402E-823F-B8D02415D85A}"/>
    <hyperlink ref="T676" r:id="rId1300" xr:uid="{D6D8A938-A369-49D8-9B00-7D318E809514}"/>
    <hyperlink ref="T677" r:id="rId1301" xr:uid="{85B20EF7-5954-4B79-84D8-784F11B223D1}"/>
    <hyperlink ref="T678" r:id="rId1302" xr:uid="{09668BE3-A148-4BA0-B647-2169088B6780}"/>
    <hyperlink ref="T679" r:id="rId1303" xr:uid="{C9F29449-C196-47A1-8DF3-70B265940750}"/>
    <hyperlink ref="T680" r:id="rId1304" xr:uid="{8D945FD5-DB62-4354-8024-7B67557C0022}"/>
    <hyperlink ref="T681" r:id="rId1305" xr:uid="{5232E446-4D0D-41AE-AC01-875F9C36025E}"/>
    <hyperlink ref="T355" r:id="rId1306" xr:uid="{9B9305A0-6D99-4060-9DE7-758F9B4C6012}"/>
    <hyperlink ref="T682" r:id="rId1307" xr:uid="{6538D2C4-DAAF-4D72-99DC-62CF772A1D95}"/>
    <hyperlink ref="T683" r:id="rId1308" xr:uid="{082A622E-3FD3-4E0A-BBB1-77690EBE9886}"/>
    <hyperlink ref="T722" r:id="rId1309" xr:uid="{931CE2BB-B49A-484F-9631-C7199A2C76E8}"/>
    <hyperlink ref="T449" r:id="rId1310" xr:uid="{BBAC9FDC-AB59-4521-8FDD-40010C918BCD}"/>
    <hyperlink ref="T750" r:id="rId1311" xr:uid="{3B489CA8-B617-4725-9E83-2D614C406DE9}"/>
    <hyperlink ref="T450" r:id="rId1312" xr:uid="{DB28D3FE-29F9-421A-8847-676D366C610E}"/>
    <hyperlink ref="T453" r:id="rId1313" xr:uid="{50751969-10C1-40C6-A445-EE21EBB2E8AE}"/>
    <hyperlink ref="T455" r:id="rId1314" xr:uid="{57607ADF-11D4-4F4F-8DC5-49F8A729ED6B}"/>
    <hyperlink ref="T457" r:id="rId1315" xr:uid="{21672285-FE65-48CC-8B75-5A8A20D1702D}"/>
    <hyperlink ref="T751" r:id="rId1316" xr:uid="{82AD6BFD-F77E-41BA-9DDF-7A31437631CA}"/>
    <hyperlink ref="T466" r:id="rId1317" xr:uid="{CF86C2C5-DB94-4AB9-9B08-BCFE60995AD1}"/>
    <hyperlink ref="T753" r:id="rId1318" xr:uid="{CFC9ED2D-9719-4B43-B51E-B0EACB1405A7}"/>
    <hyperlink ref="T754" r:id="rId1319" xr:uid="{0395964C-3B29-49B9-BF99-8369F2C2FA52}"/>
    <hyperlink ref="U651" r:id="rId1320" xr:uid="{B1A28656-EBB5-4779-A9EA-83D938F72AA2}"/>
    <hyperlink ref="U652" r:id="rId1321" xr:uid="{E57E0678-E9A2-48A6-B558-724D8C3D18CC}"/>
    <hyperlink ref="U653" r:id="rId1322" xr:uid="{5AEC81FD-E262-4E16-8C5B-6F74A1ED20EF}"/>
    <hyperlink ref="U654" r:id="rId1323" xr:uid="{C8A07C58-2808-481A-A9DC-92DDF08D0F37}"/>
    <hyperlink ref="U655" r:id="rId1324" xr:uid="{662BDE81-EB12-4F54-8521-B7BDB80AB80D}"/>
    <hyperlink ref="U656" r:id="rId1325" xr:uid="{ABE808AB-28C1-4B46-96A3-35D3AEF4DBCF}"/>
    <hyperlink ref="U657" r:id="rId1326" xr:uid="{E6164D3D-EF35-46EF-9A20-85252B8596EB}"/>
    <hyperlink ref="U329" r:id="rId1327" xr:uid="{01E5987B-A601-4663-B5F0-0E5FCCE3670E}"/>
    <hyperlink ref="U330" r:id="rId1328" xr:uid="{4A1E0452-4F19-4A4C-AB5D-07513ECAE95E}"/>
    <hyperlink ref="U658" r:id="rId1329" xr:uid="{FC0723AF-5AF3-4DAC-87AD-39931955E174}"/>
    <hyperlink ref="U659" r:id="rId1330" xr:uid="{0B6686B2-6E7E-4562-94ED-72B9D632C122}"/>
    <hyperlink ref="U660" r:id="rId1331" xr:uid="{D76D48FB-CE5D-4241-B223-A77C3C8667C9}"/>
    <hyperlink ref="U331" r:id="rId1332" xr:uid="{6107BFD2-7E2C-4285-B662-1DD480A3FA42}"/>
    <hyperlink ref="U661" r:id="rId1333" xr:uid="{1D6D5ED3-51B7-4235-B25E-D8D7562CEE1F}"/>
    <hyperlink ref="U662" r:id="rId1334" xr:uid="{5C0025F3-6C89-464F-B00B-8CAF720D74A3}"/>
    <hyperlink ref="U663" r:id="rId1335" xr:uid="{A1B1BA4B-9241-45C5-9766-762F29F49296}"/>
    <hyperlink ref="U664" r:id="rId1336" xr:uid="{BA07CE52-2379-4BF6-936C-BF91FEA3A700}"/>
    <hyperlink ref="U333" r:id="rId1337" xr:uid="{B8FF2ADD-3ADF-426F-ACEA-B020DF7F8F89}"/>
    <hyperlink ref="U665" r:id="rId1338" xr:uid="{F0E557BF-9B97-4C56-97C0-60AE871C9F51}"/>
    <hyperlink ref="U337" r:id="rId1339" xr:uid="{E9D669D3-4A78-4ADF-9F6D-4A19F93E4593}"/>
    <hyperlink ref="U338" r:id="rId1340" xr:uid="{A93A0306-2AD0-43D8-A1C2-093F9E55C987}"/>
    <hyperlink ref="U339" r:id="rId1341" xr:uid="{AF7D31EC-2146-42ED-B075-DE6106B16A60}"/>
    <hyperlink ref="U340" r:id="rId1342" xr:uid="{58C43E58-E457-45D4-BEB4-137A3BB44F3D}"/>
    <hyperlink ref="U675" r:id="rId1343" xr:uid="{096F6D7D-2004-4705-A31B-04E3C9E26522}"/>
    <hyperlink ref="U676" r:id="rId1344" xr:uid="{5D5ED02D-65D8-4663-A533-BFCB4899ED61}"/>
    <hyperlink ref="U677" r:id="rId1345" xr:uid="{8A76C45E-762F-4EA4-ABC4-CD65308D0D95}"/>
    <hyperlink ref="U678" r:id="rId1346" xr:uid="{A36BE51B-63EC-469E-B8D9-8B40578B6E7B}"/>
    <hyperlink ref="U679" r:id="rId1347" xr:uid="{9DA59737-FE55-4ABB-A182-F53976BA335D}"/>
    <hyperlink ref="U680" r:id="rId1348" xr:uid="{B1037658-DB6F-4F64-9E2D-EBF8D55F62B0}"/>
    <hyperlink ref="U681" r:id="rId1349" xr:uid="{4AFAAC4D-FC5E-411F-93C0-2AC700C695B1}"/>
    <hyperlink ref="U354" r:id="rId1350" xr:uid="{AF4BDDC8-F5DA-43E9-B46C-8CF86C421A5B}"/>
    <hyperlink ref="U355" r:id="rId1351" xr:uid="{8B896AA2-8462-42E5-884D-A82F489CD98B}"/>
    <hyperlink ref="U682" r:id="rId1352" xr:uid="{A0A1894B-9C7C-4CAF-9976-2D768566C0E6}"/>
    <hyperlink ref="U683" r:id="rId1353" xr:uid="{308BBA3C-6093-4465-89D2-8248C379284E}"/>
    <hyperlink ref="U722" r:id="rId1354" xr:uid="{B8D74C6B-2C8F-46C7-BC0A-7432A47CC8A4}"/>
    <hyperlink ref="U449" r:id="rId1355" xr:uid="{FC009CD2-53E0-4293-8C63-EA985AF864F7}"/>
    <hyperlink ref="U750" r:id="rId1356" xr:uid="{52B402C8-6FEA-4043-8100-BCEE433C0690}"/>
    <hyperlink ref="U450" r:id="rId1357" xr:uid="{4DBEB3C9-5E03-4AEF-80F1-9E80D4267641}"/>
    <hyperlink ref="U452" r:id="rId1358" xr:uid="{0E971B42-07EF-4668-9B32-3E4AFC23BEED}"/>
    <hyperlink ref="U453" r:id="rId1359" xr:uid="{88B3127B-346A-4F84-9CF6-6065006A1B18}"/>
    <hyperlink ref="U454" r:id="rId1360" xr:uid="{D25D2694-4777-484C-AE43-CD3A64525646}"/>
    <hyperlink ref="U455" r:id="rId1361" xr:uid="{E3A957BE-B55A-4968-A5E4-1DB07ADCC3E3}"/>
    <hyperlink ref="U457" r:id="rId1362" xr:uid="{72361DC2-92DC-4EB2-8EAB-67C8DC85F8D8}"/>
    <hyperlink ref="U751" r:id="rId1363" xr:uid="{9F9E41DE-1B2C-4CB5-8487-37D57341267E}"/>
    <hyperlink ref="U466" r:id="rId1364" xr:uid="{D7C7B501-DD12-48AD-9725-207A87BF9053}"/>
    <hyperlink ref="U753" r:id="rId1365" xr:uid="{FEA6F7FC-079E-4B3D-8CFB-F40354432428}"/>
    <hyperlink ref="U754" r:id="rId1366" xr:uid="{EC0A3E22-7E59-460B-9757-79A2DD659CB2}"/>
    <hyperlink ref="T755" r:id="rId1367" xr:uid="{5789C7E9-22C3-4FF8-9618-62D693840882}"/>
    <hyperlink ref="T756" r:id="rId1368" xr:uid="{840E0D14-DB7A-430D-B634-BADB6CAB46F5}"/>
    <hyperlink ref="T757" r:id="rId1369" xr:uid="{2328EE36-F67B-4881-AD99-11AFEC5EA2B2}"/>
    <hyperlink ref="T554" r:id="rId1370" xr:uid="{1F91A16D-2A3F-4962-9616-6954CC593CE4}"/>
    <hyperlink ref="T758" r:id="rId1371" xr:uid="{CDD440CC-86BD-4AB3-8CED-1A15E59CC41D}"/>
    <hyperlink ref="T759" r:id="rId1372" xr:uid="{B808B6A6-E41A-48B7-A805-8A6BF0A4F687}"/>
    <hyperlink ref="T760" r:id="rId1373" xr:uid="{F69813BD-BFF6-4F6F-B307-F35ACDD454A7}"/>
    <hyperlink ref="T469" r:id="rId1374" xr:uid="{064D89AD-8A82-4474-BBD6-4ED9D3AE2D9F}"/>
    <hyperlink ref="T762" r:id="rId1375" xr:uid="{5444617B-FD94-4D9F-802E-9E017EE95327}"/>
    <hyperlink ref="T472" r:id="rId1376" xr:uid="{96AD5CAE-4F17-45D9-9146-AD64A31DA1A7}"/>
    <hyperlink ref="T473" r:id="rId1377" xr:uid="{4CCE364D-6BBB-4452-90FD-C542BB453C2D}"/>
    <hyperlink ref="T763" r:id="rId1378" xr:uid="{26AEDDBB-E2FA-473F-8504-019F9C141BBD}"/>
    <hyperlink ref="T559" r:id="rId1379" xr:uid="{64C5AB88-09A1-4605-93E0-59964CA06DCA}"/>
    <hyperlink ref="T560" r:id="rId1380" xr:uid="{A8ED67DC-6E1C-4D1C-86C0-9B1C3CFC92D5}"/>
    <hyperlink ref="T561" r:id="rId1381" xr:uid="{1B72C85A-9C5B-42EA-B5AF-85C5E5F16066}"/>
    <hyperlink ref="T765" r:id="rId1382" xr:uid="{80EC1BB7-6BB1-4D8B-8D4E-AF4861EDBE40}"/>
    <hyperlink ref="T562" r:id="rId1383" xr:uid="{C9E995EF-A13D-4647-B2E0-92F7687E4A1A}"/>
    <hyperlink ref="T766" r:id="rId1384" xr:uid="{A499B4E4-36CA-4EC9-909B-8A3563F1E6E8}"/>
    <hyperlink ref="T564" r:id="rId1385" xr:uid="{189C63F7-F02E-4B47-9023-86484C692026}"/>
    <hyperlink ref="T565" r:id="rId1386" xr:uid="{B125EDDE-7AF1-49C2-903C-FF43DADF860E}"/>
    <hyperlink ref="T767" r:id="rId1387" xr:uid="{D530E3F3-6C0D-4E88-992E-D32E4676DCCD}"/>
    <hyperlink ref="T566" r:id="rId1388" xr:uid="{B4DFBA10-E3B5-479E-AD05-351FB05A5ED7}"/>
    <hyperlink ref="T768" r:id="rId1389" xr:uid="{A963C6CF-E368-4C3A-B9E8-48EBF8797DCE}"/>
    <hyperlink ref="T534" r:id="rId1390" xr:uid="{B8C3E7E2-E935-43A5-B279-391FE08F912D}"/>
    <hyperlink ref="U755" r:id="rId1391" xr:uid="{56C1F05D-F8B0-4C43-9329-B298CA01636C}"/>
    <hyperlink ref="U756" r:id="rId1392" xr:uid="{72D0F2C4-18F3-4308-B232-AB271992D1DF}"/>
    <hyperlink ref="U757" r:id="rId1393" xr:uid="{F49FDA46-2E91-4E1D-8BE2-A92DF8496CF0}"/>
    <hyperlink ref="U554" r:id="rId1394" xr:uid="{498BBAA4-1C40-44DA-A015-A3BACCFB78D1}"/>
    <hyperlink ref="U758" r:id="rId1395" xr:uid="{9454078D-A949-4376-9907-04CDC743BCBA}"/>
    <hyperlink ref="U759" r:id="rId1396" xr:uid="{35239E83-32BD-4E26-B68C-8FFB5B47191A}"/>
    <hyperlink ref="U760" r:id="rId1397" xr:uid="{96F79A35-CF2C-4B0A-BBD1-03F372AAC2ED}"/>
    <hyperlink ref="U469" r:id="rId1398" xr:uid="{851CFFC9-7695-414B-9AFD-8974BD2B3E09}"/>
    <hyperlink ref="U762" r:id="rId1399" xr:uid="{50E35E9F-6800-40E2-9609-54E2B9C23669}"/>
    <hyperlink ref="U472" r:id="rId1400" xr:uid="{FC2D1E8C-84C3-4221-AAC9-DC3FD53D0E48}"/>
    <hyperlink ref="U473" r:id="rId1401" xr:uid="{E83E032C-4981-44E5-8D33-7DFC7A1DC999}"/>
    <hyperlink ref="U763" r:id="rId1402" xr:uid="{84EEAB0F-E28A-42BC-9FAA-A459D9362C88}"/>
    <hyperlink ref="U558" r:id="rId1403" xr:uid="{78F91E48-935E-4D46-A8FD-8E7D2E452128}"/>
    <hyperlink ref="U559" r:id="rId1404" xr:uid="{FACF40C9-A0F4-451C-B227-20841EEAAD24}"/>
    <hyperlink ref="U560" r:id="rId1405" xr:uid="{53F7B5C4-13AB-48E8-91F3-690FB4BC2A89}"/>
    <hyperlink ref="U561" r:id="rId1406" xr:uid="{54924208-543C-4028-AF5E-F839501B3296}"/>
    <hyperlink ref="U562" r:id="rId1407" xr:uid="{0DB4F252-95D3-45DF-B3A7-AD5AE98D06E7}"/>
    <hyperlink ref="U765" r:id="rId1408" xr:uid="{03C78B0F-139E-4C76-9ADF-6BDFCCFD37C2}"/>
    <hyperlink ref="U766" r:id="rId1409" xr:uid="{D7698474-2F5D-4706-9366-C268E04C52A9}"/>
    <hyperlink ref="U564" r:id="rId1410" xr:uid="{D717EF2F-F19D-4385-B0ED-A33CED0AF7BA}"/>
    <hyperlink ref="U565" r:id="rId1411" xr:uid="{AAAA7D2B-6BE4-4206-B8AD-24229AC595F1}"/>
    <hyperlink ref="U767" r:id="rId1412" xr:uid="{7F9310FA-AB27-4CA3-A5F6-6EE1BA143DFD}"/>
    <hyperlink ref="U566" r:id="rId1413" xr:uid="{AE891B47-843E-4B7C-BE6B-46E8772A4EB8}"/>
    <hyperlink ref="U567" r:id="rId1414" xr:uid="{759045E1-5639-421A-A2A7-5C3BD993A776}"/>
    <hyperlink ref="U768" r:id="rId1415" xr:uid="{142358CF-2B1E-4D5E-AC99-BE5EE30062F0}"/>
    <hyperlink ref="U527" r:id="rId1416" xr:uid="{0376CC60-EC4A-4B4A-8CEC-E1E098C219F5}"/>
    <hyperlink ref="U534" r:id="rId1417" xr:uid="{9691418D-23D7-4B53-9682-04BFD0252428}"/>
    <hyperlink ref="U771" r:id="rId1418" xr:uid="{6E126600-B07A-4789-B51E-CC3EE6CFDDE8}"/>
    <hyperlink ref="U772" r:id="rId1419" xr:uid="{67BA3078-5344-4E98-A084-A6CA7834E3FF}"/>
    <hyperlink ref="U773" r:id="rId1420" xr:uid="{2AFAE3D6-6976-4293-A8B0-79561209C6BD}"/>
    <hyperlink ref="U97" r:id="rId1421" xr:uid="{E4BA864C-2907-4037-9770-1C8DF44C488E}"/>
    <hyperlink ref="T97" r:id="rId1422" xr:uid="{9AE85DBD-6195-4742-B8F9-55895E755C93}"/>
    <hyperlink ref="U486" r:id="rId1423" xr:uid="{1263A981-D8BE-436D-938B-0D22764154AA}"/>
    <hyperlink ref="U487" r:id="rId1424" xr:uid="{E4C3AF8D-78EB-4A53-96AB-249EE9546E34}"/>
    <hyperlink ref="U488" r:id="rId1425" xr:uid="{A34AC30C-40F1-4A4B-80E0-0A4A08AA884F}"/>
    <hyperlink ref="U489" r:id="rId1426" xr:uid="{B7DDE658-1BDB-47E0-953C-50090D7C131E}"/>
    <hyperlink ref="U490" r:id="rId1427" xr:uid="{EB32BF67-626D-450E-966D-0D700EFF87EB}"/>
    <hyperlink ref="U491" r:id="rId1428" xr:uid="{F2F43793-505B-42CF-B216-F08260DCA30B}"/>
    <hyperlink ref="U492" r:id="rId1429" xr:uid="{C462F324-2961-4020-B5E6-9C730F964308}"/>
    <hyperlink ref="U493" r:id="rId1430" xr:uid="{E5323A48-D685-41AF-AD6E-827A9850A65F}"/>
    <hyperlink ref="U506" r:id="rId1431" xr:uid="{B8B4E189-388A-4410-AFB4-963DEA4B4C0E}"/>
    <hyperlink ref="U507" r:id="rId1432" xr:uid="{31D4DE0F-4562-4046-BBB4-588E15827789}"/>
    <hyperlink ref="U508" r:id="rId1433" xr:uid="{F2BB440D-8B1C-4152-BD6B-931EDD84E179}"/>
    <hyperlink ref="U509" r:id="rId1434" xr:uid="{07CEBC54-5A60-426F-A2B1-B37F3BAD392F}"/>
    <hyperlink ref="U510" r:id="rId1435" xr:uid="{88E52BD3-9FDA-4EF3-B02B-455576A8732F}"/>
    <hyperlink ref="U511" r:id="rId1436" xr:uid="{2C61EFAE-137E-4574-9E4D-BFCCD19D54F3}"/>
    <hyperlink ref="U513" r:id="rId1437" xr:uid="{AE3FCF62-D809-4004-B55C-97F932DD5EF4}"/>
    <hyperlink ref="U512" r:id="rId1438" xr:uid="{8A4D0C36-9A47-4DDC-B85B-BC04A3CEA7DF}"/>
    <hyperlink ref="U514" r:id="rId1439" xr:uid="{714DC100-F7C0-4D3F-9477-761E8159BD60}"/>
    <hyperlink ref="U515" r:id="rId1440" xr:uid="{A8BB0522-BFCD-4F75-BD74-29F39D6FCF22}"/>
    <hyperlink ref="U516" r:id="rId1441" xr:uid="{C742BC61-7A04-4908-B1E6-ABA0F06DD411}"/>
    <hyperlink ref="U517" r:id="rId1442" xr:uid="{C9DBA097-DF60-41A4-96F9-01218459ED55}"/>
    <hyperlink ref="U518" r:id="rId1443" xr:uid="{8831D7FC-71E6-4161-885F-4329FF9E3B88}"/>
    <hyperlink ref="U519" r:id="rId1444" xr:uid="{062320C9-A969-4124-B2D1-F12767F33B1E}"/>
    <hyperlink ref="U520" r:id="rId1445" xr:uid="{A036CAF4-E070-4690-AC9B-B53422126919}"/>
    <hyperlink ref="U521" r:id="rId1446" xr:uid="{C0AE702D-70C1-4F1F-8A02-2F6B317422F6}"/>
    <hyperlink ref="U531" r:id="rId1447" xr:uid="{1FC02A5E-6414-46FC-A7BB-D555227BD8C6}"/>
    <hyperlink ref="U532" r:id="rId1448" xr:uid="{0B6444EA-CD4A-46E9-9817-6E3B30B42886}"/>
    <hyperlink ref="U555" r:id="rId1449" xr:uid="{DAE9BBD0-54CE-4EFF-AF24-B2A40FD1F288}"/>
    <hyperlink ref="U556" r:id="rId1450" xr:uid="{2BDADF5B-E5D3-48D7-86E9-91AA2A61B520}"/>
    <hyperlink ref="U557" r:id="rId1451" xr:uid="{AE9FFE77-13DC-470C-AC35-6903CF4F3EFF}"/>
    <hyperlink ref="U563" r:id="rId1452" xr:uid="{6C007750-63D9-45D1-B2B7-62E5857C95A3}"/>
    <hyperlink ref="U770" r:id="rId1453" xr:uid="{7C1AE2E9-410A-4010-BAA7-C7F7BDC5B615}"/>
  </hyperlinks>
  <pageMargins left="0.7" right="0.7" top="0.75" bottom="0.75" header="0.3" footer="0.3"/>
  <ignoredErrors>
    <ignoredError sqref="C87:C88 C92:C9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Allard</dc:creator>
  <cp:lastModifiedBy>Defeng Lu</cp:lastModifiedBy>
  <dcterms:created xsi:type="dcterms:W3CDTF">2021-05-06T21:07:35Z</dcterms:created>
  <dcterms:modified xsi:type="dcterms:W3CDTF">2023-08-02T14:05:56Z</dcterms:modified>
</cp:coreProperties>
</file>