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iduan/Desktop/File/Research/Paper/Lei/Ongoing/Duan et al. 2020_advanced nuclear/codes_new210427/"/>
    </mc:Choice>
  </mc:AlternateContent>
  <xr:revisionPtr revIDLastSave="0" documentId="13_ncr:1_{445B7563-B31B-134B-ABE3-7E91931CCBC8}" xr6:coauthVersionLast="47" xr6:coauthVersionMax="47" xr10:uidLastSave="{00000000-0000-0000-0000-000000000000}"/>
  <bookViews>
    <workbookView xWindow="1380" yWindow="2200" windowWidth="25680" windowHeight="15800" xr2:uid="{9402D557-0539-F249-9981-FEF30EBBF85E}"/>
  </bookViews>
  <sheets>
    <sheet name="Lei's costs" sheetId="3" r:id="rId1"/>
    <sheet name="Lei Advanced Nuclear costs" sheetId="4" r:id="rId2"/>
    <sheet name="Tyler's costs" sheetId="1" r:id="rId3"/>
    <sheet name="2020 EIA storage" sheetId="2" r:id="rId4"/>
  </sheets>
  <externalReferences>
    <externalReference r:id="rId5"/>
  </externalReferences>
  <definedNames>
    <definedName name="Btu_per_kWh">'Lei''s costs'!$B$12</definedName>
    <definedName name="Discount_rate">'Lei''s costs'!$B$10</definedName>
    <definedName name="HOURS_PER_YEAR">'Tyler''s costs'!$B$12</definedName>
    <definedName name="MWh_per_MMBtu">'Lei''s costs'!$B$6</definedName>
    <definedName name="TB2CostFactor">[1]Scenario!$R$7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3" l="1"/>
  <c r="D18" i="3" s="1"/>
  <c r="D19" i="3" s="1"/>
  <c r="D22" i="3"/>
  <c r="D24" i="3"/>
  <c r="J14" i="3"/>
  <c r="L14" i="3"/>
  <c r="J15" i="3"/>
  <c r="J17" i="3"/>
  <c r="J18" i="3" s="1"/>
  <c r="J19" i="3" s="1"/>
  <c r="L17" i="3"/>
  <c r="L18" i="3" s="1"/>
  <c r="L19" i="3" s="1"/>
  <c r="H17" i="3"/>
  <c r="H18" i="3"/>
  <c r="H19" i="3" s="1"/>
  <c r="H22" i="3"/>
  <c r="I31" i="3"/>
  <c r="J31" i="3"/>
  <c r="L31" i="3"/>
  <c r="I32" i="3"/>
  <c r="J32" i="3"/>
  <c r="K19" i="3" l="1"/>
  <c r="E43" i="3" l="1"/>
  <c r="Q17" i="3"/>
  <c r="Q18" i="3" s="1"/>
  <c r="Q19" i="3" s="1"/>
  <c r="P17" i="3"/>
  <c r="P18" i="3" s="1"/>
  <c r="P19" i="3" s="1"/>
  <c r="O17" i="3"/>
  <c r="O18" i="3" s="1"/>
  <c r="O19" i="3" s="1"/>
  <c r="F22" i="4" l="1"/>
  <c r="J14" i="4" s="1"/>
  <c r="J18" i="4" s="1"/>
  <c r="J19" i="4" s="1"/>
  <c r="J20" i="4" s="1"/>
  <c r="F10" i="4"/>
  <c r="F11" i="4"/>
  <c r="F9" i="4"/>
  <c r="F12" i="4"/>
  <c r="F13" i="4"/>
  <c r="F18" i="4" s="1"/>
  <c r="F19" i="4" s="1"/>
  <c r="F20" i="4" s="1"/>
  <c r="J13" i="4"/>
  <c r="J17" i="4"/>
  <c r="B4" i="4"/>
  <c r="B9" i="4"/>
  <c r="B10" i="4" s="1"/>
  <c r="B11" i="4" s="1"/>
  <c r="B7" i="4"/>
  <c r="P7" i="3"/>
  <c r="P6" i="3"/>
  <c r="P5" i="3"/>
  <c r="P4" i="3"/>
  <c r="P3" i="3"/>
  <c r="P2" i="3"/>
  <c r="B6" i="3"/>
  <c r="E22" i="3"/>
  <c r="F17" i="3"/>
  <c r="F14" i="1"/>
  <c r="B17" i="3"/>
  <c r="B18" i="3" s="1"/>
  <c r="B19" i="3" s="1"/>
  <c r="C17" i="3"/>
  <c r="C18" i="3" s="1"/>
  <c r="C19" i="3" s="1"/>
  <c r="E17" i="3"/>
  <c r="E18" i="3" s="1"/>
  <c r="E19" i="3" s="1"/>
  <c r="D22" i="1"/>
  <c r="K12" i="1"/>
  <c r="B8" i="1"/>
  <c r="K10" i="1"/>
  <c r="B10" i="2"/>
  <c r="B11" i="2"/>
  <c r="B13" i="2"/>
  <c r="B14" i="2" s="1"/>
  <c r="B15" i="2" s="1"/>
  <c r="B4" i="2"/>
  <c r="F1" i="2"/>
  <c r="K13" i="1"/>
  <c r="K11" i="1"/>
  <c r="K8" i="1"/>
  <c r="K9" i="1"/>
  <c r="D24" i="1"/>
  <c r="F5" i="1"/>
  <c r="F15" i="1"/>
  <c r="E22" i="1"/>
  <c r="E23" i="1" s="1"/>
  <c r="E24" i="1" s="1"/>
  <c r="F17" i="1"/>
  <c r="F18" i="1" s="1"/>
  <c r="F19" i="1" s="1"/>
  <c r="G17" i="1"/>
  <c r="G18" i="1" s="1"/>
  <c r="G19" i="1" s="1"/>
  <c r="C17" i="1"/>
  <c r="C18" i="1" s="1"/>
  <c r="C19" i="1" s="1"/>
  <c r="D17" i="1"/>
  <c r="D18" i="1" s="1"/>
  <c r="D19" i="1" s="1"/>
  <c r="E17" i="1"/>
  <c r="E18" i="1" s="1"/>
  <c r="E19" i="1" s="1"/>
  <c r="B17" i="1"/>
  <c r="B18" i="1" s="1"/>
  <c r="B19" i="1" s="1"/>
  <c r="H23" i="3" l="1"/>
  <c r="H24" i="3" s="1"/>
  <c r="B13" i="4"/>
  <c r="B14" i="4"/>
  <c r="B18" i="4" s="1"/>
  <c r="B19" i="4" s="1"/>
  <c r="B20" i="4" s="1"/>
  <c r="E44" i="3"/>
  <c r="E23" i="3"/>
  <c r="E24" i="3" s="1"/>
  <c r="F18" i="3"/>
  <c r="F19" i="3" s="1"/>
  <c r="D37" i="3" l="1"/>
  <c r="E47" i="3"/>
</calcChain>
</file>

<file path=xl/sharedStrings.xml><?xml version="1.0" encoding="utf-8"?>
<sst xmlns="http://schemas.openxmlformats.org/spreadsheetml/2006/main" count="237" uniqueCount="141">
  <si>
    <t>Combined-cycle with 90% CCS</t>
  </si>
  <si>
    <t>All costs in 2019 $</t>
  </si>
  <si>
    <t>Variable O&amp;M ($/MWh)</t>
  </si>
  <si>
    <t>Fixed O&amp;M ($/kW-yr)</t>
  </si>
  <si>
    <t>Advanced nuclear</t>
  </si>
  <si>
    <t>Wind</t>
  </si>
  <si>
    <t>Solar</t>
  </si>
  <si>
    <t>Assumed Lifetime</t>
  </si>
  <si>
    <t>ACC</t>
  </si>
  <si>
    <t>Discount Rate</t>
  </si>
  <si>
    <t>Old Wind</t>
  </si>
  <si>
    <t>Old NG</t>
  </si>
  <si>
    <t>FHC</t>
  </si>
  <si>
    <t>Hours per year</t>
  </si>
  <si>
    <t>Battery</t>
  </si>
  <si>
    <t>Values from:</t>
  </si>
  <si>
    <t>EIA_AEO_2020</t>
  </si>
  <si>
    <t>EIA_AEO_2018</t>
  </si>
  <si>
    <t>EIA_Nuclear_LT</t>
  </si>
  <si>
    <t>lazardStorage2019</t>
  </si>
  <si>
    <t>See tab:elec_tech_table in Latex project fuels_paper_II</t>
  </si>
  <si>
    <t>Heat Rate (Btu/kWh)</t>
  </si>
  <si>
    <t>Btu / kWh</t>
  </si>
  <si>
    <t>Efficiency</t>
  </si>
  <si>
    <t>Fuel Cost ($/MWh)</t>
  </si>
  <si>
    <t>Notes</t>
  </si>
  <si>
    <t>Variable Cost ($/MWh)</t>
  </si>
  <si>
    <t>Electric Power System</t>
  </si>
  <si>
    <t>USD2005_to_USD2019</t>
  </si>
  <si>
    <t>USD2010_to_USD2019</t>
  </si>
  <si>
    <t>USD2015_to_USD2019</t>
  </si>
  <si>
    <t>USD2016_to_USD2019</t>
  </si>
  <si>
    <t>https://www.usinflationcalculator.com/ 3 June 2020 (2019 values didn't change compared to 3 Feb 2020 values for 2020)</t>
  </si>
  <si>
    <t>Capital recovery factor (% per year)</t>
  </si>
  <si>
    <t>USD2012_to_USD2019</t>
  </si>
  <si>
    <t>Green cells indicate those that align exactly with the values used in SEM / MEM</t>
  </si>
  <si>
    <t>MWh/MMBtu</t>
  </si>
  <si>
    <t>https://www.eia.gov/totalenergy/data/monthly/pdf/sec13_18.pdf</t>
  </si>
  <si>
    <t>References</t>
  </si>
  <si>
    <t>EIA AEO2020</t>
  </si>
  <si>
    <t>Lazard 2019</t>
  </si>
  <si>
    <t>Gen techs AEO2020, Storage Lazard 2019 11.7 for battery is 0.25$/ kWh annual O&amp;M + annual cost of augmentation of 2.5% of initial FCI + warranty of 0.8% of FCI where FCI is based on the nameplate value</t>
  </si>
  <si>
    <t>EIA AEO2018</t>
  </si>
  <si>
    <t>EIA 2014, NRC 2018</t>
  </si>
  <si>
    <r>
      <t xml:space="preserve">Wind, solar, CCw/CCS AEO2018, </t>
    </r>
    <r>
      <rPr>
        <b/>
        <sz val="12"/>
        <color theme="1"/>
        <rFont val="Calibri"/>
        <family val="2"/>
        <scheme val="minor"/>
      </rPr>
      <t>Storage Lazard 2019?</t>
    </r>
    <r>
      <rPr>
        <sz val="12"/>
        <color theme="1"/>
        <rFont val="Calibri"/>
        <family val="2"/>
        <scheme val="minor"/>
      </rPr>
      <t xml:space="preserve">, nuclear EIA 2014, NRC 2018 </t>
    </r>
  </si>
  <si>
    <t>Gen techs AEO2020</t>
  </si>
  <si>
    <t>Gen techs AEO2020, Storage Lazard 2019 - Capital Cost Comparison—Nameplate Energy ($/kWh), take middle of 1:4 P/E battery and assume 90% efficicy split between input and output</t>
  </si>
  <si>
    <r>
      <t xml:space="preserve">Gen techs AEO2020, </t>
    </r>
    <r>
      <rPr>
        <b/>
        <sz val="12"/>
        <color theme="1"/>
        <rFont val="Calibri"/>
        <family val="2"/>
        <scheme val="minor"/>
      </rPr>
      <t>Storage, I think this essentially factored into the annual O&amp;M the way I calculated it</t>
    </r>
  </si>
  <si>
    <t>Eff not actually used for nuclear</t>
  </si>
  <si>
    <t>EPA2018</t>
  </si>
  <si>
    <t>Henry Hub Gas</t>
  </si>
  <si>
    <t>Nuclear EPA2018, natgas take some ~ average of Henry Hub gas prices over last few years --&gt; $3/MMBtu.</t>
  </si>
  <si>
    <t>SOURCE</t>
  </si>
  <si>
    <t>2019 dollars</t>
  </si>
  <si>
    <r>
      <rPr>
        <b/>
        <u/>
        <sz val="12"/>
        <color theme="1"/>
        <rFont val="Calibri (Body)"/>
      </rPr>
      <t>Table 3</t>
    </r>
    <r>
      <rPr>
        <sz val="12"/>
        <color theme="1"/>
        <rFont val="Calibri"/>
        <family val="2"/>
        <scheme val="minor"/>
      </rPr>
      <t xml:space="preserve"> in: https://www.eia.gov/outlooks/aeo/assumptions/pdf/electricity.pdf</t>
    </r>
  </si>
  <si>
    <t>LI storage</t>
  </si>
  <si>
    <t>Total overnight cost ($/kWh)</t>
  </si>
  <si>
    <r>
      <t xml:space="preserve">Green cells indicate those that </t>
    </r>
    <r>
      <rPr>
        <b/>
        <sz val="12"/>
        <color theme="1"/>
        <rFont val="Calibri"/>
        <family val="2"/>
        <scheme val="minor"/>
      </rPr>
      <t>should</t>
    </r>
    <r>
      <rPr>
        <sz val="12"/>
        <color theme="1"/>
        <rFont val="Calibri"/>
        <family val="2"/>
        <scheme val="minor"/>
      </rPr>
      <t xml:space="preserve"> align exactly with the values used in SEM / MEM</t>
    </r>
  </si>
  <si>
    <t>Dave F. and Tyler R. - Updated 5 October 2020</t>
  </si>
  <si>
    <r>
      <t>To do:</t>
    </r>
    <r>
      <rPr>
        <sz val="18"/>
        <color theme="1"/>
        <rFont val="Calibri"/>
        <family val="2"/>
        <scheme val="minor"/>
      </rPr>
      <t xml:space="preserve"> Update storage costs to EIA values</t>
    </r>
  </si>
  <si>
    <t>Nuclear Heat Storage ($/kWh-t)</t>
  </si>
  <si>
    <t>Nuclear generator ($/kW-e)</t>
  </si>
  <si>
    <t>Total overnight cost ($/kW or $/kWh for storage)</t>
  </si>
  <si>
    <t>Lei updated nuclear and natural gas cost based on Dave and Tyler's version - Oct 10, 2020</t>
  </si>
  <si>
    <t>Costs for new nuclear sectors are in 2017 $, and other costs are in 2019 $</t>
  </si>
  <si>
    <t>Total overnight cost ($/kW for generator or $/kWh for storage)</t>
  </si>
  <si>
    <t>Cost values used in Dave and Tyler's version</t>
  </si>
  <si>
    <t>Cost values newly added</t>
  </si>
  <si>
    <t>Nuclear-New</t>
  </si>
  <si>
    <t>https://www.innovationreform.org/2017/07/01/will-advanced-nuclear-power-plants-cost/</t>
  </si>
  <si>
    <t>Decay rate (% per hour)</t>
  </si>
  <si>
    <t>https://eera-es.eu/wp-content/uploads/2018/08/JPES-SP3-2-High-Temperature-Sensible-Heat-Storage.pdf</t>
  </si>
  <si>
    <t>Thermal energy storage cost assumptions</t>
  </si>
  <si>
    <t>Steam turbines</t>
  </si>
  <si>
    <t>Nuclear reactor</t>
  </si>
  <si>
    <t>Cycle thermal power</t>
  </si>
  <si>
    <t>MWt</t>
  </si>
  <si>
    <t>Power cycle capacity</t>
  </si>
  <si>
    <t>MWe</t>
  </si>
  <si>
    <t>Nominal cost for nuclear (turbine + reactor)</t>
  </si>
  <si>
    <t>$/kWe</t>
  </si>
  <si>
    <t>Hours of storage at power cycle full load</t>
  </si>
  <si>
    <t>hours</t>
  </si>
  <si>
    <t>estimated net output</t>
  </si>
  <si>
    <t>Mwe</t>
  </si>
  <si>
    <t>Fixed-O&amp;M cost (turbine + reactor)</t>
  </si>
  <si>
    <t>$/MWh-e</t>
  </si>
  <si>
    <t>Thermal storage capacity</t>
  </si>
  <si>
    <t>MWt-hr</t>
  </si>
  <si>
    <t>Fossil backup cost</t>
  </si>
  <si>
    <t>Contingency</t>
  </si>
  <si>
    <t>%</t>
  </si>
  <si>
    <t>Balance of plant cost</t>
  </si>
  <si>
    <t>EPC</t>
  </si>
  <si>
    <t>Power cycle cost</t>
  </si>
  <si>
    <t>Sales Tax</t>
  </si>
  <si>
    <t>Thermal storage cost</t>
  </si>
  <si>
    <t>$/kWht</t>
  </si>
  <si>
    <t>Total thermal storage cost</t>
  </si>
  <si>
    <t>$</t>
  </si>
  <si>
    <t>Thermal storage cost with Contingency</t>
  </si>
  <si>
    <t>Total cost</t>
  </si>
  <si>
    <t>Thermal storage cost with EPC and Sales Tax</t>
  </si>
  <si>
    <t>Total cost with Contingency</t>
  </si>
  <si>
    <t>Total cost with EPC and Sales Tax</t>
  </si>
  <si>
    <t>Cost per kWhe</t>
  </si>
  <si>
    <t>Cost per kWe</t>
  </si>
  <si>
    <t>Cost per kWht</t>
  </si>
  <si>
    <t>/</t>
  </si>
  <si>
    <t>Cost per kWt</t>
  </si>
  <si>
    <t>Lifetime</t>
  </si>
  <si>
    <t>year</t>
  </si>
  <si>
    <t>Capital recovery factor</t>
  </si>
  <si>
    <t>Fixed O&amp;M cost</t>
  </si>
  <si>
    <t>$/kW-yr</t>
  </si>
  <si>
    <t>$/kWt-yr</t>
  </si>
  <si>
    <t>Annual capital + fixed O&amp;M cost</t>
  </si>
  <si>
    <t>Hourly fixed cost</t>
  </si>
  <si>
    <t>$/MWh-t</t>
  </si>
  <si>
    <t>MEM values</t>
  </si>
  <si>
    <t>$/kWh-t</t>
  </si>
  <si>
    <t>$/kWh-e</t>
  </si>
  <si>
    <t>Currently used values for $4000/kW for comparison purpose</t>
  </si>
  <si>
    <t>Advanced nuclear lines below</t>
  </si>
  <si>
    <t>Total capital cost, Generator+Reactor ($/kWh)</t>
  </si>
  <si>
    <t>Capacital cost ($/kWh)</t>
  </si>
  <si>
    <t>Fixed O&amp;M cost ($/kW-yr)</t>
  </si>
  <si>
    <t>$2018 to $ 2019</t>
  </si>
  <si>
    <t>$2016 to $2019</t>
  </si>
  <si>
    <t>From PGP</t>
  </si>
  <si>
    <t>To PGP</t>
  </si>
  <si>
    <t>PGP Storage</t>
  </si>
  <si>
    <t>$/MBtU</t>
  </si>
  <si>
    <t>$/MWh</t>
  </si>
  <si>
    <t>New Nuclear Heat Source, using EIA costs ($/kW-t)</t>
  </si>
  <si>
    <t>land-based wind moderate</t>
  </si>
  <si>
    <t>Solar - Utility PV moderate</t>
  </si>
  <si>
    <t>Nuclear</t>
  </si>
  <si>
    <t>Gas-CC-Moderate</t>
  </si>
  <si>
    <t>Gas-CC-CCS-Moderate</t>
  </si>
  <si>
    <t>Utility-Scale Battery Storage, 6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</si>
</sst>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rgb="FF0563C1"/>
      <name val="Calibri"/>
      <family val="2"/>
    </font>
    <font>
      <b/>
      <u/>
      <sz val="12"/>
      <color theme="1"/>
      <name val="Calibri (Body)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7CAAC"/>
        <bgColor rgb="FFF7CAAC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/>
    <xf numFmtId="0" fontId="4" fillId="0" borderId="0" xfId="0" applyFont="1" applyAlignment="1"/>
    <xf numFmtId="0" fontId="2" fillId="0" borderId="0" xfId="1" applyAlignment="1"/>
    <xf numFmtId="10" fontId="0" fillId="0" borderId="0" xfId="2" applyNumberFormat="1" applyFont="1" applyAlignment="1">
      <alignment wrapText="1"/>
    </xf>
    <xf numFmtId="0" fontId="0" fillId="0" borderId="0" xfId="0" applyFill="1" applyAlignment="1">
      <alignment wrapText="1"/>
    </xf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wrapText="1"/>
    </xf>
    <xf numFmtId="0" fontId="0" fillId="3" borderId="0" xfId="0" applyFont="1" applyFill="1" applyAlignment="1"/>
    <xf numFmtId="0" fontId="0" fillId="0" borderId="0" xfId="0" applyFont="1" applyFill="1" applyAlignment="1"/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right"/>
    </xf>
    <xf numFmtId="0" fontId="5" fillId="0" borderId="0" xfId="0" applyFont="1" applyAlignment="1">
      <alignment horizontal="left"/>
    </xf>
    <xf numFmtId="0" fontId="0" fillId="4" borderId="0" xfId="0" applyFill="1" applyAlignment="1">
      <alignment wrapText="1"/>
    </xf>
    <xf numFmtId="0" fontId="2" fillId="0" borderId="0" xfId="1" applyAlignment="1">
      <alignment wrapText="1"/>
    </xf>
    <xf numFmtId="0" fontId="2" fillId="0" borderId="0" xfId="1" applyFill="1" applyAlignment="1">
      <alignment wrapText="1"/>
    </xf>
    <xf numFmtId="0" fontId="0" fillId="0" borderId="0" xfId="0" applyFill="1" applyAlignment="1">
      <alignment horizontal="right" wrapText="1"/>
    </xf>
    <xf numFmtId="0" fontId="7" fillId="0" borderId="0" xfId="0" applyFont="1" applyAlignment="1">
      <alignment wrapText="1"/>
    </xf>
    <xf numFmtId="0" fontId="0" fillId="3" borderId="0" xfId="0" applyFont="1" applyFill="1" applyAlignment="1">
      <alignment wrapText="1"/>
    </xf>
    <xf numFmtId="0" fontId="0" fillId="2" borderId="0" xfId="0" applyFill="1" applyAlignment="1">
      <alignment horizontal="left" wrapText="1"/>
    </xf>
    <xf numFmtId="165" fontId="0" fillId="2" borderId="0" xfId="0" applyNumberFormat="1" applyFill="1" applyAlignment="1">
      <alignment horizontal="right" wrapText="1"/>
    </xf>
    <xf numFmtId="0" fontId="5" fillId="0" borderId="0" xfId="0" applyFont="1" applyAlignment="1">
      <alignment horizontal="left" wrapText="1"/>
    </xf>
    <xf numFmtId="0" fontId="0" fillId="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 applyAlignment="1">
      <alignment horizontal="right" wrapText="1"/>
    </xf>
    <xf numFmtId="0" fontId="9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5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165" fontId="0" fillId="2" borderId="0" xfId="0" applyNumberForma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10" fontId="0" fillId="0" borderId="0" xfId="2" applyNumberFormat="1" applyFon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1" applyFill="1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0" fontId="0" fillId="9" borderId="0" xfId="0" applyFill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0" fillId="10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10" fontId="0" fillId="0" borderId="0" xfId="2" applyNumberFormat="1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9" borderId="0" xfId="0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uggles/IDrive-Sync/Carnegie_References/Fuels/H2A_NREL_Hydrogen_Delivery_Scenario_Analysis_Model_(HDSAM)_V3.1%20(3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le"/>
      <sheetName val="COPYRIGHT"/>
      <sheetName val="Scenario"/>
      <sheetName val="Results Summary"/>
      <sheetName val="Energy and GHG Results"/>
      <sheetName val="Cash Flow Results"/>
      <sheetName val="Refueling Station - Gaseous H2"/>
      <sheetName val="Refueling Station - Liquid H2"/>
      <sheetName val="Compressed Gas H2 Terminal"/>
      <sheetName val="Compressed H2 Truck"/>
      <sheetName val="H2 Liquefier"/>
      <sheetName val="Liquid H2 Terminal"/>
      <sheetName val="Truck - LH2 Delivery"/>
      <sheetName val="H2 Compressor"/>
      <sheetName val="Gaseous H2 Geologic Storage"/>
      <sheetName val="H2 Pipeline"/>
      <sheetName val="Scenario Parameters"/>
      <sheetName val="Feedstock &amp; Utility Prices"/>
      <sheetName val="Financial Inputs"/>
      <sheetName val="MACRS_Depr. Table"/>
      <sheetName val="Physical Property Data"/>
      <sheetName val="GREET Data"/>
      <sheetName val="Cost Data"/>
      <sheetName val="Design Data"/>
      <sheetName val="Population"/>
    </sheetNames>
    <sheetDataSet>
      <sheetData sheetId="0"/>
      <sheetData sheetId="1"/>
      <sheetData sheetId="2">
        <row r="7">
          <cell r="R7">
            <v>0.55176806294656444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era-es.eu/wp-content/uploads/2018/08/JPES-SP3-2-High-Temperature-Sensible-Heat-Storage.pdf" TargetMode="External"/><Relationship Id="rId2" Type="http://schemas.openxmlformats.org/officeDocument/2006/relationships/hyperlink" Target="https://www.innovationreform.org/2017/07/01/will-advanced-nuclear-power-plants-cost/" TargetMode="External"/><Relationship Id="rId1" Type="http://schemas.openxmlformats.org/officeDocument/2006/relationships/hyperlink" Target="https://www.eia.gov/dnav/ng/hist/rngwhhdd.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ia.gov/dnav/ng/hist/rngwhhdd.ht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sinflationcalculator.com/%203%20June%202020%20(2019%20values%20didn't%20change%20compared%20to%203%20Feb%202020%20values%20for%202020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074CE-6926-ED4E-A031-430089B5672C}">
  <dimension ref="A1:Q47"/>
  <sheetViews>
    <sheetView tabSelected="1" topLeftCell="A10" zoomScale="75" zoomScaleNormal="112" workbookViewId="0">
      <selection activeCell="L20" sqref="L20"/>
    </sheetView>
  </sheetViews>
  <sheetFormatPr baseColWidth="10" defaultRowHeight="16" x14ac:dyDescent="0.2"/>
  <cols>
    <col min="1" max="1" width="39.33203125" style="28" customWidth="1"/>
    <col min="2" max="2" width="13.6640625" style="28" customWidth="1"/>
    <col min="3" max="3" width="15" style="28" customWidth="1"/>
    <col min="4" max="4" width="10.83203125" style="28"/>
    <col min="5" max="5" width="15.83203125" style="28" customWidth="1"/>
    <col min="6" max="6" width="11.6640625" style="28" bestFit="1" customWidth="1"/>
    <col min="7" max="8" width="10.83203125" style="28"/>
    <col min="9" max="9" width="11.1640625" style="28" bestFit="1" customWidth="1"/>
    <col min="10" max="10" width="13.1640625" style="28" customWidth="1"/>
    <col min="11" max="11" width="13.33203125" style="52" customWidth="1"/>
    <col min="12" max="13" width="10.83203125" style="28"/>
    <col min="14" max="14" width="10.83203125" style="50"/>
    <col min="15" max="15" width="19" style="28" customWidth="1"/>
    <col min="16" max="16" width="19.5" style="28" customWidth="1"/>
    <col min="17" max="17" width="20.33203125" style="28" customWidth="1"/>
    <col min="18" max="16384" width="10.83203125" style="28"/>
  </cols>
  <sheetData>
    <row r="1" spans="1:17" ht="73" customHeight="1" x14ac:dyDescent="0.2">
      <c r="A1" s="43" t="s">
        <v>63</v>
      </c>
      <c r="O1" s="43" t="s">
        <v>38</v>
      </c>
      <c r="P1" s="37"/>
    </row>
    <row r="2" spans="1:17" ht="39" customHeight="1" x14ac:dyDescent="0.2">
      <c r="O2" s="30" t="s">
        <v>39</v>
      </c>
      <c r="P2" s="44" t="str">
        <f>HYPERLINK("https://www.eia.gov/outlooks/aeo/assumptions/pdf/electricity.pdf","EIA, AEO2020, Electricity Market Module, Table 2")</f>
        <v>EIA, AEO2020, Electricity Market Module, Table 2</v>
      </c>
    </row>
    <row r="3" spans="1:17" ht="55" customHeight="1" x14ac:dyDescent="0.2">
      <c r="A3" s="29" t="s">
        <v>57</v>
      </c>
      <c r="B3" s="30"/>
      <c r="C3" s="30"/>
      <c r="D3" s="30"/>
      <c r="E3" s="30"/>
      <c r="F3" s="30"/>
      <c r="G3" s="30"/>
      <c r="H3" s="30"/>
      <c r="O3" s="30" t="s">
        <v>40</v>
      </c>
      <c r="P3" s="45" t="str">
        <f>HYPERLINK("https://www.lazard.com/media/451087/lazards-levelized-cost-of-storage-version-50-vf.pdf","Lazard 2019")</f>
        <v>Lazard 2019</v>
      </c>
    </row>
    <row r="4" spans="1:17" ht="43" customHeight="1" x14ac:dyDescent="0.2">
      <c r="A4" s="31" t="s">
        <v>66</v>
      </c>
      <c r="B4" s="30"/>
      <c r="C4" s="30"/>
      <c r="D4" s="30"/>
      <c r="E4" s="30"/>
      <c r="F4" s="30"/>
      <c r="G4" s="30"/>
      <c r="H4" s="30"/>
      <c r="O4" s="37" t="s">
        <v>42</v>
      </c>
      <c r="P4" s="45" t="str">
        <f>HYPERLINK("https://www.eia.gov/outlooks/aeo/assumptions/pdf/commercial.pdf","EIA, AEO2020, Commercial Demand Module, Table 3")</f>
        <v>EIA, AEO2020, Commercial Demand Module, Table 3</v>
      </c>
    </row>
    <row r="5" spans="1:17" ht="32" customHeight="1" x14ac:dyDescent="0.2">
      <c r="A5" s="32" t="s">
        <v>67</v>
      </c>
      <c r="B5" s="30"/>
      <c r="C5" s="30"/>
      <c r="D5" s="30"/>
      <c r="E5" s="30"/>
      <c r="F5" s="30"/>
      <c r="G5" s="30"/>
      <c r="H5" s="30"/>
      <c r="O5" s="37" t="s">
        <v>43</v>
      </c>
      <c r="P5" s="45" t="str">
        <f>HYPERLINK("https://www.eia.gov/todayinenergy/detail.php?id=19091","EIA, 2014; NRC, 2018")</f>
        <v>EIA, 2014; NRC, 2018</v>
      </c>
    </row>
    <row r="6" spans="1:17" ht="75" customHeight="1" x14ac:dyDescent="0.2">
      <c r="A6" s="33" t="s">
        <v>36</v>
      </c>
      <c r="B6" s="34">
        <f>1055.05585262/3600</f>
        <v>0.29307107017222223</v>
      </c>
      <c r="C6" s="35" t="s">
        <v>37</v>
      </c>
      <c r="O6" s="37" t="s">
        <v>49</v>
      </c>
      <c r="P6" s="45" t="str">
        <f>HYPERLINK("https://www.eia.gov/electricity/annual/html/epa_08_04.html","EIA, EPA2018, Table 8.4")</f>
        <v>EIA, EPA2018, Table 8.4</v>
      </c>
    </row>
    <row r="7" spans="1:17" ht="30" customHeight="1" x14ac:dyDescent="0.2">
      <c r="O7" s="37" t="s">
        <v>50</v>
      </c>
      <c r="P7" s="45" t="str">
        <f>HYPERLINK("https://www.eia.gov/dnav/ng/hist/rngwhhdd.htm","Henry Hub")</f>
        <v>Henry Hub</v>
      </c>
    </row>
    <row r="8" spans="1:17" ht="75" customHeight="1" x14ac:dyDescent="0.2">
      <c r="O8" s="37" t="s">
        <v>68</v>
      </c>
      <c r="P8" s="45" t="s">
        <v>69</v>
      </c>
      <c r="Q8" s="16" t="s">
        <v>71</v>
      </c>
    </row>
    <row r="9" spans="1:17" ht="33" customHeight="1" x14ac:dyDescent="0.2">
      <c r="A9" s="43" t="s">
        <v>27</v>
      </c>
    </row>
    <row r="10" spans="1:17" ht="24" customHeight="1" x14ac:dyDescent="0.2">
      <c r="A10" s="36" t="s">
        <v>9</v>
      </c>
      <c r="B10" s="37">
        <v>7.0000000000000007E-2</v>
      </c>
      <c r="C10" s="37"/>
      <c r="D10" s="36"/>
      <c r="E10" s="37"/>
      <c r="G10" s="36"/>
      <c r="H10" s="36"/>
    </row>
    <row r="11" spans="1:17" ht="25" customHeight="1" x14ac:dyDescent="0.2">
      <c r="A11" s="36" t="s">
        <v>13</v>
      </c>
      <c r="B11" s="37">
        <v>8760</v>
      </c>
    </row>
    <row r="12" spans="1:17" ht="26" customHeight="1" x14ac:dyDescent="0.2">
      <c r="A12" s="36" t="s">
        <v>22</v>
      </c>
      <c r="B12" s="37">
        <v>3412.141633127942</v>
      </c>
    </row>
    <row r="13" spans="1:17" ht="68" x14ac:dyDescent="0.2">
      <c r="A13" s="36" t="s">
        <v>64</v>
      </c>
      <c r="B13" s="38" t="s">
        <v>135</v>
      </c>
      <c r="C13" s="38" t="s">
        <v>136</v>
      </c>
      <c r="D13" s="38" t="s">
        <v>137</v>
      </c>
      <c r="E13" s="38" t="s">
        <v>139</v>
      </c>
      <c r="F13" s="38" t="s">
        <v>140</v>
      </c>
      <c r="G13" s="42"/>
      <c r="H13" s="42" t="s">
        <v>138</v>
      </c>
      <c r="I13" s="42"/>
      <c r="J13" s="42" t="s">
        <v>61</v>
      </c>
      <c r="K13" s="51" t="s">
        <v>134</v>
      </c>
      <c r="L13" s="42" t="s">
        <v>60</v>
      </c>
      <c r="M13" s="42"/>
      <c r="N13" s="30"/>
      <c r="O13" s="30" t="s">
        <v>129</v>
      </c>
      <c r="P13" s="28" t="s">
        <v>130</v>
      </c>
      <c r="Q13" s="28" t="s">
        <v>131</v>
      </c>
    </row>
    <row r="14" spans="1:17" ht="46" customHeight="1" x14ac:dyDescent="0.2">
      <c r="A14" s="36" t="s">
        <v>65</v>
      </c>
      <c r="B14" s="37">
        <v>728</v>
      </c>
      <c r="C14" s="37">
        <v>624</v>
      </c>
      <c r="D14" s="37">
        <v>4992</v>
      </c>
      <c r="E14" s="37">
        <v>1550</v>
      </c>
      <c r="F14" s="37">
        <v>102</v>
      </c>
      <c r="H14" s="28">
        <v>827</v>
      </c>
      <c r="J14" s="28">
        <f>J31</f>
        <v>1854.7736666666713</v>
      </c>
      <c r="L14" s="28">
        <f>L31*J22*L22</f>
        <v>27.612420000000007</v>
      </c>
      <c r="N14" s="41"/>
      <c r="O14" s="28">
        <v>5854</v>
      </c>
      <c r="P14" s="28">
        <v>1058</v>
      </c>
      <c r="Q14" s="28">
        <v>0.16</v>
      </c>
    </row>
    <row r="15" spans="1:17" ht="31" customHeight="1" x14ac:dyDescent="0.2">
      <c r="A15" s="37" t="s">
        <v>3</v>
      </c>
      <c r="B15" s="37">
        <v>33</v>
      </c>
      <c r="C15" s="37">
        <v>15</v>
      </c>
      <c r="D15" s="37">
        <v>145</v>
      </c>
      <c r="E15" s="37">
        <v>60</v>
      </c>
      <c r="F15" s="37">
        <v>30</v>
      </c>
      <c r="H15" s="28">
        <v>27</v>
      </c>
      <c r="J15" s="28">
        <f>J32</f>
        <v>33.660000000000004</v>
      </c>
      <c r="L15" s="28">
        <v>0</v>
      </c>
      <c r="N15" s="41"/>
      <c r="O15" s="28">
        <v>0</v>
      </c>
      <c r="P15" s="28">
        <v>0</v>
      </c>
      <c r="Q15" s="28">
        <v>0</v>
      </c>
    </row>
    <row r="16" spans="1:17" ht="31" customHeight="1" x14ac:dyDescent="0.2">
      <c r="A16" s="37" t="s">
        <v>7</v>
      </c>
      <c r="B16" s="37">
        <v>25</v>
      </c>
      <c r="C16" s="37">
        <v>25</v>
      </c>
      <c r="D16" s="37">
        <v>40</v>
      </c>
      <c r="E16" s="37">
        <v>30</v>
      </c>
      <c r="F16" s="37">
        <v>10</v>
      </c>
      <c r="H16" s="28">
        <v>30</v>
      </c>
      <c r="J16" s="28">
        <v>30</v>
      </c>
      <c r="L16" s="28">
        <v>30</v>
      </c>
      <c r="M16" s="37"/>
      <c r="N16" s="30"/>
      <c r="O16" s="28">
        <v>20</v>
      </c>
      <c r="P16" s="28">
        <v>12.5</v>
      </c>
      <c r="Q16" s="28">
        <v>30</v>
      </c>
    </row>
    <row r="17" spans="1:17" ht="31" customHeight="1" x14ac:dyDescent="0.2">
      <c r="A17" s="37" t="s">
        <v>33</v>
      </c>
      <c r="B17" s="39">
        <f t="shared" ref="B17:Q17" si="0">Discount_rate*(1+Discount_rate)^B16/((1+Discount_rate)^B16-1)</f>
        <v>8.5810517220665614E-2</v>
      </c>
      <c r="C17" s="39">
        <f t="shared" si="0"/>
        <v>8.5810517220665614E-2</v>
      </c>
      <c r="D17" s="39">
        <f t="shared" si="0"/>
        <v>7.5009138873610326E-2</v>
      </c>
      <c r="E17" s="39">
        <f t="shared" si="0"/>
        <v>8.0586403511111196E-2</v>
      </c>
      <c r="F17" s="39">
        <f t="shared" si="0"/>
        <v>0.14237750272736471</v>
      </c>
      <c r="G17" s="39"/>
      <c r="H17" s="39">
        <f t="shared" si="0"/>
        <v>8.0586403511111196E-2</v>
      </c>
      <c r="I17" s="39"/>
      <c r="J17" s="39">
        <f t="shared" si="0"/>
        <v>8.0586403511111196E-2</v>
      </c>
      <c r="K17" s="39"/>
      <c r="L17" s="39">
        <f t="shared" si="0"/>
        <v>8.0586403511111196E-2</v>
      </c>
      <c r="M17" s="39"/>
      <c r="N17" s="53"/>
      <c r="O17" s="39">
        <f t="shared" si="0"/>
        <v>9.4392925743255696E-2</v>
      </c>
      <c r="P17" s="39">
        <f t="shared" si="0"/>
        <v>0.1226440435279791</v>
      </c>
      <c r="Q17" s="39">
        <f t="shared" si="0"/>
        <v>8.0586403511111196E-2</v>
      </c>
    </row>
    <row r="18" spans="1:17" ht="31" customHeight="1" x14ac:dyDescent="0.2">
      <c r="A18" s="37" t="s">
        <v>8</v>
      </c>
      <c r="B18" s="41">
        <f t="shared" ref="B18:Q18" si="1">B14*B17+B15</f>
        <v>95.470056536644563</v>
      </c>
      <c r="C18" s="41">
        <f t="shared" si="1"/>
        <v>68.545762745695342</v>
      </c>
      <c r="D18" s="41">
        <f t="shared" si="1"/>
        <v>519.44562125706273</v>
      </c>
      <c r="E18" s="41">
        <f t="shared" si="1"/>
        <v>184.90892544222237</v>
      </c>
      <c r="F18" s="41">
        <f t="shared" si="1"/>
        <v>44.522505278191204</v>
      </c>
      <c r="G18" s="41"/>
      <c r="H18" s="41">
        <f t="shared" si="1"/>
        <v>93.644955703688964</v>
      </c>
      <c r="I18" s="41"/>
      <c r="J18" s="41">
        <f t="shared" si="1"/>
        <v>183.12953912378362</v>
      </c>
      <c r="K18" s="41"/>
      <c r="L18" s="41">
        <f t="shared" si="1"/>
        <v>2.2251856200382778</v>
      </c>
      <c r="M18" s="41"/>
      <c r="N18" s="41"/>
      <c r="O18" s="41">
        <f t="shared" si="1"/>
        <v>552.57618730101888</v>
      </c>
      <c r="P18" s="41">
        <f t="shared" si="1"/>
        <v>129.7573980526019</v>
      </c>
      <c r="Q18" s="41">
        <f t="shared" si="1"/>
        <v>1.2893824561777791E-2</v>
      </c>
    </row>
    <row r="19" spans="1:17" ht="31" customHeight="1" x14ac:dyDescent="0.2">
      <c r="A19" s="37" t="s">
        <v>12</v>
      </c>
      <c r="B19" s="40">
        <f t="shared" ref="B19:Q19" si="2">B18/HOURS_PER_YEAR*1000</f>
        <v>10.898408280438877</v>
      </c>
      <c r="C19" s="40">
        <f t="shared" si="2"/>
        <v>7.8248587609241262</v>
      </c>
      <c r="D19" s="40">
        <f t="shared" si="2"/>
        <v>59.297445348979764</v>
      </c>
      <c r="E19" s="40">
        <f t="shared" si="2"/>
        <v>21.108324822171504</v>
      </c>
      <c r="F19" s="40">
        <f t="shared" si="2"/>
        <v>5.0824777714830143</v>
      </c>
      <c r="G19" s="40"/>
      <c r="H19" s="40">
        <f t="shared" si="2"/>
        <v>10.690063436494174</v>
      </c>
      <c r="I19" s="40"/>
      <c r="J19" s="40">
        <f>J18/HOURS_PER_YEAR*1000</f>
        <v>20.905198530112283</v>
      </c>
      <c r="K19" s="40">
        <f>(D24+D19-J19)*J22*L22</f>
        <v>17.943858851388924</v>
      </c>
      <c r="L19" s="40">
        <f>L18/HOURS_PER_YEAR*1000</f>
        <v>0.25401662329204083</v>
      </c>
      <c r="M19" s="40"/>
      <c r="N19" s="41"/>
      <c r="O19" s="40">
        <f t="shared" si="2"/>
        <v>63.079473436189375</v>
      </c>
      <c r="P19" s="40">
        <f>P18/HOURS_PER_YEAR*1000</f>
        <v>14.812488362169166</v>
      </c>
      <c r="Q19" s="40">
        <f t="shared" si="2"/>
        <v>1.471897781024862E-3</v>
      </c>
    </row>
    <row r="20" spans="1:17" ht="31" customHeight="1" x14ac:dyDescent="0.2">
      <c r="A20" s="37" t="s">
        <v>2</v>
      </c>
      <c r="B20" s="28">
        <v>0</v>
      </c>
      <c r="C20" s="28">
        <v>0</v>
      </c>
      <c r="D20" s="28">
        <v>2</v>
      </c>
      <c r="E20" s="28">
        <v>5</v>
      </c>
      <c r="H20" s="28">
        <v>2</v>
      </c>
      <c r="N20" s="41"/>
    </row>
    <row r="21" spans="1:17" ht="31" customHeight="1" x14ac:dyDescent="0.2">
      <c r="A21" s="37" t="s">
        <v>21</v>
      </c>
      <c r="D21" s="28">
        <v>10461</v>
      </c>
      <c r="E21" s="28">
        <v>6170</v>
      </c>
      <c r="H21" s="28">
        <v>6360</v>
      </c>
      <c r="N21" s="41"/>
    </row>
    <row r="22" spans="1:17" ht="31" customHeight="1" x14ac:dyDescent="0.2">
      <c r="A22" s="37" t="s">
        <v>23</v>
      </c>
      <c r="D22" s="28">
        <f>Btu_per_kWh/D21</f>
        <v>0.32617738582620609</v>
      </c>
      <c r="E22" s="28">
        <f>Btu_per_kWh/E21</f>
        <v>0.55302133438054168</v>
      </c>
      <c r="H22" s="28">
        <f>Btu_per_kWh/H21</f>
        <v>0.53650025678112301</v>
      </c>
      <c r="J22" s="28">
        <v>0.37080028374282586</v>
      </c>
      <c r="L22" s="28">
        <v>1</v>
      </c>
      <c r="N22" s="41"/>
    </row>
    <row r="23" spans="1:17" ht="31" customHeight="1" x14ac:dyDescent="0.2">
      <c r="A23" s="37" t="s">
        <v>24</v>
      </c>
      <c r="D23" s="28">
        <v>8</v>
      </c>
      <c r="E23" s="28">
        <f>3/MWh_per_MMBtu/E22</f>
        <v>18.509999999999998</v>
      </c>
      <c r="H23" s="28">
        <f>3/MWh_per_MMBtu/H22</f>
        <v>19.079999999999998</v>
      </c>
      <c r="N23" s="41"/>
    </row>
    <row r="24" spans="1:17" ht="31" customHeight="1" x14ac:dyDescent="0.2">
      <c r="A24" s="37" t="s">
        <v>26</v>
      </c>
      <c r="D24" s="40">
        <f>D20+D23</f>
        <v>10</v>
      </c>
      <c r="E24" s="40">
        <f>E20+E23</f>
        <v>23.509999999999998</v>
      </c>
      <c r="F24" s="41"/>
      <c r="G24" s="40"/>
      <c r="H24" s="40">
        <f>H20+H23</f>
        <v>21.08</v>
      </c>
      <c r="K24" s="40">
        <v>9.1596499999999992</v>
      </c>
      <c r="N24" s="41"/>
    </row>
    <row r="25" spans="1:17" ht="25" customHeight="1" x14ac:dyDescent="0.2">
      <c r="A25" s="28" t="s">
        <v>70</v>
      </c>
      <c r="F25" s="40">
        <v>1.0000000000000001E-5</v>
      </c>
      <c r="I25" s="41"/>
      <c r="J25" s="41"/>
      <c r="K25" s="41"/>
      <c r="N25" s="41"/>
    </row>
    <row r="26" spans="1:17" x14ac:dyDescent="0.2">
      <c r="N26" s="41"/>
    </row>
    <row r="27" spans="1:17" x14ac:dyDescent="0.2">
      <c r="N27" s="41"/>
    </row>
    <row r="28" spans="1:17" x14ac:dyDescent="0.2">
      <c r="N28" s="41"/>
    </row>
    <row r="29" spans="1:17" ht="17" customHeight="1" x14ac:dyDescent="0.2">
      <c r="A29" s="55" t="s">
        <v>123</v>
      </c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30"/>
    </row>
    <row r="30" spans="1:17" x14ac:dyDescent="0.2">
      <c r="A30" s="54" t="s">
        <v>124</v>
      </c>
      <c r="B30" s="54"/>
      <c r="C30" s="54"/>
      <c r="D30" s="54"/>
      <c r="E30" s="54"/>
      <c r="F30" s="54"/>
      <c r="G30" s="54"/>
      <c r="H30" s="54"/>
      <c r="I30" s="54">
        <v>6317</v>
      </c>
      <c r="J30" s="54"/>
      <c r="K30" s="37"/>
      <c r="N30" s="41"/>
    </row>
    <row r="31" spans="1:17" x14ac:dyDescent="0.2">
      <c r="A31" s="54" t="s">
        <v>125</v>
      </c>
      <c r="B31" s="54"/>
      <c r="C31" s="54"/>
      <c r="D31" s="54"/>
      <c r="E31" s="54"/>
      <c r="F31" s="54"/>
      <c r="G31" s="54"/>
      <c r="H31" s="54"/>
      <c r="I31" s="28">
        <f>I30-J31</f>
        <v>4462.2263333333285</v>
      </c>
      <c r="J31" s="28">
        <f>1818.40555555556*I33</f>
        <v>1854.7736666666713</v>
      </c>
      <c r="L31" s="28">
        <f>73.006956*I33</f>
        <v>74.46709512000001</v>
      </c>
      <c r="M31" s="49"/>
      <c r="N31" s="41"/>
    </row>
    <row r="32" spans="1:17" x14ac:dyDescent="0.2">
      <c r="A32" s="54" t="s">
        <v>126</v>
      </c>
      <c r="B32" s="54"/>
      <c r="C32" s="54"/>
      <c r="D32" s="54"/>
      <c r="E32" s="54"/>
      <c r="F32" s="54"/>
      <c r="G32" s="54"/>
      <c r="H32" s="54"/>
      <c r="I32" s="28">
        <f>21*I34*HOURS_PER_YEAR/1000</f>
        <v>196.83720000000002</v>
      </c>
      <c r="J32" s="28">
        <f>33*I33</f>
        <v>33.660000000000004</v>
      </c>
      <c r="K32" s="37"/>
      <c r="L32" s="28">
        <v>0</v>
      </c>
      <c r="M32" s="49"/>
    </row>
    <row r="33" spans="1:10" x14ac:dyDescent="0.2">
      <c r="A33" s="54" t="s">
        <v>127</v>
      </c>
      <c r="B33" s="54"/>
      <c r="C33" s="54"/>
      <c r="D33" s="54"/>
      <c r="E33" s="54"/>
      <c r="F33" s="54"/>
      <c r="G33" s="54"/>
      <c r="H33" s="54"/>
      <c r="I33" s="54">
        <v>1.02</v>
      </c>
      <c r="J33" s="54"/>
    </row>
    <row r="34" spans="1:10" x14ac:dyDescent="0.2">
      <c r="A34" s="54" t="s">
        <v>128</v>
      </c>
      <c r="B34" s="54"/>
      <c r="C34" s="54"/>
      <c r="D34" s="54"/>
      <c r="E34" s="54"/>
      <c r="F34" s="54"/>
      <c r="G34" s="54"/>
      <c r="H34" s="54"/>
      <c r="I34" s="54">
        <v>1.07</v>
      </c>
      <c r="J34" s="54"/>
    </row>
    <row r="37" spans="1:10" x14ac:dyDescent="0.2">
      <c r="D37" s="28">
        <f>D19+D24</f>
        <v>69.297445348979764</v>
      </c>
    </row>
    <row r="42" spans="1:10" x14ac:dyDescent="0.2">
      <c r="D42" s="28" t="s">
        <v>132</v>
      </c>
      <c r="E42" s="28">
        <v>0.65</v>
      </c>
    </row>
    <row r="43" spans="1:10" x14ac:dyDescent="0.2">
      <c r="D43" s="28" t="s">
        <v>133</v>
      </c>
      <c r="E43" s="28">
        <f>E42/1000000*Btu_per_kWh*1000</f>
        <v>2.2178920615331621</v>
      </c>
    </row>
    <row r="44" spans="1:10" x14ac:dyDescent="0.2">
      <c r="E44" s="28">
        <f>E42/MWh_per_MMBtu/D22</f>
        <v>6.7996499999999997</v>
      </c>
    </row>
    <row r="47" spans="1:10" x14ac:dyDescent="0.2">
      <c r="E47" s="28">
        <f>D23*D22*MWh_per_MMBtu</f>
        <v>0.76474524424051238</v>
      </c>
    </row>
  </sheetData>
  <mergeCells count="9">
    <mergeCell ref="A34:H34"/>
    <mergeCell ref="I34:J34"/>
    <mergeCell ref="A33:H33"/>
    <mergeCell ref="I33:J33"/>
    <mergeCell ref="A29:M29"/>
    <mergeCell ref="A30:H30"/>
    <mergeCell ref="A31:H31"/>
    <mergeCell ref="I30:J30"/>
    <mergeCell ref="A32:H32"/>
  </mergeCells>
  <hyperlinks>
    <hyperlink ref="P7" r:id="rId1" display="https://www.eia.gov/dnav/ng/hist/rngwhhdd.htm" xr:uid="{67B84F9F-2699-C042-9C7F-47A9ABA16E0F}"/>
    <hyperlink ref="P8" r:id="rId2" xr:uid="{C837FB26-368C-9D46-9575-7821F354B093}"/>
    <hyperlink ref="Q8" r:id="rId3" xr:uid="{77B999BF-DC62-D045-B6D3-1A0BC2EB35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0152D-4E73-214E-B7B7-9A2541A1E96D}">
  <dimension ref="A1:K24"/>
  <sheetViews>
    <sheetView zoomScale="125" workbookViewId="0">
      <selection activeCell="B13" sqref="B13"/>
    </sheetView>
  </sheetViews>
  <sheetFormatPr baseColWidth="10" defaultRowHeight="16" x14ac:dyDescent="0.2"/>
  <cols>
    <col min="1" max="1" width="44.1640625" style="28" customWidth="1"/>
    <col min="2" max="2" width="21" style="28" customWidth="1"/>
    <col min="3" max="3" width="30.33203125" style="28" customWidth="1"/>
    <col min="4" max="4" width="4.6640625" style="28" customWidth="1"/>
    <col min="5" max="5" width="33.1640625" style="28" customWidth="1"/>
    <col min="6" max="7" width="28.1640625" style="28" customWidth="1"/>
    <col min="8" max="8" width="5" style="28" customWidth="1"/>
    <col min="9" max="9" width="38.5" style="28" customWidth="1"/>
    <col min="10" max="10" width="16.1640625" style="28" customWidth="1"/>
    <col min="11" max="11" width="22.33203125" style="28" customWidth="1"/>
    <col min="12" max="16384" width="10.83203125" style="28"/>
  </cols>
  <sheetData>
    <row r="1" spans="1:11" ht="40" customHeight="1" x14ac:dyDescent="0.2">
      <c r="A1" s="56" t="s">
        <v>72</v>
      </c>
      <c r="B1" s="56"/>
      <c r="C1" s="56"/>
      <c r="E1" s="57" t="s">
        <v>73</v>
      </c>
      <c r="F1" s="57"/>
      <c r="G1" s="57"/>
      <c r="I1" s="58" t="s">
        <v>74</v>
      </c>
      <c r="J1" s="58"/>
      <c r="K1" s="58"/>
    </row>
    <row r="2" spans="1:11" x14ac:dyDescent="0.2">
      <c r="A2" s="28" t="s">
        <v>75</v>
      </c>
      <c r="B2" s="28">
        <v>279.12599999999998</v>
      </c>
      <c r="C2" s="28" t="s">
        <v>76</v>
      </c>
      <c r="E2" s="28" t="s">
        <v>77</v>
      </c>
      <c r="F2" s="28">
        <v>115</v>
      </c>
      <c r="G2" s="28" t="s">
        <v>78</v>
      </c>
      <c r="I2" s="28" t="s">
        <v>79</v>
      </c>
      <c r="J2" s="28">
        <v>4000</v>
      </c>
      <c r="K2" s="28" t="s">
        <v>80</v>
      </c>
    </row>
    <row r="3" spans="1:11" x14ac:dyDescent="0.2">
      <c r="A3" s="28" t="s">
        <v>81</v>
      </c>
      <c r="B3" s="28">
        <v>10</v>
      </c>
      <c r="C3" s="28" t="s">
        <v>82</v>
      </c>
      <c r="E3" s="28" t="s">
        <v>83</v>
      </c>
      <c r="F3" s="28">
        <v>103.5</v>
      </c>
      <c r="G3" s="28" t="s">
        <v>84</v>
      </c>
      <c r="I3" s="28" t="s">
        <v>85</v>
      </c>
      <c r="J3" s="28">
        <v>21</v>
      </c>
      <c r="K3" s="28" t="s">
        <v>86</v>
      </c>
    </row>
    <row r="4" spans="1:11" x14ac:dyDescent="0.2">
      <c r="A4" s="28" t="s">
        <v>87</v>
      </c>
      <c r="B4" s="28">
        <f>B2*B3</f>
        <v>2791.2599999999998</v>
      </c>
      <c r="C4" s="28" t="s">
        <v>88</v>
      </c>
      <c r="E4" s="28" t="s">
        <v>89</v>
      </c>
      <c r="F4" s="28">
        <v>0</v>
      </c>
      <c r="G4" s="28" t="s">
        <v>80</v>
      </c>
    </row>
    <row r="5" spans="1:11" x14ac:dyDescent="0.2">
      <c r="A5" s="28" t="s">
        <v>90</v>
      </c>
      <c r="B5" s="28">
        <v>7</v>
      </c>
      <c r="C5" s="28" t="s">
        <v>91</v>
      </c>
      <c r="E5" s="28" t="s">
        <v>92</v>
      </c>
      <c r="F5" s="28">
        <v>290</v>
      </c>
      <c r="G5" s="28" t="s">
        <v>80</v>
      </c>
    </row>
    <row r="6" spans="1:11" x14ac:dyDescent="0.2">
      <c r="A6" s="28" t="s">
        <v>93</v>
      </c>
      <c r="B6" s="28">
        <v>11</v>
      </c>
      <c r="C6" s="28" t="s">
        <v>91</v>
      </c>
      <c r="E6" s="28" t="s">
        <v>94</v>
      </c>
      <c r="F6" s="28">
        <v>1040</v>
      </c>
      <c r="G6" s="28" t="s">
        <v>80</v>
      </c>
    </row>
    <row r="7" spans="1:11" x14ac:dyDescent="0.2">
      <c r="A7" s="28" t="s">
        <v>95</v>
      </c>
      <c r="B7" s="28">
        <f>0.05*0.8</f>
        <v>4.0000000000000008E-2</v>
      </c>
      <c r="E7" s="28" t="s">
        <v>90</v>
      </c>
      <c r="F7" s="28">
        <v>7</v>
      </c>
      <c r="G7" s="28" t="s">
        <v>91</v>
      </c>
    </row>
    <row r="8" spans="1:11" x14ac:dyDescent="0.2">
      <c r="A8" s="28" t="s">
        <v>96</v>
      </c>
      <c r="B8" s="28">
        <v>22</v>
      </c>
      <c r="C8" s="28" t="s">
        <v>97</v>
      </c>
      <c r="E8" s="28" t="s">
        <v>93</v>
      </c>
      <c r="F8" s="28">
        <v>11</v>
      </c>
      <c r="G8" s="28" t="s">
        <v>91</v>
      </c>
    </row>
    <row r="9" spans="1:11" x14ac:dyDescent="0.2">
      <c r="A9" s="28" t="s">
        <v>98</v>
      </c>
      <c r="B9" s="28">
        <f>B8*B4*1000</f>
        <v>61407719.999999993</v>
      </c>
      <c r="C9" s="28" t="s">
        <v>99</v>
      </c>
      <c r="E9" s="28" t="s">
        <v>95</v>
      </c>
      <c r="F9" s="28">
        <f>0.05*0.8</f>
        <v>4.0000000000000008E-2</v>
      </c>
    </row>
    <row r="10" spans="1:11" x14ac:dyDescent="0.2">
      <c r="A10" s="28" t="s">
        <v>100</v>
      </c>
      <c r="B10" s="28">
        <f>B9+B9*B5/100</f>
        <v>65706260.399999991</v>
      </c>
      <c r="C10" s="28" t="s">
        <v>99</v>
      </c>
      <c r="E10" s="28" t="s">
        <v>101</v>
      </c>
      <c r="F10" s="28">
        <f>F5*F2*1000+F6*F2*1000</f>
        <v>152950000</v>
      </c>
      <c r="G10" s="28" t="s">
        <v>99</v>
      </c>
    </row>
    <row r="11" spans="1:11" x14ac:dyDescent="0.2">
      <c r="A11" s="28" t="s">
        <v>102</v>
      </c>
      <c r="B11" s="28">
        <f>B10*(B6/100+B7+1)</f>
        <v>75562199.459999979</v>
      </c>
      <c r="C11" s="28" t="s">
        <v>99</v>
      </c>
      <c r="E11" s="28" t="s">
        <v>103</v>
      </c>
      <c r="F11" s="28">
        <f>F10*(1+F7/100)</f>
        <v>163656500</v>
      </c>
      <c r="G11" s="28" t="s">
        <v>99</v>
      </c>
    </row>
    <row r="12" spans="1:11" x14ac:dyDescent="0.2">
      <c r="E12" s="28" t="s">
        <v>104</v>
      </c>
      <c r="F12" s="28">
        <f>F11*(1+F8/100+F9)</f>
        <v>188204975.00000003</v>
      </c>
      <c r="G12" s="28" t="s">
        <v>99</v>
      </c>
    </row>
    <row r="13" spans="1:11" x14ac:dyDescent="0.2">
      <c r="A13" s="28" t="s">
        <v>105</v>
      </c>
      <c r="B13" s="28">
        <f>B11/F3/10/1000</f>
        <v>73.006955999999974</v>
      </c>
      <c r="C13" s="28" t="s">
        <v>99</v>
      </c>
      <c r="E13" s="28" t="s">
        <v>106</v>
      </c>
      <c r="F13" s="28">
        <f>F12/F3/1000</f>
        <v>1818.4055555555558</v>
      </c>
      <c r="G13" s="28" t="s">
        <v>99</v>
      </c>
      <c r="I13" s="28" t="s">
        <v>106</v>
      </c>
      <c r="J13" s="28">
        <f>J2-F13</f>
        <v>2181.594444444444</v>
      </c>
      <c r="K13" s="28" t="s">
        <v>99</v>
      </c>
    </row>
    <row r="14" spans="1:11" x14ac:dyDescent="0.2">
      <c r="A14" s="28" t="s">
        <v>107</v>
      </c>
      <c r="B14" s="28">
        <f>B11/B4/1000</f>
        <v>27.070999999999998</v>
      </c>
      <c r="C14" s="28" t="s">
        <v>99</v>
      </c>
      <c r="E14" s="28" t="s">
        <v>108</v>
      </c>
      <c r="F14" s="28" t="s">
        <v>108</v>
      </c>
      <c r="G14" s="28" t="s">
        <v>108</v>
      </c>
      <c r="I14" s="28" t="s">
        <v>109</v>
      </c>
      <c r="J14" s="28">
        <f>J13*F22*B22</f>
        <v>808.93583901177237</v>
      </c>
      <c r="K14" s="28" t="s">
        <v>99</v>
      </c>
    </row>
    <row r="15" spans="1:11" x14ac:dyDescent="0.2">
      <c r="A15" s="28" t="s">
        <v>110</v>
      </c>
      <c r="B15" s="28">
        <v>30</v>
      </c>
      <c r="C15" s="28" t="s">
        <v>111</v>
      </c>
      <c r="E15" s="28" t="s">
        <v>110</v>
      </c>
      <c r="F15" s="28">
        <v>30</v>
      </c>
      <c r="G15" s="28" t="s">
        <v>111</v>
      </c>
      <c r="I15" s="28" t="s">
        <v>110</v>
      </c>
      <c r="J15" s="28">
        <v>40</v>
      </c>
      <c r="K15" s="28" t="s">
        <v>111</v>
      </c>
    </row>
    <row r="16" spans="1:11" x14ac:dyDescent="0.2">
      <c r="A16" s="28" t="s">
        <v>112</v>
      </c>
      <c r="B16" s="28">
        <v>8.0586403511111196E-2</v>
      </c>
      <c r="C16" s="28" t="s">
        <v>91</v>
      </c>
      <c r="E16" s="28" t="s">
        <v>112</v>
      </c>
      <c r="F16" s="28">
        <v>8.0586403511111196E-2</v>
      </c>
      <c r="G16" s="28" t="s">
        <v>91</v>
      </c>
      <c r="I16" s="28" t="s">
        <v>112</v>
      </c>
      <c r="J16" s="28">
        <v>7.5009138873610326E-2</v>
      </c>
    </row>
    <row r="17" spans="1:11" x14ac:dyDescent="0.2">
      <c r="A17" s="28" t="s">
        <v>113</v>
      </c>
      <c r="B17" s="28">
        <v>0</v>
      </c>
      <c r="C17" s="28" t="s">
        <v>114</v>
      </c>
      <c r="E17" s="28" t="s">
        <v>113</v>
      </c>
      <c r="F17" s="28">
        <v>33</v>
      </c>
      <c r="G17" s="28" t="s">
        <v>114</v>
      </c>
      <c r="I17" s="28" t="s">
        <v>113</v>
      </c>
      <c r="J17" s="28">
        <f>(J3*8760/1000-F17)*F22*B22</f>
        <v>55.976010833816993</v>
      </c>
      <c r="K17" s="28" t="s">
        <v>115</v>
      </c>
    </row>
    <row r="18" spans="1:11" x14ac:dyDescent="0.2">
      <c r="A18" s="28" t="s">
        <v>116</v>
      </c>
      <c r="B18" s="28">
        <f>B14*B16+B17</f>
        <v>2.1815545294492908</v>
      </c>
      <c r="C18" s="28" t="s">
        <v>114</v>
      </c>
      <c r="E18" s="28" t="s">
        <v>116</v>
      </c>
      <c r="F18" s="28">
        <f>F13*F16+F17</f>
        <v>179.53876384684634</v>
      </c>
      <c r="G18" s="28" t="s">
        <v>114</v>
      </c>
      <c r="I18" s="28" t="s">
        <v>116</v>
      </c>
      <c r="J18" s="28">
        <f>J14*J16+J17</f>
        <v>116.65359152209152</v>
      </c>
      <c r="K18" s="28" t="s">
        <v>115</v>
      </c>
    </row>
    <row r="19" spans="1:11" x14ac:dyDescent="0.2">
      <c r="A19" s="28" t="s">
        <v>117</v>
      </c>
      <c r="B19" s="28">
        <f>B18/8760*1000</f>
        <v>0.24903590518827523</v>
      </c>
      <c r="C19" s="28" t="s">
        <v>118</v>
      </c>
      <c r="E19" s="28" t="s">
        <v>117</v>
      </c>
      <c r="F19" s="28">
        <f>F18/8760*1000</f>
        <v>20.495292676580632</v>
      </c>
      <c r="G19" s="28" t="s">
        <v>118</v>
      </c>
      <c r="I19" s="28" t="s">
        <v>117</v>
      </c>
      <c r="J19" s="28">
        <f>J18/8760*1000</f>
        <v>13.316620036768439</v>
      </c>
      <c r="K19" s="28" t="s">
        <v>118</v>
      </c>
    </row>
    <row r="20" spans="1:11" x14ac:dyDescent="0.2">
      <c r="A20" s="46" t="s">
        <v>119</v>
      </c>
      <c r="B20" s="46">
        <f>B19/1000</f>
        <v>2.4903590518827524E-4</v>
      </c>
      <c r="C20" s="46" t="s">
        <v>120</v>
      </c>
      <c r="E20" s="46" t="s">
        <v>119</v>
      </c>
      <c r="F20" s="46">
        <f>F19/1000</f>
        <v>2.0495292676580634E-2</v>
      </c>
      <c r="G20" s="46" t="s">
        <v>121</v>
      </c>
      <c r="I20" s="46" t="s">
        <v>119</v>
      </c>
      <c r="J20" s="46">
        <f>J19/1000</f>
        <v>1.3316620036768438E-2</v>
      </c>
      <c r="K20" s="46" t="s">
        <v>121</v>
      </c>
    </row>
    <row r="22" spans="1:11" x14ac:dyDescent="0.2">
      <c r="A22" s="28" t="s">
        <v>23</v>
      </c>
      <c r="B22" s="28">
        <v>1</v>
      </c>
      <c r="E22" s="28" t="s">
        <v>23</v>
      </c>
      <c r="F22" s="28">
        <f>F3/B2</f>
        <v>0.37080028374282586</v>
      </c>
    </row>
    <row r="24" spans="1:11" s="37" customFormat="1" ht="34" x14ac:dyDescent="0.2">
      <c r="A24" s="47" t="s">
        <v>122</v>
      </c>
      <c r="B24" s="48">
        <v>2.0238600000000001E-4</v>
      </c>
      <c r="C24" s="48"/>
      <c r="D24" s="48"/>
      <c r="E24" s="48"/>
      <c r="F24" s="48">
        <v>2.0450474E-2</v>
      </c>
      <c r="G24" s="48"/>
      <c r="H24" s="48"/>
      <c r="I24" s="48"/>
      <c r="J24" s="48">
        <v>1.3498944000000001E-2</v>
      </c>
    </row>
  </sheetData>
  <mergeCells count="3">
    <mergeCell ref="A1:C1"/>
    <mergeCell ref="E1:G1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89738-6C80-4948-ACFD-8AF97CD34964}">
  <dimension ref="A1:K27"/>
  <sheetViews>
    <sheetView topLeftCell="A8" zoomScaleNormal="100" workbookViewId="0">
      <selection activeCell="N20" sqref="N20"/>
    </sheetView>
  </sheetViews>
  <sheetFormatPr baseColWidth="10" defaultRowHeight="16" x14ac:dyDescent="0.2"/>
  <cols>
    <col min="1" max="1" width="28.6640625" style="1" customWidth="1"/>
    <col min="2" max="2" width="13.1640625" style="1" customWidth="1"/>
    <col min="3" max="3" width="13.83203125" style="1" customWidth="1"/>
    <col min="4" max="4" width="14.1640625" style="1" bestFit="1" customWidth="1"/>
    <col min="5" max="5" width="13.6640625" style="1" customWidth="1"/>
    <col min="6" max="6" width="15" style="1" customWidth="1"/>
    <col min="7" max="8" width="0" style="1" hidden="1" customWidth="1"/>
    <col min="9" max="9" width="12.33203125" style="1" customWidth="1"/>
    <col min="10" max="10" width="10.83203125" style="1"/>
    <col min="11" max="11" width="16.5" style="1" customWidth="1"/>
    <col min="12" max="12" width="9.83203125" style="1" customWidth="1"/>
    <col min="13" max="13" width="11" style="1" customWidth="1"/>
    <col min="14" max="14" width="12" style="1" customWidth="1"/>
    <col min="15" max="16384" width="10.83203125" style="1"/>
  </cols>
  <sheetData>
    <row r="1" spans="1:11" ht="75" customHeight="1" x14ac:dyDescent="0.3">
      <c r="A1" s="19" t="s">
        <v>58</v>
      </c>
    </row>
    <row r="2" spans="1:11" ht="57" customHeight="1" x14ac:dyDescent="0.3">
      <c r="A2" s="19" t="s">
        <v>59</v>
      </c>
    </row>
    <row r="3" spans="1:11" ht="17" customHeight="1" x14ac:dyDescent="0.3">
      <c r="A3" s="19"/>
    </row>
    <row r="5" spans="1:11" ht="34" x14ac:dyDescent="0.2">
      <c r="A5" s="2" t="s">
        <v>15</v>
      </c>
      <c r="B5" s="1" t="s">
        <v>16</v>
      </c>
      <c r="C5" s="1" t="s">
        <v>17</v>
      </c>
      <c r="D5" s="1" t="s">
        <v>18</v>
      </c>
      <c r="E5" s="1" t="s">
        <v>19</v>
      </c>
      <c r="F5" s="1" t="str">
        <f>HYPERLINK("https://www.eia.gov/electricity/annual/html/epa_08_04.html","EIA, EPA2018, Table 8.4")</f>
        <v>EIA, EPA2018, Table 8.4</v>
      </c>
    </row>
    <row r="6" spans="1:11" ht="34" x14ac:dyDescent="0.2">
      <c r="A6" s="1" t="s">
        <v>20</v>
      </c>
    </row>
    <row r="7" spans="1:11" ht="51" x14ac:dyDescent="0.2">
      <c r="A7" s="20" t="s">
        <v>57</v>
      </c>
      <c r="B7" s="8"/>
      <c r="C7" s="8"/>
      <c r="D7" s="8"/>
      <c r="E7" s="8"/>
      <c r="F7" s="8"/>
      <c r="J7" s="2" t="s">
        <v>38</v>
      </c>
    </row>
    <row r="8" spans="1:11" s="7" customFormat="1" ht="80" x14ac:dyDescent="0.2">
      <c r="A8" s="21" t="s">
        <v>36</v>
      </c>
      <c r="B8" s="22">
        <f>1055.05585262/3600</f>
        <v>0.29307107017222223</v>
      </c>
      <c r="C8" s="23" t="s">
        <v>37</v>
      </c>
      <c r="J8" s="7" t="s">
        <v>39</v>
      </c>
      <c r="K8" s="17" t="str">
        <f>HYPERLINK("https://www.eia.gov/outlooks/aeo/assumptions/pdf/electricity.pdf","EIA, AEO2020, Electricity Market Module, Table 2")</f>
        <v>EIA, AEO2020, Electricity Market Module, Table 2</v>
      </c>
    </row>
    <row r="9" spans="1:11" s="7" customFormat="1" ht="34" x14ac:dyDescent="0.2">
      <c r="A9" s="24"/>
      <c r="J9" s="7" t="s">
        <v>40</v>
      </c>
      <c r="K9" s="16" t="str">
        <f>HYPERLINK("https://www.lazard.com/media/451087/lazards-levelized-cost-of-storage-version-50-vf.pdf","Lazard 2019")</f>
        <v>Lazard 2019</v>
      </c>
    </row>
    <row r="10" spans="1:11" ht="70" x14ac:dyDescent="0.3">
      <c r="A10" s="25" t="s">
        <v>27</v>
      </c>
      <c r="J10" s="1" t="s">
        <v>42</v>
      </c>
      <c r="K10" s="16" t="str">
        <f>HYPERLINK("https://www.eia.gov/outlooks/aeo/assumptions/pdf/commercial.pdf","EIA, AEO2020, Commercial Demand Module, Table 3")</f>
        <v>EIA, AEO2020, Commercial Demand Module, Table 3</v>
      </c>
    </row>
    <row r="11" spans="1:11" ht="34" x14ac:dyDescent="0.2">
      <c r="A11" s="2" t="s">
        <v>9</v>
      </c>
      <c r="B11" s="1">
        <v>7.0000000000000007E-2</v>
      </c>
      <c r="D11" s="2" t="s">
        <v>22</v>
      </c>
      <c r="E11" s="1">
        <v>3412.141633127942</v>
      </c>
      <c r="J11" s="1" t="s">
        <v>43</v>
      </c>
      <c r="K11" s="16" t="str">
        <f>HYPERLINK("https://www.eia.gov/todayinenergy/detail.php?id=19091","EIA, 2014; NRC, 2018")</f>
        <v>EIA, 2014; NRC, 2018</v>
      </c>
    </row>
    <row r="12" spans="1:11" ht="34" x14ac:dyDescent="0.2">
      <c r="A12" s="2" t="s">
        <v>13</v>
      </c>
      <c r="B12" s="1">
        <v>8760</v>
      </c>
      <c r="J12" s="1" t="s">
        <v>49</v>
      </c>
      <c r="K12" s="16" t="str">
        <f>HYPERLINK("https://www.eia.gov/electricity/annual/html/epa_08_04.html","EIA, EPA2018, Table 8.4")</f>
        <v>EIA, EPA2018, Table 8.4</v>
      </c>
    </row>
    <row r="13" spans="1:11" ht="51" x14ac:dyDescent="0.2">
      <c r="A13" s="1" t="s">
        <v>1</v>
      </c>
      <c r="B13" s="15" t="s">
        <v>5</v>
      </c>
      <c r="C13" s="15" t="s">
        <v>6</v>
      </c>
      <c r="D13" s="15" t="s">
        <v>4</v>
      </c>
      <c r="E13" s="15" t="s">
        <v>0</v>
      </c>
      <c r="F13" s="15" t="s">
        <v>14</v>
      </c>
      <c r="G13" s="2" t="s">
        <v>10</v>
      </c>
      <c r="H13" s="1" t="s">
        <v>11</v>
      </c>
      <c r="I13" s="1" t="s">
        <v>25</v>
      </c>
      <c r="J13" s="1" t="s">
        <v>50</v>
      </c>
      <c r="K13" s="16" t="str">
        <f>HYPERLINK("https://www.eia.gov/dnav/ng/hist/rngwhhdd.htm","Henry Hub")</f>
        <v>Henry Hub</v>
      </c>
    </row>
    <row r="14" spans="1:11" ht="46" customHeight="1" x14ac:dyDescent="0.2">
      <c r="A14" s="2" t="s">
        <v>62</v>
      </c>
      <c r="B14" s="1">
        <v>1319</v>
      </c>
      <c r="C14" s="1">
        <v>1331</v>
      </c>
      <c r="D14" s="1">
        <v>6317</v>
      </c>
      <c r="E14" s="1">
        <v>2569</v>
      </c>
      <c r="F14" s="7">
        <f>347/SQRT(0.9)</f>
        <v>365.77011602614255</v>
      </c>
      <c r="G14" s="26">
        <v>1657</v>
      </c>
      <c r="I14" s="1" t="s">
        <v>46</v>
      </c>
    </row>
    <row r="15" spans="1:11" ht="46" customHeight="1" x14ac:dyDescent="0.2">
      <c r="A15" s="1" t="s">
        <v>3</v>
      </c>
      <c r="B15" s="1">
        <v>26.22</v>
      </c>
      <c r="C15" s="1">
        <v>15.19</v>
      </c>
      <c r="D15" s="1">
        <v>121.13</v>
      </c>
      <c r="E15" s="1">
        <v>27.48</v>
      </c>
      <c r="F15" s="7">
        <f>(0.025+0.008)*F14+0.25</f>
        <v>12.320413828862705</v>
      </c>
      <c r="G15" s="26">
        <v>47.47</v>
      </c>
      <c r="I15" s="1" t="s">
        <v>41</v>
      </c>
    </row>
    <row r="16" spans="1:11" ht="46" customHeight="1" x14ac:dyDescent="0.2">
      <c r="A16" s="1" t="s">
        <v>7</v>
      </c>
      <c r="B16" s="1">
        <v>25</v>
      </c>
      <c r="C16" s="1">
        <v>25</v>
      </c>
      <c r="D16" s="1">
        <v>40</v>
      </c>
      <c r="E16" s="1">
        <v>30</v>
      </c>
      <c r="F16" s="1">
        <v>10</v>
      </c>
      <c r="G16" s="1">
        <v>30</v>
      </c>
      <c r="I16" s="1" t="s">
        <v>44</v>
      </c>
    </row>
    <row r="17" spans="1:9" ht="50" customHeight="1" x14ac:dyDescent="0.2">
      <c r="A17" s="1" t="s">
        <v>33</v>
      </c>
      <c r="B17" s="6">
        <f t="shared" ref="B17:G17" si="0">Discount_rate*(1+Discount_rate)^B16/((1+Discount_rate)^B16-1)</f>
        <v>8.5810517220665614E-2</v>
      </c>
      <c r="C17" s="6">
        <f t="shared" si="0"/>
        <v>8.5810517220665614E-2</v>
      </c>
      <c r="D17" s="6">
        <f t="shared" si="0"/>
        <v>7.5009138873610326E-2</v>
      </c>
      <c r="E17" s="6">
        <f t="shared" si="0"/>
        <v>8.0586403511111196E-2</v>
      </c>
      <c r="F17" s="6">
        <f t="shared" si="0"/>
        <v>0.14237750272736471</v>
      </c>
      <c r="G17" s="1">
        <f t="shared" si="0"/>
        <v>8.0586403511111196E-2</v>
      </c>
    </row>
    <row r="18" spans="1:9" ht="17" x14ac:dyDescent="0.2">
      <c r="A18" s="1" t="s">
        <v>8</v>
      </c>
      <c r="B18" s="1">
        <f>B14*B17+B15</f>
        <v>139.40407221405795</v>
      </c>
      <c r="C18" s="1">
        <f t="shared" ref="C18:G18" si="1">C14*C17+C15</f>
        <v>129.40379842070593</v>
      </c>
      <c r="D18" s="1">
        <f t="shared" si="1"/>
        <v>594.96273026459642</v>
      </c>
      <c r="E18" s="1">
        <f t="shared" si="1"/>
        <v>234.50647062004464</v>
      </c>
      <c r="F18" s="1">
        <f t="shared" si="1"/>
        <v>64.397849520963319</v>
      </c>
      <c r="G18" s="1">
        <f t="shared" si="1"/>
        <v>181.00167061791126</v>
      </c>
    </row>
    <row r="19" spans="1:9" ht="17" x14ac:dyDescent="0.2">
      <c r="A19" s="1" t="s">
        <v>12</v>
      </c>
      <c r="B19" s="8">
        <f t="shared" ref="B19:G19" si="2">B18/HOURS_PER_YEAR*1000</f>
        <v>15.913706873750908</v>
      </c>
      <c r="C19" s="8">
        <f t="shared" si="2"/>
        <v>14.772123107386522</v>
      </c>
      <c r="D19" s="8">
        <f t="shared" si="2"/>
        <v>67.918119893218773</v>
      </c>
      <c r="E19" s="8">
        <f t="shared" si="2"/>
        <v>26.770145047950301</v>
      </c>
      <c r="F19" s="8">
        <f t="shared" si="2"/>
        <v>7.3513526850414754</v>
      </c>
      <c r="G19" s="1">
        <f t="shared" si="2"/>
        <v>20.662291166428226</v>
      </c>
    </row>
    <row r="20" spans="1:9" ht="48" customHeight="1" x14ac:dyDescent="0.2">
      <c r="A20" s="1" t="s">
        <v>2</v>
      </c>
      <c r="B20" s="1">
        <v>0</v>
      </c>
      <c r="C20" s="1">
        <v>0</v>
      </c>
      <c r="D20" s="1">
        <v>2.36</v>
      </c>
      <c r="E20" s="1">
        <v>5.82</v>
      </c>
      <c r="I20" s="1" t="s">
        <v>47</v>
      </c>
    </row>
    <row r="21" spans="1:9" ht="34" x14ac:dyDescent="0.2">
      <c r="A21" s="1" t="s">
        <v>21</v>
      </c>
      <c r="D21" s="1">
        <v>10461</v>
      </c>
      <c r="E21" s="1">
        <v>7124</v>
      </c>
      <c r="I21" s="1" t="s">
        <v>45</v>
      </c>
    </row>
    <row r="22" spans="1:9" ht="51" x14ac:dyDescent="0.2">
      <c r="A22" s="1" t="s">
        <v>23</v>
      </c>
      <c r="D22" s="1">
        <f>Btu_per_kWh/D21</f>
        <v>0.32617738582620609</v>
      </c>
      <c r="E22" s="1">
        <f>Btu_per_kWh/E21</f>
        <v>0.47896429437506205</v>
      </c>
      <c r="I22" s="1" t="s">
        <v>48</v>
      </c>
    </row>
    <row r="23" spans="1:9" ht="77" customHeight="1" x14ac:dyDescent="0.2">
      <c r="A23" s="1" t="s">
        <v>24</v>
      </c>
      <c r="D23" s="7">
        <v>7.15</v>
      </c>
      <c r="E23" s="7">
        <f>3/B8/E22</f>
        <v>21.372</v>
      </c>
      <c r="I23" s="1" t="s">
        <v>51</v>
      </c>
    </row>
    <row r="24" spans="1:9" ht="17" x14ac:dyDescent="0.2">
      <c r="A24" s="1" t="s">
        <v>26</v>
      </c>
      <c r="D24" s="9">
        <f>D20+D23</f>
        <v>9.51</v>
      </c>
      <c r="E24" s="8">
        <f>E20+E23</f>
        <v>27.192</v>
      </c>
    </row>
    <row r="26" spans="1:9" customFormat="1" x14ac:dyDescent="0.2">
      <c r="A26" s="27"/>
    </row>
    <row r="27" spans="1:9" customFormat="1" x14ac:dyDescent="0.2">
      <c r="A27" s="27"/>
    </row>
  </sheetData>
  <hyperlinks>
    <hyperlink ref="K13" r:id="rId1" display="https://www.eia.gov/dnav/ng/hist/rngwhhdd.htm" xr:uid="{4DB904BA-9B67-3F41-A5AF-FED0E0C6809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7E836-CE3B-9F4F-A56A-BC45437D1246}">
  <dimension ref="A1:K30"/>
  <sheetViews>
    <sheetView topLeftCell="A13" zoomScale="133" workbookViewId="0">
      <selection activeCell="C13" sqref="C13"/>
    </sheetView>
  </sheetViews>
  <sheetFormatPr baseColWidth="10" defaultRowHeight="16" x14ac:dyDescent="0.2"/>
  <cols>
    <col min="1" max="1" width="12.83203125" customWidth="1"/>
    <col min="2" max="2" width="20" customWidth="1"/>
    <col min="3" max="3" width="26.83203125" customWidth="1"/>
    <col min="4" max="6" width="11.6640625" bestFit="1" customWidth="1"/>
    <col min="7" max="7" width="25.83203125" customWidth="1"/>
  </cols>
  <sheetData>
    <row r="1" spans="1:11" ht="51" x14ac:dyDescent="0.2">
      <c r="A1" s="2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tr">
        <f>HYPERLINK("https://www.eia.gov/electricity/annual/html/epa_08_04.html","EIA, EPA2018, Table 8.4")</f>
        <v>EIA, EPA2018, Table 8.4</v>
      </c>
      <c r="G1" s="1"/>
      <c r="H1" s="1"/>
      <c r="I1" s="1"/>
      <c r="J1" s="1"/>
      <c r="K1" s="1"/>
    </row>
    <row r="2" spans="1:11" x14ac:dyDescent="0.2">
      <c r="A2" s="3" t="s">
        <v>20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">
      <c r="A3" s="10" t="s">
        <v>35</v>
      </c>
      <c r="B3" s="8"/>
      <c r="C3" s="8"/>
      <c r="D3" s="8"/>
      <c r="E3" s="8"/>
      <c r="F3" s="8"/>
      <c r="G3" s="1"/>
      <c r="H3" s="1"/>
      <c r="I3" s="1"/>
      <c r="J3" s="2"/>
      <c r="K3" s="1"/>
    </row>
    <row r="4" spans="1:11" x14ac:dyDescent="0.2">
      <c r="A4" s="12" t="s">
        <v>36</v>
      </c>
      <c r="B4" s="13">
        <f>1055.05585262/3600</f>
        <v>0.29307107017222223</v>
      </c>
      <c r="C4" s="14" t="s">
        <v>37</v>
      </c>
      <c r="D4" s="7"/>
      <c r="E4" s="7"/>
      <c r="F4" s="7"/>
      <c r="G4" s="7"/>
      <c r="H4" s="7"/>
      <c r="I4" s="7"/>
      <c r="J4" s="7"/>
      <c r="K4" s="17"/>
    </row>
    <row r="5" spans="1:11" x14ac:dyDescent="0.2">
      <c r="A5" s="11"/>
      <c r="B5" s="7"/>
      <c r="C5" s="7"/>
      <c r="D5" s="7"/>
      <c r="E5" s="7"/>
      <c r="F5" s="7"/>
      <c r="G5" s="7"/>
      <c r="H5" s="7"/>
      <c r="I5" s="7"/>
      <c r="J5" s="7"/>
      <c r="K5" s="16"/>
    </row>
    <row r="6" spans="1:11" ht="26" x14ac:dyDescent="0.3">
      <c r="A6" s="4" t="s">
        <v>55</v>
      </c>
      <c r="B6" s="1"/>
      <c r="C6" s="1"/>
      <c r="D6" s="1"/>
      <c r="E6" s="1"/>
      <c r="F6" s="1"/>
      <c r="G6" s="1"/>
      <c r="H6" s="1"/>
      <c r="I6" s="1"/>
      <c r="J6" s="1"/>
      <c r="K6" s="16"/>
    </row>
    <row r="7" spans="1:11" ht="17" x14ac:dyDescent="0.2">
      <c r="A7" s="2" t="s">
        <v>9</v>
      </c>
      <c r="B7" s="1">
        <v>7.0000000000000007E-2</v>
      </c>
      <c r="C7" s="1"/>
      <c r="D7" s="2" t="s">
        <v>22</v>
      </c>
      <c r="E7" s="1">
        <v>3412.141633127942</v>
      </c>
      <c r="F7" s="1"/>
      <c r="G7" s="1"/>
      <c r="H7" s="1"/>
      <c r="I7" s="1"/>
      <c r="J7" s="1"/>
      <c r="K7" s="16"/>
    </row>
    <row r="8" spans="1:11" ht="34" x14ac:dyDescent="0.2">
      <c r="A8" s="2" t="s">
        <v>13</v>
      </c>
      <c r="B8" s="1">
        <v>8760</v>
      </c>
      <c r="C8" s="1"/>
      <c r="D8" s="1"/>
      <c r="E8" s="1"/>
      <c r="F8" s="1"/>
      <c r="G8" s="1"/>
      <c r="H8" s="1"/>
      <c r="I8" s="1"/>
      <c r="J8" s="1"/>
      <c r="K8" s="16"/>
    </row>
    <row r="9" spans="1:11" ht="34" x14ac:dyDescent="0.2">
      <c r="A9" s="1" t="s">
        <v>1</v>
      </c>
      <c r="B9" s="15" t="s">
        <v>14</v>
      </c>
      <c r="C9" s="2" t="s">
        <v>52</v>
      </c>
      <c r="D9" s="1" t="s">
        <v>25</v>
      </c>
      <c r="E9" s="1"/>
      <c r="F9" s="1"/>
      <c r="G9" s="16"/>
    </row>
    <row r="10" spans="1:11" ht="68" x14ac:dyDescent="0.2">
      <c r="A10" s="2" t="s">
        <v>56</v>
      </c>
      <c r="B10" s="7">
        <f>1383/4/SQRT(0.9)</f>
        <v>364.45250033440573</v>
      </c>
      <c r="C10" s="18" t="s">
        <v>54</v>
      </c>
      <c r="D10" s="1" t="s">
        <v>53</v>
      </c>
      <c r="E10" s="3"/>
      <c r="F10" s="1"/>
      <c r="G10" s="1"/>
    </row>
    <row r="11" spans="1:11" ht="68" x14ac:dyDescent="0.2">
      <c r="A11" s="1" t="s">
        <v>3</v>
      </c>
      <c r="B11" s="7">
        <f>24.7/SQRT(0.9)</f>
        <v>26.036086068719655</v>
      </c>
      <c r="C11" s="18" t="s">
        <v>54</v>
      </c>
      <c r="D11" s="1" t="s">
        <v>53</v>
      </c>
      <c r="E11" s="3"/>
      <c r="F11" s="1"/>
      <c r="G11" s="1"/>
    </row>
    <row r="12" spans="1:11" ht="68" x14ac:dyDescent="0.2">
      <c r="A12" s="1" t="s">
        <v>7</v>
      </c>
      <c r="B12" s="1">
        <v>10</v>
      </c>
      <c r="C12" s="18" t="s">
        <v>54</v>
      </c>
      <c r="D12" s="1"/>
      <c r="E12" s="3"/>
      <c r="F12" s="1"/>
      <c r="G12" s="1"/>
    </row>
    <row r="13" spans="1:11" ht="68" x14ac:dyDescent="0.2">
      <c r="A13" s="1" t="s">
        <v>33</v>
      </c>
      <c r="B13" s="6">
        <f t="shared" ref="B13" si="0">Discount_rate*(1+Discount_rate)^B12/((1+Discount_rate)^B12-1)</f>
        <v>0.14237750272736471</v>
      </c>
      <c r="C13" s="1"/>
      <c r="D13" s="1"/>
      <c r="E13" s="3"/>
      <c r="F13" s="1"/>
      <c r="G13" s="1"/>
    </row>
    <row r="14" spans="1:11" ht="17" x14ac:dyDescent="0.2">
      <c r="A14" s="1" t="s">
        <v>8</v>
      </c>
      <c r="B14" s="1">
        <f>B10*B13+B11</f>
        <v>77.925922929076393</v>
      </c>
      <c r="C14" s="1"/>
      <c r="D14" s="1"/>
      <c r="E14" s="3"/>
      <c r="F14" s="1"/>
      <c r="G14" s="1"/>
    </row>
    <row r="15" spans="1:11" ht="17" x14ac:dyDescent="0.2">
      <c r="A15" s="1" t="s">
        <v>12</v>
      </c>
      <c r="B15" s="8">
        <f t="shared" ref="B15" si="1">B14/HOURS_PER_YEAR*1000</f>
        <v>8.8956533024059805</v>
      </c>
      <c r="C15" s="1"/>
      <c r="D15" s="1"/>
      <c r="E15" s="3"/>
      <c r="F15" s="1"/>
      <c r="G15" s="1"/>
    </row>
    <row r="16" spans="1:11" ht="34" x14ac:dyDescent="0.2">
      <c r="A16" s="1" t="s">
        <v>2</v>
      </c>
      <c r="B16" s="1"/>
      <c r="C16" s="1"/>
      <c r="D16" s="1"/>
      <c r="E16" s="3"/>
      <c r="F16" s="1"/>
      <c r="G16" s="1"/>
    </row>
    <row r="17" spans="1:11" ht="34" x14ac:dyDescent="0.2">
      <c r="A17" s="1" t="s">
        <v>21</v>
      </c>
      <c r="B17" s="1"/>
      <c r="C17" s="1"/>
      <c r="D17" s="1"/>
      <c r="E17" s="3"/>
      <c r="F17" s="1"/>
      <c r="G17" s="1"/>
    </row>
    <row r="18" spans="1:11" ht="17" x14ac:dyDescent="0.2">
      <c r="A18" s="1" t="s">
        <v>23</v>
      </c>
      <c r="B18" s="1"/>
      <c r="C18" s="1"/>
      <c r="D18" s="1"/>
      <c r="E18" s="3"/>
      <c r="F18" s="1"/>
      <c r="G18" s="1"/>
    </row>
    <row r="19" spans="1:11" x14ac:dyDescent="0.2">
      <c r="A19" s="1"/>
      <c r="B19" s="1"/>
      <c r="C19" s="1"/>
      <c r="D19" s="1"/>
      <c r="E19" s="1"/>
      <c r="F19" s="1"/>
      <c r="G19" s="1"/>
    </row>
    <row r="20" spans="1:11" x14ac:dyDescent="0.2">
      <c r="A20" s="1"/>
      <c r="B20" s="1"/>
      <c r="C20" s="1"/>
      <c r="D20" s="1"/>
      <c r="E20" s="1"/>
      <c r="F20" s="1"/>
      <c r="G20" s="1"/>
    </row>
    <row r="21" spans="1:1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s="5" t="s">
        <v>32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s="3" t="s">
        <v>28</v>
      </c>
      <c r="B26" s="3"/>
      <c r="C26" s="1">
        <v>1.31</v>
      </c>
      <c r="D26" s="1"/>
      <c r="E26" s="1"/>
      <c r="F26" s="1"/>
      <c r="G26" s="1"/>
      <c r="H26" s="1"/>
      <c r="I26" s="1"/>
      <c r="J26" s="1"/>
      <c r="K26" s="1"/>
    </row>
    <row r="27" spans="1:11" x14ac:dyDescent="0.2">
      <c r="A27" s="3" t="s">
        <v>29</v>
      </c>
      <c r="B27" s="3"/>
      <c r="C27" s="1">
        <v>1.17</v>
      </c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s="3" t="s">
        <v>34</v>
      </c>
      <c r="B28" s="3"/>
      <c r="C28" s="1">
        <v>1.1100000000000001</v>
      </c>
      <c r="D28" s="1"/>
      <c r="E28" s="1"/>
      <c r="F28" s="1"/>
      <c r="G28" s="1"/>
      <c r="H28" s="1"/>
      <c r="I28" s="1"/>
      <c r="J28" s="1"/>
      <c r="K28" s="1"/>
    </row>
    <row r="29" spans="1:11" x14ac:dyDescent="0.2">
      <c r="A29" s="3" t="s">
        <v>30</v>
      </c>
      <c r="B29" s="3"/>
      <c r="C29" s="1">
        <v>1.08</v>
      </c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s="3" t="s">
        <v>31</v>
      </c>
      <c r="B30" s="3"/>
      <c r="C30" s="1">
        <v>1.07</v>
      </c>
      <c r="D30" s="1"/>
      <c r="E30" s="1"/>
      <c r="F30" s="1"/>
      <c r="G30" s="1"/>
      <c r="H30" s="1"/>
      <c r="I30" s="1"/>
      <c r="J30" s="1"/>
      <c r="K30" s="1"/>
    </row>
  </sheetData>
  <hyperlinks>
    <hyperlink ref="A25" r:id="rId1" xr:uid="{11B857A7-8FB2-1C48-AE54-A2FC0C368FC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Lei's costs</vt:lpstr>
      <vt:lpstr>Lei Advanced Nuclear costs</vt:lpstr>
      <vt:lpstr>Tyler's costs</vt:lpstr>
      <vt:lpstr>2020 EIA storage</vt:lpstr>
      <vt:lpstr>Btu_per_kWh</vt:lpstr>
      <vt:lpstr>Discount_rate</vt:lpstr>
      <vt:lpstr>HOURS_PER_YEAR</vt:lpstr>
      <vt:lpstr>MWh_per_MMBtu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Ruggles</dc:creator>
  <cp:lastModifiedBy>Microsoft Office User</cp:lastModifiedBy>
  <dcterms:created xsi:type="dcterms:W3CDTF">2020-05-05T04:59:04Z</dcterms:created>
  <dcterms:modified xsi:type="dcterms:W3CDTF">2021-09-28T12:42:39Z</dcterms:modified>
</cp:coreProperties>
</file>