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y_pewi\pewi3.0\"/>
    </mc:Choice>
  </mc:AlternateContent>
  <xr:revisionPtr revIDLastSave="0" documentId="13_ncr:1_{F6EE32D1-59D1-4421-96C0-3FFC9638EBEB}" xr6:coauthVersionLast="47" xr6:coauthVersionMax="47" xr10:uidLastSave="{00000000-0000-0000-0000-000000000000}"/>
  <bookViews>
    <workbookView xWindow="-120" yWindow="-120" windowWidth="29040" windowHeight="18240" activeTab="1" xr2:uid="{2A59C1DF-064D-264D-B5F5-440AD859B569}"/>
  </bookViews>
  <sheets>
    <sheet name="Instructions &amp; summary data" sheetId="19" r:id="rId1"/>
    <sheet name="C following SB" sheetId="1" r:id="rId2"/>
    <sheet name="C following C" sheetId="2" r:id="rId3"/>
    <sheet name="Conservation C" sheetId="3" r:id="rId4"/>
    <sheet name="SB following C" sheetId="13" r:id="rId5"/>
    <sheet name="Conservation SB" sheetId="4" r:id="rId6"/>
    <sheet name="Alfalfa Hay" sheetId="7" r:id="rId7"/>
    <sheet name="Grass Hay" sheetId="14" r:id="rId8"/>
    <sheet name="Switchgrass" sheetId="5" r:id="rId9"/>
    <sheet name="SRWC " sheetId="20" r:id="rId10"/>
    <sheet name="Perm Pasture" sheetId="8" r:id="rId11"/>
    <sheet name="Rotational Grazing" sheetId="9" r:id="rId12"/>
    <sheet name="Prairie" sheetId="10" r:id="rId13"/>
    <sheet name="Wetland Restoration" sheetId="11" r:id="rId14"/>
    <sheet name="Carbon Farming" sheetId="12" r:id="rId15"/>
    <sheet name="Conservation Forest" sheetId="16" r:id="rId16"/>
    <sheet name="Conventional Forest" sheetId="17" r:id="rId17"/>
    <sheet name="Fruits &amp; Veg" sheetId="18" r:id="rId18"/>
    <sheet name="SRWC (discard " sheetId="15"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4" i="5" l="1"/>
  <c r="N33" i="20"/>
  <c r="M18" i="20"/>
  <c r="F16" i="20"/>
  <c r="F17" i="20"/>
  <c r="P38" i="20"/>
  <c r="O38" i="20"/>
  <c r="N38" i="20"/>
  <c r="M38" i="20"/>
  <c r="L38" i="20"/>
  <c r="K38" i="20"/>
  <c r="J38" i="20"/>
  <c r="I38" i="20"/>
  <c r="H38" i="20"/>
  <c r="G38" i="20"/>
  <c r="P37" i="20"/>
  <c r="O37" i="20"/>
  <c r="N37" i="20"/>
  <c r="M37" i="20"/>
  <c r="L37" i="20"/>
  <c r="K37" i="20"/>
  <c r="J37" i="20"/>
  <c r="I37" i="20"/>
  <c r="H37" i="20"/>
  <c r="G37" i="20"/>
  <c r="G30" i="20"/>
  <c r="Q30" i="20" s="1"/>
  <c r="R30" i="20" s="1"/>
  <c r="F30" i="20"/>
  <c r="F29" i="20"/>
  <c r="Q29" i="20" s="1"/>
  <c r="R29" i="20" s="1"/>
  <c r="F28" i="20"/>
  <c r="Q28" i="20" s="1"/>
  <c r="F27" i="20"/>
  <c r="Q27" i="20" s="1"/>
  <c r="G23" i="20"/>
  <c r="F23" i="20"/>
  <c r="G22" i="20"/>
  <c r="F22" i="20"/>
  <c r="G21" i="20"/>
  <c r="F21" i="20"/>
  <c r="Q21" i="20" s="1"/>
  <c r="P17" i="20"/>
  <c r="O17" i="20"/>
  <c r="N17" i="20"/>
  <c r="M17" i="20"/>
  <c r="L17" i="20"/>
  <c r="K17" i="20"/>
  <c r="J17" i="20"/>
  <c r="I17" i="20"/>
  <c r="Q17" i="20" s="1"/>
  <c r="R17" i="20" s="1"/>
  <c r="H17" i="20"/>
  <c r="P16" i="20"/>
  <c r="O16" i="20"/>
  <c r="N16" i="20"/>
  <c r="M16" i="20"/>
  <c r="L16" i="20"/>
  <c r="K16" i="20"/>
  <c r="J16" i="20"/>
  <c r="I16" i="20"/>
  <c r="H16" i="20"/>
  <c r="F15" i="20"/>
  <c r="Q15" i="20" s="1"/>
  <c r="R15" i="20" s="1"/>
  <c r="F12" i="20"/>
  <c r="P8" i="20"/>
  <c r="P33" i="20" s="1"/>
  <c r="O8" i="20"/>
  <c r="O9" i="20" s="1"/>
  <c r="N8" i="20"/>
  <c r="N9" i="20" s="1"/>
  <c r="M8" i="20"/>
  <c r="M9" i="20" s="1"/>
  <c r="L8" i="20"/>
  <c r="L9" i="20" s="1"/>
  <c r="K8" i="20"/>
  <c r="K9" i="20" s="1"/>
  <c r="J8" i="20"/>
  <c r="J35" i="20" s="1"/>
  <c r="I8" i="20"/>
  <c r="I9" i="20" s="1"/>
  <c r="H8" i="20"/>
  <c r="H9" i="20" s="1"/>
  <c r="G8" i="20"/>
  <c r="G9" i="20" s="1"/>
  <c r="R4" i="20"/>
  <c r="M33" i="20" l="1"/>
  <c r="Q33" i="20" s="1"/>
  <c r="R33" i="20" s="1"/>
  <c r="Q16" i="20"/>
  <c r="R16" i="20" s="1"/>
  <c r="R27" i="20"/>
  <c r="P34" i="20"/>
  <c r="N34" i="20"/>
  <c r="H34" i="20"/>
  <c r="N18" i="20"/>
  <c r="N41" i="20" s="1"/>
  <c r="N42" i="20" s="1"/>
  <c r="J9" i="20"/>
  <c r="Q9" i="20" s="1"/>
  <c r="R9" i="20" s="1"/>
  <c r="L18" i="20"/>
  <c r="O35" i="20"/>
  <c r="K18" i="20"/>
  <c r="K33" i="20"/>
  <c r="M34" i="20"/>
  <c r="J18" i="20"/>
  <c r="J33" i="20"/>
  <c r="L34" i="20"/>
  <c r="M35" i="20"/>
  <c r="G18" i="20"/>
  <c r="G41" i="20" s="1"/>
  <c r="G42" i="20" s="1"/>
  <c r="I18" i="20"/>
  <c r="G33" i="20"/>
  <c r="I33" i="20"/>
  <c r="K34" i="20"/>
  <c r="L35" i="20"/>
  <c r="Q22" i="20"/>
  <c r="R22" i="20" s="1"/>
  <c r="P18" i="20"/>
  <c r="H18" i="20"/>
  <c r="H33" i="20"/>
  <c r="J34" i="20"/>
  <c r="K35" i="20"/>
  <c r="Q23" i="20"/>
  <c r="R23" i="20" s="1"/>
  <c r="O18" i="20"/>
  <c r="O33" i="20"/>
  <c r="G34" i="20"/>
  <c r="Q34" i="20" s="1"/>
  <c r="R34" i="20" s="1"/>
  <c r="I34" i="20"/>
  <c r="I35" i="20"/>
  <c r="O34" i="20"/>
  <c r="G35" i="20"/>
  <c r="H35" i="20"/>
  <c r="H41" i="20"/>
  <c r="H42" i="20" s="1"/>
  <c r="L33" i="20"/>
  <c r="N35" i="20"/>
  <c r="R21" i="20"/>
  <c r="R28" i="20"/>
  <c r="F41" i="20"/>
  <c r="F42" i="20" s="1"/>
  <c r="Q38" i="20"/>
  <c r="R38" i="20" s="1"/>
  <c r="Q12" i="20"/>
  <c r="R12" i="20" s="1"/>
  <c r="I41" i="20"/>
  <c r="I42" i="20" s="1"/>
  <c r="P35" i="20"/>
  <c r="P9" i="20"/>
  <c r="Q37" i="20"/>
  <c r="R37" i="20" s="1"/>
  <c r="L41" i="20" l="1"/>
  <c r="L42" i="20" s="1"/>
  <c r="J41" i="20"/>
  <c r="J42" i="20" s="1"/>
  <c r="O41" i="20"/>
  <c r="O42" i="20" s="1"/>
  <c r="Q35" i="20"/>
  <c r="R35" i="20" s="1"/>
  <c r="K41" i="20"/>
  <c r="K42" i="20" s="1"/>
  <c r="Q18" i="20"/>
  <c r="R18" i="20" s="1"/>
  <c r="M41" i="20"/>
  <c r="M42" i="20" s="1"/>
  <c r="Q44" i="20"/>
  <c r="P41" i="20"/>
  <c r="P42" i="20" l="1"/>
  <c r="Q42" i="20" s="1"/>
  <c r="R42" i="20" s="1"/>
  <c r="R44" i="20" s="1"/>
  <c r="Q41" i="20"/>
  <c r="R41" i="20" s="1"/>
  <c r="C13" i="12" l="1"/>
  <c r="G15" i="11"/>
  <c r="L27" i="10"/>
  <c r="L26" i="10"/>
  <c r="E33" i="17"/>
  <c r="G26" i="17" s="1"/>
  <c r="D32" i="16"/>
  <c r="G26" i="16" s="1"/>
  <c r="F22" i="17"/>
  <c r="I21" i="17"/>
  <c r="I18" i="17"/>
  <c r="E26" i="17" s="1"/>
  <c r="I17" i="17"/>
  <c r="I21" i="16"/>
  <c r="I18" i="16"/>
  <c r="I17" i="16"/>
  <c r="E26" i="16"/>
  <c r="F22" i="16"/>
  <c r="E15" i="11"/>
  <c r="D24" i="11"/>
  <c r="R2" i="15"/>
  <c r="H11" i="8"/>
  <c r="H10" i="8"/>
  <c r="R7" i="15"/>
  <c r="G35" i="15"/>
  <c r="F38" i="15"/>
  <c r="Q35" i="15"/>
  <c r="Q24" i="15"/>
  <c r="R24" i="15" s="1"/>
  <c r="Q20" i="15"/>
  <c r="Q19" i="15"/>
  <c r="Q18" i="15"/>
  <c r="Q13" i="15"/>
  <c r="Q10" i="15"/>
  <c r="M38" i="15"/>
  <c r="M39" i="15" s="1"/>
  <c r="L38" i="15"/>
  <c r="L39" i="15" s="1"/>
  <c r="F39" i="15"/>
  <c r="H35" i="15"/>
  <c r="I35" i="15"/>
  <c r="J35" i="15"/>
  <c r="K35" i="15"/>
  <c r="L35" i="15"/>
  <c r="M35" i="15"/>
  <c r="N35" i="15"/>
  <c r="O35" i="15"/>
  <c r="P35" i="15"/>
  <c r="F27" i="15"/>
  <c r="G27" i="15"/>
  <c r="G20" i="15"/>
  <c r="G19" i="15"/>
  <c r="G18" i="15"/>
  <c r="K34" i="15"/>
  <c r="K38" i="15" s="1"/>
  <c r="K39" i="15" s="1"/>
  <c r="L34" i="15"/>
  <c r="M34" i="15"/>
  <c r="N34" i="15"/>
  <c r="N38" i="15" s="1"/>
  <c r="N39" i="15" s="1"/>
  <c r="O34" i="15"/>
  <c r="O38" i="15" s="1"/>
  <c r="O39" i="15" s="1"/>
  <c r="P34" i="15"/>
  <c r="P38" i="15" s="1"/>
  <c r="J6" i="10"/>
  <c r="H34" i="15"/>
  <c r="H38" i="15" s="1"/>
  <c r="H39" i="15" s="1"/>
  <c r="I34" i="15"/>
  <c r="I38" i="15" s="1"/>
  <c r="I39" i="15" s="1"/>
  <c r="J34" i="15"/>
  <c r="J38" i="15" s="1"/>
  <c r="J39" i="15" s="1"/>
  <c r="G34" i="15"/>
  <c r="G38" i="15" s="1"/>
  <c r="R19" i="15"/>
  <c r="F20" i="15"/>
  <c r="R20" i="15" s="1"/>
  <c r="F13" i="15"/>
  <c r="F10" i="15"/>
  <c r="R10" i="15" s="1"/>
  <c r="G6" i="15"/>
  <c r="H6" i="15"/>
  <c r="I6" i="15"/>
  <c r="J6" i="15"/>
  <c r="K6" i="15"/>
  <c r="L6" i="15"/>
  <c r="M6" i="15"/>
  <c r="N6" i="15"/>
  <c r="O6" i="15"/>
  <c r="P6" i="15"/>
  <c r="P32" i="15" s="1"/>
  <c r="Q27" i="15"/>
  <c r="R27" i="15" s="1"/>
  <c r="F26" i="15"/>
  <c r="Q26" i="15" s="1"/>
  <c r="R26" i="15" s="1"/>
  <c r="F25" i="15"/>
  <c r="Q25" i="15" s="1"/>
  <c r="F24" i="15"/>
  <c r="F19" i="15"/>
  <c r="F18" i="15"/>
  <c r="P15" i="15"/>
  <c r="O15" i="15"/>
  <c r="N15" i="15"/>
  <c r="M15" i="15"/>
  <c r="L15" i="15"/>
  <c r="K15" i="15"/>
  <c r="J15" i="15"/>
  <c r="I15" i="15"/>
  <c r="H15" i="15"/>
  <c r="F15" i="15"/>
  <c r="P14" i="15"/>
  <c r="O14" i="15"/>
  <c r="N14" i="15"/>
  <c r="M14" i="15"/>
  <c r="L14" i="15"/>
  <c r="K14" i="15"/>
  <c r="J14" i="15"/>
  <c r="I14" i="15"/>
  <c r="H14" i="15"/>
  <c r="F14" i="15"/>
  <c r="Q14" i="15" s="1"/>
  <c r="R14" i="15" s="1"/>
  <c r="C52" i="5"/>
  <c r="C51" i="5"/>
  <c r="D48" i="5"/>
  <c r="P38" i="5" s="1"/>
  <c r="P37" i="5"/>
  <c r="O37" i="5"/>
  <c r="N37" i="5"/>
  <c r="M37" i="5"/>
  <c r="L37" i="5"/>
  <c r="K37" i="5"/>
  <c r="J37" i="5"/>
  <c r="I37" i="5"/>
  <c r="H37" i="5"/>
  <c r="P36" i="5"/>
  <c r="O36" i="5"/>
  <c r="N36" i="5"/>
  <c r="M36" i="5"/>
  <c r="L36" i="5"/>
  <c r="K36" i="5"/>
  <c r="J36" i="5"/>
  <c r="I36" i="5"/>
  <c r="H36" i="5"/>
  <c r="P35" i="5"/>
  <c r="O35" i="5"/>
  <c r="N35" i="5"/>
  <c r="M35" i="5"/>
  <c r="L35" i="5"/>
  <c r="K35" i="5"/>
  <c r="J35" i="5"/>
  <c r="I35" i="5"/>
  <c r="H35" i="5"/>
  <c r="P34" i="5"/>
  <c r="O34" i="5"/>
  <c r="N34" i="5"/>
  <c r="M34" i="5"/>
  <c r="L34" i="5"/>
  <c r="K34" i="5"/>
  <c r="J34" i="5"/>
  <c r="I34" i="5"/>
  <c r="H34" i="5"/>
  <c r="P33" i="5"/>
  <c r="O33" i="5"/>
  <c r="N33" i="5"/>
  <c r="M33" i="5"/>
  <c r="L33" i="5"/>
  <c r="K33" i="5"/>
  <c r="J33" i="5"/>
  <c r="I33" i="5"/>
  <c r="H33" i="5"/>
  <c r="G30" i="5"/>
  <c r="Q30" i="5" s="1"/>
  <c r="G29" i="5"/>
  <c r="Q29" i="5" s="1"/>
  <c r="G28" i="5"/>
  <c r="Q28" i="5" s="1"/>
  <c r="G27" i="5"/>
  <c r="Q27" i="5" s="1"/>
  <c r="G24" i="5"/>
  <c r="Q24" i="5" s="1"/>
  <c r="R24" i="5" s="1"/>
  <c r="G23" i="5"/>
  <c r="Q23" i="5" s="1"/>
  <c r="G20" i="5"/>
  <c r="G18" i="5"/>
  <c r="Q18" i="5" s="1"/>
  <c r="G16" i="5"/>
  <c r="F13" i="5"/>
  <c r="F40" i="5" s="1"/>
  <c r="F41" i="5" s="1"/>
  <c r="J8" i="5"/>
  <c r="I8" i="5"/>
  <c r="G8" i="5"/>
  <c r="P7" i="5"/>
  <c r="P20" i="5" s="1"/>
  <c r="O7" i="5"/>
  <c r="O20" i="5" s="1"/>
  <c r="N7" i="5"/>
  <c r="N8" i="5" s="1"/>
  <c r="M7" i="5"/>
  <c r="M8" i="5" s="1"/>
  <c r="L7" i="5"/>
  <c r="L8" i="5" s="1"/>
  <c r="K7" i="5"/>
  <c r="K8" i="5" s="1"/>
  <c r="J7" i="5"/>
  <c r="J20" i="5" s="1"/>
  <c r="I7" i="5"/>
  <c r="I20" i="5" s="1"/>
  <c r="H7" i="5"/>
  <c r="H20" i="5" s="1"/>
  <c r="A133" i="14"/>
  <c r="F122" i="14"/>
  <c r="J118" i="14"/>
  <c r="A117" i="14"/>
  <c r="J112" i="14"/>
  <c r="J109" i="14"/>
  <c r="I109" i="14"/>
  <c r="G105" i="14"/>
  <c r="I105" i="14" s="1"/>
  <c r="J105" i="14" s="1"/>
  <c r="J104" i="14"/>
  <c r="I104" i="14"/>
  <c r="G104" i="14"/>
  <c r="J99" i="14"/>
  <c r="I99" i="14"/>
  <c r="H98" i="14"/>
  <c r="H101" i="14" s="1"/>
  <c r="H100" i="14" s="1"/>
  <c r="G98" i="14"/>
  <c r="I98" i="14" s="1"/>
  <c r="J98" i="14" s="1"/>
  <c r="J97" i="14"/>
  <c r="I97" i="14"/>
  <c r="J96" i="14"/>
  <c r="I96" i="14"/>
  <c r="I95" i="14"/>
  <c r="J95" i="14" s="1"/>
  <c r="G92" i="14"/>
  <c r="J91" i="14"/>
  <c r="I91" i="14"/>
  <c r="I90" i="14"/>
  <c r="J90" i="14" s="1"/>
  <c r="H89" i="14"/>
  <c r="H92" i="14" s="1"/>
  <c r="H88" i="14"/>
  <c r="I88" i="14" s="1"/>
  <c r="J88" i="14" s="1"/>
  <c r="I86" i="14"/>
  <c r="J86" i="14" s="1"/>
  <c r="J85" i="14"/>
  <c r="I74" i="14"/>
  <c r="I75" i="14" s="1"/>
  <c r="E74" i="14"/>
  <c r="J69" i="14"/>
  <c r="H64" i="14"/>
  <c r="H65" i="14" s="1"/>
  <c r="H66" i="14" s="1"/>
  <c r="G64" i="14"/>
  <c r="G65" i="14" s="1"/>
  <c r="J63" i="14"/>
  <c r="I63" i="14"/>
  <c r="H62" i="14"/>
  <c r="G62" i="14"/>
  <c r="I62" i="14" s="1"/>
  <c r="J62" i="14" s="1"/>
  <c r="I61" i="14"/>
  <c r="I64" i="14" s="1"/>
  <c r="J60" i="14"/>
  <c r="I60" i="14"/>
  <c r="J59" i="14"/>
  <c r="I59" i="14"/>
  <c r="I56" i="14"/>
  <c r="J56" i="14" s="1"/>
  <c r="G53" i="14"/>
  <c r="J52" i="14"/>
  <c r="I52" i="14"/>
  <c r="G52" i="14"/>
  <c r="G51" i="14"/>
  <c r="I51" i="14" s="1"/>
  <c r="J47" i="14"/>
  <c r="I47" i="14"/>
  <c r="I46" i="14"/>
  <c r="J46" i="14" s="1"/>
  <c r="H45" i="14"/>
  <c r="I45" i="14" s="1"/>
  <c r="J45" i="14" s="1"/>
  <c r="J44" i="14"/>
  <c r="I44" i="14"/>
  <c r="H44" i="14"/>
  <c r="H43" i="14"/>
  <c r="I43" i="14" s="1"/>
  <c r="J42" i="14"/>
  <c r="G35" i="14"/>
  <c r="I35" i="14" s="1"/>
  <c r="J35" i="14" s="1"/>
  <c r="J34" i="14"/>
  <c r="J36" i="14" s="1"/>
  <c r="I34" i="14"/>
  <c r="I36" i="14" s="1"/>
  <c r="G34" i="14"/>
  <c r="I30" i="14"/>
  <c r="J30" i="14" s="1"/>
  <c r="J29" i="14"/>
  <c r="I29" i="14"/>
  <c r="I28" i="14"/>
  <c r="J28" i="14" s="1"/>
  <c r="H27" i="14"/>
  <c r="H31" i="14" s="1"/>
  <c r="H39" i="14" s="1"/>
  <c r="H82" i="14" s="1"/>
  <c r="J26" i="14"/>
  <c r="I26" i="14"/>
  <c r="H26" i="14"/>
  <c r="H25" i="14"/>
  <c r="I25" i="14" s="1"/>
  <c r="J24" i="14"/>
  <c r="H21" i="14"/>
  <c r="H20" i="14"/>
  <c r="G20" i="14"/>
  <c r="I19" i="14"/>
  <c r="J19" i="14" s="1"/>
  <c r="J18" i="14"/>
  <c r="I18" i="14"/>
  <c r="I17" i="14"/>
  <c r="J17" i="14" s="1"/>
  <c r="I16" i="14"/>
  <c r="J16" i="14" s="1"/>
  <c r="I15" i="14"/>
  <c r="J15" i="14" s="1"/>
  <c r="J14" i="14"/>
  <c r="I14" i="14"/>
  <c r="I20" i="14" s="1"/>
  <c r="I13" i="14"/>
  <c r="J13" i="14" s="1"/>
  <c r="J12" i="14"/>
  <c r="Q38" i="15" l="1"/>
  <c r="R38" i="15" s="1"/>
  <c r="G39" i="15"/>
  <c r="Q34" i="15"/>
  <c r="R34" i="15" s="1"/>
  <c r="Q41" i="15"/>
  <c r="R18" i="15"/>
  <c r="Q15" i="15"/>
  <c r="R15" i="15" s="1"/>
  <c r="R25" i="15"/>
  <c r="P31" i="15"/>
  <c r="R13" i="15"/>
  <c r="P7" i="15"/>
  <c r="P30" i="15"/>
  <c r="Q32" i="15"/>
  <c r="R32" i="15" s="1"/>
  <c r="N20" i="5"/>
  <c r="O8" i="5"/>
  <c r="M20" i="5"/>
  <c r="L20" i="5"/>
  <c r="R28" i="5"/>
  <c r="G38" i="5"/>
  <c r="E39" i="5" s="1"/>
  <c r="K39" i="5" s="1"/>
  <c r="R27" i="5"/>
  <c r="R29" i="5"/>
  <c r="H38" i="5"/>
  <c r="R30" i="5"/>
  <c r="I38" i="5"/>
  <c r="J38" i="5"/>
  <c r="K38" i="5"/>
  <c r="L38" i="5"/>
  <c r="R18" i="5"/>
  <c r="M38" i="5"/>
  <c r="K20" i="5"/>
  <c r="N38" i="5"/>
  <c r="R23" i="5"/>
  <c r="O38" i="5"/>
  <c r="Q37" i="5"/>
  <c r="R37" i="5" s="1"/>
  <c r="Q36" i="5"/>
  <c r="R36" i="5" s="1"/>
  <c r="Q34" i="5"/>
  <c r="R34" i="5" s="1"/>
  <c r="Q33" i="5"/>
  <c r="R33" i="5" s="1"/>
  <c r="Q13" i="5"/>
  <c r="R13" i="5" s="1"/>
  <c r="Q16" i="5"/>
  <c r="R16" i="5" s="1"/>
  <c r="H8" i="5"/>
  <c r="P8" i="5"/>
  <c r="I122" i="14"/>
  <c r="I106" i="14"/>
  <c r="J25" i="14"/>
  <c r="J31" i="14" s="1"/>
  <c r="I31" i="14"/>
  <c r="I39" i="14" s="1"/>
  <c r="I82" i="14" s="1"/>
  <c r="J20" i="14"/>
  <c r="I21" i="14"/>
  <c r="I65" i="14"/>
  <c r="G66" i="14"/>
  <c r="I48" i="14"/>
  <c r="J43" i="14"/>
  <c r="J48" i="14" s="1"/>
  <c r="J51" i="14"/>
  <c r="J53" i="14" s="1"/>
  <c r="I53" i="14"/>
  <c r="H113" i="14"/>
  <c r="J106" i="14"/>
  <c r="I27" i="14"/>
  <c r="J27" i="14" s="1"/>
  <c r="G21" i="14"/>
  <c r="H48" i="14"/>
  <c r="H70" i="14" s="1"/>
  <c r="J74" i="14"/>
  <c r="J75" i="14" s="1"/>
  <c r="I89" i="14"/>
  <c r="G101" i="14"/>
  <c r="J61" i="14"/>
  <c r="J66" i="14" s="1"/>
  <c r="G36" i="14"/>
  <c r="G39" i="14" s="1"/>
  <c r="G82" i="14" s="1"/>
  <c r="G70" i="14" s="1"/>
  <c r="G106" i="14"/>
  <c r="Q7" i="15" l="1"/>
  <c r="P39" i="15"/>
  <c r="Q39" i="15" s="1"/>
  <c r="R39" i="15" s="1"/>
  <c r="Q30" i="15"/>
  <c r="R30" i="15" s="1"/>
  <c r="Q31" i="15"/>
  <c r="R31" i="15" s="1"/>
  <c r="Q38" i="5"/>
  <c r="R38" i="5" s="1"/>
  <c r="M39" i="5"/>
  <c r="M40" i="5" s="1"/>
  <c r="M41" i="5" s="1"/>
  <c r="G39" i="5"/>
  <c r="G40" i="5" s="1"/>
  <c r="O39" i="5"/>
  <c r="O40" i="5" s="1"/>
  <c r="O41" i="5" s="1"/>
  <c r="H39" i="5"/>
  <c r="H40" i="5" s="1"/>
  <c r="H41" i="5" s="1"/>
  <c r="P39" i="5"/>
  <c r="P40" i="5" s="1"/>
  <c r="J39" i="5"/>
  <c r="J40" i="5" s="1"/>
  <c r="J41" i="5" s="1"/>
  <c r="I39" i="5"/>
  <c r="I40" i="5" s="1"/>
  <c r="I41" i="5" s="1"/>
  <c r="N39" i="5"/>
  <c r="N40" i="5" s="1"/>
  <c r="N41" i="5" s="1"/>
  <c r="L39" i="5"/>
  <c r="L40" i="5" s="1"/>
  <c r="L41" i="5" s="1"/>
  <c r="P41" i="5"/>
  <c r="Q8" i="5"/>
  <c r="R8" i="5" s="1"/>
  <c r="K40" i="5"/>
  <c r="K41" i="5" s="1"/>
  <c r="Q20" i="5"/>
  <c r="R20" i="5" s="1"/>
  <c r="I70" i="14"/>
  <c r="H119" i="14"/>
  <c r="H76" i="14"/>
  <c r="J122" i="14"/>
  <c r="G113" i="14"/>
  <c r="H114" i="14"/>
  <c r="H120" i="14"/>
  <c r="I101" i="14"/>
  <c r="J101" i="14" s="1"/>
  <c r="G100" i="14"/>
  <c r="I92" i="14"/>
  <c r="J89" i="14"/>
  <c r="J92" i="14" s="1"/>
  <c r="R35" i="15" l="1"/>
  <c r="Q39" i="5"/>
  <c r="R39" i="5" s="1"/>
  <c r="Q40" i="5"/>
  <c r="R40" i="5" s="1"/>
  <c r="G41" i="5"/>
  <c r="Q41" i="5" s="1"/>
  <c r="R41" i="5" s="1"/>
  <c r="G120" i="14"/>
  <c r="G114" i="14"/>
  <c r="I113" i="14"/>
  <c r="G119" i="14"/>
  <c r="I119" i="14" s="1"/>
  <c r="J70" i="14"/>
  <c r="J76" i="14" s="1"/>
  <c r="I76" i="14"/>
  <c r="R42" i="5" l="1"/>
  <c r="J119" i="14"/>
  <c r="J125" i="14" s="1"/>
  <c r="I125" i="14"/>
  <c r="J113" i="14"/>
  <c r="I120" i="14"/>
  <c r="I114" i="14"/>
  <c r="H70" i="4" l="1"/>
  <c r="E70" i="4"/>
  <c r="E67" i="4"/>
  <c r="A73" i="13"/>
  <c r="J63" i="13"/>
  <c r="I63" i="13"/>
  <c r="J62" i="13"/>
  <c r="I61" i="13"/>
  <c r="J61" i="13" s="1"/>
  <c r="J64" i="13" s="1"/>
  <c r="J54" i="13"/>
  <c r="I51" i="13"/>
  <c r="J51" i="13" s="1"/>
  <c r="G48" i="13"/>
  <c r="I47" i="13"/>
  <c r="J47" i="13" s="1"/>
  <c r="H47" i="13"/>
  <c r="H48" i="13" s="1"/>
  <c r="G46" i="13"/>
  <c r="I46" i="13" s="1"/>
  <c r="G42" i="13"/>
  <c r="G43" i="13" s="1"/>
  <c r="I41" i="13"/>
  <c r="J41" i="13" s="1"/>
  <c r="H40" i="13"/>
  <c r="I40" i="13" s="1"/>
  <c r="J40" i="13" s="1"/>
  <c r="G40" i="13"/>
  <c r="I39" i="13"/>
  <c r="J39" i="13" s="1"/>
  <c r="H39" i="13"/>
  <c r="G39" i="13"/>
  <c r="I38" i="13"/>
  <c r="J38" i="13" s="1"/>
  <c r="J37" i="13"/>
  <c r="I37" i="13"/>
  <c r="J32" i="13"/>
  <c r="I32" i="13"/>
  <c r="I31" i="13"/>
  <c r="J31" i="13" s="1"/>
  <c r="J30" i="13"/>
  <c r="I30" i="13"/>
  <c r="I29" i="13"/>
  <c r="J29" i="13" s="1"/>
  <c r="H28" i="13"/>
  <c r="I28" i="13" s="1"/>
  <c r="J28" i="13" s="1"/>
  <c r="I27" i="13"/>
  <c r="J27" i="13" s="1"/>
  <c r="H27" i="13"/>
  <c r="H26" i="13"/>
  <c r="I26" i="13" s="1"/>
  <c r="J25" i="13"/>
  <c r="I21" i="13"/>
  <c r="J21" i="13" s="1"/>
  <c r="H21" i="13"/>
  <c r="G21" i="13"/>
  <c r="G55" i="13" s="1"/>
  <c r="I20" i="13"/>
  <c r="J20" i="13" s="1"/>
  <c r="I19" i="13"/>
  <c r="J19" i="13" s="1"/>
  <c r="I18" i="13"/>
  <c r="J18" i="13" s="1"/>
  <c r="I17" i="13"/>
  <c r="J17" i="13" s="1"/>
  <c r="I16" i="13"/>
  <c r="J16" i="13" s="1"/>
  <c r="I15" i="13"/>
  <c r="J15" i="13" s="1"/>
  <c r="I14" i="13"/>
  <c r="J14" i="13" s="1"/>
  <c r="I13" i="13"/>
  <c r="J13" i="13" s="1"/>
  <c r="I12" i="13"/>
  <c r="J12" i="13" s="1"/>
  <c r="J11" i="13"/>
  <c r="I48" i="13" l="1"/>
  <c r="J46" i="13"/>
  <c r="J48" i="13" s="1"/>
  <c r="I42" i="13"/>
  <c r="J43" i="13"/>
  <c r="G56" i="13"/>
  <c r="G57" i="13"/>
  <c r="J26" i="13"/>
  <c r="H22" i="13"/>
  <c r="I22" i="13"/>
  <c r="H42" i="13"/>
  <c r="H43" i="13" s="1"/>
  <c r="I64" i="13"/>
  <c r="G22" i="13"/>
  <c r="H33" i="13"/>
  <c r="I33" i="13" l="1"/>
  <c r="H34" i="13"/>
  <c r="H55" i="13" s="1"/>
  <c r="H57" i="13" l="1"/>
  <c r="H56" i="13"/>
  <c r="J33" i="13"/>
  <c r="J34" i="13" s="1"/>
  <c r="J57" i="13" s="1"/>
  <c r="J65" i="13" s="1"/>
  <c r="I34" i="13"/>
  <c r="I55" i="13" s="1"/>
  <c r="H65" i="13"/>
  <c r="I56" i="13" l="1"/>
  <c r="I65" i="13"/>
  <c r="H75" i="3" l="1"/>
  <c r="E72" i="3"/>
  <c r="E75" i="3" s="1"/>
  <c r="J54" i="2" l="1"/>
  <c r="J49" i="2"/>
  <c r="J40" i="2"/>
  <c r="J41" i="2"/>
  <c r="J42" i="2"/>
  <c r="J43" i="2"/>
  <c r="J44" i="2"/>
  <c r="J39" i="2"/>
  <c r="J27" i="2"/>
  <c r="J28" i="2"/>
  <c r="J29" i="2"/>
  <c r="J30" i="2"/>
  <c r="J31" i="2"/>
  <c r="J32" i="2"/>
  <c r="J33" i="2"/>
  <c r="J34" i="2"/>
  <c r="J35" i="2"/>
  <c r="J26" i="2"/>
  <c r="J21" i="2"/>
  <c r="J13" i="2"/>
  <c r="J14" i="2"/>
  <c r="J15" i="2"/>
  <c r="J16" i="2"/>
  <c r="J17" i="2"/>
  <c r="J18" i="2"/>
  <c r="J19" i="2"/>
  <c r="J20" i="2"/>
  <c r="J12" i="2"/>
  <c r="I64" i="2" l="1"/>
  <c r="J64" i="2" s="1"/>
  <c r="J19" i="10" l="1"/>
  <c r="J22" i="10"/>
  <c r="J23" i="10"/>
  <c r="J25" i="10"/>
  <c r="J10" i="10"/>
  <c r="J11" i="10"/>
  <c r="J12" i="10"/>
  <c r="J13" i="10"/>
  <c r="J14" i="10"/>
  <c r="J15" i="10"/>
  <c r="J16" i="10"/>
  <c r="J17" i="10"/>
  <c r="J18" i="10"/>
  <c r="J9" i="10"/>
  <c r="I25" i="10"/>
  <c r="I24" i="10"/>
  <c r="J24" i="10" s="1"/>
  <c r="I22" i="10"/>
  <c r="I10" i="10"/>
  <c r="I11" i="10"/>
  <c r="I12" i="10"/>
  <c r="I13" i="10"/>
  <c r="I14" i="10"/>
  <c r="I15" i="10"/>
  <c r="I16" i="10"/>
  <c r="I17" i="10"/>
  <c r="I18" i="10"/>
  <c r="I9" i="10"/>
  <c r="E25" i="10"/>
  <c r="G24" i="10"/>
  <c r="G22" i="10"/>
  <c r="G21" i="10"/>
  <c r="I21" i="10" s="1"/>
  <c r="J21" i="10" s="1"/>
  <c r="G20" i="10"/>
  <c r="E18" i="10"/>
  <c r="G18" i="10" s="1"/>
  <c r="E17" i="10"/>
  <c r="G17" i="10" s="1"/>
  <c r="G16" i="10"/>
  <c r="G15" i="10"/>
  <c r="G14" i="10"/>
  <c r="G13" i="10"/>
  <c r="G12" i="10"/>
  <c r="G11" i="10"/>
  <c r="G10" i="10"/>
  <c r="G9" i="10"/>
  <c r="I20" i="10" l="1"/>
  <c r="J20" i="10" s="1"/>
  <c r="L20" i="10" s="1"/>
  <c r="G25" i="10"/>
  <c r="K20" i="10" l="1"/>
  <c r="G19" i="9" l="1"/>
  <c r="H19" i="9" s="1"/>
  <c r="G15" i="9"/>
  <c r="E19" i="9"/>
  <c r="F19" i="9" s="1"/>
  <c r="F15" i="9"/>
  <c r="E15" i="9"/>
  <c r="L34" i="8"/>
  <c r="E15" i="8"/>
  <c r="F15" i="8" s="1"/>
  <c r="G15" i="8" s="1"/>
  <c r="H15" i="8" s="1"/>
  <c r="H38" i="8"/>
  <c r="F31" i="9"/>
  <c r="G30" i="9"/>
  <c r="G29" i="9"/>
  <c r="E26" i="9"/>
  <c r="F26" i="9" s="1"/>
  <c r="E25" i="9"/>
  <c r="F25" i="9" s="1"/>
  <c r="E24" i="9"/>
  <c r="F24" i="9" s="1"/>
  <c r="E23" i="9"/>
  <c r="F23" i="9" s="1"/>
  <c r="G23" i="9" s="1"/>
  <c r="E21" i="9"/>
  <c r="F21" i="9" s="1"/>
  <c r="G21" i="9" s="1"/>
  <c r="E20" i="9"/>
  <c r="F20" i="9" s="1"/>
  <c r="E18" i="9"/>
  <c r="D18" i="9"/>
  <c r="E16" i="9"/>
  <c r="F16" i="9" s="1"/>
  <c r="G16" i="9" s="1"/>
  <c r="E11" i="9"/>
  <c r="F11" i="9" s="1"/>
  <c r="G11" i="9" s="1"/>
  <c r="H11" i="9" s="1"/>
  <c r="E10" i="9"/>
  <c r="F10" i="9" s="1"/>
  <c r="I8" i="9"/>
  <c r="H24" i="9" s="1"/>
  <c r="F6" i="9"/>
  <c r="F17" i="9" s="1"/>
  <c r="G17" i="9" s="1"/>
  <c r="F30" i="8"/>
  <c r="G29" i="8"/>
  <c r="G30" i="8" s="1"/>
  <c r="H30" i="8" s="1"/>
  <c r="G28" i="8"/>
  <c r="H28" i="8" s="1"/>
  <c r="E25" i="8"/>
  <c r="F25" i="8" s="1"/>
  <c r="E24" i="8"/>
  <c r="F24" i="8" s="1"/>
  <c r="E23" i="8"/>
  <c r="F23" i="8" s="1"/>
  <c r="E22" i="8"/>
  <c r="F22" i="8" s="1"/>
  <c r="G22" i="8" s="1"/>
  <c r="H22" i="8" s="1"/>
  <c r="E20" i="8"/>
  <c r="F20" i="8" s="1"/>
  <c r="G20" i="8" s="1"/>
  <c r="H20" i="8" s="1"/>
  <c r="E19" i="8"/>
  <c r="F19" i="8" s="1"/>
  <c r="E18" i="8"/>
  <c r="D18" i="8"/>
  <c r="F18" i="8" s="1"/>
  <c r="F17" i="8"/>
  <c r="G17" i="8" s="1"/>
  <c r="H17" i="8" s="1"/>
  <c r="E16" i="8"/>
  <c r="F16" i="8" s="1"/>
  <c r="G16" i="8" s="1"/>
  <c r="H16" i="8" s="1"/>
  <c r="E11" i="8"/>
  <c r="F11" i="8" s="1"/>
  <c r="G11" i="8" s="1"/>
  <c r="E10" i="8"/>
  <c r="F10" i="8" s="1"/>
  <c r="I8" i="8"/>
  <c r="G32" i="8" s="1"/>
  <c r="F6" i="8"/>
  <c r="E17" i="8" s="1"/>
  <c r="H29" i="8" l="1"/>
  <c r="E22" i="9"/>
  <c r="F22" i="9" s="1"/>
  <c r="G22" i="9" s="1"/>
  <c r="H22" i="9" s="1"/>
  <c r="H23" i="9"/>
  <c r="H27" i="8"/>
  <c r="H19" i="8"/>
  <c r="H18" i="8"/>
  <c r="H25" i="8"/>
  <c r="F18" i="9"/>
  <c r="E21" i="8"/>
  <c r="F21" i="8" s="1"/>
  <c r="G21" i="8" s="1"/>
  <c r="H21" i="8" s="1"/>
  <c r="H24" i="8"/>
  <c r="H23" i="8"/>
  <c r="H17" i="9"/>
  <c r="H21" i="9"/>
  <c r="H25" i="9"/>
  <c r="H15" i="9"/>
  <c r="H26" i="9"/>
  <c r="H16" i="9"/>
  <c r="H29" i="9"/>
  <c r="G31" i="9"/>
  <c r="H31" i="9" s="1"/>
  <c r="G10" i="9"/>
  <c r="F27" i="9"/>
  <c r="F32" i="9" s="1"/>
  <c r="H30" i="9"/>
  <c r="G33" i="9"/>
  <c r="E17" i="9"/>
  <c r="G6" i="9"/>
  <c r="H18" i="9"/>
  <c r="H20" i="9"/>
  <c r="F33" i="9"/>
  <c r="H28" i="9"/>
  <c r="G10" i="8"/>
  <c r="F26" i="8"/>
  <c r="F31" i="8" s="1"/>
  <c r="G6" i="8"/>
  <c r="F32" i="8"/>
  <c r="F33" i="8" l="1"/>
  <c r="F34" i="9"/>
  <c r="H10" i="9"/>
  <c r="G27" i="9"/>
  <c r="G26" i="8"/>
  <c r="H26" i="8" s="1"/>
  <c r="H27" i="9" l="1"/>
  <c r="G32" i="9"/>
  <c r="G31" i="8"/>
  <c r="G33" i="8" l="1"/>
  <c r="H31" i="8"/>
  <c r="H32" i="9"/>
  <c r="G34" i="9"/>
  <c r="A133" i="7" l="1"/>
  <c r="F122" i="7"/>
  <c r="J118" i="7"/>
  <c r="A117" i="7"/>
  <c r="J112" i="7"/>
  <c r="I109" i="7"/>
  <c r="J109" i="7" s="1"/>
  <c r="G105" i="7"/>
  <c r="I105" i="7" s="1"/>
  <c r="J105" i="7" s="1"/>
  <c r="G104" i="7"/>
  <c r="G106" i="7" s="1"/>
  <c r="I99" i="7"/>
  <c r="J99" i="7" s="1"/>
  <c r="H98" i="7"/>
  <c r="H101" i="7" s="1"/>
  <c r="G98" i="7"/>
  <c r="G101" i="7" s="1"/>
  <c r="I97" i="7"/>
  <c r="J97" i="7" s="1"/>
  <c r="I96" i="7"/>
  <c r="J96" i="7" s="1"/>
  <c r="I95" i="7"/>
  <c r="J95" i="7" s="1"/>
  <c r="H92" i="7"/>
  <c r="G92" i="7"/>
  <c r="I91" i="7"/>
  <c r="J91" i="7" s="1"/>
  <c r="I90" i="7"/>
  <c r="J90" i="7" s="1"/>
  <c r="H89" i="7"/>
  <c r="I89" i="7" s="1"/>
  <c r="J89" i="7" s="1"/>
  <c r="H88" i="7"/>
  <c r="I88" i="7" s="1"/>
  <c r="I86" i="7"/>
  <c r="J86" i="7" s="1"/>
  <c r="J85" i="7"/>
  <c r="I74" i="7"/>
  <c r="I75" i="7" s="1"/>
  <c r="E74" i="7"/>
  <c r="J69" i="7"/>
  <c r="H64" i="7"/>
  <c r="H65" i="7" s="1"/>
  <c r="H66" i="7" s="1"/>
  <c r="I63" i="7"/>
  <c r="J63" i="7" s="1"/>
  <c r="H62" i="7"/>
  <c r="G62" i="7"/>
  <c r="G64" i="7" s="1"/>
  <c r="G65" i="7" s="1"/>
  <c r="I61" i="7"/>
  <c r="J61" i="7" s="1"/>
  <c r="I60" i="7"/>
  <c r="J60" i="7" s="1"/>
  <c r="I59" i="7"/>
  <c r="I56" i="7"/>
  <c r="J56" i="7" s="1"/>
  <c r="G52" i="7"/>
  <c r="I52" i="7" s="1"/>
  <c r="J52" i="7" s="1"/>
  <c r="G51" i="7"/>
  <c r="G53" i="7" s="1"/>
  <c r="I47" i="7"/>
  <c r="J47" i="7" s="1"/>
  <c r="I46" i="7"/>
  <c r="J46" i="7" s="1"/>
  <c r="H45" i="7"/>
  <c r="I45" i="7" s="1"/>
  <c r="J45" i="7" s="1"/>
  <c r="H44" i="7"/>
  <c r="I44" i="7" s="1"/>
  <c r="J44" i="7" s="1"/>
  <c r="H43" i="7"/>
  <c r="I43" i="7" s="1"/>
  <c r="J43" i="7" s="1"/>
  <c r="J48" i="7" s="1"/>
  <c r="J42" i="7"/>
  <c r="G35" i="7"/>
  <c r="I34" i="7"/>
  <c r="J34" i="7" s="1"/>
  <c r="G34" i="7"/>
  <c r="I30" i="7"/>
  <c r="J30" i="7" s="1"/>
  <c r="I29" i="7"/>
  <c r="J29" i="7" s="1"/>
  <c r="I28" i="7"/>
  <c r="J28" i="7" s="1"/>
  <c r="H27" i="7"/>
  <c r="I27" i="7" s="1"/>
  <c r="J27" i="7" s="1"/>
  <c r="H26" i="7"/>
  <c r="I26" i="7" s="1"/>
  <c r="J26" i="7" s="1"/>
  <c r="H25" i="7"/>
  <c r="J24" i="7"/>
  <c r="G21" i="7"/>
  <c r="H20" i="7"/>
  <c r="H21" i="7" s="1"/>
  <c r="G20" i="7"/>
  <c r="I19" i="7"/>
  <c r="J19" i="7" s="1"/>
  <c r="I18" i="7"/>
  <c r="J18" i="7" s="1"/>
  <c r="I17" i="7"/>
  <c r="J17" i="7" s="1"/>
  <c r="I16" i="7"/>
  <c r="J16" i="7" s="1"/>
  <c r="I15" i="7"/>
  <c r="J15" i="7" s="1"/>
  <c r="I14" i="7"/>
  <c r="J14" i="7" s="1"/>
  <c r="I13" i="7"/>
  <c r="J12" i="7"/>
  <c r="A88" i="4"/>
  <c r="I61" i="4"/>
  <c r="J61" i="4" s="1"/>
  <c r="J60" i="4"/>
  <c r="I59" i="4"/>
  <c r="J59" i="4" s="1"/>
  <c r="J52" i="4"/>
  <c r="I49" i="4"/>
  <c r="J49" i="4" s="1"/>
  <c r="H45" i="4"/>
  <c r="H46" i="4" s="1"/>
  <c r="G44" i="4"/>
  <c r="I44" i="4" s="1"/>
  <c r="I39" i="4"/>
  <c r="J39" i="4" s="1"/>
  <c r="H38" i="4"/>
  <c r="G38" i="4"/>
  <c r="I38" i="4" s="1"/>
  <c r="J38" i="4" s="1"/>
  <c r="H37" i="4"/>
  <c r="G37" i="4"/>
  <c r="I36" i="4"/>
  <c r="J36" i="4" s="1"/>
  <c r="I35" i="4"/>
  <c r="I30" i="4"/>
  <c r="J30" i="4" s="1"/>
  <c r="I29" i="4"/>
  <c r="J29" i="4" s="1"/>
  <c r="I28" i="4"/>
  <c r="J28" i="4" s="1"/>
  <c r="I27" i="4"/>
  <c r="J27" i="4" s="1"/>
  <c r="H26" i="4"/>
  <c r="I26" i="4" s="1"/>
  <c r="J26" i="4" s="1"/>
  <c r="H25" i="4"/>
  <c r="I25" i="4" s="1"/>
  <c r="J25" i="4" s="1"/>
  <c r="E24" i="4"/>
  <c r="H24" i="4" s="1"/>
  <c r="J23" i="4"/>
  <c r="H19" i="4"/>
  <c r="H20" i="4" s="1"/>
  <c r="G19" i="4"/>
  <c r="G20" i="4" s="1"/>
  <c r="I18" i="4"/>
  <c r="J18" i="4" s="1"/>
  <c r="I17" i="4"/>
  <c r="J17" i="4" s="1"/>
  <c r="I16" i="4"/>
  <c r="J16" i="4" s="1"/>
  <c r="I15" i="4"/>
  <c r="J15" i="4" s="1"/>
  <c r="I14" i="4"/>
  <c r="J14" i="4" s="1"/>
  <c r="I13" i="4"/>
  <c r="J13" i="4" s="1"/>
  <c r="I12" i="4"/>
  <c r="J12" i="4" s="1"/>
  <c r="J11" i="4"/>
  <c r="A101" i="3"/>
  <c r="I63" i="3"/>
  <c r="J63" i="3" s="1"/>
  <c r="J62" i="3"/>
  <c r="I61" i="3"/>
  <c r="I64" i="3" s="1"/>
  <c r="J54" i="3"/>
  <c r="I51" i="3"/>
  <c r="J51" i="3" s="1"/>
  <c r="H47" i="3"/>
  <c r="H48" i="3" s="1"/>
  <c r="G46" i="3"/>
  <c r="I46" i="3" s="1"/>
  <c r="I41" i="3"/>
  <c r="J41" i="3" s="1"/>
  <c r="H40" i="3"/>
  <c r="G40" i="3"/>
  <c r="G39" i="3"/>
  <c r="E39" i="3"/>
  <c r="H39" i="3" s="1"/>
  <c r="I39" i="3" s="1"/>
  <c r="J39" i="3" s="1"/>
  <c r="H38" i="3"/>
  <c r="G38" i="3"/>
  <c r="I37" i="3"/>
  <c r="J37" i="3" s="1"/>
  <c r="I36" i="3"/>
  <c r="I31" i="3"/>
  <c r="J31" i="3" s="1"/>
  <c r="I30" i="3"/>
  <c r="J30" i="3" s="1"/>
  <c r="I29" i="3"/>
  <c r="J29" i="3" s="1"/>
  <c r="I28" i="3"/>
  <c r="J28" i="3" s="1"/>
  <c r="H27" i="3"/>
  <c r="I27" i="3" s="1"/>
  <c r="J27" i="3" s="1"/>
  <c r="H26" i="3"/>
  <c r="I26" i="3" s="1"/>
  <c r="J26" i="3" s="1"/>
  <c r="H25" i="3"/>
  <c r="I25" i="3" s="1"/>
  <c r="J25" i="3" s="1"/>
  <c r="H24" i="3"/>
  <c r="J23" i="3"/>
  <c r="H19" i="3"/>
  <c r="G19" i="3"/>
  <c r="I18" i="3"/>
  <c r="J18" i="3" s="1"/>
  <c r="I17" i="3"/>
  <c r="J17" i="3" s="1"/>
  <c r="I16" i="3"/>
  <c r="J16" i="3" s="1"/>
  <c r="I15" i="3"/>
  <c r="J15" i="3" s="1"/>
  <c r="I14" i="3"/>
  <c r="J14" i="3" s="1"/>
  <c r="I13" i="3"/>
  <c r="J13" i="3" s="1"/>
  <c r="I12" i="3"/>
  <c r="J11" i="3"/>
  <c r="A77" i="2"/>
  <c r="I66" i="2"/>
  <c r="J66" i="2" s="1"/>
  <c r="J65" i="2"/>
  <c r="I59" i="2"/>
  <c r="H59" i="2"/>
  <c r="G59" i="2"/>
  <c r="J57" i="2"/>
  <c r="I54" i="2"/>
  <c r="H50" i="2"/>
  <c r="H51" i="2" s="1"/>
  <c r="G49" i="2"/>
  <c r="I49" i="2" s="1"/>
  <c r="I44" i="2"/>
  <c r="H43" i="2"/>
  <c r="G43" i="2"/>
  <c r="G42" i="2"/>
  <c r="E42" i="2"/>
  <c r="H42" i="2" s="1"/>
  <c r="I42" i="2" s="1"/>
  <c r="H41" i="2"/>
  <c r="G41" i="2"/>
  <c r="G45" i="2" s="1"/>
  <c r="G46" i="2" s="1"/>
  <c r="I40" i="2"/>
  <c r="I39" i="2"/>
  <c r="I34" i="2"/>
  <c r="I33" i="2"/>
  <c r="I32" i="2"/>
  <c r="I31" i="2"/>
  <c r="I30" i="2"/>
  <c r="H29" i="2"/>
  <c r="I29" i="2" s="1"/>
  <c r="H28" i="2"/>
  <c r="I28" i="2" s="1"/>
  <c r="H27" i="2"/>
  <c r="H26" i="2"/>
  <c r="I26" i="2" s="1"/>
  <c r="J25" i="2"/>
  <c r="H21" i="2"/>
  <c r="G21" i="2"/>
  <c r="I20" i="2"/>
  <c r="I19" i="2"/>
  <c r="I18" i="2"/>
  <c r="I17" i="2"/>
  <c r="I16" i="2"/>
  <c r="I15" i="2"/>
  <c r="I14" i="2"/>
  <c r="I13" i="2"/>
  <c r="I12" i="2"/>
  <c r="J11" i="2"/>
  <c r="I37" i="4" l="1"/>
  <c r="J37" i="4" s="1"/>
  <c r="H42" i="3"/>
  <c r="H43" i="3" s="1"/>
  <c r="J62" i="4"/>
  <c r="H48" i="7"/>
  <c r="I19" i="3"/>
  <c r="I20" i="3" s="1"/>
  <c r="J67" i="2"/>
  <c r="I40" i="3"/>
  <c r="J40" i="3" s="1"/>
  <c r="H31" i="7"/>
  <c r="H39" i="7" s="1"/>
  <c r="H82" i="7" s="1"/>
  <c r="H70" i="7" s="1"/>
  <c r="I70" i="7" s="1"/>
  <c r="I38" i="3"/>
  <c r="J38" i="3" s="1"/>
  <c r="I20" i="7"/>
  <c r="I21" i="7" s="1"/>
  <c r="G36" i="7"/>
  <c r="G39" i="7" s="1"/>
  <c r="G82" i="7" s="1"/>
  <c r="G70" i="7" s="1"/>
  <c r="I62" i="7"/>
  <c r="J62" i="7" s="1"/>
  <c r="G100" i="7"/>
  <c r="I101" i="7"/>
  <c r="J101" i="7" s="1"/>
  <c r="H100" i="7"/>
  <c r="H113" i="7"/>
  <c r="I65" i="7"/>
  <c r="G66" i="7"/>
  <c r="J88" i="7"/>
  <c r="J92" i="7" s="1"/>
  <c r="I92" i="7"/>
  <c r="I122" i="7"/>
  <c r="I48" i="7"/>
  <c r="I35" i="7"/>
  <c r="J59" i="7"/>
  <c r="I104" i="7"/>
  <c r="I25" i="7"/>
  <c r="J74" i="7"/>
  <c r="J75" i="7" s="1"/>
  <c r="I51" i="7"/>
  <c r="I98" i="7"/>
  <c r="J98" i="7" s="1"/>
  <c r="J13" i="7"/>
  <c r="J44" i="4"/>
  <c r="I40" i="4"/>
  <c r="I24" i="4"/>
  <c r="I62" i="4"/>
  <c r="I45" i="4"/>
  <c r="J45" i="4" s="1"/>
  <c r="G40" i="4"/>
  <c r="J35" i="4"/>
  <c r="J41" i="4" s="1"/>
  <c r="G46" i="4"/>
  <c r="H40" i="4"/>
  <c r="H41" i="4" s="1"/>
  <c r="I19" i="4"/>
  <c r="H31" i="4"/>
  <c r="I31" i="4" s="1"/>
  <c r="J31" i="4" s="1"/>
  <c r="J46" i="3"/>
  <c r="H32" i="3"/>
  <c r="I32" i="3" s="1"/>
  <c r="J32" i="3" s="1"/>
  <c r="G42" i="3"/>
  <c r="G43" i="3" s="1"/>
  <c r="G48" i="3"/>
  <c r="I24" i="3"/>
  <c r="I47" i="3"/>
  <c r="J47" i="3" s="1"/>
  <c r="G20" i="3"/>
  <c r="H20" i="3"/>
  <c r="J61" i="3"/>
  <c r="J64" i="3" s="1"/>
  <c r="J12" i="3"/>
  <c r="J36" i="3"/>
  <c r="I21" i="2"/>
  <c r="H45" i="2"/>
  <c r="H46" i="2" s="1"/>
  <c r="I43" i="2"/>
  <c r="I22" i="2"/>
  <c r="H36" i="2"/>
  <c r="G22" i="2"/>
  <c r="I67" i="2"/>
  <c r="H68" i="2" s="1"/>
  <c r="H22" i="2"/>
  <c r="I50" i="2"/>
  <c r="J50" i="2" s="1"/>
  <c r="H35" i="2"/>
  <c r="I35" i="2" s="1"/>
  <c r="I41" i="2"/>
  <c r="G51" i="2"/>
  <c r="G58" i="2" s="1"/>
  <c r="G60" i="2" s="1"/>
  <c r="I27" i="2"/>
  <c r="J122" i="7" l="1"/>
  <c r="H32" i="4"/>
  <c r="H53" i="4" s="1"/>
  <c r="J19" i="3"/>
  <c r="J43" i="3"/>
  <c r="I42" i="3"/>
  <c r="H58" i="2"/>
  <c r="H60" i="2" s="1"/>
  <c r="J70" i="7"/>
  <c r="J76" i="7" s="1"/>
  <c r="I76" i="7"/>
  <c r="I51" i="2"/>
  <c r="J20" i="7"/>
  <c r="H76" i="7"/>
  <c r="G113" i="7"/>
  <c r="G119" i="7" s="1"/>
  <c r="J46" i="2"/>
  <c r="G55" i="3"/>
  <c r="G57" i="3" s="1"/>
  <c r="J66" i="7"/>
  <c r="J51" i="2"/>
  <c r="I64" i="7"/>
  <c r="I36" i="7"/>
  <c r="J35" i="7"/>
  <c r="J36" i="7" s="1"/>
  <c r="H114" i="7"/>
  <c r="H120" i="7"/>
  <c r="I31" i="7"/>
  <c r="I39" i="7" s="1"/>
  <c r="I82" i="7" s="1"/>
  <c r="J25" i="7"/>
  <c r="J31" i="7" s="1"/>
  <c r="H119" i="7"/>
  <c r="I53" i="7"/>
  <c r="J51" i="7"/>
  <c r="J53" i="7" s="1"/>
  <c r="I106" i="7"/>
  <c r="J104" i="7"/>
  <c r="J106" i="7" s="1"/>
  <c r="G53" i="4"/>
  <c r="G41" i="4"/>
  <c r="H55" i="4"/>
  <c r="H54" i="4"/>
  <c r="H63" i="4"/>
  <c r="J19" i="4"/>
  <c r="I20" i="4"/>
  <c r="J46" i="4"/>
  <c r="J24" i="4"/>
  <c r="J32" i="4" s="1"/>
  <c r="I32" i="4"/>
  <c r="I46" i="4"/>
  <c r="J24" i="3"/>
  <c r="J33" i="3" s="1"/>
  <c r="I33" i="3"/>
  <c r="J48" i="3"/>
  <c r="H33" i="3"/>
  <c r="H55" i="3" s="1"/>
  <c r="I48" i="3"/>
  <c r="J36" i="2"/>
  <c r="I36" i="2"/>
  <c r="I45" i="2"/>
  <c r="I113" i="7" l="1"/>
  <c r="J60" i="2"/>
  <c r="J68" i="2" s="1"/>
  <c r="G56" i="3"/>
  <c r="I119" i="7"/>
  <c r="J57" i="3"/>
  <c r="J65" i="3" s="1"/>
  <c r="J77" i="3" s="1"/>
  <c r="I53" i="4"/>
  <c r="I54" i="4" s="1"/>
  <c r="G120" i="7"/>
  <c r="G114" i="7"/>
  <c r="I114" i="7"/>
  <c r="J113" i="7"/>
  <c r="I120" i="7"/>
  <c r="J55" i="4"/>
  <c r="J63" i="4" s="1"/>
  <c r="J74" i="4" s="1"/>
  <c r="G54" i="4"/>
  <c r="G55" i="4"/>
  <c r="H57" i="3"/>
  <c r="H56" i="3"/>
  <c r="H65" i="3"/>
  <c r="I55" i="3"/>
  <c r="I58" i="2"/>
  <c r="I68" i="2" s="1"/>
  <c r="J119" i="7" l="1"/>
  <c r="J125" i="7" s="1"/>
  <c r="I125" i="7"/>
  <c r="I63" i="4"/>
  <c r="I56" i="3"/>
  <c r="I65" i="3"/>
  <c r="J26" i="10" l="1"/>
  <c r="J27" i="10" s="1"/>
</calcChain>
</file>

<file path=xl/sharedStrings.xml><?xml version="1.0" encoding="utf-8"?>
<sst xmlns="http://schemas.openxmlformats.org/spreadsheetml/2006/main" count="1741" uniqueCount="567">
  <si>
    <t>Ag Decision Maker -- Iowa State University Extension and Outreach</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</si>
  <si>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a corn crop after a previous crop of corn.</t>
    </r>
  </si>
  <si>
    <t>Enter your input values in shaded cells.</t>
  </si>
  <si>
    <t>Field Name</t>
  </si>
  <si>
    <t xml:space="preserve">Expected Yield </t>
  </si>
  <si>
    <t xml:space="preserve">Acres </t>
  </si>
  <si>
    <t>Example</t>
  </si>
  <si>
    <t>bu./acre</t>
  </si>
  <si>
    <t>Cost per Acre</t>
  </si>
  <si>
    <t>Total</t>
  </si>
  <si>
    <t>Total Cost</t>
  </si>
  <si>
    <t xml:space="preserve">Preharvest machinery </t>
  </si>
  <si>
    <t>Fixed</t>
  </si>
  <si>
    <t>Variable</t>
  </si>
  <si>
    <t>per Acre</t>
  </si>
  <si>
    <t>Chisel plow</t>
  </si>
  <si>
    <t>Tandem disk</t>
  </si>
  <si>
    <t>Apply nitrogen</t>
  </si>
  <si>
    <t>Field cultivate</t>
  </si>
  <si>
    <t>Plant</t>
  </si>
  <si>
    <t>Spray</t>
  </si>
  <si>
    <t>Custom hire</t>
  </si>
  <si>
    <t>Other</t>
  </si>
  <si>
    <t xml:space="preserve">    Total per acre</t>
  </si>
  <si>
    <t xml:space="preserve">    Total all acres</t>
  </si>
  <si>
    <t>Seed, chemicals, etc.</t>
  </si>
  <si>
    <t>Price per unit</t>
  </si>
  <si>
    <t>Units</t>
  </si>
  <si>
    <t>Seed</t>
  </si>
  <si>
    <t>cost per 1000 kernels</t>
  </si>
  <si>
    <t>kernels per acre</t>
  </si>
  <si>
    <t>Nitrogen</t>
  </si>
  <si>
    <t>price per pound</t>
  </si>
  <si>
    <t>pounds per acre</t>
  </si>
  <si>
    <t>Phosphate</t>
  </si>
  <si>
    <t>Potash</t>
  </si>
  <si>
    <t>Lime (annual cost)</t>
  </si>
  <si>
    <t>Herbicide</t>
  </si>
  <si>
    <t>Insecticide</t>
  </si>
  <si>
    <t>Crop insurance</t>
  </si>
  <si>
    <t>Miscellaneous</t>
  </si>
  <si>
    <t>Interest on preharvest variable costs</t>
  </si>
  <si>
    <t>length of period (months)</t>
  </si>
  <si>
    <t>interest rate</t>
  </si>
  <si>
    <t xml:space="preserve"> </t>
  </si>
  <si>
    <t>Harvest machinery</t>
  </si>
  <si>
    <t>Combine</t>
  </si>
  <si>
    <t>Grain cart</t>
  </si>
  <si>
    <t>Haul</t>
  </si>
  <si>
    <t>fixed price per bushel</t>
  </si>
  <si>
    <t>variable price per bushel</t>
  </si>
  <si>
    <t>Drying</t>
  </si>
  <si>
    <t>Handling</t>
  </si>
  <si>
    <t>Labor</t>
  </si>
  <si>
    <t>Rate per hour</t>
  </si>
  <si>
    <t>Hours</t>
  </si>
  <si>
    <t xml:space="preserve">  Operator</t>
  </si>
  <si>
    <t xml:space="preserve">  Hired </t>
  </si>
  <si>
    <t xml:space="preserve">      Total</t>
  </si>
  <si>
    <t>Land</t>
  </si>
  <si>
    <t xml:space="preserve">  Cash rent equivalent</t>
  </si>
  <si>
    <t>Total fixed, variable and all costs</t>
  </si>
  <si>
    <t xml:space="preserve">  Per acre</t>
  </si>
  <si>
    <t xml:space="preserve">  Per bushel</t>
  </si>
  <si>
    <t xml:space="preserve"> Total all acres</t>
  </si>
  <si>
    <t>Return per</t>
  </si>
  <si>
    <t>Acre Over</t>
  </si>
  <si>
    <t>Return</t>
  </si>
  <si>
    <t>Gross returns</t>
  </si>
  <si>
    <t>Variable Costs</t>
  </si>
  <si>
    <t>All Costs</t>
  </si>
  <si>
    <t>All Acres</t>
  </si>
  <si>
    <t xml:space="preserve">  Expected selling price</t>
  </si>
  <si>
    <t xml:space="preserve">  Government payments</t>
  </si>
  <si>
    <t xml:space="preserve">    Effective LDP rate</t>
  </si>
  <si>
    <t xml:space="preserve">      Total returns</t>
  </si>
  <si>
    <t>Net returns</t>
  </si>
  <si>
    <t>Notes</t>
  </si>
  <si>
    <t>Machinery: Fixed machinery costs include depreciation, return on investment in machinery (interest), insurance, and housing. Variable machinery costs include fuel, oil, and repairs.</t>
  </si>
  <si>
    <t>Drying cost: For more detailed drying costs, use the "Grain Drying Cost Calculator" Decision Tool.</t>
  </si>
  <si>
    <t>Visit the CME Group website for price information, https://www.cmegroup.com/.</t>
  </si>
  <si>
    <t>Loan deficiency payment rates can be found on the USDA Farm Service Agency website, https://www.fsa.usda.gov/programs-and-services/price-support/ldp-rates/index.</t>
  </si>
  <si>
    <t>Version 2.0_12025</t>
  </si>
  <si>
    <t>Contact: Ann Johanns</t>
  </si>
  <si>
    <t>Date Printed:</t>
  </si>
  <si>
    <t>Corn Following Corn</t>
  </si>
  <si>
    <t>Corn Following Soybeans</t>
  </si>
  <si>
    <t xml:space="preserve">----  </t>
  </si>
  <si>
    <t xml:space="preserve">  Seed</t>
  </si>
  <si>
    <t xml:space="preserve">  Nitrogen</t>
  </si>
  <si>
    <t xml:space="preserve">  Phosphate</t>
  </si>
  <si>
    <t xml:space="preserve">  Potash</t>
  </si>
  <si>
    <t xml:space="preserve">  Lime (annual cost)</t>
  </si>
  <si>
    <t xml:space="preserve">  Herbicide</t>
  </si>
  <si>
    <t xml:space="preserve">  Crop insurance</t>
  </si>
  <si>
    <t xml:space="preserve">  Miscellaneous</t>
  </si>
  <si>
    <t xml:space="preserve">  Interest on preharvest variable costs</t>
  </si>
  <si>
    <t>Low-till Corn Following Soybeans</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</si>
  <si>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corn after a previous crop of soybeans.</t>
    </r>
  </si>
  <si>
    <t>Low-till Herbicide Tolerant Drilled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</si>
  <si>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soybeans crop after a previous crop of corn.</t>
    </r>
  </si>
  <si>
    <t>Drill</t>
  </si>
  <si>
    <t>cost per unit</t>
  </si>
  <si>
    <t>units per acre (140,000)</t>
  </si>
  <si>
    <t>Operator</t>
  </si>
  <si>
    <t xml:space="preserve">Hired </t>
  </si>
  <si>
    <t>Cash rent equivalent</t>
  </si>
  <si>
    <t>Per acre</t>
  </si>
  <si>
    <t>Per bushel</t>
  </si>
  <si>
    <t>Total all acres</t>
  </si>
  <si>
    <t>Expected selling price</t>
  </si>
  <si>
    <t>Government payments</t>
  </si>
  <si>
    <t>Effective LDP rate</t>
  </si>
  <si>
    <t>Total returns</t>
  </si>
  <si>
    <t>This institution is an equal opportunity provider. For the full non-discrimination statement or accommodation inquiries, go to www.extension.iastate.edu/legal.</t>
  </si>
  <si>
    <t>years</t>
  </si>
  <si>
    <t>Fertilizer</t>
  </si>
  <si>
    <t>Production Costs for Alfalfa or Alfalfa-grass Hay</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</si>
  <si>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annual cost per acre for alfalfa or alfalfa-grass hay. </t>
    </r>
  </si>
  <si>
    <t>This worksheet calculates hay production costs without a companion crop.</t>
  </si>
  <si>
    <t>Establishment year hay production*</t>
  </si>
  <si>
    <t>tons/acre/year</t>
  </si>
  <si>
    <t>Cuttings - year 1</t>
  </si>
  <si>
    <t>* For year 1 only.</t>
  </si>
  <si>
    <t>Establishment Year Costs</t>
  </si>
  <si>
    <t>Spray herbicide</t>
  </si>
  <si>
    <t>Tandem disk (2 times)</t>
  </si>
  <si>
    <t>Spread fertilizer</t>
  </si>
  <si>
    <t>Harrow</t>
  </si>
  <si>
    <t>Seed (drill)</t>
  </si>
  <si>
    <t>Seed, fertilizer, etc.</t>
  </si>
  <si>
    <t>Alfalfa</t>
  </si>
  <si>
    <t>price per unit</t>
  </si>
  <si>
    <t>units per acre</t>
  </si>
  <si>
    <t>Lime (total cost for hay lifetime)</t>
  </si>
  <si>
    <t>Establishment Labor</t>
  </si>
  <si>
    <t>Preharvest hours per acre</t>
  </si>
  <si>
    <t>hours per acre</t>
  </si>
  <si>
    <t xml:space="preserve">      Total establishment labor</t>
  </si>
  <si>
    <t>Establishment Costs</t>
  </si>
  <si>
    <t>Total establishment costs</t>
  </si>
  <si>
    <t>Annual Costs</t>
  </si>
  <si>
    <t>Fertilizer, etc.</t>
  </si>
  <si>
    <t>Harvest Labor</t>
  </si>
  <si>
    <t>Harvest, hours per cutting</t>
  </si>
  <si>
    <t>hours per cutting</t>
  </si>
  <si>
    <t>Hay Harvesting Costs - year 1, price per cutting</t>
  </si>
  <si>
    <t>Mower-conditioner</t>
  </si>
  <si>
    <t>Rake</t>
  </si>
  <si>
    <t>Round baler</t>
  </si>
  <si>
    <t>fixed cost per ton</t>
  </si>
  <si>
    <t>variable cost per ton</t>
  </si>
  <si>
    <t>Hay harvesting costs</t>
  </si>
  <si>
    <t>Total harvest costs, per acre</t>
  </si>
  <si>
    <t>Total harvest cost, all acres</t>
  </si>
  <si>
    <t>Establishment Year Costs and Returns</t>
  </si>
  <si>
    <t>Total establishment costs per acre</t>
  </si>
  <si>
    <t>Establishment First Year Returns</t>
  </si>
  <si>
    <t>Expected Hay price per ton</t>
  </si>
  <si>
    <t>Hay yield</t>
  </si>
  <si>
    <t>Annual Production Costs for Established Crop</t>
  </si>
  <si>
    <t>Hay Production Level</t>
  </si>
  <si>
    <t xml:space="preserve">  Years hay will be in production</t>
  </si>
  <si>
    <t>Cuttings</t>
  </si>
  <si>
    <t>cuttings</t>
  </si>
  <si>
    <t xml:space="preserve">  after establishment year</t>
  </si>
  <si>
    <t>Establishment costs divided by years of production, plus establishment year</t>
  </si>
  <si>
    <t>Fertilizer Spreader</t>
  </si>
  <si>
    <t>Annual Fertilizer, removal rate per ton</t>
  </si>
  <si>
    <t>pounds per ton</t>
  </si>
  <si>
    <t>Hay Harvesting Costs - price per cutting</t>
  </si>
  <si>
    <t>Harvesting costs per cutting</t>
  </si>
  <si>
    <t>Other labor</t>
  </si>
  <si>
    <t>Production Year Costs</t>
  </si>
  <si>
    <t>Total production year costs per acre</t>
  </si>
  <si>
    <t>Cost per ton</t>
  </si>
  <si>
    <t>Including Establishment Year</t>
  </si>
  <si>
    <t>Average costs per acre</t>
  </si>
  <si>
    <t>Average cost per ton</t>
  </si>
  <si>
    <t>Average gross returns per year</t>
  </si>
  <si>
    <t>Average Net Returns per Year</t>
  </si>
  <si>
    <t>Higher priced seed varieties or different seed mixtures could vary these costs by 1.2 to 2.0 times.</t>
  </si>
  <si>
    <t>Quantity</t>
  </si>
  <si>
    <t>Unit</t>
  </si>
  <si>
    <t>annual</t>
  </si>
  <si>
    <t>acre</t>
  </si>
  <si>
    <t>Plant Material</t>
  </si>
  <si>
    <t>Weed Control</t>
  </si>
  <si>
    <t>Burndown</t>
  </si>
  <si>
    <t>32 oz. of glyphosate</t>
  </si>
  <si>
    <r>
      <t>Preemergence</t>
    </r>
    <r>
      <rPr>
        <vertAlign val="superscript"/>
        <sz val="12"/>
        <color theme="1"/>
        <rFont val="Calibri"/>
        <family val="2"/>
        <scheme val="minor"/>
      </rPr>
      <t>6</t>
    </r>
  </si>
  <si>
    <r>
      <t>Postemergence</t>
    </r>
    <r>
      <rPr>
        <vertAlign val="superscript"/>
        <sz val="12"/>
        <color theme="1"/>
        <rFont val="Calibri"/>
        <family val="2"/>
        <scheme val="minor"/>
      </rPr>
      <t>6</t>
    </r>
  </si>
  <si>
    <r>
      <t xml:space="preserve">8 oz. of </t>
    </r>
    <r>
      <rPr>
        <i/>
        <sz val="12"/>
        <color theme="1"/>
        <rFont val="Calibri"/>
        <family val="2"/>
        <scheme val="minor"/>
      </rPr>
      <t>Transline</t>
    </r>
    <r>
      <rPr>
        <sz val="12"/>
        <color theme="1"/>
        <rFont val="Calibri"/>
        <family val="2"/>
        <scheme val="minor"/>
      </rPr>
      <t xml:space="preserve"> + 10 oz. of </t>
    </r>
    <r>
      <rPr>
        <i/>
        <sz val="12"/>
        <color theme="1"/>
        <rFont val="Calibri"/>
        <family val="2"/>
        <scheme val="minor"/>
      </rPr>
      <t>Assure II</t>
    </r>
  </si>
  <si>
    <t>Biomass</t>
  </si>
  <si>
    <t>Breakevens (Weanling to Harvest)</t>
  </si>
  <si>
    <t>Cattle</t>
  </si>
  <si>
    <t>Number of Animals</t>
  </si>
  <si>
    <t>In Weight (lbs)</t>
  </si>
  <si>
    <t>Dollar Value ($/lb)</t>
  </si>
  <si>
    <t>Purchase Price ($/heard)</t>
  </si>
  <si>
    <t>$/hd</t>
  </si>
  <si>
    <t>OutWeights</t>
  </si>
  <si>
    <t>Live Weight (lbs)</t>
  </si>
  <si>
    <t>Grass fed beef whole carcass price</t>
  </si>
  <si>
    <t>Dressing Percentage (%)</t>
  </si>
  <si>
    <t>$/pound</t>
  </si>
  <si>
    <t>Hot Carcass Weight (lbs)</t>
  </si>
  <si>
    <t>https://www.ams.usda.gov/mnreports/lsmngfbeef.pdf</t>
  </si>
  <si>
    <t>Operating Inputs</t>
  </si>
  <si>
    <t>$/Unit</t>
  </si>
  <si>
    <t>Total Units</t>
  </si>
  <si>
    <t>Total Costs</t>
  </si>
  <si>
    <t>$/lbs</t>
  </si>
  <si>
    <t>Pasture (rent)</t>
  </si>
  <si>
    <t>AUM1</t>
  </si>
  <si>
    <t>Rangeland (rent)</t>
  </si>
  <si>
    <r>
      <t>AUM</t>
    </r>
    <r>
      <rPr>
        <vertAlign val="superscript"/>
        <sz val="11"/>
        <color theme="1"/>
        <rFont val="Calibri"/>
        <family val="2"/>
        <scheme val="minor"/>
      </rPr>
      <t>1</t>
    </r>
  </si>
  <si>
    <t>Irrigated Pasture (rent)</t>
  </si>
  <si>
    <r>
      <t>lb/gain</t>
    </r>
    <r>
      <rPr>
        <vertAlign val="superscript"/>
        <sz val="11"/>
        <color theme="1"/>
        <rFont val="Calibri"/>
        <family val="2"/>
        <scheme val="minor"/>
      </rPr>
      <t>2</t>
    </r>
  </si>
  <si>
    <t>Additional Feed Costs (grain, hay, supplements)</t>
  </si>
  <si>
    <t>Salt/Mineral</t>
  </si>
  <si>
    <t>Veterinary/Medical</t>
  </si>
  <si>
    <t>Each</t>
  </si>
  <si>
    <t xml:space="preserve">Death loss </t>
  </si>
  <si>
    <t>(2% of purchase price)</t>
  </si>
  <si>
    <t>Brand Inspection</t>
  </si>
  <si>
    <t>Checkoff</t>
  </si>
  <si>
    <t>Harvest Costs</t>
  </si>
  <si>
    <t>Carcass</t>
  </si>
  <si>
    <t>Cut and Wrap</t>
  </si>
  <si>
    <t>lbs of Hot Carcass</t>
  </si>
  <si>
    <t>Marketing Costs</t>
  </si>
  <si>
    <t>Stock Trailer</t>
  </si>
  <si>
    <t>Miles</t>
  </si>
  <si>
    <t>1-ton Pickup Truck</t>
  </si>
  <si>
    <t>ATV</t>
  </si>
  <si>
    <t xml:space="preserve">Net Opperating Costs </t>
  </si>
  <si>
    <t>Cash Overhead Costs:</t>
  </si>
  <si>
    <t>Interest on opperatign Loan</t>
  </si>
  <si>
    <t>Insurance (Liability)</t>
  </si>
  <si>
    <t>Total Cash Overheads</t>
  </si>
  <si>
    <t>Totals</t>
  </si>
  <si>
    <t>Breakeven price</t>
  </si>
  <si>
    <t>Revenue</t>
  </si>
  <si>
    <t>Net Revenue</t>
  </si>
  <si>
    <r>
      <rPr>
        <vertAlign val="superscript"/>
        <sz val="11"/>
        <color theme="1"/>
        <rFont val="Calibri"/>
        <family val="2"/>
        <scheme val="minor"/>
      </rPr>
      <t>1</t>
    </r>
    <r>
      <rPr>
        <sz val="12"/>
        <color theme="1"/>
        <rFont val="Calibri"/>
        <family val="2"/>
        <scheme val="minor"/>
      </rPr>
      <t>Charged by Animal Unit Monthly</t>
    </r>
  </si>
  <si>
    <r>
      <rPr>
        <vertAlign val="superscript"/>
        <sz val="11"/>
        <color theme="1"/>
        <rFont val="Calibri"/>
        <family val="2"/>
        <scheme val="minor"/>
      </rPr>
      <t>2</t>
    </r>
    <r>
      <rPr>
        <sz val="12"/>
        <color theme="1"/>
        <rFont val="Calibri"/>
        <family val="2"/>
        <scheme val="minor"/>
      </rPr>
      <t xml:space="preserve">Rent based on lb of gain </t>
    </r>
  </si>
  <si>
    <t>Rotational Grazing</t>
  </si>
  <si>
    <t>Cost of fencing and water systems</t>
  </si>
  <si>
    <r>
      <t xml:space="preserve">he daily salt requirement for mature cattle is </t>
    </r>
    <r>
      <rPr>
        <b/>
        <sz val="12"/>
        <color theme="1"/>
        <rFont val="Calibri"/>
        <family val="2"/>
        <scheme val="minor"/>
      </rPr>
      <t>less than 1 ounce/head/day</t>
    </r>
    <r>
      <rPr>
        <sz val="12"/>
        <color theme="1"/>
        <rFont val="Calibri"/>
        <family val="2"/>
        <scheme val="minor"/>
      </rPr>
      <t>.</t>
    </r>
  </si>
  <si>
    <t>16 oz per lbs</t>
  </si>
  <si>
    <t>25 lb Bag</t>
  </si>
  <si>
    <t>Carbon</t>
  </si>
  <si>
    <t>Horizon (yrs)</t>
  </si>
  <si>
    <t>2024$</t>
  </si>
  <si>
    <t>Discount rate</t>
  </si>
  <si>
    <t>Actions</t>
  </si>
  <si>
    <t>Capital Recovery Factor *</t>
  </si>
  <si>
    <t>This factor annualizes the present value cost</t>
  </si>
  <si>
    <t xml:space="preserve">Units are per acre unless otherwise noted. </t>
  </si>
  <si>
    <t>* Capital recovery formula = [i(1+i)^n]/(1+i)^n-1]</t>
  </si>
  <si>
    <t xml:space="preserve">Establishment </t>
  </si>
  <si>
    <t>Cost per unit</t>
  </si>
  <si>
    <t>Units (acre)</t>
  </si>
  <si>
    <t>Cashflow</t>
  </si>
  <si>
    <t>Year</t>
  </si>
  <si>
    <t>Present Value Cost/ acre</t>
  </si>
  <si>
    <t>Annualized</t>
  </si>
  <si>
    <t>Tilling (assume drill into bean field)</t>
  </si>
  <si>
    <t>Disking tandem (if planting into harvested corn)</t>
  </si>
  <si>
    <t>Hebicide (30 oz. per acre)</t>
  </si>
  <si>
    <t>Fertilizer (UAN 32%; 75 pounds per acre)</t>
  </si>
  <si>
    <t>Herbicide application 1</t>
  </si>
  <si>
    <t>Seed Drilling</t>
  </si>
  <si>
    <t>Seed 2</t>
  </si>
  <si>
    <t>Mowing, raking, bale, move to gate</t>
  </si>
  <si>
    <t>Cultipacking</t>
  </si>
  <si>
    <t>Mowing (3 x in yr 1)</t>
  </si>
  <si>
    <t xml:space="preserve">Mow, rake, windrow, bale yr 3 </t>
  </si>
  <si>
    <t>Management (If not harvesting biomass)</t>
  </si>
  <si>
    <t>acre (*2)</t>
  </si>
  <si>
    <t>Bump seeding (as needed; yr 3)4</t>
  </si>
  <si>
    <t>Management - Mow</t>
  </si>
  <si>
    <t>every 2 yrs</t>
  </si>
  <si>
    <t>Management Burn</t>
  </si>
  <si>
    <t>every 3-5 yrs</t>
  </si>
  <si>
    <t>Annual costs</t>
  </si>
  <si>
    <t>Land rent 5</t>
  </si>
  <si>
    <t>Overhead (3% of upfront costs)</t>
  </si>
  <si>
    <t>Total Annual Cost (Acre)</t>
  </si>
  <si>
    <t>Total Annual Cost (Hectare)</t>
  </si>
  <si>
    <t>1. YEAR OF SEEDING CONVERTED CROPLAND If weeds are present at the time of seeding, treat the area with glyphosate either before seeding or 5 to 8 days post-seeding.</t>
  </si>
  <si>
    <t>2. IA CP43 20/20 Mix (Prairie Strips) (Iowa PF 2024 seed catalog), $162.00 / acre  </t>
  </si>
  <si>
    <t>This 36 species native grass mix is designed to meet the Iowa USDA requirements for CP43- Prairie Strip Program. Mix contains 20 grass seeds and 20 forb seeds per square foot. To view mix in the IA NRCS seed calculator or to order, click on title above. Updated Aug. 2023.</t>
  </si>
  <si>
    <t>4. IA Pollinator Spring Bump Up Mix (Enhancement Mix) (2024) $120.00 / acre . Not a CP42 Pollinator mix but an option to add more forbs. This 12 species forb only mix will give your prairie planting more spring blooming flowers.</t>
  </si>
  <si>
    <t xml:space="preserve">5. Land rent will vary significantly from site to site. The weighted average soil rent for the area under prairie is the way that tools like the ACPF FiNRT calculates this cost. The $279/ acre is the 2024 Iowa average rent for land in the lower third of soil quality. https://www.extension.iastate.edu/agdm/wholefarm/pdf/c2-10.pdf </t>
  </si>
  <si>
    <t>NOTE: In general, site level costs for establishing and managing prairie will be highly variable across sites. These costs vary because they depend on initial site conditions (such as hydrology, soil, cropping or land use history), weather at time of planting and during the establishment phase, landscaping design, choice of ground cover seed mixes, management characteristics, manager experience, availability of technical or custom (contractor) services, general labor availability and cost, and in inflationary times cost price volatility is relevant. Likewise, the opportunity cost of land varies year to year based on land markets and, when agricultural land is being used, commodity crop price dynamics.</t>
  </si>
  <si>
    <t>Glyphosate (2024); 0.75 lb/ acre</t>
  </si>
  <si>
    <t xml:space="preserve">$16/gal </t>
  </si>
  <si>
    <t>128 ounces to a gallon; 16 oz per pound</t>
  </si>
  <si>
    <t>From the project (Applewood Seed Company 5380 Vivian Street · Arvada, CO 80002)</t>
  </si>
  <si>
    <t xml:space="preserve">16.00000 16.00000 LB CUMX13 Custom Wildflower Mixture $52.00 $832.00 </t>
  </si>
  <si>
    <t>https://app.indigoag.com/programs/how-much-can-i-earn-carbon-farming</t>
  </si>
  <si>
    <t>https://www.extension.iastate.edu/agdm/crops/pdf/a2-11.pdf</t>
  </si>
  <si>
    <t>The cost of Cover Crops:</t>
  </si>
  <si>
    <t>per acre</t>
  </si>
  <si>
    <t>120 lbs per acre seeding rate.</t>
  </si>
  <si>
    <t>Planting - Aerial</t>
  </si>
  <si>
    <t>Typical aerial Seeding Rate: 83-150 lb./Ac PLS.</t>
  </si>
  <si>
    <t>Cover Termination - Herbicide</t>
  </si>
  <si>
    <t>Glyphosate: $23.00/ gal.; AMS: $0.35/lb.; Nonionic surfactant: $26/gal; Application: $7.23/acre = 64 oz. glyphosate + 2.5 lb. AMS + 4.8 oz. NIS = Total: $19.00/acre.</t>
  </si>
  <si>
    <t>Cover Crop Planting</t>
  </si>
  <si>
    <t>Min</t>
  </si>
  <si>
    <t>Max</t>
  </si>
  <si>
    <t xml:space="preserve">Total </t>
  </si>
  <si>
    <t>Net Returns</t>
  </si>
  <si>
    <t>Herbicide Tolerant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</si>
  <si>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soybeans after a previous crop of corn.</t>
    </r>
  </si>
  <si>
    <t>Cost</t>
  </si>
  <si>
    <t>Price Information:</t>
  </si>
  <si>
    <t>https://www.ams.usda.gov/mnreports/ams_2807.pdf</t>
  </si>
  <si>
    <t>Expected GRASS Hay price per ton</t>
  </si>
  <si>
    <t>Expected ALFALFA Hay price per ton</t>
  </si>
  <si>
    <t>Switchgrass</t>
  </si>
  <si>
    <t>Perennial - Med Input</t>
  </si>
  <si>
    <t>Per Acre</t>
  </si>
  <si>
    <t>Price /unit</t>
  </si>
  <si>
    <t>Yr 0</t>
  </si>
  <si>
    <t>Yr 1</t>
  </si>
  <si>
    <t>Yr 2</t>
  </si>
  <si>
    <t>Yr 3</t>
  </si>
  <si>
    <t>Yr 4</t>
  </si>
  <si>
    <t>Yr 5</t>
  </si>
  <si>
    <t>Yr 6</t>
  </si>
  <si>
    <t>Yr 7</t>
  </si>
  <si>
    <t>Yr 8</t>
  </si>
  <si>
    <t>Yr 9</t>
  </si>
  <si>
    <t>Yr 10</t>
  </si>
  <si>
    <t>Present Value</t>
  </si>
  <si>
    <t xml:space="preserve">Annualized PV  </t>
  </si>
  <si>
    <t>REVENUE SOURCE</t>
  </si>
  <si>
    <r>
      <t>Mature yield (est.)</t>
    </r>
    <r>
      <rPr>
        <vertAlign val="superscript"/>
        <sz val="11"/>
        <color indexed="8"/>
        <rFont val="Calibri"/>
        <family val="2"/>
      </rPr>
      <t>1</t>
    </r>
  </si>
  <si>
    <t>ton/acre</t>
  </si>
  <si>
    <t>Revenue Stream</t>
  </si>
  <si>
    <t>SELECT CASH EXPENSES</t>
  </si>
  <si>
    <t>Pre-planting site protection</t>
  </si>
  <si>
    <t>Winter Cereal Rye</t>
  </si>
  <si>
    <t>PLS lb/acre</t>
  </si>
  <si>
    <r>
      <t>Fertilizer</t>
    </r>
    <r>
      <rPr>
        <vertAlign val="superscript"/>
        <sz val="11"/>
        <color indexed="8"/>
        <rFont val="Calibri"/>
        <family val="2"/>
      </rPr>
      <t>2</t>
    </r>
  </si>
  <si>
    <t>Nitrogen (year 1)</t>
  </si>
  <si>
    <t>lb</t>
  </si>
  <si>
    <t>Nitrogen (yrs 2-10)</t>
  </si>
  <si>
    <t>lb/ton</t>
  </si>
  <si>
    <t xml:space="preserve">Hebicides </t>
  </si>
  <si>
    <t>oz</t>
  </si>
  <si>
    <t>Pre-emergence</t>
  </si>
  <si>
    <t>pint</t>
  </si>
  <si>
    <t>Machine Costs</t>
  </si>
  <si>
    <t>Disking tandem</t>
  </si>
  <si>
    <t>Soil Finish</t>
  </si>
  <si>
    <t>Grass seeder, drill</t>
  </si>
  <si>
    <t>Sprayer (broadcast, incorp.)</t>
  </si>
  <si>
    <t>Harvest &amp; Post-harvest</t>
  </si>
  <si>
    <t>Mowing</t>
  </si>
  <si>
    <t>Raking</t>
  </si>
  <si>
    <t>wind rowing</t>
  </si>
  <si>
    <t>Baling - lg round (1 tn)</t>
  </si>
  <si>
    <t>bale</t>
  </si>
  <si>
    <t>Bale-to-storage (1 tn)</t>
  </si>
  <si>
    <t>Cost of Land</t>
  </si>
  <si>
    <t>State Ave rent for lower 1/3</t>
  </si>
  <si>
    <t>1 acre</t>
  </si>
  <si>
    <t xml:space="preserve">Overhead </t>
  </si>
  <si>
    <t>= 0.05% of all year 1 costs</t>
  </si>
  <si>
    <t>TOTAL CASH EXPENSES</t>
  </si>
  <si>
    <t>REV ABOVE EXPENSES</t>
  </si>
  <si>
    <t xml:space="preserve">1. Max yield after 3 yrs </t>
  </si>
  <si>
    <t>Calculation Assumptions:</t>
  </si>
  <si>
    <t>Discount Rate</t>
  </si>
  <si>
    <t>Years of Production</t>
  </si>
  <si>
    <t>i(1+i)^n</t>
  </si>
  <si>
    <t>(1+i)^n - 1</t>
  </si>
  <si>
    <t>Annualized costs = Present value* capital recovery factor (CR)</t>
  </si>
  <si>
    <t>Seed (IA PF; 5lbs per acre)</t>
  </si>
  <si>
    <t>turn off harvest</t>
  </si>
  <si>
    <t>Discount rate (MARR)</t>
  </si>
  <si>
    <t xml:space="preserve">3. Assumes a third party comes to harvest. Not the responsibility of the landowner.  </t>
  </si>
  <si>
    <t>Poplar</t>
  </si>
  <si>
    <t>Woody - Low Input</t>
  </si>
  <si>
    <t>Price /Unit</t>
  </si>
  <si>
    <t>Annualized PV  (compare to corn yearly cost)</t>
  </si>
  <si>
    <t>REVENUE SOURCES</t>
  </si>
  <si>
    <t>Wood Yield</t>
  </si>
  <si>
    <t>dry ton</t>
  </si>
  <si>
    <t>TOTAL REVENUE</t>
  </si>
  <si>
    <t>CASH EXPENSES</t>
  </si>
  <si>
    <t>cutting</t>
  </si>
  <si>
    <t>lbs</t>
  </si>
  <si>
    <r>
      <t>P</t>
    </r>
    <r>
      <rPr>
        <vertAlign val="subscript"/>
        <sz val="11"/>
        <color indexed="8"/>
        <rFont val="Calibri"/>
        <family val="2"/>
      </rPr>
      <t>2</t>
    </r>
    <r>
      <rPr>
        <sz val="12"/>
        <color theme="1"/>
        <rFont val="Calibri"/>
        <family val="2"/>
        <scheme val="minor"/>
      </rPr>
      <t>O</t>
    </r>
    <r>
      <rPr>
        <vertAlign val="subscript"/>
        <sz val="11"/>
        <color indexed="8"/>
        <rFont val="Calibri"/>
        <family val="2"/>
      </rPr>
      <t>5</t>
    </r>
  </si>
  <si>
    <r>
      <t>K</t>
    </r>
    <r>
      <rPr>
        <vertAlign val="subscript"/>
        <sz val="11"/>
        <color indexed="8"/>
        <rFont val="Calibri"/>
        <family val="2"/>
      </rPr>
      <t>2</t>
    </r>
    <r>
      <rPr>
        <sz val="12"/>
        <color theme="1"/>
        <rFont val="Calibri"/>
        <family val="2"/>
        <scheme val="minor"/>
      </rPr>
      <t>O</t>
    </r>
  </si>
  <si>
    <t>Pendamethalin</t>
  </si>
  <si>
    <t>Chisel Plow</t>
  </si>
  <si>
    <t>acre (not custom)</t>
  </si>
  <si>
    <t>Sprayer</t>
  </si>
  <si>
    <t>Harvest*</t>
  </si>
  <si>
    <t>feller-buncher/forwarder</t>
  </si>
  <si>
    <t>green ton</t>
  </si>
  <si>
    <t>Chipping/grinding</t>
  </si>
  <si>
    <t>Trucking</t>
  </si>
  <si>
    <t>hours/acre</t>
  </si>
  <si>
    <t>*Harvest cost are calculated per green ton.  Green wood is roughly twice the weight of dry wood.</t>
  </si>
  <si>
    <t>Planting Mat. and planting</t>
  </si>
  <si>
    <t>Machine planting</t>
  </si>
  <si>
    <t>Captal Recovery</t>
  </si>
  <si>
    <t>Annualized Payment</t>
  </si>
  <si>
    <t>State Ave pasture rent</t>
  </si>
  <si>
    <t>Permanent Pasture</t>
  </si>
  <si>
    <t>Wetland Cost</t>
  </si>
  <si>
    <t>Depression, Sediment Removal and Ditch Plug Scenario Description: A Depressional HGM class wetland is to be restored. The wetland size is 10 acres. The site is a recharge depression, fed only from surface runoff. After Practice Description: The ditch has been plugged by the installation of a 50' long section of compacted clay fill, and the deposition has been removed down to the original topsoil layer. An herbaceous plant community has been seeded. 
Cost per Wetland acre =</t>
  </si>
  <si>
    <t>https://www.nrcs.usda.gov/sites/default/files/2025-01/FY25%20FA%20Program%20Scenario%20Booklet%20Jan%202025.pdf</t>
  </si>
  <si>
    <t>Restoration costs</t>
  </si>
  <si>
    <t>Land cost</t>
  </si>
  <si>
    <t xml:space="preserve">Capital recovery </t>
  </si>
  <si>
    <t>Years</t>
  </si>
  <si>
    <t xml:space="preserve">Annual </t>
  </si>
  <si>
    <t>Annual Total cost/ acre</t>
  </si>
  <si>
    <t>Data based on 2025 EQIP Payments:</t>
  </si>
  <si>
    <t>To account for potential yield differences due to management practices in conservation forest land-use types, we applied a 30% reduction to wood production estimates from the Iowa Woodland Suitability Composite for conservation forest yield.</t>
  </si>
  <si>
    <t>From Chennault et al. 2020</t>
  </si>
  <si>
    <t>Ash</t>
  </si>
  <si>
    <t>Cottonwood</t>
  </si>
  <si>
    <t>Silver maple</t>
  </si>
  <si>
    <t>Black walnut</t>
  </si>
  <si>
    <t>W. oak</t>
  </si>
  <si>
    <t>R. Oak</t>
  </si>
  <si>
    <t>Basswood</t>
  </si>
  <si>
    <t>Shagbark hickory</t>
  </si>
  <si>
    <t>$/bf Sawlogs</t>
  </si>
  <si>
    <t>$/bf Veneer</t>
  </si>
  <si>
    <t>Species</t>
  </si>
  <si>
    <t>Assumed mix</t>
  </si>
  <si>
    <t>Sawlogs</t>
  </si>
  <si>
    <t>Veneer</t>
  </si>
  <si>
    <t>Weighted price stumpage price per board foot =</t>
  </si>
  <si>
    <t>Total conservation forest Bf from PEWI</t>
  </si>
  <si>
    <t>Conservation Forest Stumpage</t>
  </si>
  <si>
    <t>Conventional Forest Stumpage</t>
  </si>
  <si>
    <t>Total Annualized Stumpage Value</t>
  </si>
  <si>
    <t>https://www.canr.msu.edu/bioeconomy/feedstocks/woody-materials</t>
  </si>
  <si>
    <t>https://www.canr.msu.edu/bioeconomy/feedstocks/switchgrass</t>
  </si>
  <si>
    <t>Source data for prices:</t>
  </si>
  <si>
    <t>https://dnr.illinois.gov/conservation/forestry/timer-prices-in-illinois.html</t>
  </si>
  <si>
    <t xml:space="preserve">Budgets were updated and modified from the following source Data: </t>
  </si>
  <si>
    <t>Bravard et al. (2022). The Agricultural Conservation Planning Framework Financial and Nutrient Reduction Tool: A planning tool for cost effective conservation. Journal of Environmental Quality.</t>
  </si>
  <si>
    <t>Land Cover Options</t>
  </si>
  <si>
    <t>Conventional Corn</t>
  </si>
  <si>
    <t>Conservation Corn</t>
  </si>
  <si>
    <t>Conventional Soy</t>
  </si>
  <si>
    <t>Conservation Soy</t>
  </si>
  <si>
    <t>Alfalfa hay</t>
  </si>
  <si>
    <t>Grass hay</t>
  </si>
  <si>
    <t>Switchgrass bioenergy</t>
  </si>
  <si>
    <t>Short rotation woody biomass</t>
  </si>
  <si>
    <t>Permanent pasture</t>
  </si>
  <si>
    <t>Rotational pasture</t>
  </si>
  <si>
    <t>Budget data updated and modified from:</t>
  </si>
  <si>
    <t>https://ucanr.edu/sites/nichemarketing/Niche_Market_Sheep_583/Beef_Economics_44/</t>
  </si>
  <si>
    <t>Prairie restoration</t>
  </si>
  <si>
    <t>Wetland restoration</t>
  </si>
  <si>
    <t>Conventional forest</t>
  </si>
  <si>
    <t>Conservation forest</t>
  </si>
  <si>
    <t>Land rent assumes 50% of PEWI watershed is rented</t>
  </si>
  <si>
    <t>Assumes 50% of pewi watershed is rented</t>
  </si>
  <si>
    <t>Grass</t>
  </si>
  <si>
    <t>PEWI data: total area</t>
  </si>
  <si>
    <t>$45 / metric ton</t>
  </si>
  <si>
    <t>per US Short ton</t>
  </si>
  <si>
    <t>Total Tons of carbon from PEWI</t>
  </si>
  <si>
    <t>As of Feb 14, 2025</t>
  </si>
  <si>
    <t>Total payment for carbon</t>
  </si>
  <si>
    <t>PEWI Data Input</t>
  </si>
  <si>
    <t>Key data Input</t>
  </si>
  <si>
    <t>Price of corn</t>
  </si>
  <si>
    <t>Price of soybean</t>
  </si>
  <si>
    <t>Hay price</t>
  </si>
  <si>
    <t>Price units</t>
  </si>
  <si>
    <t xml:space="preserve">Price of corn </t>
  </si>
  <si>
    <t>Bu</t>
  </si>
  <si>
    <t>Ton</t>
  </si>
  <si>
    <t>Grass price</t>
  </si>
  <si>
    <t>Switchgrass price</t>
  </si>
  <si>
    <t>Woody biomass price</t>
  </si>
  <si>
    <t>Price of whole carcass</t>
  </si>
  <si>
    <t xml:space="preserve">Cost </t>
  </si>
  <si>
    <t>Price per board foot (stumpage)</t>
  </si>
  <si>
    <t>Board foot</t>
  </si>
  <si>
    <t>Acre</t>
  </si>
  <si>
    <t>Bu/ acre</t>
  </si>
  <si>
    <t>Divide total yield by total acres</t>
  </si>
  <si>
    <t>Net revenue</t>
  </si>
  <si>
    <t>Total head</t>
  </si>
  <si>
    <t>Total board feet</t>
  </si>
  <si>
    <t>Total acres</t>
  </si>
  <si>
    <t xml:space="preserve">PEWI Data needed </t>
  </si>
  <si>
    <t>Total bushels * price per bu</t>
  </si>
  <si>
    <t>Total board feet * weighted stumpage price per board foot</t>
  </si>
  <si>
    <t>Total acres * total cost per acre</t>
  </si>
  <si>
    <t>Total annual Cost</t>
  </si>
  <si>
    <t>Net annual revenue</t>
  </si>
  <si>
    <t>Spreadsheet codes</t>
  </si>
  <si>
    <t>Tons/ acre</t>
  </si>
  <si>
    <t>Needs price per relevant unit</t>
  </si>
  <si>
    <t>Financial output</t>
  </si>
  <si>
    <t>Needs yield and or area data input from PEWI</t>
  </si>
  <si>
    <t xml:space="preserve">Default input prices/data (these could be adjusted by the CPI inflation factor). </t>
  </si>
  <si>
    <t xml:space="preserve">Land rent (various assumptions: e.g., for all row crops, assumes 50% of PEWI crop acres are rented, so rent is 50% of state average). </t>
  </si>
  <si>
    <t>Post harvest N</t>
  </si>
  <si>
    <t>Lbs harvested</t>
  </si>
  <si>
    <t>Annualized Payment/ acre</t>
  </si>
  <si>
    <t>PEWI Total acres</t>
  </si>
  <si>
    <t>Total Net revenue</t>
  </si>
  <si>
    <t>Annual net per acre</t>
  </si>
  <si>
    <t>Yield per acre; Total acres</t>
  </si>
  <si>
    <t xml:space="preserve">      C following C</t>
  </si>
  <si>
    <t xml:space="preserve">      C following SB</t>
  </si>
  <si>
    <t xml:space="preserve">      SB following C</t>
  </si>
  <si>
    <t>(Tons per acre * price per ton) * total acres</t>
  </si>
  <si>
    <t xml:space="preserve">(Total head * total carcass weight) * price per lb. </t>
  </si>
  <si>
    <t>Notes on the Spreadsheets</t>
  </si>
  <si>
    <t>Lb</t>
  </si>
  <si>
    <r>
      <rPr>
        <vertAlign val="superscript"/>
        <sz val="12"/>
        <color theme="1"/>
        <rFont val="Calibri (Body)"/>
      </rPr>
      <t>1.</t>
    </r>
    <r>
      <rPr>
        <sz val="12"/>
        <color theme="1"/>
        <rFont val="Calibri"/>
        <family val="2"/>
        <scheme val="minor"/>
      </rPr>
      <t xml:space="preserve"> Sources of price data are noted in each spreadsheet. </t>
    </r>
  </si>
  <si>
    <r>
      <t>Current (2024; 2025$) Default prices/ cost</t>
    </r>
    <r>
      <rPr>
        <vertAlign val="superscript"/>
        <sz val="12"/>
        <color theme="1"/>
        <rFont val="Calibri (Body)"/>
      </rPr>
      <t>1</t>
    </r>
  </si>
  <si>
    <t>Corn price:</t>
  </si>
  <si>
    <t>https://markets.businessinsider.com/commodities/corn-price</t>
  </si>
  <si>
    <t xml:space="preserve">Historical selling prices: </t>
  </si>
  <si>
    <t>https://markets.businessinsider.com/commodities/soybeans-price</t>
  </si>
  <si>
    <t>Soybean price:</t>
  </si>
  <si>
    <t xml:space="preserve">Price information: </t>
  </si>
  <si>
    <t xml:space="preserve">Switchgrass for bioenergy does not have a market price. Price basis is the following: https://www.agmrc.org/commodities-products/renewable-energy/switchgrass </t>
  </si>
  <si>
    <t>Woody biomass for bioenergy does not have a market price. Price basis is the following: https://wood-energy.extension.org/the-economics-of-forest-biomass-production-and-use/</t>
  </si>
  <si>
    <t>Carbon "farming"</t>
  </si>
  <si>
    <t>Price per ton of carbon</t>
  </si>
  <si>
    <t>Total tons of carbon</t>
  </si>
  <si>
    <t>Annual revenue</t>
  </si>
  <si>
    <t>Total carbon tonnage * price per ton</t>
  </si>
  <si>
    <t>Financial Output (all in annual revenue or costs)</t>
  </si>
  <si>
    <t>Additional calculation needs</t>
  </si>
  <si>
    <t xml:space="preserve">Note: I chose some representative species that one might find in an Iowa forest that spans different landscape possition. I made up the species distribution and theor size classes so that a weighted average stumpage price could be estimated. </t>
  </si>
  <si>
    <t>Stumpage Prices</t>
  </si>
  <si>
    <t>Return to instructions page</t>
  </si>
  <si>
    <t>Hybrid Aspen</t>
  </si>
  <si>
    <t>PEWI provides biomass yield estimates for production of short-rotation woody bioenergy crops based on 10-year aspen (Populus alba × P. grandidentata) biomass of 224 Mg ha−1 (Manatt et al., 2013). For annual production figures, we assumed temporally spaced plantings such that one-tenth of an area in production becomes ready for harvest each year. Thus, annual production of biomass equals 22.4 Mg ha−1.</t>
  </si>
  <si>
    <t xml:space="preserve">* Note: </t>
  </si>
  <si>
    <t>1/10 of PEWI Total acres * (see note below)</t>
  </si>
  <si>
    <t>Unnamed: 1</t>
  </si>
  <si>
    <t>Unnamed: 2</t>
  </si>
  <si>
    <t>Unnamed: 3</t>
  </si>
  <si>
    <t>Unnamed: 4</t>
  </si>
  <si>
    <t>Unnamed: 5</t>
  </si>
  <si>
    <t>Unnamed: 6</t>
  </si>
  <si>
    <t>Unnamed: 7</t>
  </si>
  <si>
    <t>Unnamed: 8</t>
  </si>
  <si>
    <t>Unnamed: 9</t>
  </si>
  <si>
    <t>Unnamed: 10</t>
  </si>
  <si>
    <t>Unnamed: 11</t>
  </si>
  <si>
    <t>The Estimated Costs of Crop Production publication has more information on the cost and returns for growing a corn crop after a previous crop of soybeans.</t>
  </si>
  <si>
    <t>500 Acres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</si>
</sst>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quot;$&quot;#,##0"/>
    <numFmt numFmtId="166" formatCode="0.0%"/>
    <numFmt numFmtId="167" formatCode="#,##0.0"/>
    <numFmt numFmtId="168" formatCode="0.0"/>
  </numFmts>
  <fonts count="5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0"/>
      <name val="Arial"/>
      <family val="2"/>
    </font>
    <font>
      <b/>
      <sz val="12"/>
      <color indexed="63"/>
      <name val="Arial"/>
      <family val="2"/>
    </font>
    <font>
      <b/>
      <sz val="10"/>
      <name val="Arial"/>
      <family val="2"/>
    </font>
    <font>
      <u/>
      <sz val="10"/>
      <color indexed="12"/>
      <name val="Arial"/>
      <family val="2"/>
    </font>
    <font>
      <sz val="9"/>
      <name val="Arial"/>
      <family val="2"/>
    </font>
    <font>
      <i/>
      <sz val="10"/>
      <name val="Arial"/>
      <family val="2"/>
    </font>
    <font>
      <sz val="10"/>
      <name val="Arial Narrow"/>
      <family val="2"/>
    </font>
    <font>
      <u/>
      <sz val="10"/>
      <name val="Arial"/>
      <family val="2"/>
    </font>
    <font>
      <u/>
      <sz val="10"/>
      <color theme="10"/>
      <name val="Arial"/>
      <family val="2"/>
    </font>
    <font>
      <b/>
      <sz val="16"/>
      <color indexed="9"/>
      <name val="Arial"/>
      <family val="2"/>
    </font>
    <font>
      <b/>
      <sz val="14"/>
      <color indexed="9"/>
      <name val="Arial"/>
      <family val="2"/>
    </font>
    <font>
      <sz val="6"/>
      <color indexed="63"/>
      <name val="Arial"/>
      <family val="2"/>
    </font>
    <font>
      <sz val="9"/>
      <name val="Arial Narrow"/>
      <family val="2"/>
    </font>
    <font>
      <b/>
      <sz val="11"/>
      <name val="Arial"/>
      <family val="2"/>
    </font>
    <font>
      <b/>
      <sz val="14"/>
      <color theme="0"/>
      <name val="Arial"/>
      <family val="2"/>
    </font>
    <font>
      <sz val="12"/>
      <color theme="0"/>
      <name val="Arial"/>
      <family val="2"/>
    </font>
    <font>
      <b/>
      <sz val="12"/>
      <color theme="0"/>
      <name val="Arial"/>
      <family val="2"/>
    </font>
    <font>
      <sz val="10"/>
      <name val="Arial MT"/>
    </font>
    <font>
      <vertAlign val="superscript"/>
      <sz val="12"/>
      <color theme="1"/>
      <name val="Calibri"/>
      <family val="2"/>
      <scheme val="minor"/>
    </font>
    <font>
      <i/>
      <sz val="12"/>
      <color theme="1"/>
      <name val="Calibri"/>
      <family val="2"/>
      <scheme val="minor"/>
    </font>
    <font>
      <sz val="16"/>
      <color theme="1"/>
      <name val="Calibri"/>
      <family val="2"/>
      <scheme val="minor"/>
    </font>
    <font>
      <b/>
      <sz val="26"/>
      <color theme="1"/>
      <name val="Calibri"/>
      <family val="2"/>
      <scheme val="minor"/>
    </font>
    <font>
      <b/>
      <sz val="11"/>
      <color theme="1"/>
      <name val="Calibri"/>
      <family val="2"/>
      <scheme val="minor"/>
    </font>
    <font>
      <vertAlign val="superscript"/>
      <sz val="11"/>
      <color theme="1"/>
      <name val="Calibri"/>
      <family val="2"/>
      <scheme val="minor"/>
    </font>
    <font>
      <sz val="18"/>
      <color theme="1"/>
      <name val="Calibri"/>
      <family val="2"/>
    </font>
    <font>
      <sz val="12"/>
      <color theme="1"/>
      <name val="Calibri"/>
      <family val="2"/>
    </font>
    <font>
      <sz val="16"/>
      <name val="Arial"/>
      <family val="2"/>
    </font>
    <font>
      <sz val="11"/>
      <name val="Calibri"/>
      <family val="2"/>
      <scheme val="minor"/>
    </font>
    <font>
      <i/>
      <sz val="11"/>
      <name val="Calibri"/>
      <family val="2"/>
      <scheme val="minor"/>
    </font>
    <font>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vertAlign val="superscript"/>
      <sz val="11"/>
      <color indexed="8"/>
      <name val="Calibri"/>
      <family val="2"/>
    </font>
    <font>
      <vertAlign val="subscript"/>
      <sz val="11"/>
      <color indexed="8"/>
      <name val="Calibri"/>
      <family val="2"/>
    </font>
    <font>
      <sz val="8"/>
      <color theme="1"/>
      <name val="Calibri"/>
      <family val="2"/>
      <scheme val="minor"/>
    </font>
    <font>
      <sz val="20"/>
      <color theme="1"/>
      <name val="Calibri"/>
      <family val="2"/>
      <scheme val="minor"/>
    </font>
    <font>
      <sz val="12"/>
      <color rgb="FF000000"/>
      <name val="Calibri"/>
      <family val="2"/>
      <scheme val="minor"/>
    </font>
    <font>
      <b/>
      <sz val="13.5"/>
      <color rgb="FF000080"/>
      <name val="Arial"/>
      <family val="2"/>
    </font>
    <font>
      <sz val="12"/>
      <color theme="0"/>
      <name val="Calibri"/>
      <family val="2"/>
      <scheme val="minor"/>
    </font>
    <font>
      <b/>
      <sz val="16"/>
      <color theme="1"/>
      <name val="Calibri"/>
      <family val="2"/>
      <scheme val="minor"/>
    </font>
    <font>
      <vertAlign val="superscript"/>
      <sz val="12"/>
      <color theme="1"/>
      <name val="Calibri (Body)"/>
    </font>
    <font>
      <sz val="12"/>
      <name val="Arial"/>
      <family val="2"/>
    </font>
    <font>
      <u/>
      <sz val="12"/>
      <color theme="0"/>
      <name val="Calibri"/>
      <family val="2"/>
      <scheme val="minor"/>
    </font>
    <font>
      <b/>
      <sz val="18"/>
      <color theme="1"/>
      <name val="Calibri"/>
      <family val="2"/>
      <scheme val="minor"/>
    </font>
    <font>
      <u/>
      <sz val="12"/>
      <color rgb="FF002060"/>
      <name val="Calibri"/>
      <family val="2"/>
      <scheme val="minor"/>
    </font>
    <font>
      <sz val="12"/>
      <color rgb="FF00206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rgb="FFC00000"/>
        <bgColor indexed="64"/>
      </patternFill>
    </fill>
    <fill>
      <patternFill patternType="solid">
        <fgColor rgb="FFFFFF00"/>
        <bgColor indexed="64"/>
      </patternFill>
    </fill>
    <fill>
      <patternFill patternType="solid">
        <fgColor theme="4"/>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FFC0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2060"/>
        <bgColor indexed="64"/>
      </patternFill>
    </fill>
    <fill>
      <patternFill patternType="solid">
        <fgColor rgb="FF7030A0"/>
        <bgColor indexed="64"/>
      </patternFill>
    </fill>
  </fills>
  <borders count="5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ck">
        <color theme="0" tint="-0.14996795556505021"/>
      </bottom>
      <diagonal/>
    </border>
    <border>
      <left/>
      <right/>
      <top/>
      <bottom style="thick">
        <color theme="2" tint="-9.9948118533890809E-2"/>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hair">
        <color rgb="FF00B050"/>
      </bottom>
      <diagonal/>
    </border>
    <border>
      <left/>
      <right/>
      <top/>
      <bottom style="hair">
        <color rgb="FF00B050"/>
      </bottom>
      <diagonal/>
    </border>
    <border>
      <left style="thin">
        <color indexed="64"/>
      </left>
      <right style="thin">
        <color indexed="64"/>
      </right>
      <top style="medium">
        <color indexed="64"/>
      </top>
      <bottom style="hair">
        <color rgb="FF00B050"/>
      </bottom>
      <diagonal/>
    </border>
    <border>
      <left/>
      <right style="thin">
        <color indexed="64"/>
      </right>
      <top/>
      <bottom style="hair">
        <color rgb="FF00B050"/>
      </bottom>
      <diagonal/>
    </border>
    <border>
      <left style="thin">
        <color indexed="64"/>
      </left>
      <right/>
      <top style="hair">
        <color rgb="FF00B050"/>
      </top>
      <bottom style="hair">
        <color rgb="FF00B050"/>
      </bottom>
      <diagonal/>
    </border>
    <border>
      <left/>
      <right/>
      <top style="hair">
        <color rgb="FF00B050"/>
      </top>
      <bottom style="hair">
        <color rgb="FF00B050"/>
      </bottom>
      <diagonal/>
    </border>
    <border>
      <left style="thin">
        <color indexed="64"/>
      </left>
      <right style="thin">
        <color indexed="64"/>
      </right>
      <top style="hair">
        <color rgb="FF00B050"/>
      </top>
      <bottom style="hair">
        <color rgb="FF00B050"/>
      </bottom>
      <diagonal/>
    </border>
    <border>
      <left/>
      <right style="thin">
        <color indexed="64"/>
      </right>
      <top style="hair">
        <color rgb="FF00B050"/>
      </top>
      <bottom style="hair">
        <color rgb="FF00B050"/>
      </bottom>
      <diagonal/>
    </border>
    <border>
      <left style="thin">
        <color indexed="64"/>
      </left>
      <right/>
      <top style="hair">
        <color rgb="FF00B050"/>
      </top>
      <bottom style="thin">
        <color indexed="64"/>
      </bottom>
      <diagonal/>
    </border>
    <border>
      <left/>
      <right/>
      <top style="hair">
        <color rgb="FF00B050"/>
      </top>
      <bottom style="thin">
        <color indexed="64"/>
      </bottom>
      <diagonal/>
    </border>
    <border>
      <left style="thin">
        <color indexed="64"/>
      </left>
      <right style="thin">
        <color indexed="64"/>
      </right>
      <top style="hair">
        <color rgb="FF00B050"/>
      </top>
      <bottom style="thin">
        <color indexed="64"/>
      </bottom>
      <diagonal/>
    </border>
    <border>
      <left/>
      <right style="thin">
        <color indexed="64"/>
      </right>
      <top style="hair">
        <color rgb="FF00B050"/>
      </top>
      <bottom style="thin">
        <color indexed="64"/>
      </bottom>
      <diagonal/>
    </border>
    <border>
      <left style="thin">
        <color indexed="64"/>
      </left>
      <right style="thin">
        <color indexed="64"/>
      </right>
      <top/>
      <bottom style="hair">
        <color rgb="FF00B050"/>
      </bottom>
      <diagonal/>
    </border>
    <border>
      <left style="thin">
        <color indexed="64"/>
      </left>
      <right/>
      <top style="hair">
        <color rgb="FF00B050"/>
      </top>
      <bottom style="medium">
        <color indexed="64"/>
      </bottom>
      <diagonal/>
    </border>
    <border>
      <left/>
      <right/>
      <top style="hair">
        <color rgb="FF00B050"/>
      </top>
      <bottom style="medium">
        <color indexed="64"/>
      </bottom>
      <diagonal/>
    </border>
    <border>
      <left style="thin">
        <color indexed="64"/>
      </left>
      <right style="thin">
        <color indexed="64"/>
      </right>
      <top style="hair">
        <color rgb="FF00B050"/>
      </top>
      <bottom style="medium">
        <color indexed="64"/>
      </bottom>
      <diagonal/>
    </border>
    <border>
      <left/>
      <right style="thin">
        <color indexed="64"/>
      </right>
      <top style="hair">
        <color rgb="FF00B050"/>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s>
  <cellStyleXfs count="9">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0"/>
    <xf numFmtId="0" fontId="7" fillId="0" borderId="0" applyNumberFormat="0" applyFill="0" applyBorder="0" applyAlignment="0" applyProtection="0">
      <alignment vertical="top"/>
      <protection locked="0"/>
    </xf>
    <xf numFmtId="7" fontId="21" fillId="0" borderId="0"/>
    <xf numFmtId="0" fontId="4" fillId="0" borderId="0"/>
    <xf numFmtId="7" fontId="21" fillId="0" borderId="0"/>
    <xf numFmtId="9" fontId="1" fillId="0" borderId="0" applyFont="0" applyFill="0" applyBorder="0" applyAlignment="0" applyProtection="0"/>
  </cellStyleXfs>
  <cellXfs count="519">
    <xf numFmtId="0" fontId="0" fillId="0" borderId="0" xfId="0"/>
    <xf numFmtId="0" fontId="5" fillId="0" borderId="0" xfId="3" applyFont="1" applyAlignment="1">
      <alignment horizontal="left" indent="1"/>
    </xf>
    <xf numFmtId="0" fontId="6" fillId="0" borderId="0" xfId="3" applyFont="1"/>
    <xf numFmtId="0" fontId="4" fillId="0" borderId="0" xfId="3"/>
    <xf numFmtId="0" fontId="7" fillId="0" borderId="0" xfId="4" applyAlignment="1" applyProtection="1">
      <alignment horizontal="left" indent="1"/>
    </xf>
    <xf numFmtId="0" fontId="7" fillId="0" borderId="0" xfId="4" applyAlignment="1" applyProtection="1">
      <alignment wrapText="1"/>
    </xf>
    <xf numFmtId="0" fontId="4" fillId="0" borderId="0" xfId="4" applyFont="1" applyAlignment="1" applyProtection="1">
      <alignment horizontal="left" indent="1"/>
    </xf>
    <xf numFmtId="0" fontId="7" fillId="0" borderId="0" xfId="4" applyAlignment="1" applyProtection="1">
      <alignment horizontal="left" wrapText="1"/>
    </xf>
    <xf numFmtId="0" fontId="4" fillId="0" borderId="0" xfId="3" applyAlignment="1">
      <alignment horizontal="left" indent="1"/>
    </xf>
    <xf numFmtId="0" fontId="6" fillId="2" borderId="4" xfId="3" applyFont="1" applyFill="1" applyBorder="1" applyAlignment="1">
      <alignment horizontal="left" indent="1"/>
    </xf>
    <xf numFmtId="0" fontId="4" fillId="2" borderId="4" xfId="3" applyFill="1" applyBorder="1"/>
    <xf numFmtId="0" fontId="6" fillId="2" borderId="4" xfId="3" applyFont="1" applyFill="1" applyBorder="1" applyAlignment="1">
      <alignment horizontal="center"/>
    </xf>
    <xf numFmtId="0" fontId="7" fillId="2" borderId="4" xfId="4" applyFill="1" applyBorder="1" applyAlignment="1" applyProtection="1">
      <alignment horizontal="left" wrapText="1"/>
    </xf>
    <xf numFmtId="0" fontId="6" fillId="0" borderId="0" xfId="3" applyFont="1" applyAlignment="1">
      <alignment horizontal="left"/>
    </xf>
    <xf numFmtId="0" fontId="7" fillId="0" borderId="0" xfId="4" applyAlignment="1" applyProtection="1">
      <alignment horizontal="left" wrapText="1" indent="1"/>
    </xf>
    <xf numFmtId="0" fontId="6" fillId="2" borderId="0" xfId="3" applyFont="1" applyFill="1" applyAlignment="1">
      <alignment horizontal="left" indent="1"/>
    </xf>
    <xf numFmtId="0" fontId="6" fillId="2" borderId="0" xfId="3" applyFont="1" applyFill="1"/>
    <xf numFmtId="0" fontId="4" fillId="2" borderId="0" xfId="3" applyFill="1"/>
    <xf numFmtId="0" fontId="6" fillId="2" borderId="0" xfId="3" applyFont="1" applyFill="1" applyAlignment="1">
      <alignment horizontal="left" indent="5"/>
    </xf>
    <xf numFmtId="0" fontId="6" fillId="2" borderId="0" xfId="3" applyFont="1" applyFill="1" applyAlignment="1">
      <alignment horizontal="left" indent="4"/>
    </xf>
    <xf numFmtId="0" fontId="6" fillId="2" borderId="0" xfId="3" applyFont="1" applyFill="1" applyAlignment="1">
      <alignment horizontal="right"/>
    </xf>
    <xf numFmtId="0" fontId="4" fillId="2" borderId="4" xfId="3" applyFill="1" applyBorder="1" applyAlignment="1">
      <alignment horizontal="center"/>
    </xf>
    <xf numFmtId="0" fontId="6" fillId="2" borderId="4" xfId="3" applyFont="1" applyFill="1" applyBorder="1" applyAlignment="1">
      <alignment horizontal="right"/>
    </xf>
    <xf numFmtId="164" fontId="4" fillId="0" borderId="0" xfId="3" applyNumberFormat="1"/>
    <xf numFmtId="165" fontId="4" fillId="0" borderId="0" xfId="3" applyNumberFormat="1"/>
    <xf numFmtId="0" fontId="4" fillId="0" borderId="4" xfId="3" applyBorder="1"/>
    <xf numFmtId="164" fontId="4" fillId="0" borderId="4" xfId="3" applyNumberFormat="1" applyBorder="1"/>
    <xf numFmtId="165" fontId="4" fillId="0" borderId="4" xfId="3" applyNumberFormat="1" applyBorder="1"/>
    <xf numFmtId="0" fontId="6" fillId="0" borderId="0" xfId="3" applyFont="1" applyAlignment="1">
      <alignment horizontal="left" indent="1"/>
    </xf>
    <xf numFmtId="164" fontId="6" fillId="0" borderId="0" xfId="3" applyNumberFormat="1" applyFont="1"/>
    <xf numFmtId="165" fontId="6" fillId="0" borderId="0" xfId="3" applyNumberFormat="1" applyFont="1"/>
    <xf numFmtId="164" fontId="4" fillId="0" borderId="0" xfId="3" quotePrefix="1" applyNumberFormat="1" applyAlignment="1">
      <alignment horizontal="right"/>
    </xf>
    <xf numFmtId="0" fontId="4" fillId="2" borderId="0" xfId="3" applyFill="1" applyAlignment="1">
      <alignment horizontal="left" indent="1"/>
    </xf>
    <xf numFmtId="0" fontId="6" fillId="2" borderId="4" xfId="3" applyFont="1" applyFill="1" applyBorder="1"/>
    <xf numFmtId="0" fontId="4" fillId="0" borderId="0" xfId="3" applyAlignment="1">
      <alignment horizontal="left" indent="2"/>
    </xf>
    <xf numFmtId="0" fontId="10" fillId="0" borderId="0" xfId="3" applyFont="1" applyAlignment="1">
      <alignment horizontal="left"/>
    </xf>
    <xf numFmtId="0" fontId="10" fillId="0" borderId="0" xfId="3" applyFont="1"/>
    <xf numFmtId="0" fontId="4" fillId="0" borderId="4" xfId="3" applyBorder="1" applyAlignment="1">
      <alignment horizontal="left" indent="2"/>
    </xf>
    <xf numFmtId="0" fontId="10" fillId="0" borderId="4" xfId="3" applyFont="1" applyBorder="1" applyAlignment="1">
      <alignment horizontal="left"/>
    </xf>
    <xf numFmtId="0" fontId="10" fillId="0" borderId="4" xfId="3" applyFont="1" applyBorder="1"/>
    <xf numFmtId="164" fontId="4" fillId="0" borderId="4" xfId="3" quotePrefix="1" applyNumberFormat="1" applyBorder="1" applyAlignment="1">
      <alignment horizontal="right"/>
    </xf>
    <xf numFmtId="164" fontId="4" fillId="0" borderId="2" xfId="3" applyNumberFormat="1" applyBorder="1"/>
    <xf numFmtId="0" fontId="6" fillId="0" borderId="0" xfId="3" applyFont="1" applyAlignment="1">
      <alignment horizontal="left" indent="3"/>
    </xf>
    <xf numFmtId="0" fontId="4" fillId="0" borderId="0" xfId="3" applyAlignment="1" applyProtection="1">
      <alignment horizontal="left" indent="2"/>
      <protection locked="0"/>
    </xf>
    <xf numFmtId="0" fontId="9" fillId="0" borderId="0" xfId="3" applyFont="1"/>
    <xf numFmtId="164" fontId="11" fillId="0" borderId="0" xfId="3" applyNumberFormat="1" applyFont="1"/>
    <xf numFmtId="0" fontId="4" fillId="0" borderId="4" xfId="3" applyBorder="1" applyAlignment="1">
      <alignment horizontal="left" indent="1"/>
    </xf>
    <xf numFmtId="0" fontId="9" fillId="0" borderId="4" xfId="3" applyFont="1" applyBorder="1"/>
    <xf numFmtId="164" fontId="9" fillId="3" borderId="0" xfId="3" applyNumberFormat="1" applyFont="1" applyFill="1" applyProtection="1">
      <protection locked="0"/>
    </xf>
    <xf numFmtId="0" fontId="9" fillId="0" borderId="0" xfId="3" applyFont="1" applyAlignment="1">
      <alignment horizontal="left" indent="1"/>
    </xf>
    <xf numFmtId="0" fontId="4" fillId="0" borderId="9" xfId="3" applyBorder="1" applyAlignment="1">
      <alignment horizontal="left" indent="1"/>
    </xf>
    <xf numFmtId="0" fontId="4" fillId="0" borderId="9" xfId="3" applyBorder="1"/>
    <xf numFmtId="164" fontId="4" fillId="0" borderId="9" xfId="3" applyNumberFormat="1" applyBorder="1"/>
    <xf numFmtId="164" fontId="4" fillId="0" borderId="9" xfId="3" quotePrefix="1" applyNumberFormat="1" applyBorder="1" applyAlignment="1">
      <alignment horizontal="right"/>
    </xf>
    <xf numFmtId="0" fontId="6" fillId="4" borderId="0" xfId="3" applyFont="1" applyFill="1" applyAlignment="1">
      <alignment horizontal="left" vertical="center" indent="1"/>
    </xf>
    <xf numFmtId="0" fontId="6" fillId="4" borderId="0" xfId="3" applyFont="1" applyFill="1" applyAlignment="1">
      <alignment vertical="center"/>
    </xf>
    <xf numFmtId="165" fontId="6" fillId="4" borderId="0" xfId="3" applyNumberFormat="1" applyFont="1" applyFill="1" applyAlignment="1">
      <alignment vertical="center"/>
    </xf>
    <xf numFmtId="165" fontId="4" fillId="2" borderId="0" xfId="3" applyNumberFormat="1" applyFill="1"/>
    <xf numFmtId="165" fontId="6" fillId="2" borderId="0" xfId="3" applyNumberFormat="1" applyFont="1" applyFill="1" applyAlignment="1">
      <alignment horizontal="right"/>
    </xf>
    <xf numFmtId="165" fontId="6" fillId="2" borderId="0" xfId="3" applyNumberFormat="1" applyFont="1" applyFill="1"/>
    <xf numFmtId="164" fontId="6" fillId="2" borderId="0" xfId="3" applyNumberFormat="1" applyFont="1" applyFill="1" applyAlignment="1">
      <alignment horizontal="right"/>
    </xf>
    <xf numFmtId="165" fontId="4" fillId="2" borderId="4" xfId="3" applyNumberFormat="1" applyFill="1" applyBorder="1"/>
    <xf numFmtId="165" fontId="6" fillId="2" borderId="4" xfId="3" applyNumberFormat="1" applyFont="1" applyFill="1" applyBorder="1" applyAlignment="1">
      <alignment horizontal="right"/>
    </xf>
    <xf numFmtId="164" fontId="6" fillId="2" borderId="4" xfId="3" applyNumberFormat="1" applyFont="1" applyFill="1" applyBorder="1" applyAlignment="1">
      <alignment horizontal="right"/>
    </xf>
    <xf numFmtId="0" fontId="4" fillId="0" borderId="0" xfId="3" applyAlignment="1">
      <alignment horizontal="left"/>
    </xf>
    <xf numFmtId="165" fontId="4" fillId="0" borderId="0" xfId="3" quotePrefix="1" applyNumberFormat="1" applyAlignment="1">
      <alignment horizontal="right"/>
    </xf>
    <xf numFmtId="0" fontId="4" fillId="0" borderId="0" xfId="4" applyFont="1" applyAlignment="1" applyProtection="1">
      <alignment horizontal="left" vertical="center" indent="1"/>
    </xf>
    <xf numFmtId="0" fontId="9" fillId="0" borderId="0" xfId="3" applyFont="1" applyAlignment="1">
      <alignment horizontal="left" vertical="center"/>
    </xf>
    <xf numFmtId="165" fontId="4" fillId="0" borderId="0" xfId="3" applyNumberFormat="1" applyAlignment="1">
      <alignment vertical="center"/>
    </xf>
    <xf numFmtId="164" fontId="4" fillId="0" borderId="0" xfId="3" quotePrefix="1" applyNumberFormat="1" applyAlignment="1">
      <alignment horizontal="right" vertical="center"/>
    </xf>
    <xf numFmtId="164" fontId="11" fillId="0" borderId="0" xfId="3" applyNumberFormat="1" applyFont="1" applyAlignment="1">
      <alignment vertical="center"/>
    </xf>
    <xf numFmtId="165" fontId="11" fillId="0" borderId="0" xfId="3" quotePrefix="1" applyNumberFormat="1" applyFont="1" applyAlignment="1">
      <alignment horizontal="right" vertical="center"/>
    </xf>
    <xf numFmtId="0" fontId="6" fillId="0" borderId="9" xfId="3" applyFont="1" applyBorder="1" applyAlignment="1">
      <alignment horizontal="left" indent="1"/>
    </xf>
    <xf numFmtId="0" fontId="6" fillId="0" borderId="9" xfId="3" applyFont="1" applyBorder="1" applyAlignment="1">
      <alignment horizontal="left"/>
    </xf>
    <xf numFmtId="165" fontId="4" fillId="0" borderId="9" xfId="3" applyNumberFormat="1" applyBorder="1"/>
    <xf numFmtId="164" fontId="6" fillId="0" borderId="9" xfId="3" applyNumberFormat="1" applyFont="1" applyBorder="1"/>
    <xf numFmtId="165" fontId="6" fillId="0" borderId="9" xfId="3" applyNumberFormat="1" applyFont="1" applyBorder="1"/>
    <xf numFmtId="0" fontId="6" fillId="4" borderId="0" xfId="3" applyFont="1" applyFill="1" applyAlignment="1">
      <alignment horizontal="left" vertical="center"/>
    </xf>
    <xf numFmtId="0" fontId="4" fillId="4" borderId="0" xfId="3" applyFill="1" applyAlignment="1">
      <alignment vertical="center"/>
    </xf>
    <xf numFmtId="165" fontId="4" fillId="4" borderId="0" xfId="3" applyNumberFormat="1" applyFill="1" applyAlignment="1">
      <alignment vertical="center"/>
    </xf>
    <xf numFmtId="164" fontId="4" fillId="4" borderId="0" xfId="3" applyNumberFormat="1" applyFill="1" applyAlignment="1">
      <alignment vertical="center"/>
    </xf>
    <xf numFmtId="164" fontId="6" fillId="4" borderId="0" xfId="3" applyNumberFormat="1" applyFont="1" applyFill="1" applyAlignment="1">
      <alignment vertical="center"/>
    </xf>
    <xf numFmtId="0" fontId="8" fillId="0" borderId="0" xfId="3" applyFont="1" applyAlignment="1">
      <alignment horizontal="left" indent="1"/>
    </xf>
    <xf numFmtId="0" fontId="12" fillId="0" borderId="0" xfId="2" applyFont="1" applyAlignment="1">
      <alignment horizontal="left" indent="1"/>
    </xf>
    <xf numFmtId="0" fontId="12" fillId="0" borderId="0" xfId="2" applyFont="1" applyAlignment="1" applyProtection="1">
      <alignment horizontal="left" indent="1"/>
    </xf>
    <xf numFmtId="0" fontId="12" fillId="0" borderId="0" xfId="2" applyFont="1" applyAlignment="1" applyProtection="1">
      <alignment horizontal="left" vertical="center" indent="1"/>
    </xf>
    <xf numFmtId="14" fontId="4" fillId="0" borderId="0" xfId="3" applyNumberFormat="1" applyAlignment="1">
      <alignment horizontal="left" indent="1"/>
    </xf>
    <xf numFmtId="0" fontId="13" fillId="5" borderId="10" xfId="3" applyFont="1" applyFill="1" applyBorder="1" applyAlignment="1">
      <alignment horizontal="left" indent="1"/>
    </xf>
    <xf numFmtId="0" fontId="0" fillId="0" borderId="0" xfId="0" applyAlignment="1">
      <alignment horizontal="center"/>
    </xf>
    <xf numFmtId="164" fontId="4" fillId="6" borderId="8" xfId="3" applyNumberFormat="1" applyFill="1" applyBorder="1" applyProtection="1">
      <protection locked="0"/>
    </xf>
    <xf numFmtId="0" fontId="4" fillId="6" borderId="7" xfId="3" applyFill="1" applyBorder="1" applyAlignment="1" applyProtection="1">
      <alignment horizontal="right"/>
      <protection locked="0"/>
    </xf>
    <xf numFmtId="1" fontId="4" fillId="6" borderId="7" xfId="3" applyNumberFormat="1" applyFill="1" applyBorder="1" applyProtection="1">
      <protection locked="0"/>
    </xf>
    <xf numFmtId="0" fontId="14" fillId="5" borderId="10" xfId="3" applyFont="1" applyFill="1" applyBorder="1"/>
    <xf numFmtId="0" fontId="13" fillId="5" borderId="10" xfId="0" applyFont="1" applyFill="1" applyBorder="1" applyAlignment="1">
      <alignment horizontal="left" indent="1"/>
    </xf>
    <xf numFmtId="0" fontId="14" fillId="5" borderId="10" xfId="3" applyFont="1" applyFill="1" applyBorder="1" applyAlignment="1">
      <alignment horizontal="left" indent="1"/>
    </xf>
    <xf numFmtId="0" fontId="4" fillId="0" borderId="0" xfId="3" applyAlignment="1">
      <alignment vertical="center"/>
    </xf>
    <xf numFmtId="0" fontId="4" fillId="0" borderId="9" xfId="3" applyBorder="1" applyAlignment="1">
      <alignment horizontal="left" indent="2"/>
    </xf>
    <xf numFmtId="0" fontId="6" fillId="4" borderId="0" xfId="3" applyFont="1" applyFill="1" applyAlignment="1">
      <alignment horizontal="left" vertical="center" indent="3"/>
    </xf>
    <xf numFmtId="0" fontId="4" fillId="0" borderId="0" xfId="4" applyFont="1" applyAlignment="1" applyProtection="1">
      <alignment horizontal="left" vertical="center" indent="2"/>
    </xf>
    <xf numFmtId="0" fontId="6" fillId="0" borderId="9" xfId="3" applyFont="1" applyBorder="1" applyAlignment="1">
      <alignment horizontal="left" indent="3"/>
    </xf>
    <xf numFmtId="0" fontId="15" fillId="0" borderId="0" xfId="3" applyFont="1" applyAlignment="1">
      <alignment horizontal="left" indent="1"/>
    </xf>
    <xf numFmtId="0" fontId="6" fillId="0" borderId="0" xfId="3" applyFont="1" applyAlignment="1" applyProtection="1">
      <alignment horizontal="left" indent="2"/>
      <protection locked="0"/>
    </xf>
    <xf numFmtId="0" fontId="6" fillId="0" borderId="0" xfId="3" applyFont="1" applyProtection="1">
      <protection locked="0"/>
    </xf>
    <xf numFmtId="0" fontId="4" fillId="0" borderId="0" xfId="3" applyAlignment="1" applyProtection="1">
      <alignment horizontal="right"/>
      <protection locked="0"/>
    </xf>
    <xf numFmtId="0" fontId="4" fillId="0" borderId="0" xfId="3" applyAlignment="1" applyProtection="1">
      <alignment horizontal="left"/>
      <protection locked="0"/>
    </xf>
    <xf numFmtId="0" fontId="16" fillId="0" borderId="0" xfId="3" applyFont="1" applyAlignment="1">
      <alignment horizontal="right"/>
    </xf>
    <xf numFmtId="0" fontId="17" fillId="2" borderId="0" xfId="3" applyFont="1" applyFill="1" applyAlignment="1">
      <alignment horizontal="left" indent="1"/>
    </xf>
    <xf numFmtId="164" fontId="4" fillId="0" borderId="12" xfId="3" applyNumberFormat="1" applyBorder="1"/>
    <xf numFmtId="0" fontId="10" fillId="0" borderId="5" xfId="3" applyFont="1" applyBorder="1"/>
    <xf numFmtId="0" fontId="6" fillId="2" borderId="0" xfId="3" applyFont="1" applyFill="1" applyAlignment="1">
      <alignment horizontal="center"/>
    </xf>
    <xf numFmtId="0" fontId="6" fillId="4" borderId="2" xfId="3" applyFont="1" applyFill="1" applyBorder="1" applyAlignment="1">
      <alignment horizontal="left" indent="1"/>
    </xf>
    <xf numFmtId="0" fontId="6" fillId="4" borderId="2" xfId="3" applyFont="1" applyFill="1" applyBorder="1"/>
    <xf numFmtId="0" fontId="6" fillId="4" borderId="2" xfId="3" applyFont="1" applyFill="1" applyBorder="1" applyAlignment="1">
      <alignment horizontal="center"/>
    </xf>
    <xf numFmtId="0" fontId="4" fillId="4" borderId="2" xfId="3" applyFill="1" applyBorder="1"/>
    <xf numFmtId="164" fontId="6" fillId="4" borderId="2" xfId="3" applyNumberFormat="1" applyFont="1" applyFill="1" applyBorder="1"/>
    <xf numFmtId="0" fontId="6" fillId="4" borderId="2" xfId="3" applyFont="1" applyFill="1" applyBorder="1" applyAlignment="1">
      <alignment horizontal="right"/>
    </xf>
    <xf numFmtId="0" fontId="6" fillId="2" borderId="4" xfId="3" applyFont="1" applyFill="1" applyBorder="1" applyAlignment="1">
      <alignment horizontal="left" indent="4"/>
    </xf>
    <xf numFmtId="0" fontId="10" fillId="0" borderId="13" xfId="3" applyFont="1" applyBorder="1"/>
    <xf numFmtId="164" fontId="4" fillId="3" borderId="0" xfId="3" applyNumberFormat="1" applyFill="1" applyProtection="1">
      <protection locked="0"/>
    </xf>
    <xf numFmtId="0" fontId="17" fillId="2" borderId="4" xfId="3" applyFont="1" applyFill="1" applyBorder="1" applyAlignment="1">
      <alignment horizontal="left" indent="1"/>
    </xf>
    <xf numFmtId="0" fontId="4" fillId="0" borderId="4" xfId="3" applyBorder="1" applyAlignment="1">
      <alignment horizontal="left"/>
    </xf>
    <xf numFmtId="0" fontId="10" fillId="0" borderId="4" xfId="4" applyFont="1" applyBorder="1" applyAlignment="1" applyProtection="1">
      <alignment horizontal="left" indent="4"/>
    </xf>
    <xf numFmtId="0" fontId="10" fillId="0" borderId="4" xfId="0" applyFont="1" applyBorder="1"/>
    <xf numFmtId="165" fontId="4" fillId="0" borderId="4" xfId="3" quotePrefix="1" applyNumberFormat="1" applyBorder="1" applyAlignment="1">
      <alignment horizontal="right"/>
    </xf>
    <xf numFmtId="0" fontId="18" fillId="5" borderId="10" xfId="3" applyFont="1" applyFill="1" applyBorder="1" applyAlignment="1">
      <alignment horizontal="left" indent="1"/>
    </xf>
    <xf numFmtId="0" fontId="19" fillId="5" borderId="10" xfId="3" applyFont="1" applyFill="1" applyBorder="1"/>
    <xf numFmtId="0" fontId="20" fillId="5" borderId="10" xfId="3" applyFont="1" applyFill="1" applyBorder="1" applyAlignment="1">
      <alignment horizontal="center"/>
    </xf>
    <xf numFmtId="0" fontId="4" fillId="0" borderId="0" xfId="3" applyAlignment="1">
      <alignment horizontal="right"/>
    </xf>
    <xf numFmtId="0" fontId="4" fillId="0" borderId="0" xfId="6"/>
    <xf numFmtId="0" fontId="4" fillId="4" borderId="2" xfId="3" applyFill="1" applyBorder="1" applyAlignment="1">
      <alignment horizontal="left" indent="1"/>
    </xf>
    <xf numFmtId="164" fontId="4" fillId="4" borderId="2" xfId="3" applyNumberFormat="1" applyFill="1" applyBorder="1"/>
    <xf numFmtId="164" fontId="4" fillId="0" borderId="0" xfId="5" applyNumberFormat="1" applyFont="1"/>
    <xf numFmtId="0" fontId="6" fillId="2" borderId="4" xfId="3" applyFont="1" applyFill="1" applyBorder="1" applyAlignment="1">
      <alignment horizontal="left" indent="2"/>
    </xf>
    <xf numFmtId="164" fontId="4" fillId="0" borderId="0" xfId="7" applyNumberFormat="1" applyFont="1"/>
    <xf numFmtId="0" fontId="4" fillId="0" borderId="4" xfId="3" applyBorder="1" applyAlignment="1">
      <alignment horizontal="left" indent="3"/>
    </xf>
    <xf numFmtId="0" fontId="4" fillId="0" borderId="6" xfId="3" applyBorder="1"/>
    <xf numFmtId="0" fontId="10" fillId="0" borderId="4" xfId="4" applyFont="1" applyBorder="1" applyAlignment="1" applyProtection="1">
      <alignment horizontal="right"/>
    </xf>
    <xf numFmtId="0" fontId="17" fillId="0" borderId="9" xfId="3" applyFont="1" applyBorder="1" applyAlignment="1">
      <alignment horizontal="left" indent="1"/>
    </xf>
    <xf numFmtId="0" fontId="4" fillId="0" borderId="0" xfId="6" applyAlignment="1">
      <alignment horizontal="left" indent="1"/>
    </xf>
    <xf numFmtId="8" fontId="0" fillId="0" borderId="0" xfId="0" applyNumberFormat="1"/>
    <xf numFmtId="3" fontId="0" fillId="0" borderId="0" xfId="0" applyNumberFormat="1"/>
    <xf numFmtId="0" fontId="23" fillId="0" borderId="0" xfId="0" applyFont="1"/>
    <xf numFmtId="0" fontId="3" fillId="0" borderId="0" xfId="2"/>
    <xf numFmtId="0" fontId="0" fillId="0" borderId="0" xfId="0" applyAlignment="1">
      <alignment wrapText="1"/>
    </xf>
    <xf numFmtId="0" fontId="24" fillId="0" borderId="0" xfId="0" applyFont="1"/>
    <xf numFmtId="0" fontId="26" fillId="0" borderId="17" xfId="0" applyFont="1" applyBorder="1" applyAlignment="1">
      <alignment horizontal="center" vertical="center"/>
    </xf>
    <xf numFmtId="0" fontId="26" fillId="0" borderId="0" xfId="0" applyFont="1" applyAlignment="1">
      <alignment horizontal="center" vertical="center"/>
    </xf>
    <xf numFmtId="0" fontId="0" fillId="0" borderId="17" xfId="0" applyBorder="1"/>
    <xf numFmtId="0" fontId="26" fillId="0" borderId="19" xfId="0" applyFont="1" applyBorder="1"/>
    <xf numFmtId="0" fontId="26" fillId="0" borderId="12" xfId="0" applyFont="1" applyBorder="1"/>
    <xf numFmtId="44" fontId="26" fillId="0" borderId="12" xfId="1" applyFont="1" applyBorder="1"/>
    <xf numFmtId="0" fontId="0" fillId="8" borderId="17" xfId="0" applyFill="1" applyBorder="1"/>
    <xf numFmtId="0" fontId="0" fillId="8" borderId="0" xfId="0" applyFill="1"/>
    <xf numFmtId="44" fontId="0" fillId="8" borderId="0" xfId="1" applyFont="1" applyFill="1" applyBorder="1" applyAlignment="1">
      <alignment horizontal="center"/>
    </xf>
    <xf numFmtId="0" fontId="0" fillId="8" borderId="0" xfId="0" applyFill="1" applyAlignment="1">
      <alignment horizontal="center" vertical="center"/>
    </xf>
    <xf numFmtId="44" fontId="0" fillId="8" borderId="0" xfId="1" applyFont="1" applyFill="1" applyBorder="1"/>
    <xf numFmtId="44" fontId="0" fillId="8" borderId="18" xfId="1" applyFont="1" applyFill="1" applyBorder="1" applyAlignment="1">
      <alignment horizontal="center"/>
    </xf>
    <xf numFmtId="0" fontId="0" fillId="9" borderId="17" xfId="0" applyFill="1" applyBorder="1"/>
    <xf numFmtId="0" fontId="0" fillId="9" borderId="0" xfId="0" applyFill="1"/>
    <xf numFmtId="44" fontId="0" fillId="9" borderId="0" xfId="1" applyFont="1" applyFill="1" applyBorder="1"/>
    <xf numFmtId="0" fontId="0" fillId="9" borderId="0" xfId="0" applyFill="1" applyAlignment="1">
      <alignment horizontal="center" vertical="center"/>
    </xf>
    <xf numFmtId="44" fontId="0" fillId="9" borderId="0" xfId="1" applyFont="1" applyFill="1" applyBorder="1" applyAlignment="1">
      <alignment horizontal="center"/>
    </xf>
    <xf numFmtId="44" fontId="0" fillId="9" borderId="18" xfId="1" applyFont="1" applyFill="1" applyBorder="1" applyAlignment="1">
      <alignment horizontal="center"/>
    </xf>
    <xf numFmtId="44" fontId="0" fillId="0" borderId="0" xfId="1" applyFont="1" applyFill="1" applyBorder="1"/>
    <xf numFmtId="0" fontId="0" fillId="0" borderId="0" xfId="0" applyAlignment="1">
      <alignment horizontal="center" vertical="center"/>
    </xf>
    <xf numFmtId="44" fontId="0" fillId="0" borderId="0" xfId="1" applyFont="1" applyBorder="1"/>
    <xf numFmtId="44" fontId="0" fillId="0" borderId="0" xfId="1" applyFont="1" applyBorder="1" applyAlignment="1">
      <alignment horizontal="center"/>
    </xf>
    <xf numFmtId="44" fontId="0" fillId="0" borderId="18" xfId="1" applyFont="1" applyBorder="1" applyAlignment="1">
      <alignment horizontal="center"/>
    </xf>
    <xf numFmtId="44" fontId="0" fillId="0" borderId="0" xfId="1" applyFont="1" applyFill="1" applyBorder="1" applyAlignment="1">
      <alignment horizontal="center"/>
    </xf>
    <xf numFmtId="44" fontId="0" fillId="0" borderId="0" xfId="0" applyNumberFormat="1"/>
    <xf numFmtId="0" fontId="0" fillId="10" borderId="17" xfId="0" applyFill="1" applyBorder="1"/>
    <xf numFmtId="0" fontId="0" fillId="10" borderId="0" xfId="0" applyFill="1"/>
    <xf numFmtId="0" fontId="26" fillId="0" borderId="17" xfId="0" applyFont="1" applyBorder="1"/>
    <xf numFmtId="164" fontId="0" fillId="0" borderId="0" xfId="0" applyNumberFormat="1"/>
    <xf numFmtId="0" fontId="0" fillId="0" borderId="0" xfId="0" applyAlignment="1">
      <alignment horizontal="left"/>
    </xf>
    <xf numFmtId="0" fontId="0" fillId="0" borderId="23" xfId="0" applyBorder="1" applyAlignment="1">
      <alignment horizontal="center"/>
    </xf>
    <xf numFmtId="0" fontId="0" fillId="6" borderId="23" xfId="0" applyFill="1" applyBorder="1"/>
    <xf numFmtId="44" fontId="0" fillId="6" borderId="0" xfId="1" applyFont="1" applyFill="1" applyBorder="1" applyAlignment="1">
      <alignment horizontal="center"/>
    </xf>
    <xf numFmtId="0" fontId="0" fillId="12" borderId="24" xfId="0" applyFill="1" applyBorder="1" applyAlignment="1">
      <alignment horizontal="center"/>
    </xf>
    <xf numFmtId="0" fontId="28" fillId="0" borderId="0" xfId="0" applyFont="1" applyAlignment="1">
      <alignment horizontal="center"/>
    </xf>
    <xf numFmtId="0" fontId="29" fillId="0" borderId="25" xfId="0" applyFont="1" applyBorder="1" applyAlignment="1">
      <alignment horizontal="center"/>
    </xf>
    <xf numFmtId="0" fontId="29" fillId="12" borderId="25" xfId="0" applyFont="1" applyFill="1" applyBorder="1"/>
    <xf numFmtId="0" fontId="0" fillId="0" borderId="8" xfId="0" applyBorder="1"/>
    <xf numFmtId="2" fontId="0" fillId="0" borderId="0" xfId="0" applyNumberFormat="1"/>
    <xf numFmtId="0" fontId="0" fillId="12" borderId="4" xfId="0" applyFill="1" applyBorder="1"/>
    <xf numFmtId="0" fontId="0" fillId="0" borderId="5" xfId="0" applyBorder="1" applyAlignment="1">
      <alignment wrapText="1"/>
    </xf>
    <xf numFmtId="0" fontId="0" fillId="0" borderId="4" xfId="0" applyBorder="1" applyAlignment="1">
      <alignment wrapText="1"/>
    </xf>
    <xf numFmtId="2" fontId="0" fillId="0" borderId="4" xfId="0" applyNumberFormat="1" applyBorder="1" applyAlignment="1">
      <alignment wrapText="1"/>
    </xf>
    <xf numFmtId="164" fontId="0" fillId="0" borderId="4" xfId="0" applyNumberFormat="1" applyBorder="1" applyAlignment="1">
      <alignment wrapText="1"/>
    </xf>
    <xf numFmtId="44" fontId="0" fillId="0" borderId="8" xfId="0" applyNumberFormat="1" applyBorder="1"/>
    <xf numFmtId="164" fontId="0" fillId="0" borderId="4" xfId="0" applyNumberFormat="1" applyBorder="1"/>
    <xf numFmtId="0" fontId="0" fillId="12" borderId="2" xfId="0" applyFill="1" applyBorder="1"/>
    <xf numFmtId="164" fontId="0" fillId="0" borderId="1" xfId="0" applyNumberFormat="1" applyBorder="1"/>
    <xf numFmtId="3" fontId="0" fillId="0" borderId="2" xfId="0" applyNumberFormat="1" applyBorder="1"/>
    <xf numFmtId="164" fontId="0" fillId="0" borderId="2" xfId="0" applyNumberFormat="1" applyBorder="1"/>
    <xf numFmtId="0" fontId="0" fillId="0" borderId="2" xfId="0" applyBorder="1"/>
    <xf numFmtId="1" fontId="0" fillId="0" borderId="0" xfId="0" applyNumberFormat="1"/>
    <xf numFmtId="0" fontId="0" fillId="9" borderId="4" xfId="0" applyFill="1" applyBorder="1"/>
    <xf numFmtId="0" fontId="0" fillId="0" borderId="4" xfId="0" applyBorder="1"/>
    <xf numFmtId="0" fontId="0" fillId="12" borderId="6" xfId="0" applyFill="1" applyBorder="1"/>
    <xf numFmtId="1" fontId="0" fillId="0" borderId="2" xfId="0" applyNumberFormat="1" applyBorder="1"/>
    <xf numFmtId="164" fontId="4" fillId="0" borderId="0" xfId="3" applyNumberFormat="1" applyAlignment="1">
      <alignment vertical="center"/>
    </xf>
    <xf numFmtId="164" fontId="6" fillId="0" borderId="0" xfId="3" applyNumberFormat="1" applyFont="1" applyAlignment="1">
      <alignment vertical="center"/>
    </xf>
    <xf numFmtId="0" fontId="7" fillId="0" borderId="0" xfId="4" applyFill="1" applyBorder="1" applyAlignment="1" applyProtection="1">
      <alignment horizontal="left" indent="1"/>
    </xf>
    <xf numFmtId="0" fontId="7" fillId="0" borderId="0" xfId="4" applyFill="1" applyBorder="1" applyAlignment="1" applyProtection="1">
      <alignment wrapText="1"/>
    </xf>
    <xf numFmtId="0" fontId="4" fillId="0" borderId="0" xfId="4" applyFont="1" applyFill="1" applyBorder="1" applyAlignment="1" applyProtection="1">
      <alignment horizontal="left" indent="1"/>
    </xf>
    <xf numFmtId="0" fontId="8" fillId="0" borderId="0" xfId="3" applyFont="1"/>
    <xf numFmtId="0" fontId="7" fillId="0" borderId="0" xfId="4" applyFill="1" applyBorder="1" applyAlignment="1" applyProtection="1">
      <alignment horizontal="left" wrapText="1"/>
    </xf>
    <xf numFmtId="0" fontId="6" fillId="0" borderId="0" xfId="3" applyFont="1" applyAlignment="1">
      <alignment horizontal="center"/>
    </xf>
    <xf numFmtId="0" fontId="6" fillId="0" borderId="0" xfId="3" applyFont="1" applyAlignment="1" applyProtection="1">
      <alignment horizontal="left" indent="1"/>
      <protection locked="0"/>
    </xf>
    <xf numFmtId="1" fontId="4" fillId="0" borderId="0" xfId="3" applyNumberFormat="1" applyProtection="1">
      <protection locked="0"/>
    </xf>
    <xf numFmtId="0" fontId="6" fillId="0" borderId="0" xfId="3" applyFont="1" applyAlignment="1">
      <alignment horizontal="left" indent="5"/>
    </xf>
    <xf numFmtId="0" fontId="6" fillId="0" borderId="0" xfId="3" applyFont="1" applyAlignment="1">
      <alignment horizontal="left" indent="4"/>
    </xf>
    <xf numFmtId="0" fontId="6" fillId="0" borderId="0" xfId="3" applyFont="1" applyAlignment="1">
      <alignment horizontal="right"/>
    </xf>
    <xf numFmtId="0" fontId="4" fillId="0" borderId="0" xfId="3" applyAlignment="1">
      <alignment horizontal="center"/>
    </xf>
    <xf numFmtId="0" fontId="4" fillId="0" borderId="0" xfId="0" applyFont="1" applyAlignment="1" applyProtection="1">
      <alignment horizontal="left" indent="2"/>
      <protection locked="0"/>
    </xf>
    <xf numFmtId="164" fontId="4" fillId="0" borderId="0" xfId="3" applyNumberFormat="1" applyProtection="1">
      <protection locked="0"/>
    </xf>
    <xf numFmtId="164" fontId="9" fillId="0" borderId="0" xfId="3" applyNumberFormat="1" applyFont="1" applyProtection="1">
      <protection locked="0"/>
    </xf>
    <xf numFmtId="3" fontId="9" fillId="0" borderId="0" xfId="3" applyNumberFormat="1" applyFont="1" applyProtection="1">
      <protection locked="0"/>
    </xf>
    <xf numFmtId="1" fontId="9" fillId="0" borderId="0" xfId="3" applyNumberFormat="1" applyFont="1" applyProtection="1">
      <protection locked="0"/>
    </xf>
    <xf numFmtId="0" fontId="9" fillId="0" borderId="0" xfId="3" applyFont="1" applyProtection="1">
      <protection locked="0"/>
    </xf>
    <xf numFmtId="166" fontId="9" fillId="0" borderId="0" xfId="3" applyNumberFormat="1" applyFont="1" applyProtection="1">
      <protection locked="0"/>
    </xf>
    <xf numFmtId="0" fontId="6" fillId="0" borderId="0" xfId="3" applyFont="1" applyAlignment="1">
      <alignment horizontal="left" vertical="center" indent="1"/>
    </xf>
    <xf numFmtId="0" fontId="6" fillId="0" borderId="0" xfId="3" applyFont="1" applyAlignment="1">
      <alignment vertical="center"/>
    </xf>
    <xf numFmtId="165" fontId="6" fillId="0" borderId="0" xfId="3" applyNumberFormat="1" applyFont="1" applyAlignment="1">
      <alignment vertical="center"/>
    </xf>
    <xf numFmtId="165" fontId="6" fillId="0" borderId="0" xfId="3" applyNumberFormat="1" applyFont="1" applyAlignment="1">
      <alignment horizontal="right"/>
    </xf>
    <xf numFmtId="164" fontId="6" fillId="0" borderId="0" xfId="3" applyNumberFormat="1" applyFont="1" applyAlignment="1">
      <alignment horizontal="right"/>
    </xf>
    <xf numFmtId="0" fontId="4" fillId="0" borderId="0" xfId="4" applyFont="1" applyFill="1" applyBorder="1" applyAlignment="1" applyProtection="1">
      <alignment horizontal="left" vertical="center" indent="1"/>
    </xf>
    <xf numFmtId="164" fontId="9" fillId="0" borderId="0" xfId="3" applyNumberFormat="1" applyFont="1" applyAlignment="1" applyProtection="1">
      <alignment vertical="center"/>
      <protection locked="0"/>
    </xf>
    <xf numFmtId="0" fontId="6" fillId="0" borderId="0" xfId="3" applyFont="1" applyAlignment="1">
      <alignment horizontal="left" vertical="center"/>
    </xf>
    <xf numFmtId="0" fontId="12" fillId="0" borderId="0" xfId="2" applyFont="1" applyFill="1" applyBorder="1" applyAlignment="1">
      <alignment horizontal="left" indent="1"/>
    </xf>
    <xf numFmtId="0" fontId="12" fillId="0" borderId="0" xfId="2" applyFont="1" applyFill="1" applyBorder="1" applyAlignment="1" applyProtection="1">
      <alignment horizontal="left" indent="1"/>
    </xf>
    <xf numFmtId="0" fontId="12" fillId="0" borderId="0" xfId="2" applyFont="1" applyFill="1" applyBorder="1" applyAlignment="1" applyProtection="1">
      <alignment horizontal="left" vertical="center" indent="1"/>
    </xf>
    <xf numFmtId="0" fontId="3" fillId="0" borderId="0" xfId="2" applyFill="1" applyBorder="1" applyAlignment="1">
      <alignment horizontal="left" indent="1"/>
    </xf>
    <xf numFmtId="0" fontId="30" fillId="0" borderId="0" xfId="3" applyFont="1" applyAlignment="1">
      <alignment horizontal="left" indent="1"/>
    </xf>
    <xf numFmtId="0" fontId="0" fillId="0" borderId="0" xfId="0" applyAlignment="1">
      <alignment vertical="center" wrapText="1"/>
    </xf>
    <xf numFmtId="0" fontId="0" fillId="0" borderId="0" xfId="0" applyAlignment="1">
      <alignment horizontal="center" vertical="center" wrapText="1"/>
    </xf>
    <xf numFmtId="8" fontId="31" fillId="0" borderId="0" xfId="0" applyNumberFormat="1" applyFont="1" applyAlignment="1">
      <alignment horizontal="center" vertical="center" wrapText="1"/>
    </xf>
    <xf numFmtId="8" fontId="31" fillId="0" borderId="0" xfId="1" applyNumberFormat="1" applyFont="1" applyAlignment="1">
      <alignment horizontal="center" vertical="center" wrapText="1"/>
    </xf>
    <xf numFmtId="44" fontId="31" fillId="0" borderId="0" xfId="1" applyFont="1" applyAlignment="1">
      <alignment horizontal="center" vertical="center" wrapText="1"/>
    </xf>
    <xf numFmtId="0" fontId="32" fillId="0" borderId="0" xfId="0" applyFont="1" applyAlignment="1">
      <alignment horizontal="center" wrapText="1"/>
    </xf>
    <xf numFmtId="0" fontId="31" fillId="0" borderId="0" xfId="0" applyFont="1" applyAlignment="1">
      <alignment wrapText="1"/>
    </xf>
    <xf numFmtId="164" fontId="0" fillId="6" borderId="23" xfId="0" applyNumberFormat="1" applyFill="1" applyBorder="1"/>
    <xf numFmtId="0" fontId="13" fillId="5" borderId="11" xfId="0" applyFont="1" applyFill="1" applyBorder="1" applyAlignment="1">
      <alignment horizontal="left" indent="1"/>
    </xf>
    <xf numFmtId="0" fontId="35" fillId="0" borderId="2" xfId="0" applyFont="1" applyBorder="1" applyAlignment="1">
      <alignment horizontal="center" vertical="center" wrapText="1"/>
    </xf>
    <xf numFmtId="0" fontId="32"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xf numFmtId="0" fontId="31" fillId="0" borderId="4" xfId="0" applyFont="1" applyBorder="1" applyAlignment="1">
      <alignment horizontal="center" vertical="center" wrapText="1"/>
    </xf>
    <xf numFmtId="44" fontId="31" fillId="0" borderId="4" xfId="1" applyFont="1" applyBorder="1" applyAlignment="1">
      <alignment horizontal="center" vertical="center" wrapText="1"/>
    </xf>
    <xf numFmtId="0" fontId="36" fillId="0" borderId="0" xfId="0" applyFont="1"/>
    <xf numFmtId="0" fontId="0" fillId="8" borderId="23" xfId="0" applyFill="1" applyBorder="1" applyAlignment="1">
      <alignment horizontal="center" vertical="center"/>
    </xf>
    <xf numFmtId="0" fontId="0" fillId="0" borderId="22" xfId="0" applyBorder="1"/>
    <xf numFmtId="0" fontId="0" fillId="0" borderId="27" xfId="0" applyBorder="1" applyAlignment="1">
      <alignment horizontal="center"/>
    </xf>
    <xf numFmtId="0" fontId="0" fillId="0" borderId="22" xfId="0" applyBorder="1" applyAlignment="1">
      <alignment horizontal="center"/>
    </xf>
    <xf numFmtId="0" fontId="0" fillId="0" borderId="28" xfId="0" applyBorder="1" applyAlignment="1">
      <alignment horizontal="center" wrapText="1"/>
    </xf>
    <xf numFmtId="0" fontId="0" fillId="12" borderId="29" xfId="0" applyFill="1" applyBorder="1"/>
    <xf numFmtId="0" fontId="0" fillId="12" borderId="30" xfId="0" applyFill="1" applyBorder="1" applyAlignment="1">
      <alignment horizontal="center"/>
    </xf>
    <xf numFmtId="0" fontId="0" fillId="12" borderId="31" xfId="0" applyFill="1" applyBorder="1" applyAlignment="1">
      <alignment horizontal="center"/>
    </xf>
    <xf numFmtId="0" fontId="0" fillId="12" borderId="32" xfId="0" applyFill="1" applyBorder="1"/>
    <xf numFmtId="0" fontId="0" fillId="12" borderId="33" xfId="0" applyFill="1" applyBorder="1"/>
    <xf numFmtId="167" fontId="0" fillId="12" borderId="34" xfId="0" applyNumberFormat="1" applyFill="1" applyBorder="1" applyAlignment="1">
      <alignment horizontal="center"/>
    </xf>
    <xf numFmtId="165" fontId="0" fillId="12" borderId="35" xfId="0" applyNumberFormat="1" applyFill="1" applyBorder="1" applyAlignment="1">
      <alignment horizontal="center"/>
    </xf>
    <xf numFmtId="0" fontId="0" fillId="12" borderId="36" xfId="0" applyFill="1" applyBorder="1"/>
    <xf numFmtId="44" fontId="0" fillId="12" borderId="33" xfId="0" applyNumberFormat="1" applyFill="1" applyBorder="1"/>
    <xf numFmtId="165" fontId="0" fillId="12" borderId="34" xfId="0" applyNumberFormat="1" applyFill="1" applyBorder="1" applyAlignment="1">
      <alignment horizontal="center"/>
    </xf>
    <xf numFmtId="165" fontId="0" fillId="12" borderId="36" xfId="0" applyNumberFormat="1" applyFill="1" applyBorder="1" applyAlignment="1">
      <alignment horizontal="center"/>
    </xf>
    <xf numFmtId="44" fontId="0" fillId="0" borderId="4" xfId="0" applyNumberFormat="1" applyBorder="1"/>
    <xf numFmtId="44" fontId="0" fillId="12" borderId="37" xfId="0" applyNumberFormat="1" applyFill="1" applyBorder="1"/>
    <xf numFmtId="165" fontId="0" fillId="12" borderId="38" xfId="0" applyNumberFormat="1" applyFill="1" applyBorder="1" applyAlignment="1">
      <alignment horizontal="center"/>
    </xf>
    <xf numFmtId="165" fontId="0" fillId="12" borderId="39" xfId="0" applyNumberFormat="1" applyFill="1" applyBorder="1" applyAlignment="1">
      <alignment horizontal="center"/>
    </xf>
    <xf numFmtId="165" fontId="0" fillId="12" borderId="40" xfId="0" applyNumberFormat="1" applyFill="1" applyBorder="1" applyAlignment="1">
      <alignment horizontal="center"/>
    </xf>
    <xf numFmtId="44" fontId="0" fillId="12" borderId="29" xfId="0" applyNumberFormat="1" applyFill="1" applyBorder="1"/>
    <xf numFmtId="165" fontId="0" fillId="12" borderId="30" xfId="0" applyNumberFormat="1" applyFill="1" applyBorder="1" applyAlignment="1">
      <alignment horizontal="center"/>
    </xf>
    <xf numFmtId="165" fontId="0" fillId="12" borderId="41" xfId="0" applyNumberFormat="1" applyFill="1" applyBorder="1" applyAlignment="1">
      <alignment horizontal="center"/>
    </xf>
    <xf numFmtId="165" fontId="0" fillId="12" borderId="32" xfId="0" applyNumberFormat="1" applyFill="1" applyBorder="1" applyAlignment="1">
      <alignment horizontal="center"/>
    </xf>
    <xf numFmtId="0" fontId="0" fillId="0" borderId="12" xfId="0" applyBorder="1"/>
    <xf numFmtId="44" fontId="0" fillId="0" borderId="12" xfId="0" applyNumberFormat="1" applyBorder="1"/>
    <xf numFmtId="8" fontId="0" fillId="12" borderId="33" xfId="0" applyNumberFormat="1" applyFill="1" applyBorder="1"/>
    <xf numFmtId="8" fontId="0" fillId="0" borderId="4" xfId="0" applyNumberFormat="1" applyBorder="1"/>
    <xf numFmtId="8" fontId="0" fillId="12" borderId="37" xfId="0" applyNumberFormat="1" applyFill="1" applyBorder="1"/>
    <xf numFmtId="0" fontId="0" fillId="0" borderId="8" xfId="0" applyBorder="1" applyAlignment="1">
      <alignment horizontal="center" vertical="center"/>
    </xf>
    <xf numFmtId="2" fontId="0" fillId="0" borderId="8" xfId="0" applyNumberFormat="1" applyBorder="1" applyAlignment="1">
      <alignment horizontal="center" vertical="center"/>
    </xf>
    <xf numFmtId="49" fontId="0" fillId="0" borderId="22" xfId="0" applyNumberFormat="1" applyBorder="1"/>
    <xf numFmtId="2" fontId="0" fillId="0" borderId="22" xfId="0" applyNumberFormat="1" applyBorder="1"/>
    <xf numFmtId="8" fontId="0" fillId="0" borderId="0" xfId="0" applyNumberFormat="1" applyAlignment="1">
      <alignment horizontal="center"/>
    </xf>
    <xf numFmtId="9" fontId="0" fillId="0" borderId="0" xfId="0" applyNumberFormat="1" applyAlignment="1">
      <alignment horizontal="center"/>
    </xf>
    <xf numFmtId="9" fontId="0" fillId="0" borderId="0" xfId="0" applyNumberFormat="1"/>
    <xf numFmtId="0" fontId="0" fillId="11" borderId="23" xfId="0" applyFill="1" applyBorder="1"/>
    <xf numFmtId="2" fontId="0" fillId="0" borderId="4" xfId="0" applyNumberFormat="1" applyBorder="1"/>
    <xf numFmtId="165" fontId="0" fillId="0" borderId="0" xfId="0" applyNumberFormat="1"/>
    <xf numFmtId="8" fontId="33" fillId="12" borderId="33" xfId="1" applyNumberFormat="1" applyFont="1" applyFill="1" applyBorder="1"/>
    <xf numFmtId="8" fontId="0" fillId="12" borderId="34" xfId="0" applyNumberFormat="1" applyFill="1" applyBorder="1" applyAlignment="1">
      <alignment horizontal="center"/>
    </xf>
    <xf numFmtId="8" fontId="0" fillId="12" borderId="35" xfId="0" applyNumberFormat="1" applyFill="1" applyBorder="1" applyAlignment="1">
      <alignment horizontal="center"/>
    </xf>
    <xf numFmtId="8" fontId="0" fillId="12" borderId="36" xfId="0" applyNumberFormat="1" applyFill="1" applyBorder="1" applyAlignment="1">
      <alignment horizontal="center"/>
    </xf>
    <xf numFmtId="8" fontId="0" fillId="12" borderId="38" xfId="0" applyNumberFormat="1" applyFill="1" applyBorder="1" applyAlignment="1">
      <alignment horizontal="center"/>
    </xf>
    <xf numFmtId="8" fontId="0" fillId="12" borderId="39" xfId="0" applyNumberFormat="1" applyFill="1" applyBorder="1" applyAlignment="1">
      <alignment horizontal="center"/>
    </xf>
    <xf numFmtId="8" fontId="0" fillId="12" borderId="40" xfId="0" applyNumberFormat="1" applyFill="1" applyBorder="1" applyAlignment="1">
      <alignment horizontal="center"/>
    </xf>
    <xf numFmtId="8" fontId="33" fillId="12" borderId="29" xfId="1" applyNumberFormat="1" applyFont="1" applyFill="1" applyBorder="1"/>
    <xf numFmtId="8" fontId="0" fillId="12" borderId="30" xfId="0" applyNumberFormat="1" applyFill="1" applyBorder="1" applyAlignment="1">
      <alignment horizontal="center"/>
    </xf>
    <xf numFmtId="8" fontId="0" fillId="12" borderId="41" xfId="0" applyNumberFormat="1" applyFill="1" applyBorder="1" applyAlignment="1">
      <alignment horizontal="center"/>
    </xf>
    <xf numFmtId="8" fontId="0" fillId="12" borderId="32" xfId="0" applyNumberFormat="1" applyFill="1" applyBorder="1" applyAlignment="1">
      <alignment horizontal="center"/>
    </xf>
    <xf numFmtId="8" fontId="0" fillId="12" borderId="29" xfId="0" applyNumberFormat="1" applyFill="1" applyBorder="1"/>
    <xf numFmtId="8" fontId="0" fillId="12" borderId="42" xfId="0" applyNumberFormat="1" applyFill="1" applyBorder="1"/>
    <xf numFmtId="8" fontId="0" fillId="12" borderId="43" xfId="0" applyNumberFormat="1" applyFill="1" applyBorder="1" applyAlignment="1">
      <alignment horizontal="center"/>
    </xf>
    <xf numFmtId="8" fontId="0" fillId="12" borderId="44" xfId="0" applyNumberFormat="1" applyFill="1" applyBorder="1" applyAlignment="1">
      <alignment horizontal="center"/>
    </xf>
    <xf numFmtId="8" fontId="0" fillId="12" borderId="45" xfId="0" applyNumberFormat="1" applyFill="1" applyBorder="1" applyAlignment="1">
      <alignment horizontal="center"/>
    </xf>
    <xf numFmtId="8" fontId="0" fillId="12" borderId="5" xfId="0" applyNumberFormat="1" applyFill="1" applyBorder="1" applyAlignment="1">
      <alignment horizontal="center" vertical="center"/>
    </xf>
    <xf numFmtId="8" fontId="0" fillId="12" borderId="4" xfId="0" applyNumberFormat="1" applyFill="1" applyBorder="1" applyAlignment="1">
      <alignment horizontal="center"/>
    </xf>
    <xf numFmtId="8" fontId="0" fillId="12" borderId="5" xfId="0" applyNumberFormat="1" applyFill="1" applyBorder="1" applyAlignment="1">
      <alignment horizontal="center"/>
    </xf>
    <xf numFmtId="8" fontId="0" fillId="12" borderId="4" xfId="0" applyNumberFormat="1" applyFill="1" applyBorder="1" applyAlignment="1">
      <alignment horizontal="center" vertical="center"/>
    </xf>
    <xf numFmtId="8" fontId="0" fillId="12" borderId="1" xfId="0" applyNumberFormat="1" applyFill="1" applyBorder="1" applyAlignment="1">
      <alignment horizontal="center"/>
    </xf>
    <xf numFmtId="0" fontId="0" fillId="8" borderId="8" xfId="0" applyFill="1" applyBorder="1"/>
    <xf numFmtId="2" fontId="0" fillId="8" borderId="8" xfId="0" applyNumberFormat="1" applyFill="1" applyBorder="1"/>
    <xf numFmtId="8" fontId="33" fillId="8" borderId="8" xfId="1" applyNumberFormat="1" applyFont="1" applyFill="1" applyBorder="1"/>
    <xf numFmtId="8" fontId="0" fillId="0" borderId="12" xfId="0" applyNumberFormat="1" applyBorder="1"/>
    <xf numFmtId="8" fontId="0" fillId="0" borderId="8" xfId="0" applyNumberFormat="1" applyBorder="1"/>
    <xf numFmtId="8" fontId="0" fillId="0" borderId="0" xfId="1" applyNumberFormat="1" applyFont="1"/>
    <xf numFmtId="8" fontId="0" fillId="8" borderId="8" xfId="0" applyNumberFormat="1" applyFill="1" applyBorder="1"/>
    <xf numFmtId="44" fontId="0" fillId="8" borderId="8" xfId="0" applyNumberFormat="1" applyFill="1" applyBorder="1"/>
    <xf numFmtId="44" fontId="0" fillId="8" borderId="28" xfId="0" applyNumberFormat="1" applyFill="1" applyBorder="1"/>
    <xf numFmtId="1" fontId="0" fillId="0" borderId="0" xfId="0" applyNumberFormat="1" applyAlignment="1">
      <alignment horizontal="center"/>
    </xf>
    <xf numFmtId="0" fontId="0" fillId="0" borderId="0" xfId="0" applyAlignment="1">
      <alignment horizontal="center" wrapText="1"/>
    </xf>
    <xf numFmtId="168" fontId="0" fillId="0" borderId="12" xfId="0" applyNumberFormat="1" applyBorder="1"/>
    <xf numFmtId="3" fontId="0" fillId="0" borderId="12" xfId="0" applyNumberFormat="1" applyBorder="1" applyAlignment="1">
      <alignment horizontal="center"/>
    </xf>
    <xf numFmtId="0" fontId="0" fillId="0" borderId="12" xfId="0" applyBorder="1" applyAlignment="1">
      <alignment horizontal="center"/>
    </xf>
    <xf numFmtId="168" fontId="0" fillId="0" borderId="0" xfId="0" applyNumberFormat="1"/>
    <xf numFmtId="165" fontId="0" fillId="0" borderId="0" xfId="0" applyNumberFormat="1" applyAlignment="1">
      <alignment horizontal="center"/>
    </xf>
    <xf numFmtId="168" fontId="0" fillId="0" borderId="4" xfId="0" applyNumberFormat="1" applyBorder="1"/>
    <xf numFmtId="165" fontId="0" fillId="0" borderId="4" xfId="0" applyNumberFormat="1" applyBorder="1" applyAlignment="1">
      <alignment horizontal="center"/>
    </xf>
    <xf numFmtId="3" fontId="0" fillId="0" borderId="4" xfId="0" applyNumberFormat="1" applyBorder="1"/>
    <xf numFmtId="166" fontId="0" fillId="0" borderId="0" xfId="0" applyNumberFormat="1"/>
    <xf numFmtId="168" fontId="0" fillId="0" borderId="8" xfId="0" applyNumberFormat="1" applyBorder="1"/>
    <xf numFmtId="6" fontId="0" fillId="0" borderId="0" xfId="0" applyNumberFormat="1" applyAlignment="1">
      <alignment horizontal="center"/>
    </xf>
    <xf numFmtId="44" fontId="0" fillId="0" borderId="8" xfId="1" applyFont="1" applyBorder="1"/>
    <xf numFmtId="44" fontId="0" fillId="0" borderId="1" xfId="1" applyFont="1" applyBorder="1"/>
    <xf numFmtId="8" fontId="0" fillId="6" borderId="23" xfId="0" applyNumberFormat="1" applyFill="1" applyBorder="1"/>
    <xf numFmtId="0" fontId="40" fillId="0" borderId="0" xfId="0" applyFont="1"/>
    <xf numFmtId="8" fontId="41" fillId="0" borderId="0" xfId="0" applyNumberFormat="1" applyFont="1" applyAlignment="1">
      <alignment vertical="center" wrapText="1"/>
    </xf>
    <xf numFmtId="44" fontId="41" fillId="0" borderId="7" xfId="1" applyFont="1" applyBorder="1" applyAlignment="1">
      <alignment vertical="center" wrapText="1"/>
    </xf>
    <xf numFmtId="44" fontId="0" fillId="0" borderId="7" xfId="1" applyFont="1" applyBorder="1"/>
    <xf numFmtId="44" fontId="41" fillId="0" borderId="8" xfId="1" applyFont="1" applyBorder="1" applyAlignment="1">
      <alignment vertical="center" wrapText="1"/>
    </xf>
    <xf numFmtId="10" fontId="0" fillId="0" borderId="0" xfId="0" applyNumberFormat="1"/>
    <xf numFmtId="9" fontId="0" fillId="0" borderId="0" xfId="8" applyFont="1"/>
    <xf numFmtId="4" fontId="0" fillId="6" borderId="46" xfId="0" applyNumberFormat="1" applyFill="1" applyBorder="1"/>
    <xf numFmtId="44" fontId="0" fillId="6" borderId="23" xfId="1" applyFont="1" applyFill="1" applyBorder="1"/>
    <xf numFmtId="0" fontId="2" fillId="0" borderId="0" xfId="0" applyFont="1"/>
    <xf numFmtId="0" fontId="2" fillId="0" borderId="0" xfId="0" applyFont="1" applyAlignment="1">
      <alignment horizontal="center"/>
    </xf>
    <xf numFmtId="0" fontId="8" fillId="12" borderId="1" xfId="3" applyFont="1" applyFill="1" applyBorder="1" applyAlignment="1">
      <alignment horizontal="left" indent="1"/>
    </xf>
    <xf numFmtId="0" fontId="8" fillId="12" borderId="2" xfId="3" applyFont="1" applyFill="1" applyBorder="1"/>
    <xf numFmtId="0" fontId="8" fillId="12" borderId="3" xfId="3" applyFont="1" applyFill="1" applyBorder="1"/>
    <xf numFmtId="0" fontId="6" fillId="12" borderId="6" xfId="3" applyFont="1" applyFill="1" applyBorder="1" applyProtection="1">
      <protection locked="0"/>
    </xf>
    <xf numFmtId="0" fontId="4" fillId="12" borderId="8" xfId="0" applyFont="1" applyFill="1" applyBorder="1" applyAlignment="1" applyProtection="1">
      <alignment horizontal="left" indent="2"/>
      <protection locked="0"/>
    </xf>
    <xf numFmtId="0" fontId="4" fillId="12" borderId="0" xfId="3" applyFill="1"/>
    <xf numFmtId="0" fontId="4" fillId="12" borderId="4" xfId="3" applyFill="1" applyBorder="1"/>
    <xf numFmtId="164" fontId="4" fillId="12" borderId="7" xfId="3" applyNumberFormat="1" applyFill="1" applyBorder="1" applyProtection="1">
      <protection locked="0"/>
    </xf>
    <xf numFmtId="164" fontId="4" fillId="12" borderId="8" xfId="3" applyNumberFormat="1" applyFill="1" applyBorder="1" applyProtection="1">
      <protection locked="0"/>
    </xf>
    <xf numFmtId="0" fontId="6" fillId="12" borderId="5" xfId="3" applyFont="1" applyFill="1" applyBorder="1" applyAlignment="1" applyProtection="1">
      <alignment horizontal="left" indent="1"/>
      <protection locked="0"/>
    </xf>
    <xf numFmtId="0" fontId="6" fillId="12" borderId="4" xfId="3" applyFont="1" applyFill="1" applyBorder="1" applyProtection="1">
      <protection locked="0"/>
    </xf>
    <xf numFmtId="164" fontId="9" fillId="12" borderId="7" xfId="3" applyNumberFormat="1" applyFont="1" applyFill="1" applyBorder="1" applyProtection="1">
      <protection locked="0"/>
    </xf>
    <xf numFmtId="164" fontId="9" fillId="12" borderId="8" xfId="3" applyNumberFormat="1" applyFont="1" applyFill="1" applyBorder="1" applyProtection="1">
      <protection locked="0"/>
    </xf>
    <xf numFmtId="3" fontId="9" fillId="12" borderId="7" xfId="3" applyNumberFormat="1" applyFont="1" applyFill="1" applyBorder="1" applyProtection="1">
      <protection locked="0"/>
    </xf>
    <xf numFmtId="3" fontId="9" fillId="12" borderId="8" xfId="3" applyNumberFormat="1" applyFont="1" applyFill="1" applyBorder="1" applyProtection="1">
      <protection locked="0"/>
    </xf>
    <xf numFmtId="1" fontId="9" fillId="12" borderId="8" xfId="3" applyNumberFormat="1" applyFont="1" applyFill="1" applyBorder="1" applyProtection="1">
      <protection locked="0"/>
    </xf>
    <xf numFmtId="0" fontId="9" fillId="12" borderId="8" xfId="3" applyFont="1" applyFill="1" applyBorder="1" applyProtection="1">
      <protection locked="0"/>
    </xf>
    <xf numFmtId="166" fontId="9" fillId="12" borderId="8" xfId="3" applyNumberFormat="1" applyFont="1" applyFill="1" applyBorder="1" applyProtection="1">
      <protection locked="0"/>
    </xf>
    <xf numFmtId="0" fontId="4" fillId="12" borderId="7" xfId="3" applyFill="1" applyBorder="1" applyAlignment="1" applyProtection="1">
      <alignment horizontal="left" indent="2"/>
      <protection locked="0"/>
    </xf>
    <xf numFmtId="0" fontId="4" fillId="12" borderId="8" xfId="3" applyFill="1" applyBorder="1" applyAlignment="1" applyProtection="1">
      <alignment horizontal="left" indent="2"/>
      <protection locked="0"/>
    </xf>
    <xf numFmtId="164" fontId="9" fillId="12" borderId="8" xfId="3" applyNumberFormat="1" applyFont="1" applyFill="1" applyBorder="1" applyAlignment="1" applyProtection="1">
      <alignment vertical="center"/>
      <protection locked="0"/>
    </xf>
    <xf numFmtId="164" fontId="4" fillId="0" borderId="8" xfId="3" applyNumberFormat="1" applyBorder="1" applyProtection="1">
      <protection locked="0"/>
    </xf>
    <xf numFmtId="0" fontId="4" fillId="0" borderId="8" xfId="3" applyBorder="1" applyAlignment="1" applyProtection="1">
      <alignment horizontal="left" indent="2"/>
      <protection locked="0"/>
    </xf>
    <xf numFmtId="164" fontId="4" fillId="13" borderId="8" xfId="3" applyNumberFormat="1" applyFill="1" applyBorder="1" applyProtection="1">
      <protection locked="0"/>
    </xf>
    <xf numFmtId="44" fontId="34" fillId="12" borderId="0" xfId="1" applyFont="1" applyFill="1" applyAlignment="1">
      <alignment horizontal="center" vertical="center" wrapText="1"/>
    </xf>
    <xf numFmtId="44" fontId="34" fillId="12" borderId="4" xfId="1" applyFont="1" applyFill="1" applyBorder="1" applyAlignment="1">
      <alignment horizontal="center" vertical="center" wrapText="1"/>
    </xf>
    <xf numFmtId="164" fontId="4" fillId="14" borderId="8" xfId="3" applyNumberFormat="1" applyFill="1" applyBorder="1" applyProtection="1">
      <protection locked="0"/>
    </xf>
    <xf numFmtId="0" fontId="0" fillId="12" borderId="0" xfId="0" applyFill="1"/>
    <xf numFmtId="167" fontId="9" fillId="12" borderId="7" xfId="3" applyNumberFormat="1" applyFont="1" applyFill="1" applyBorder="1" applyProtection="1">
      <protection locked="0"/>
    </xf>
    <xf numFmtId="0" fontId="3" fillId="12" borderId="0" xfId="2" applyFill="1"/>
    <xf numFmtId="0" fontId="4" fillId="12" borderId="8" xfId="3" applyFill="1" applyBorder="1" applyAlignment="1" applyProtection="1">
      <alignment horizontal="right"/>
      <protection locked="0"/>
    </xf>
    <xf numFmtId="0" fontId="4" fillId="12" borderId="8" xfId="3" applyFill="1" applyBorder="1" applyAlignment="1">
      <alignment horizontal="left" indent="2"/>
    </xf>
    <xf numFmtId="3" fontId="4" fillId="12" borderId="8" xfId="3" applyNumberFormat="1" applyFill="1" applyBorder="1" applyProtection="1">
      <protection locked="0"/>
    </xf>
    <xf numFmtId="0" fontId="4" fillId="12" borderId="8" xfId="3" applyFill="1" applyBorder="1" applyProtection="1">
      <protection locked="0"/>
    </xf>
    <xf numFmtId="1" fontId="4" fillId="12" borderId="8" xfId="3" applyNumberFormat="1" applyFill="1" applyBorder="1" applyProtection="1">
      <protection locked="0"/>
    </xf>
    <xf numFmtId="37" fontId="4" fillId="12" borderId="7" xfId="5" applyNumberFormat="1" applyFont="1" applyFill="1" applyBorder="1" applyProtection="1">
      <protection locked="0"/>
    </xf>
    <xf numFmtId="0" fontId="4" fillId="12" borderId="7" xfId="3" applyFill="1" applyBorder="1" applyAlignment="1" applyProtection="1">
      <alignment horizontal="right"/>
      <protection locked="0"/>
    </xf>
    <xf numFmtId="2" fontId="4" fillId="12" borderId="8" xfId="3" applyNumberFormat="1" applyFill="1" applyBorder="1" applyProtection="1">
      <protection locked="0"/>
    </xf>
    <xf numFmtId="164" fontId="4" fillId="12" borderId="0" xfId="3" applyNumberFormat="1" applyFill="1"/>
    <xf numFmtId="164" fontId="6" fillId="9" borderId="25" xfId="3" applyNumberFormat="1" applyFont="1" applyFill="1" applyBorder="1" applyAlignment="1">
      <alignment vertical="center"/>
    </xf>
    <xf numFmtId="165" fontId="6" fillId="9" borderId="46" xfId="3" applyNumberFormat="1" applyFont="1" applyFill="1" applyBorder="1" applyAlignment="1">
      <alignment vertical="center"/>
    </xf>
    <xf numFmtId="165" fontId="6" fillId="9" borderId="23" xfId="3" applyNumberFormat="1" applyFont="1" applyFill="1" applyBorder="1" applyAlignment="1">
      <alignment vertical="center"/>
    </xf>
    <xf numFmtId="164" fontId="0" fillId="9" borderId="23" xfId="0" applyNumberFormat="1" applyFill="1" applyBorder="1"/>
    <xf numFmtId="164" fontId="17" fillId="9" borderId="25" xfId="3" applyNumberFormat="1" applyFont="1" applyFill="1" applyBorder="1"/>
    <xf numFmtId="165" fontId="17" fillId="9" borderId="23" xfId="3" applyNumberFormat="1" applyFont="1" applyFill="1" applyBorder="1"/>
    <xf numFmtId="8" fontId="0" fillId="12" borderId="47" xfId="0" applyNumberFormat="1" applyFill="1" applyBorder="1" applyAlignment="1">
      <alignment horizontal="center"/>
    </xf>
    <xf numFmtId="168" fontId="0" fillId="12" borderId="0" xfId="0" applyNumberFormat="1" applyFill="1"/>
    <xf numFmtId="2" fontId="0" fillId="12" borderId="22" xfId="0" applyNumberFormat="1" applyFill="1" applyBorder="1"/>
    <xf numFmtId="2" fontId="0" fillId="12" borderId="8" xfId="0" applyNumberFormat="1" applyFill="1" applyBorder="1" applyAlignment="1">
      <alignment horizontal="center" vertical="center"/>
    </xf>
    <xf numFmtId="8" fontId="0" fillId="2" borderId="0" xfId="0" applyNumberFormat="1" applyFill="1"/>
    <xf numFmtId="8" fontId="0" fillId="2" borderId="0" xfId="0" applyNumberFormat="1" applyFill="1" applyAlignment="1">
      <alignment horizontal="center"/>
    </xf>
    <xf numFmtId="164" fontId="0" fillId="2" borderId="0" xfId="0" applyNumberFormat="1" applyFill="1" applyAlignment="1">
      <alignment horizontal="center"/>
    </xf>
    <xf numFmtId="8" fontId="0" fillId="2" borderId="4" xfId="0" applyNumberFormat="1" applyFill="1" applyBorder="1"/>
    <xf numFmtId="164" fontId="0" fillId="2" borderId="4" xfId="0" applyNumberFormat="1" applyFill="1" applyBorder="1" applyAlignment="1">
      <alignment horizontal="center"/>
    </xf>
    <xf numFmtId="8" fontId="0" fillId="2" borderId="4" xfId="0" applyNumberFormat="1" applyFill="1" applyBorder="1" applyAlignment="1">
      <alignment horizontal="center"/>
    </xf>
    <xf numFmtId="6" fontId="0" fillId="2" borderId="4" xfId="0" applyNumberFormat="1" applyFill="1" applyBorder="1" applyAlignment="1">
      <alignment horizontal="center"/>
    </xf>
    <xf numFmtId="6" fontId="0" fillId="2" borderId="0" xfId="0" applyNumberFormat="1" applyFill="1" applyAlignment="1">
      <alignment horizontal="center"/>
    </xf>
    <xf numFmtId="166" fontId="0" fillId="2" borderId="0" xfId="0" applyNumberFormat="1" applyFill="1"/>
    <xf numFmtId="165" fontId="0" fillId="2" borderId="0" xfId="0" applyNumberFormat="1" applyFill="1" applyAlignment="1">
      <alignment horizontal="center"/>
    </xf>
    <xf numFmtId="8" fontId="0" fillId="2" borderId="8" xfId="0" applyNumberFormat="1" applyFill="1" applyBorder="1"/>
    <xf numFmtId="8" fontId="0" fillId="2" borderId="28" xfId="0" applyNumberFormat="1" applyFill="1" applyBorder="1"/>
    <xf numFmtId="0" fontId="0" fillId="2" borderId="0" xfId="0" applyFill="1"/>
    <xf numFmtId="1" fontId="39" fillId="2" borderId="0" xfId="1" applyNumberFormat="1" applyFont="1" applyFill="1" applyAlignment="1">
      <alignment horizontal="center"/>
    </xf>
    <xf numFmtId="0" fontId="39" fillId="2" borderId="0" xfId="1" applyNumberFormat="1" applyFont="1" applyFill="1" applyAlignment="1">
      <alignment horizontal="center"/>
    </xf>
    <xf numFmtId="44" fontId="0" fillId="2" borderId="0" xfId="0" applyNumberFormat="1" applyFill="1"/>
    <xf numFmtId="165" fontId="0" fillId="15" borderId="0" xfId="0" applyNumberFormat="1" applyFill="1" applyAlignment="1">
      <alignment horizontal="center"/>
    </xf>
    <xf numFmtId="8" fontId="0" fillId="15" borderId="0" xfId="0" applyNumberFormat="1" applyFill="1" applyAlignment="1">
      <alignment horizontal="center"/>
    </xf>
    <xf numFmtId="165" fontId="0" fillId="9" borderId="23" xfId="0" applyNumberFormat="1" applyFill="1" applyBorder="1" applyAlignment="1">
      <alignment horizontal="center"/>
    </xf>
    <xf numFmtId="8" fontId="0" fillId="12" borderId="0" xfId="0" applyNumberFormat="1" applyFill="1"/>
    <xf numFmtId="8" fontId="0" fillId="12" borderId="8" xfId="0" applyNumberFormat="1" applyFill="1" applyBorder="1"/>
    <xf numFmtId="8" fontId="0" fillId="12" borderId="28" xfId="0" applyNumberFormat="1" applyFill="1" applyBorder="1"/>
    <xf numFmtId="44" fontId="0" fillId="12" borderId="0" xfId="1" applyFont="1" applyFill="1" applyBorder="1" applyAlignment="1">
      <alignment horizontal="center"/>
    </xf>
    <xf numFmtId="0" fontId="0" fillId="12" borderId="0" xfId="0" applyFill="1" applyAlignment="1">
      <alignment horizontal="center" vertical="center"/>
    </xf>
    <xf numFmtId="44" fontId="0" fillId="12" borderId="0" xfId="1" applyFont="1" applyFill="1" applyBorder="1"/>
    <xf numFmtId="1" fontId="0" fillId="12" borderId="0" xfId="0" applyNumberFormat="1" applyFill="1" applyAlignment="1">
      <alignment horizontal="center" vertical="center"/>
    </xf>
    <xf numFmtId="44" fontId="0" fillId="12" borderId="0" xfId="0" applyNumberFormat="1" applyFill="1"/>
    <xf numFmtId="44" fontId="0" fillId="12" borderId="18" xfId="1" applyFont="1" applyFill="1" applyBorder="1"/>
    <xf numFmtId="164" fontId="0" fillId="12" borderId="0" xfId="0" applyNumberFormat="1" applyFill="1"/>
    <xf numFmtId="44" fontId="26" fillId="12" borderId="0" xfId="1" applyFont="1" applyFill="1" applyBorder="1"/>
    <xf numFmtId="0" fontId="0" fillId="12" borderId="18" xfId="0" applyFill="1" applyBorder="1"/>
    <xf numFmtId="44" fontId="0" fillId="9" borderId="8" xfId="1" applyFont="1" applyFill="1" applyBorder="1"/>
    <xf numFmtId="44" fontId="0" fillId="9" borderId="48" xfId="1" applyFont="1" applyFill="1" applyBorder="1"/>
    <xf numFmtId="44" fontId="0" fillId="9" borderId="23" xfId="1" applyFont="1" applyFill="1" applyBorder="1"/>
    <xf numFmtId="0" fontId="0" fillId="8" borderId="21" xfId="0" applyFill="1" applyBorder="1"/>
    <xf numFmtId="0" fontId="0" fillId="8" borderId="22" xfId="0" applyFill="1" applyBorder="1"/>
    <xf numFmtId="44" fontId="0" fillId="8" borderId="8" xfId="1" applyFont="1" applyFill="1" applyBorder="1"/>
    <xf numFmtId="44" fontId="0" fillId="8" borderId="1" xfId="1" applyFont="1" applyFill="1" applyBorder="1"/>
    <xf numFmtId="6" fontId="0" fillId="12" borderId="0" xfId="1" applyNumberFormat="1" applyFont="1" applyFill="1" applyBorder="1"/>
    <xf numFmtId="164" fontId="0" fillId="12" borderId="26" xfId="0" applyNumberFormat="1" applyFill="1" applyBorder="1"/>
    <xf numFmtId="164" fontId="0" fillId="12" borderId="5" xfId="0" applyNumberFormat="1" applyFill="1" applyBorder="1"/>
    <xf numFmtId="3" fontId="0" fillId="4" borderId="0" xfId="0" applyNumberFormat="1" applyFill="1"/>
    <xf numFmtId="164" fontId="0" fillId="4" borderId="0" xfId="0" applyNumberFormat="1" applyFill="1"/>
    <xf numFmtId="0" fontId="0" fillId="4" borderId="0" xfId="0" applyFill="1"/>
    <xf numFmtId="1" fontId="0" fillId="4" borderId="0" xfId="0" applyNumberFormat="1" applyFill="1"/>
    <xf numFmtId="164" fontId="0" fillId="4" borderId="4" xfId="0" applyNumberFormat="1" applyFill="1" applyBorder="1"/>
    <xf numFmtId="1" fontId="0" fillId="4" borderId="4" xfId="0" applyNumberFormat="1" applyFill="1" applyBorder="1"/>
    <xf numFmtId="0" fontId="0" fillId="4" borderId="4" xfId="0" applyFill="1" applyBorder="1"/>
    <xf numFmtId="16" fontId="0" fillId="4" borderId="0" xfId="0" applyNumberFormat="1" applyFill="1"/>
    <xf numFmtId="16" fontId="0" fillId="4" borderId="4" xfId="0" applyNumberFormat="1" applyFill="1" applyBorder="1"/>
    <xf numFmtId="164" fontId="0" fillId="9" borderId="24" xfId="0" applyNumberFormat="1" applyFill="1" applyBorder="1"/>
    <xf numFmtId="0" fontId="0" fillId="6" borderId="49" xfId="0" applyFill="1" applyBorder="1"/>
    <xf numFmtId="8" fontId="0" fillId="9" borderId="23" xfId="0" applyNumberFormat="1" applyFill="1" applyBorder="1"/>
    <xf numFmtId="0" fontId="42" fillId="6" borderId="48" xfId="0" applyFont="1" applyFill="1" applyBorder="1"/>
    <xf numFmtId="8" fontId="0" fillId="6" borderId="8" xfId="1"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6" borderId="8" xfId="0" applyFill="1" applyBorder="1"/>
    <xf numFmtId="164" fontId="4" fillId="16" borderId="8" xfId="3" applyNumberFormat="1" applyFill="1" applyBorder="1" applyProtection="1">
      <protection locked="0"/>
    </xf>
    <xf numFmtId="164" fontId="9" fillId="16" borderId="7" xfId="3" applyNumberFormat="1" applyFont="1" applyFill="1" applyBorder="1" applyProtection="1">
      <protection locked="0"/>
    </xf>
    <xf numFmtId="164" fontId="9" fillId="15" borderId="7" xfId="3" applyNumberFormat="1" applyFont="1" applyFill="1" applyBorder="1" applyProtection="1">
      <protection locked="0"/>
    </xf>
    <xf numFmtId="164" fontId="4" fillId="15" borderId="8" xfId="3" applyNumberFormat="1" applyFill="1" applyBorder="1" applyProtection="1">
      <protection locked="0"/>
    </xf>
    <xf numFmtId="44" fontId="0" fillId="15" borderId="25" xfId="0" applyNumberFormat="1" applyFill="1" applyBorder="1"/>
    <xf numFmtId="44" fontId="0" fillId="15" borderId="8" xfId="0" applyNumberFormat="1" applyFill="1" applyBorder="1"/>
    <xf numFmtId="0" fontId="0" fillId="15" borderId="23" xfId="0" applyFill="1" applyBorder="1" applyAlignment="1">
      <alignment horizontal="center"/>
    </xf>
    <xf numFmtId="44" fontId="0" fillId="8" borderId="23" xfId="0" applyNumberFormat="1" applyFill="1" applyBorder="1"/>
    <xf numFmtId="164" fontId="4" fillId="15" borderId="7" xfId="3" applyNumberFormat="1" applyFill="1" applyBorder="1" applyProtection="1">
      <protection locked="0"/>
    </xf>
    <xf numFmtId="0" fontId="0" fillId="9" borderId="23" xfId="0" applyFill="1" applyBorder="1"/>
    <xf numFmtId="0" fontId="0" fillId="15" borderId="48" xfId="0" applyFill="1" applyBorder="1"/>
    <xf numFmtId="0" fontId="0" fillId="12" borderId="8" xfId="0" applyFill="1" applyBorder="1"/>
    <xf numFmtId="0" fontId="0" fillId="8" borderId="48" xfId="0" applyFill="1" applyBorder="1"/>
    <xf numFmtId="165" fontId="0" fillId="12" borderId="24" xfId="0" applyNumberFormat="1" applyFill="1" applyBorder="1" applyAlignment="1">
      <alignment horizontal="center"/>
    </xf>
    <xf numFmtId="0" fontId="0" fillId="6" borderId="48" xfId="0" applyFill="1" applyBorder="1" applyAlignment="1">
      <alignment horizontal="center"/>
    </xf>
    <xf numFmtId="0" fontId="43" fillId="0" borderId="0" xfId="0" applyFont="1"/>
    <xf numFmtId="165" fontId="24" fillId="0" borderId="21" xfId="0" applyNumberFormat="1" applyFont="1" applyBorder="1" applyAlignment="1">
      <alignment horizontal="right"/>
    </xf>
    <xf numFmtId="165" fontId="24" fillId="12" borderId="23" xfId="0" applyNumberFormat="1" applyFont="1" applyFill="1" applyBorder="1" applyAlignment="1">
      <alignment horizontal="center"/>
    </xf>
    <xf numFmtId="0" fontId="44" fillId="0" borderId="0" xfId="0" applyFont="1"/>
    <xf numFmtId="6" fontId="0" fillId="0" borderId="0" xfId="0" applyNumberFormat="1"/>
    <xf numFmtId="0" fontId="46" fillId="0" borderId="0" xfId="3" applyFont="1" applyAlignment="1">
      <alignment horizontal="left" indent="1"/>
    </xf>
    <xf numFmtId="0" fontId="3" fillId="0" borderId="0" xfId="2" applyAlignment="1">
      <alignment horizontal="left"/>
    </xf>
    <xf numFmtId="0" fontId="3" fillId="0" borderId="4" xfId="2" applyBorder="1"/>
    <xf numFmtId="0" fontId="48" fillId="0" borderId="0" xfId="0" applyFont="1"/>
    <xf numFmtId="0" fontId="49" fillId="0" borderId="0" xfId="2" applyFont="1"/>
    <xf numFmtId="0" fontId="50" fillId="0" borderId="0" xfId="0" applyFont="1"/>
    <xf numFmtId="8" fontId="50" fillId="0" borderId="0" xfId="0" applyNumberFormat="1" applyFont="1"/>
    <xf numFmtId="0" fontId="3" fillId="18" borderId="0" xfId="2" applyFill="1"/>
    <xf numFmtId="0" fontId="0" fillId="18" borderId="0" xfId="0" applyFill="1"/>
    <xf numFmtId="8" fontId="0" fillId="18" borderId="0" xfId="0" applyNumberFormat="1" applyFill="1"/>
    <xf numFmtId="0" fontId="0" fillId="0" borderId="2" xfId="0" applyBorder="1" applyAlignment="1">
      <alignment horizontal="center" vertical="center" wrapText="1"/>
    </xf>
    <xf numFmtId="0" fontId="0" fillId="0" borderId="2" xfId="0" applyBorder="1" applyAlignment="1">
      <alignment horizontal="center" vertical="center"/>
    </xf>
    <xf numFmtId="0" fontId="4" fillId="0" borderId="12" xfId="3" applyBorder="1" applyAlignment="1">
      <alignment horizontal="center" wrapText="1"/>
    </xf>
    <xf numFmtId="0" fontId="4" fillId="0" borderId="0" xfId="3" applyAlignment="1">
      <alignment horizontal="center" wrapText="1"/>
    </xf>
    <xf numFmtId="0" fontId="47" fillId="17" borderId="12" xfId="2" applyFont="1" applyFill="1" applyBorder="1" applyAlignment="1">
      <alignment horizontal="center" vertical="center" wrapText="1"/>
    </xf>
    <xf numFmtId="0" fontId="47" fillId="17" borderId="0" xfId="2" applyFont="1" applyFill="1" applyBorder="1" applyAlignment="1">
      <alignment horizontal="center" vertical="center" wrapText="1"/>
    </xf>
    <xf numFmtId="0" fontId="13" fillId="5" borderId="0" xfId="3" applyFont="1" applyFill="1" applyAlignment="1">
      <alignment horizontal="center"/>
    </xf>
    <xf numFmtId="0" fontId="35" fillId="12" borderId="0" xfId="0" applyFont="1" applyFill="1" applyAlignment="1">
      <alignment horizontal="center" vertical="center" wrapText="1"/>
    </xf>
    <xf numFmtId="0" fontId="31" fillId="0" borderId="2" xfId="0" applyFont="1" applyBorder="1" applyAlignment="1">
      <alignment horizontal="center" vertical="center" wrapText="1"/>
    </xf>
    <xf numFmtId="0" fontId="31" fillId="0" borderId="4" xfId="0" applyFont="1" applyBorder="1" applyAlignment="1">
      <alignment horizontal="center" vertical="center" wrapText="1"/>
    </xf>
    <xf numFmtId="0" fontId="31" fillId="0" borderId="0" xfId="0" applyFont="1" applyAlignment="1">
      <alignment horizontal="center" vertical="center" wrapText="1"/>
    </xf>
    <xf numFmtId="0" fontId="35" fillId="0" borderId="0" xfId="0" applyFont="1" applyAlignment="1">
      <alignment horizontal="center" vertical="center" wrapText="1"/>
    </xf>
    <xf numFmtId="0" fontId="0" fillId="0" borderId="4" xfId="0" applyBorder="1" applyAlignment="1">
      <alignment horizontal="center"/>
    </xf>
    <xf numFmtId="0" fontId="0" fillId="0" borderId="0" xfId="0" applyAlignment="1">
      <alignment horizontal="center" wrapText="1"/>
    </xf>
    <xf numFmtId="44" fontId="0" fillId="12" borderId="0" xfId="1" applyFont="1" applyFill="1" applyBorder="1" applyAlignment="1">
      <alignment horizontal="center"/>
    </xf>
    <xf numFmtId="44" fontId="0" fillId="12" borderId="18" xfId="1" applyFont="1" applyFill="1" applyBorder="1" applyAlignment="1">
      <alignment horizontal="center"/>
    </xf>
    <xf numFmtId="0" fontId="25" fillId="7" borderId="14" xfId="0" applyFont="1" applyFill="1" applyBorder="1" applyAlignment="1">
      <alignment horizontal="center"/>
    </xf>
    <xf numFmtId="0" fontId="25" fillId="7" borderId="15" xfId="0" applyFont="1" applyFill="1" applyBorder="1" applyAlignment="1">
      <alignment horizontal="center"/>
    </xf>
    <xf numFmtId="0" fontId="25" fillId="7" borderId="16" xfId="0" applyFont="1" applyFill="1" applyBorder="1" applyAlignment="1">
      <alignment horizontal="center"/>
    </xf>
    <xf numFmtId="0" fontId="26" fillId="0" borderId="0" xfId="0" applyFont="1" applyAlignment="1">
      <alignment horizontal="center"/>
    </xf>
    <xf numFmtId="0" fontId="26" fillId="0" borderId="18" xfId="0" applyFont="1" applyBorder="1" applyAlignment="1">
      <alignment horizontal="center"/>
    </xf>
    <xf numFmtId="0" fontId="26" fillId="0" borderId="12" xfId="0" applyFont="1" applyBorder="1" applyAlignment="1">
      <alignment horizontal="center"/>
    </xf>
    <xf numFmtId="0" fontId="26" fillId="0" borderId="20" xfId="0" applyFont="1" applyBorder="1" applyAlignment="1">
      <alignment horizontal="center"/>
    </xf>
    <xf numFmtId="44" fontId="0" fillId="8" borderId="0" xfId="1" applyFont="1" applyFill="1" applyBorder="1" applyAlignment="1">
      <alignment horizontal="center"/>
    </xf>
    <xf numFmtId="44" fontId="0" fillId="8" borderId="18" xfId="1" applyFont="1" applyFill="1" applyBorder="1" applyAlignment="1">
      <alignment horizontal="center"/>
    </xf>
    <xf numFmtId="44" fontId="0" fillId="9" borderId="0" xfId="1" applyFont="1" applyFill="1" applyBorder="1" applyAlignment="1">
      <alignment horizontal="center"/>
    </xf>
    <xf numFmtId="44" fontId="0" fillId="9" borderId="18" xfId="1" applyFont="1" applyFill="1" applyBorder="1" applyAlignment="1">
      <alignment horizontal="center"/>
    </xf>
    <xf numFmtId="0" fontId="0" fillId="0" borderId="15" xfId="0" applyBorder="1" applyAlignment="1">
      <alignment horizontal="left"/>
    </xf>
    <xf numFmtId="0" fontId="0" fillId="0" borderId="0" xfId="0" applyAlignment="1">
      <alignment horizontal="left" wrapText="1"/>
    </xf>
    <xf numFmtId="0" fontId="0" fillId="0" borderId="0" xfId="0" applyAlignment="1">
      <alignment horizontal="center"/>
    </xf>
    <xf numFmtId="0" fontId="0" fillId="0" borderId="0" xfId="0" applyAlignment="1">
      <alignment horizontal="left"/>
    </xf>
    <xf numFmtId="0" fontId="0" fillId="0" borderId="4" xfId="0" applyBorder="1" applyAlignment="1">
      <alignment horizontal="center" wrapText="1"/>
    </xf>
  </cellXfs>
  <cellStyles count="9">
    <cellStyle name="Currency" xfId="1" builtinId="4"/>
    <cellStyle name="Hyperlink" xfId="2" builtinId="8"/>
    <cellStyle name="Hyperlink 2" xfId="4" xr:uid="{CB99B43C-F82D-ED47-8623-4C2FF4160919}"/>
    <cellStyle name="Normal" xfId="0" builtinId="0"/>
    <cellStyle name="Normal 2" xfId="3" xr:uid="{80FA827F-3A22-3E44-BE4F-465B619BCAA8}"/>
    <cellStyle name="Normal_Annual Hay Production" xfId="7" xr:uid="{91D63106-F352-AA48-AE9F-F1732D3A55E0}"/>
    <cellStyle name="Normal_Hay Production" xfId="5" xr:uid="{924C2BF1-1D12-0146-9CC6-3E431B95E871}"/>
    <cellStyle name="Normal_Hay Production (2)_Hay Production (3)" xfId="6" xr:uid="{D5902B15-CBDD-D044-9AB5-3D3AF2175B76}"/>
    <cellStyle name="Percent" xfId="8" builtinId="5"/>
  </cellStyles>
  <dxfs count="1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f"/></Relationships>
</file>

<file path=xl/drawings/_rels/drawing4.xml.rels><?xml version="1.0" encoding="UTF-8" standalone="yes"?>
<Relationships xmlns="http://schemas.openxmlformats.org/package/2006/relationships"><Relationship Id="rId1" Type="http://schemas.openxmlformats.org/officeDocument/2006/relationships/image" Target="../media/image1.tiff"/></Relationships>
</file>

<file path=xl/drawings/_rels/drawing5.xml.rels><?xml version="1.0" encoding="UTF-8" standalone="yes"?>
<Relationships xmlns="http://schemas.openxmlformats.org/package/2006/relationships"><Relationship Id="rId1" Type="http://schemas.openxmlformats.org/officeDocument/2006/relationships/image" Target="../media/image1.tiff"/></Relationships>
</file>

<file path=xl/drawings/_rels/drawing6.xml.rels><?xml version="1.0" encoding="UTF-8" standalone="yes"?>
<Relationships xmlns="http://schemas.openxmlformats.org/package/2006/relationships"><Relationship Id="rId1" Type="http://schemas.openxmlformats.org/officeDocument/2006/relationships/image" Target="../media/image1.tiff"/></Relationships>
</file>

<file path=xl/drawings/_rels/drawing7.xml.rels><?xml version="1.0" encoding="UTF-8" standalone="yes"?>
<Relationships xmlns="http://schemas.openxmlformats.org/package/2006/relationships"><Relationship Id="rId1" Type="http://schemas.openxmlformats.org/officeDocument/2006/relationships/image" Target="../media/image1.tiff"/></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828675</xdr:colOff>
      <xdr:row>72</xdr:row>
      <xdr:rowOff>95250</xdr:rowOff>
    </xdr:from>
    <xdr:to>
      <xdr:col>10</xdr:col>
      <xdr:colOff>90170</xdr:colOff>
      <xdr:row>75</xdr:row>
      <xdr:rowOff>154053</xdr:rowOff>
    </xdr:to>
    <xdr:pic>
      <xdr:nvPicPr>
        <xdr:cNvPr id="2" name="Picture 1" title="Iowa State University logo">
          <a:extLst>
            <a:ext uri="{FF2B5EF4-FFF2-40B4-BE49-F238E27FC236}">
              <a16:creationId xmlns:a16="http://schemas.microsoft.com/office/drawing/2014/main" id="{462EA41C-C57E-7749-818B-0601573F1B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744450"/>
          <a:ext cx="2563495" cy="668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828675</xdr:colOff>
      <xdr:row>73</xdr:row>
      <xdr:rowOff>95250</xdr:rowOff>
    </xdr:from>
    <xdr:to>
      <xdr:col>10</xdr:col>
      <xdr:colOff>90170</xdr:colOff>
      <xdr:row>76</xdr:row>
      <xdr:rowOff>144528</xdr:rowOff>
    </xdr:to>
    <xdr:pic>
      <xdr:nvPicPr>
        <xdr:cNvPr id="3" name="Picture 2" title="Iowa State University logo">
          <a:extLst>
            <a:ext uri="{FF2B5EF4-FFF2-40B4-BE49-F238E27FC236}">
              <a16:creationId xmlns:a16="http://schemas.microsoft.com/office/drawing/2014/main" id="{4ED09BE4-655C-A841-8687-1693D32CAC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985750"/>
          <a:ext cx="2563495" cy="6588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828675</xdr:colOff>
      <xdr:row>97</xdr:row>
      <xdr:rowOff>95250</xdr:rowOff>
    </xdr:from>
    <xdr:to>
      <xdr:col>9</xdr:col>
      <xdr:colOff>788670</xdr:colOff>
      <xdr:row>100</xdr:row>
      <xdr:rowOff>147703</xdr:rowOff>
    </xdr:to>
    <xdr:pic>
      <xdr:nvPicPr>
        <xdr:cNvPr id="2" name="Picture 1" title="Iowa State University logo">
          <a:extLst>
            <a:ext uri="{FF2B5EF4-FFF2-40B4-BE49-F238E27FC236}">
              <a16:creationId xmlns:a16="http://schemas.microsoft.com/office/drawing/2014/main" id="{36BCFB1E-1F3B-0149-AEA1-09A4E00522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414250"/>
          <a:ext cx="2563495" cy="6620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828675</xdr:colOff>
      <xdr:row>69</xdr:row>
      <xdr:rowOff>95250</xdr:rowOff>
    </xdr:from>
    <xdr:to>
      <xdr:col>10</xdr:col>
      <xdr:colOff>90170</xdr:colOff>
      <xdr:row>72</xdr:row>
      <xdr:rowOff>144528</xdr:rowOff>
    </xdr:to>
    <xdr:pic>
      <xdr:nvPicPr>
        <xdr:cNvPr id="2" name="Picture 1" title="Iowa State University logo">
          <a:extLst>
            <a:ext uri="{FF2B5EF4-FFF2-40B4-BE49-F238E27FC236}">
              <a16:creationId xmlns:a16="http://schemas.microsoft.com/office/drawing/2014/main" id="{95DC28D1-4218-364C-9607-8757DE9F0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058650"/>
          <a:ext cx="2563495" cy="6588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828675</xdr:colOff>
      <xdr:row>84</xdr:row>
      <xdr:rowOff>95250</xdr:rowOff>
    </xdr:from>
    <xdr:to>
      <xdr:col>9</xdr:col>
      <xdr:colOff>864870</xdr:colOff>
      <xdr:row>87</xdr:row>
      <xdr:rowOff>144528</xdr:rowOff>
    </xdr:to>
    <xdr:pic>
      <xdr:nvPicPr>
        <xdr:cNvPr id="2" name="Picture 1" title="Iowa State University logo">
          <a:extLst>
            <a:ext uri="{FF2B5EF4-FFF2-40B4-BE49-F238E27FC236}">
              <a16:creationId xmlns:a16="http://schemas.microsoft.com/office/drawing/2014/main" id="{C68EFAE0-1AC7-B343-9020-DF091D864F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1728450"/>
          <a:ext cx="2563495" cy="6588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0276510D-A9FD-5E45-95F2-82477DA4C5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5" y="22491700"/>
          <a:ext cx="2559339" cy="6652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D3F0528E-47F6-514C-99E4-B15420B4F9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9775" y="26339800"/>
          <a:ext cx="2559339" cy="6652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152400</xdr:colOff>
      <xdr:row>55</xdr:row>
      <xdr:rowOff>12700</xdr:rowOff>
    </xdr:from>
    <xdr:to>
      <xdr:col>2</xdr:col>
      <xdr:colOff>457200</xdr:colOff>
      <xdr:row>58</xdr:row>
      <xdr:rowOff>127000</xdr:rowOff>
    </xdr:to>
    <xdr:pic>
      <xdr:nvPicPr>
        <xdr:cNvPr id="4" name="Picture 2" descr="apital recovery factor equation">
          <a:extLst>
            <a:ext uri="{FF2B5EF4-FFF2-40B4-BE49-F238E27FC236}">
              <a16:creationId xmlns:a16="http://schemas.microsoft.com/office/drawing/2014/main" id="{53781F35-5F18-6E48-971C-00455D1335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900" y="11747500"/>
          <a:ext cx="2133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acsess.onlinelibrary.wiley.com/doi/full/10.1002/jeq2.20345"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nrcs.usda.gov/sites/default/files/2025-01/FY25%20FA%20Program%20Scenario%20Booklet%20Jan%202025.pdf"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app.indigoag.com/programs/how-much-can-i-earn-carbon-farming"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www.extension.iastate.edu/agdm/crops/pdf/a2-11.pdf"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old.fsa.usda.gov/programs-and-services/price-support/ldp-rates/index" TargetMode="External"/><Relationship Id="rId7" Type="http://schemas.openxmlformats.org/officeDocument/2006/relationships/drawing" Target="../drawings/drawing5.xm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canr.msu.edu/bioeconomy/feedstocks/switchgra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20D6-F156-C447-BE27-5EDB562A8E09}">
  <dimension ref="B2:M30"/>
  <sheetViews>
    <sheetView topLeftCell="A7" zoomScale="140" zoomScaleNormal="140" workbookViewId="0">
      <selection activeCell="D23" sqref="D23"/>
    </sheetView>
  </sheetViews>
  <sheetFormatPr defaultColWidth="11" defaultRowHeight="15.75"/>
  <cols>
    <col min="1" max="1" width="10.625" customWidth="1"/>
    <col min="2" max="2" width="29" customWidth="1"/>
    <col min="3" max="3" width="29.125" customWidth="1"/>
    <col min="4" max="4" width="13.875" customWidth="1"/>
    <col min="6" max="6" width="26.5" customWidth="1"/>
    <col min="7" max="7" width="27.875" customWidth="1"/>
    <col min="8" max="8" width="19.875" customWidth="1"/>
  </cols>
  <sheetData>
    <row r="2" spans="2:13" ht="21">
      <c r="B2" s="475" t="s">
        <v>528</v>
      </c>
    </row>
    <row r="3" spans="2:13">
      <c r="B3" s="347"/>
    </row>
    <row r="4" spans="2:13" ht="87.95" customHeight="1">
      <c r="B4" s="453" t="s">
        <v>454</v>
      </c>
      <c r="C4" s="454" t="s">
        <v>481</v>
      </c>
      <c r="D4" s="454" t="s">
        <v>531</v>
      </c>
      <c r="E4" s="454" t="s">
        <v>485</v>
      </c>
      <c r="F4" s="487" t="s">
        <v>480</v>
      </c>
      <c r="G4" s="487"/>
      <c r="H4" s="454" t="s">
        <v>545</v>
      </c>
      <c r="I4" s="488" t="s">
        <v>77</v>
      </c>
      <c r="J4" s="488"/>
      <c r="K4" s="488"/>
      <c r="L4" s="488"/>
      <c r="M4" s="488"/>
    </row>
    <row r="5" spans="2:13">
      <c r="B5" t="s">
        <v>455</v>
      </c>
      <c r="F5" s="195" t="s">
        <v>503</v>
      </c>
      <c r="G5" s="455" t="s">
        <v>546</v>
      </c>
    </row>
    <row r="6" spans="2:13">
      <c r="B6" s="478" t="s">
        <v>523</v>
      </c>
      <c r="C6" t="s">
        <v>486</v>
      </c>
      <c r="D6" s="139">
        <v>4.3499999999999996</v>
      </c>
      <c r="E6" t="s">
        <v>487</v>
      </c>
      <c r="F6" t="s">
        <v>497</v>
      </c>
      <c r="G6" t="s">
        <v>498</v>
      </c>
      <c r="H6" t="s">
        <v>499</v>
      </c>
      <c r="I6" t="s">
        <v>504</v>
      </c>
    </row>
    <row r="7" spans="2:13">
      <c r="B7" s="478" t="s">
        <v>524</v>
      </c>
      <c r="C7" t="s">
        <v>486</v>
      </c>
      <c r="D7" s="139">
        <v>4.3499999999999996</v>
      </c>
      <c r="E7" t="s">
        <v>487</v>
      </c>
      <c r="F7" t="s">
        <v>497</v>
      </c>
      <c r="G7" t="s">
        <v>498</v>
      </c>
      <c r="H7" t="s">
        <v>499</v>
      </c>
      <c r="I7" t="s">
        <v>504</v>
      </c>
    </row>
    <row r="8" spans="2:13">
      <c r="B8" t="s">
        <v>457</v>
      </c>
    </row>
    <row r="9" spans="2:13">
      <c r="B9" s="478" t="s">
        <v>525</v>
      </c>
      <c r="C9" t="s">
        <v>483</v>
      </c>
      <c r="D9" s="139">
        <v>10.37</v>
      </c>
      <c r="E9" t="s">
        <v>487</v>
      </c>
      <c r="F9" t="s">
        <v>497</v>
      </c>
      <c r="G9" t="s">
        <v>498</v>
      </c>
      <c r="H9" t="s">
        <v>499</v>
      </c>
      <c r="I9" t="s">
        <v>504</v>
      </c>
    </row>
    <row r="10" spans="2:13">
      <c r="B10" s="478" t="s">
        <v>456</v>
      </c>
      <c r="C10" t="s">
        <v>482</v>
      </c>
      <c r="D10" s="139">
        <v>4.3499999999999996</v>
      </c>
      <c r="E10" t="s">
        <v>487</v>
      </c>
      <c r="F10" t="s">
        <v>497</v>
      </c>
      <c r="G10" t="s">
        <v>498</v>
      </c>
      <c r="H10" t="s">
        <v>499</v>
      </c>
      <c r="I10" t="s">
        <v>504</v>
      </c>
    </row>
    <row r="11" spans="2:13">
      <c r="B11" s="478" t="s">
        <v>458</v>
      </c>
      <c r="C11" t="s">
        <v>483</v>
      </c>
      <c r="D11" s="139">
        <v>13.1</v>
      </c>
      <c r="E11" t="s">
        <v>487</v>
      </c>
      <c r="F11" t="s">
        <v>497</v>
      </c>
      <c r="G11" t="s">
        <v>498</v>
      </c>
      <c r="H11" t="s">
        <v>499</v>
      </c>
      <c r="I11" t="s">
        <v>504</v>
      </c>
    </row>
    <row r="12" spans="2:13">
      <c r="B12" s="142" t="s">
        <v>459</v>
      </c>
      <c r="C12" t="s">
        <v>484</v>
      </c>
      <c r="D12" s="139">
        <v>253</v>
      </c>
      <c r="E12" t="s">
        <v>488</v>
      </c>
      <c r="F12" t="s">
        <v>510</v>
      </c>
      <c r="G12" t="s">
        <v>498</v>
      </c>
      <c r="H12" t="s">
        <v>499</v>
      </c>
      <c r="I12" t="s">
        <v>526</v>
      </c>
    </row>
    <row r="13" spans="2:13">
      <c r="B13" s="142" t="s">
        <v>460</v>
      </c>
      <c r="C13" t="s">
        <v>489</v>
      </c>
      <c r="D13" s="139">
        <v>180</v>
      </c>
      <c r="E13" t="s">
        <v>488</v>
      </c>
      <c r="F13" t="s">
        <v>510</v>
      </c>
      <c r="G13" t="s">
        <v>498</v>
      </c>
      <c r="H13" t="s">
        <v>499</v>
      </c>
      <c r="I13" t="s">
        <v>526</v>
      </c>
    </row>
    <row r="14" spans="2:13">
      <c r="B14" s="142" t="s">
        <v>461</v>
      </c>
      <c r="C14" t="s">
        <v>490</v>
      </c>
      <c r="D14" s="139">
        <v>60</v>
      </c>
      <c r="E14" t="s">
        <v>488</v>
      </c>
      <c r="F14" t="s">
        <v>522</v>
      </c>
      <c r="G14" t="s">
        <v>498</v>
      </c>
      <c r="H14" t="s">
        <v>508</v>
      </c>
      <c r="I14" t="s">
        <v>526</v>
      </c>
    </row>
    <row r="15" spans="2:13" s="485" customFormat="1">
      <c r="B15" s="484" t="s">
        <v>462</v>
      </c>
      <c r="C15" s="485" t="s">
        <v>491</v>
      </c>
      <c r="D15" s="486">
        <v>60</v>
      </c>
      <c r="E15" s="485" t="s">
        <v>488</v>
      </c>
      <c r="F15" s="485" t="s">
        <v>502</v>
      </c>
      <c r="H15" s="485" t="s">
        <v>508</v>
      </c>
      <c r="I15" s="485" t="s">
        <v>526</v>
      </c>
    </row>
    <row r="16" spans="2:13" s="482" customFormat="1">
      <c r="B16" s="481" t="s">
        <v>463</v>
      </c>
      <c r="C16" s="482" t="s">
        <v>492</v>
      </c>
      <c r="D16" s="483">
        <v>5.65</v>
      </c>
      <c r="E16" s="482" t="s">
        <v>529</v>
      </c>
      <c r="F16" s="482" t="s">
        <v>500</v>
      </c>
      <c r="H16" s="482" t="s">
        <v>499</v>
      </c>
      <c r="I16" s="482" t="s">
        <v>527</v>
      </c>
    </row>
    <row r="17" spans="2:9" s="482" customFormat="1">
      <c r="B17" s="481" t="s">
        <v>464</v>
      </c>
      <c r="C17" s="482" t="s">
        <v>492</v>
      </c>
      <c r="D17" s="483">
        <v>5.65</v>
      </c>
      <c r="E17" s="482" t="s">
        <v>529</v>
      </c>
      <c r="F17" s="482" t="s">
        <v>500</v>
      </c>
      <c r="H17" s="482" t="s">
        <v>499</v>
      </c>
      <c r="I17" s="482" t="s">
        <v>527</v>
      </c>
    </row>
    <row r="18" spans="2:9">
      <c r="B18" s="142" t="s">
        <v>469</v>
      </c>
      <c r="C18" t="s">
        <v>494</v>
      </c>
      <c r="D18" s="139">
        <v>0.79</v>
      </c>
      <c r="E18" t="s">
        <v>495</v>
      </c>
      <c r="F18" t="s">
        <v>501</v>
      </c>
      <c r="H18" t="s">
        <v>508</v>
      </c>
      <c r="I18" t="s">
        <v>505</v>
      </c>
    </row>
    <row r="19" spans="2:9">
      <c r="B19" s="142" t="s">
        <v>470</v>
      </c>
      <c r="C19" t="s">
        <v>494</v>
      </c>
      <c r="D19" s="139">
        <v>0.79</v>
      </c>
      <c r="E19" t="s">
        <v>495</v>
      </c>
      <c r="F19" t="s">
        <v>501</v>
      </c>
      <c r="H19" t="s">
        <v>508</v>
      </c>
      <c r="I19" t="s">
        <v>505</v>
      </c>
    </row>
    <row r="20" spans="2:9">
      <c r="B20" s="142" t="s">
        <v>540</v>
      </c>
      <c r="C20" t="s">
        <v>541</v>
      </c>
      <c r="D20" s="139">
        <v>40.82</v>
      </c>
      <c r="E20" t="s">
        <v>488</v>
      </c>
      <c r="F20" t="s">
        <v>542</v>
      </c>
      <c r="H20" t="s">
        <v>543</v>
      </c>
      <c r="I20" t="s">
        <v>544</v>
      </c>
    </row>
    <row r="21" spans="2:9">
      <c r="B21" s="142" t="s">
        <v>467</v>
      </c>
      <c r="C21" t="s">
        <v>493</v>
      </c>
      <c r="D21" s="476">
        <v>205</v>
      </c>
      <c r="E21" t="s">
        <v>496</v>
      </c>
      <c r="F21" t="s">
        <v>502</v>
      </c>
      <c r="H21" t="s">
        <v>507</v>
      </c>
      <c r="I21" t="s">
        <v>506</v>
      </c>
    </row>
    <row r="22" spans="2:9">
      <c r="B22" s="479" t="s">
        <v>468</v>
      </c>
      <c r="C22" s="198" t="s">
        <v>493</v>
      </c>
      <c r="D22" s="280">
        <v>312.08999999999997</v>
      </c>
      <c r="E22" s="198" t="s">
        <v>496</v>
      </c>
      <c r="F22" s="198" t="s">
        <v>502</v>
      </c>
      <c r="G22" s="198"/>
      <c r="H22" s="198" t="s">
        <v>507</v>
      </c>
      <c r="I22" t="s">
        <v>506</v>
      </c>
    </row>
    <row r="23" spans="2:9" ht="18.75">
      <c r="B23" t="s">
        <v>530</v>
      </c>
    </row>
    <row r="25" spans="2:9">
      <c r="B25" t="s">
        <v>509</v>
      </c>
    </row>
    <row r="26" spans="2:9">
      <c r="B26" s="456"/>
      <c r="C26" t="s">
        <v>513</v>
      </c>
    </row>
    <row r="27" spans="2:9">
      <c r="B27" s="467"/>
      <c r="C27" t="s">
        <v>511</v>
      </c>
    </row>
    <row r="28" spans="2:9">
      <c r="B28" s="468"/>
      <c r="C28" t="s">
        <v>514</v>
      </c>
    </row>
    <row r="29" spans="2:9" ht="16.5" thickBot="1">
      <c r="B29" s="469"/>
      <c r="C29" t="s">
        <v>515</v>
      </c>
    </row>
    <row r="30" spans="2:9" ht="16.5" thickBot="1">
      <c r="B30" s="466"/>
      <c r="C30" t="s">
        <v>512</v>
      </c>
    </row>
  </sheetData>
  <mergeCells count="2">
    <mergeCell ref="F4:G4"/>
    <mergeCell ref="I4:M4"/>
  </mergeCells>
  <hyperlinks>
    <hyperlink ref="B6" location="'C following C'!A1" display="      C following C" xr:uid="{AB38E860-2C4B-514B-A422-B13CC6C895CD}"/>
    <hyperlink ref="B7" location="'C following SB'!A1" display="      C following SB" xr:uid="{B12C751E-B78B-EC41-A366-BA3D72AD89A7}"/>
    <hyperlink ref="B9" location="'SB following C'!A1" display="      SB following C" xr:uid="{E2A66240-BAA6-D34D-BC99-94B1C2BD5C45}"/>
    <hyperlink ref="B10" location="'Conservation C'!A1" display="Conservation Corn" xr:uid="{E3C3F2CF-DB83-AA40-B139-19A11A7FF283}"/>
    <hyperlink ref="B11" location="'Conservation SB'!A1" display="Conservation Soy" xr:uid="{80E90ACC-2CC9-E848-8E14-06EC28923F26}"/>
    <hyperlink ref="B12" location="'Alfalfa Hay'!A1" display="Alfalfa hay" xr:uid="{FA26785D-9F5B-CE4F-9B86-BB9270475188}"/>
    <hyperlink ref="B13" location="'Grass Hay'!A1" display="Grass hay" xr:uid="{24D49B35-BDEC-5644-BD0D-20693EFF5F79}"/>
    <hyperlink ref="B14" location="Switchgrass!A1" display="Switchgrass bioenergy" xr:uid="{51DFE1DF-96B6-104B-8CC5-D1EAD1E1054D}"/>
    <hyperlink ref="B15" location="'SRWC '!A1" display="Short rotation woody biomass" xr:uid="{727A1154-DA87-2848-BE3E-B225D797F7A1}"/>
    <hyperlink ref="B16" location="'Perm Pasture'!A1" display="Permanent pasture" xr:uid="{217A91D6-7565-F040-A6CB-FB12AC5BB4FD}"/>
    <hyperlink ref="B17" location="'Rotational Grazing'!A1" display="Rotational pasture" xr:uid="{767187DA-78A1-364F-911F-035AC44F47B9}"/>
    <hyperlink ref="B18" location="'Conventional Forest'!A1" display="Conventional forest" xr:uid="{DF7746C5-D8BC-C049-A502-AB012ABA9A19}"/>
    <hyperlink ref="B19" location="'Conservation Forest'!A1" display="Conservation forest" xr:uid="{3EC229D0-9F4C-1549-AAD3-09F3AC328FCA}"/>
    <hyperlink ref="B20" location="'Carbon Farming'!A1" display="Carbon &quot;farming&quot;" xr:uid="{37F0270E-4C9B-7C4D-9FB8-3865E6EC12F8}"/>
    <hyperlink ref="B21" location="Prairie!A1" display="Prairie restoration" xr:uid="{FF1CE66E-AA64-0548-B7EB-BE0DF453BB97}"/>
    <hyperlink ref="B22" location="'Wetland Restoration'!A1" display="Wetland restoration" xr:uid="{96697A32-403B-6742-A852-24D9D4D99E2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FCD07-8FA8-C94D-BFF2-483C9A753310}">
  <dimension ref="A2:X61"/>
  <sheetViews>
    <sheetView topLeftCell="A28" workbookViewId="0">
      <selection activeCell="N49" sqref="N49"/>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2" spans="1:24">
      <c r="M2" s="491" t="s">
        <v>549</v>
      </c>
      <c r="N2" s="491"/>
    </row>
    <row r="3" spans="1:24" ht="16.5" thickBot="1">
      <c r="M3" s="492"/>
      <c r="N3" s="492"/>
    </row>
    <row r="4" spans="1:24" ht="16.5" thickBot="1">
      <c r="A4" s="347" t="s">
        <v>550</v>
      </c>
      <c r="E4" s="164" t="s">
        <v>385</v>
      </c>
      <c r="F4" s="164"/>
      <c r="G4"/>
      <c r="R4" s="175">
        <f>((E5*(1+$E$5)^P5)/((1+$E$5)^P5-1))</f>
        <v>0.1295045749654567</v>
      </c>
      <c r="S4" t="s">
        <v>413</v>
      </c>
    </row>
    <row r="5" spans="1:24" ht="16.5" thickBot="1">
      <c r="A5" t="s">
        <v>388</v>
      </c>
      <c r="D5" s="164"/>
      <c r="E5" s="252">
        <v>0.05</v>
      </c>
      <c r="F5" s="164"/>
      <c r="G5">
        <v>1</v>
      </c>
      <c r="H5" s="88">
        <v>2</v>
      </c>
      <c r="I5" s="88">
        <v>3</v>
      </c>
      <c r="J5">
        <v>4</v>
      </c>
      <c r="K5" s="88">
        <v>5</v>
      </c>
      <c r="L5" s="88">
        <v>6</v>
      </c>
      <c r="M5">
        <v>7</v>
      </c>
      <c r="N5" s="88">
        <v>8</v>
      </c>
      <c r="O5" s="88">
        <v>9</v>
      </c>
      <c r="P5">
        <v>10</v>
      </c>
    </row>
    <row r="6" spans="1:24" ht="47.25">
      <c r="C6" t="s">
        <v>182</v>
      </c>
      <c r="D6" t="s">
        <v>183</v>
      </c>
      <c r="E6" t="s">
        <v>389</v>
      </c>
      <c r="F6" s="88" t="s">
        <v>327</v>
      </c>
      <c r="G6" s="322" t="s">
        <v>328</v>
      </c>
      <c r="H6" s="322" t="s">
        <v>329</v>
      </c>
      <c r="I6" s="322" t="s">
        <v>330</v>
      </c>
      <c r="J6" s="322" t="s">
        <v>331</v>
      </c>
      <c r="K6" s="322" t="s">
        <v>332</v>
      </c>
      <c r="L6" s="322" t="s">
        <v>333</v>
      </c>
      <c r="M6" s="322" t="s">
        <v>334</v>
      </c>
      <c r="N6" s="322" t="s">
        <v>335</v>
      </c>
      <c r="O6" s="322" t="s">
        <v>336</v>
      </c>
      <c r="P6" s="322" t="s">
        <v>337</v>
      </c>
      <c r="Q6" s="323" t="s">
        <v>338</v>
      </c>
      <c r="R6" s="323" t="s">
        <v>390</v>
      </c>
    </row>
    <row r="7" spans="1:24">
      <c r="A7" s="277" t="s">
        <v>391</v>
      </c>
      <c r="B7" s="277"/>
      <c r="C7" s="324"/>
      <c r="D7" s="277"/>
      <c r="E7" s="277"/>
      <c r="F7" s="277"/>
      <c r="G7" s="325"/>
      <c r="H7" s="325"/>
      <c r="I7" s="325"/>
      <c r="J7" s="325"/>
      <c r="K7" s="325"/>
      <c r="L7" s="325"/>
      <c r="M7" s="325"/>
      <c r="N7" s="325"/>
      <c r="O7" s="325"/>
      <c r="P7" s="325"/>
      <c r="Q7" s="325"/>
      <c r="R7" s="326"/>
    </row>
    <row r="8" spans="1:24">
      <c r="B8" t="s">
        <v>392</v>
      </c>
      <c r="C8" s="333">
        <v>9.9</v>
      </c>
      <c r="D8" t="s">
        <v>393</v>
      </c>
      <c r="E8" s="410"/>
      <c r="F8" s="410"/>
      <c r="G8" s="411">
        <f>0.667*C8</f>
        <v>6.6033000000000008</v>
      </c>
      <c r="H8" s="412">
        <f>$C8</f>
        <v>9.9</v>
      </c>
      <c r="I8" s="412">
        <f t="shared" ref="I8:O8" si="0">$C8</f>
        <v>9.9</v>
      </c>
      <c r="J8" s="412">
        <f t="shared" si="0"/>
        <v>9.9</v>
      </c>
      <c r="K8" s="412">
        <f t="shared" si="0"/>
        <v>9.9</v>
      </c>
      <c r="L8" s="412">
        <f t="shared" si="0"/>
        <v>9.9</v>
      </c>
      <c r="M8" s="412">
        <f t="shared" si="0"/>
        <v>9.9</v>
      </c>
      <c r="N8" s="412">
        <f t="shared" si="0"/>
        <v>9.9</v>
      </c>
      <c r="O8" s="412">
        <f t="shared" si="0"/>
        <v>9.9</v>
      </c>
      <c r="P8" s="412">
        <f>C8</f>
        <v>9.9</v>
      </c>
      <c r="Q8" s="407"/>
      <c r="R8" s="328"/>
    </row>
    <row r="9" spans="1:24">
      <c r="A9" t="s">
        <v>394</v>
      </c>
      <c r="C9" s="327"/>
      <c r="E9" s="462">
        <v>60</v>
      </c>
      <c r="F9" s="413"/>
      <c r="G9" s="407">
        <f t="shared" ref="G9:O9" si="1">(G8*$E$9)/(1+$E$5)^G5</f>
        <v>377.3314285714286</v>
      </c>
      <c r="H9" s="407">
        <f t="shared" si="1"/>
        <v>538.77551020408157</v>
      </c>
      <c r="I9" s="407">
        <f t="shared" si="1"/>
        <v>513.11953352769672</v>
      </c>
      <c r="J9" s="407">
        <f t="shared" si="1"/>
        <v>488.68527002637791</v>
      </c>
      <c r="K9" s="407">
        <f t="shared" si="1"/>
        <v>465.41454288226464</v>
      </c>
      <c r="L9" s="407">
        <f t="shared" si="1"/>
        <v>443.25194560215681</v>
      </c>
      <c r="M9" s="407">
        <f t="shared" si="1"/>
        <v>422.14471009729215</v>
      </c>
      <c r="N9" s="407">
        <f t="shared" si="1"/>
        <v>402.04258104504021</v>
      </c>
      <c r="O9" s="407">
        <f t="shared" si="1"/>
        <v>382.89769623337156</v>
      </c>
      <c r="P9" s="407">
        <f>(P8*$E$9)/(1+$E$5)^P5</f>
        <v>364.66447260321104</v>
      </c>
      <c r="Q9" s="407">
        <f>SUM(G9:P9)</f>
        <v>4398.3276907929212</v>
      </c>
      <c r="R9" s="414">
        <f>Q9*$R$4</f>
        <v>569.60355815493597</v>
      </c>
    </row>
    <row r="10" spans="1:24">
      <c r="A10" s="198" t="s">
        <v>395</v>
      </c>
      <c r="B10" s="198"/>
      <c r="C10" s="329"/>
      <c r="D10" s="198"/>
      <c r="E10" s="268"/>
      <c r="F10" s="268"/>
      <c r="G10" s="330"/>
      <c r="H10" s="330"/>
      <c r="I10" s="330"/>
      <c r="J10" s="330"/>
      <c r="K10" s="330"/>
      <c r="L10" s="330"/>
      <c r="M10" s="330"/>
      <c r="N10" s="330"/>
      <c r="O10" s="330"/>
      <c r="P10" s="330"/>
      <c r="Q10" s="328"/>
      <c r="R10" s="414"/>
    </row>
    <row r="11" spans="1:24" ht="31.5">
      <c r="A11" s="143" t="s">
        <v>411</v>
      </c>
      <c r="C11" s="327"/>
      <c r="E11" s="169"/>
      <c r="F11" s="169"/>
      <c r="G11" s="328"/>
      <c r="H11" s="328"/>
      <c r="I11" s="328"/>
      <c r="J11" s="328"/>
      <c r="K11" s="328"/>
      <c r="L11" s="328"/>
      <c r="M11" s="328"/>
      <c r="N11" s="328"/>
      <c r="O11" s="328"/>
      <c r="P11" s="328"/>
      <c r="Q11" s="328"/>
      <c r="R11" s="414"/>
      <c r="V11" s="139"/>
      <c r="W11" s="139"/>
      <c r="X11" s="139"/>
    </row>
    <row r="12" spans="1:24">
      <c r="B12" t="s">
        <v>163</v>
      </c>
      <c r="C12" s="395">
        <v>1100</v>
      </c>
      <c r="D12" t="s">
        <v>396</v>
      </c>
      <c r="E12" s="417">
        <v>-0.2</v>
      </c>
      <c r="F12" s="399">
        <f>E12*C12</f>
        <v>-220</v>
      </c>
      <c r="G12" s="400">
        <v>0</v>
      </c>
      <c r="H12" s="399">
        <v>0</v>
      </c>
      <c r="I12" s="399">
        <v>0</v>
      </c>
      <c r="J12" s="399">
        <v>0</v>
      </c>
      <c r="K12" s="399">
        <v>0</v>
      </c>
      <c r="L12" s="399">
        <v>0</v>
      </c>
      <c r="M12" s="399">
        <v>0</v>
      </c>
      <c r="N12" s="399">
        <v>0</v>
      </c>
      <c r="O12" s="399">
        <v>0</v>
      </c>
      <c r="P12" s="399">
        <v>0</v>
      </c>
      <c r="Q12" s="399">
        <f>SUM(F12:P12)</f>
        <v>-220</v>
      </c>
      <c r="R12" s="415">
        <f>Q12*$R$4</f>
        <v>-28.491006492400473</v>
      </c>
      <c r="V12" s="139"/>
      <c r="W12" s="139"/>
      <c r="X12" s="139"/>
    </row>
    <row r="13" spans="1:24">
      <c r="A13" s="198"/>
      <c r="B13" s="198"/>
      <c r="C13" s="329"/>
      <c r="D13" s="198"/>
      <c r="E13" s="280"/>
      <c r="F13" s="401"/>
      <c r="G13" s="402"/>
      <c r="H13" s="403"/>
      <c r="I13" s="403"/>
      <c r="J13" s="403"/>
      <c r="K13" s="403"/>
      <c r="L13" s="403"/>
      <c r="M13" s="403"/>
      <c r="N13" s="403"/>
      <c r="O13" s="403"/>
      <c r="P13" s="403"/>
      <c r="Q13" s="399"/>
      <c r="R13" s="415"/>
      <c r="V13" s="139"/>
      <c r="W13" s="139"/>
      <c r="X13" s="139"/>
    </row>
    <row r="14" spans="1:24">
      <c r="A14" t="s">
        <v>116</v>
      </c>
      <c r="C14" s="327"/>
      <c r="E14" s="139"/>
      <c r="F14" s="398"/>
      <c r="G14" s="400"/>
      <c r="H14" s="399"/>
      <c r="I14" s="399"/>
      <c r="J14" s="399"/>
      <c r="K14" s="399"/>
      <c r="L14" s="399"/>
      <c r="M14" s="399"/>
      <c r="N14" s="399"/>
      <c r="O14" s="399"/>
      <c r="P14" s="399"/>
      <c r="Q14" s="399"/>
      <c r="R14" s="415"/>
      <c r="V14" s="139"/>
      <c r="W14" s="139"/>
      <c r="X14" s="139"/>
    </row>
    <row r="15" spans="1:24">
      <c r="B15" t="s">
        <v>31</v>
      </c>
      <c r="C15" s="395">
        <v>100</v>
      </c>
      <c r="D15" t="s">
        <v>397</v>
      </c>
      <c r="E15" s="417">
        <v>-0.56000000000000005</v>
      </c>
      <c r="F15" s="399">
        <f>C15*E15</f>
        <v>-56.000000000000007</v>
      </c>
      <c r="G15" s="400">
        <v>0</v>
      </c>
      <c r="H15" s="399">
        <v>0</v>
      </c>
      <c r="I15" s="399">
        <v>0</v>
      </c>
      <c r="J15" s="399">
        <v>0</v>
      </c>
      <c r="K15" s="399">
        <v>0</v>
      </c>
      <c r="L15" s="399">
        <v>0</v>
      </c>
      <c r="M15" s="399">
        <v>0</v>
      </c>
      <c r="N15" s="399">
        <v>0</v>
      </c>
      <c r="O15" s="399">
        <v>0</v>
      </c>
      <c r="P15" s="399">
        <v>0</v>
      </c>
      <c r="Q15" s="399">
        <f>SUM(F15:P15)</f>
        <v>-56.000000000000007</v>
      </c>
      <c r="R15" s="415">
        <f>Q15*$R$4</f>
        <v>-7.2522561980655764</v>
      </c>
    </row>
    <row r="16" spans="1:24" ht="18">
      <c r="B16" t="s">
        <v>398</v>
      </c>
      <c r="C16" s="395">
        <v>0</v>
      </c>
      <c r="D16" t="s">
        <v>397</v>
      </c>
      <c r="E16" s="417">
        <v>-0.61666666666666703</v>
      </c>
      <c r="F16" s="399">
        <f t="shared" ref="F16:F17" si="2">C16*E16</f>
        <v>0</v>
      </c>
      <c r="G16" s="400">
        <v>0</v>
      </c>
      <c r="H16" s="399">
        <f t="shared" ref="H16:P17" si="3">$E16*$C16</f>
        <v>0</v>
      </c>
      <c r="I16" s="399">
        <f t="shared" si="3"/>
        <v>0</v>
      </c>
      <c r="J16" s="399">
        <f t="shared" si="3"/>
        <v>0</v>
      </c>
      <c r="K16" s="399">
        <f t="shared" si="3"/>
        <v>0</v>
      </c>
      <c r="L16" s="399">
        <f t="shared" si="3"/>
        <v>0</v>
      </c>
      <c r="M16" s="399">
        <f t="shared" si="3"/>
        <v>0</v>
      </c>
      <c r="N16" s="399">
        <f t="shared" si="3"/>
        <v>0</v>
      </c>
      <c r="O16" s="399">
        <f t="shared" si="3"/>
        <v>0</v>
      </c>
      <c r="P16" s="399">
        <f t="shared" si="3"/>
        <v>0</v>
      </c>
      <c r="Q16" s="399">
        <f t="shared" ref="Q16:Q18" si="4">SUM(F16:P16)</f>
        <v>0</v>
      </c>
      <c r="R16" s="415">
        <f t="shared" ref="R16:R18" si="5">Q16*$R$4</f>
        <v>0</v>
      </c>
      <c r="S16" s="141"/>
    </row>
    <row r="17" spans="1:18" ht="18">
      <c r="B17" t="s">
        <v>399</v>
      </c>
      <c r="C17" s="395">
        <v>0</v>
      </c>
      <c r="D17" t="s">
        <v>397</v>
      </c>
      <c r="E17" s="417">
        <v>-0.63124999999999998</v>
      </c>
      <c r="F17" s="399">
        <f t="shared" si="2"/>
        <v>0</v>
      </c>
      <c r="G17" s="400">
        <v>0</v>
      </c>
      <c r="H17" s="399">
        <f t="shared" si="3"/>
        <v>0</v>
      </c>
      <c r="I17" s="399">
        <f t="shared" si="3"/>
        <v>0</v>
      </c>
      <c r="J17" s="399">
        <f t="shared" si="3"/>
        <v>0</v>
      </c>
      <c r="K17" s="399">
        <f t="shared" si="3"/>
        <v>0</v>
      </c>
      <c r="L17" s="399">
        <f t="shared" si="3"/>
        <v>0</v>
      </c>
      <c r="M17" s="399">
        <f t="shared" si="3"/>
        <v>0</v>
      </c>
      <c r="N17" s="399">
        <f t="shared" si="3"/>
        <v>0</v>
      </c>
      <c r="O17" s="399">
        <f t="shared" si="3"/>
        <v>0</v>
      </c>
      <c r="P17" s="399">
        <f t="shared" si="3"/>
        <v>0</v>
      </c>
      <c r="Q17" s="399">
        <f t="shared" si="4"/>
        <v>0</v>
      </c>
      <c r="R17" s="415">
        <f t="shared" si="5"/>
        <v>0</v>
      </c>
    </row>
    <row r="18" spans="1:18">
      <c r="B18" t="s">
        <v>516</v>
      </c>
      <c r="C18" s="395">
        <v>5</v>
      </c>
      <c r="D18" t="s">
        <v>517</v>
      </c>
      <c r="E18" s="417">
        <v>-0.56000000000000005</v>
      </c>
      <c r="F18" s="399"/>
      <c r="G18" s="399">
        <f>(($C$18*$E$18)*G8)/(1+$E$5)^G5</f>
        <v>-17.608800000000002</v>
      </c>
      <c r="H18" s="399">
        <f t="shared" ref="H18:P18" si="6">(($C$18*$E$18)*H8)/(1+$E$5)^H5</f>
        <v>-25.142857142857146</v>
      </c>
      <c r="I18" s="399">
        <f t="shared" si="6"/>
        <v>-23.945578231292515</v>
      </c>
      <c r="J18" s="399">
        <f t="shared" si="6"/>
        <v>-22.80531260123097</v>
      </c>
      <c r="K18" s="399">
        <f t="shared" si="6"/>
        <v>-21.719345334505682</v>
      </c>
      <c r="L18" s="399">
        <f t="shared" si="6"/>
        <v>-20.685090794767319</v>
      </c>
      <c r="M18" s="399">
        <f t="shared" si="6"/>
        <v>-19.700086471206969</v>
      </c>
      <c r="N18" s="399">
        <f t="shared" si="6"/>
        <v>-18.761987115435211</v>
      </c>
      <c r="O18" s="399">
        <f t="shared" si="6"/>
        <v>-17.868559157557343</v>
      </c>
      <c r="P18" s="399">
        <f t="shared" si="6"/>
        <v>-17.017675388149851</v>
      </c>
      <c r="Q18" s="399">
        <f t="shared" si="4"/>
        <v>-205.255292237003</v>
      </c>
      <c r="R18" s="415">
        <f t="shared" si="5"/>
        <v>-26.581499380563677</v>
      </c>
    </row>
    <row r="19" spans="1:18">
      <c r="A19" s="198"/>
      <c r="B19" s="198"/>
      <c r="C19" s="329"/>
      <c r="D19" s="198"/>
      <c r="E19" s="280"/>
      <c r="F19" s="401"/>
      <c r="G19" s="404"/>
      <c r="H19" s="403"/>
      <c r="I19" s="403"/>
      <c r="J19" s="403"/>
      <c r="K19" s="403"/>
      <c r="L19" s="403"/>
      <c r="M19" s="403"/>
      <c r="N19" s="403"/>
      <c r="O19" s="403"/>
      <c r="P19" s="403"/>
      <c r="Q19" s="399"/>
      <c r="R19" s="415"/>
    </row>
    <row r="20" spans="1:18">
      <c r="A20" t="s">
        <v>187</v>
      </c>
      <c r="C20" s="327"/>
      <c r="E20" s="139"/>
      <c r="F20" s="398"/>
      <c r="G20" s="405"/>
      <c r="H20" s="399"/>
      <c r="I20" s="399"/>
      <c r="J20" s="399"/>
      <c r="K20" s="399"/>
      <c r="L20" s="399"/>
      <c r="M20" s="399"/>
      <c r="N20" s="399"/>
      <c r="O20" s="399"/>
      <c r="P20" s="399"/>
      <c r="Q20" s="399"/>
      <c r="R20" s="415"/>
    </row>
    <row r="21" spans="1:18">
      <c r="A21" t="s">
        <v>188</v>
      </c>
      <c r="B21" t="s">
        <v>189</v>
      </c>
      <c r="C21" s="395">
        <v>1</v>
      </c>
      <c r="D21" t="s">
        <v>185</v>
      </c>
      <c r="E21" s="417">
        <v>-13</v>
      </c>
      <c r="F21" s="399">
        <f>E21*C21</f>
        <v>-13</v>
      </c>
      <c r="G21" s="399">
        <f>E21/(1+$E$5)^$G$5</f>
        <v>-12.38095238095238</v>
      </c>
      <c r="H21" s="399">
        <v>0</v>
      </c>
      <c r="I21" s="399">
        <v>0</v>
      </c>
      <c r="J21" s="399">
        <v>0</v>
      </c>
      <c r="K21" s="399">
        <v>0</v>
      </c>
      <c r="L21" s="399">
        <v>0</v>
      </c>
      <c r="M21" s="399">
        <v>0</v>
      </c>
      <c r="N21" s="399">
        <v>0</v>
      </c>
      <c r="O21" s="399">
        <v>0</v>
      </c>
      <c r="P21" s="399">
        <v>0</v>
      </c>
      <c r="Q21" s="399">
        <f>SUM(F21:P21)</f>
        <v>-25.38095238095238</v>
      </c>
      <c r="R21" s="415">
        <f>Q21*$R$4</f>
        <v>-3.2869494503137342</v>
      </c>
    </row>
    <row r="22" spans="1:18" ht="18">
      <c r="A22" t="s">
        <v>190</v>
      </c>
      <c r="B22" t="s">
        <v>400</v>
      </c>
      <c r="C22" s="395">
        <v>1</v>
      </c>
      <c r="D22" t="s">
        <v>185</v>
      </c>
      <c r="E22" s="417">
        <v>-9.6300000000000008</v>
      </c>
      <c r="F22" s="399">
        <f>E22*C22</f>
        <v>-9.6300000000000008</v>
      </c>
      <c r="G22" s="399">
        <f t="shared" ref="G22" si="7">E22/(1+$E$5)^$G$5</f>
        <v>-9.1714285714285726</v>
      </c>
      <c r="H22" s="399">
        <v>0</v>
      </c>
      <c r="I22" s="399">
        <v>0</v>
      </c>
      <c r="J22" s="399">
        <v>0</v>
      </c>
      <c r="K22" s="399">
        <v>0</v>
      </c>
      <c r="L22" s="399">
        <v>0</v>
      </c>
      <c r="M22" s="399">
        <v>0</v>
      </c>
      <c r="N22" s="399">
        <v>0</v>
      </c>
      <c r="O22" s="399">
        <v>0</v>
      </c>
      <c r="P22" s="399">
        <v>0</v>
      </c>
      <c r="Q22" s="399">
        <f>SUM(F22:P22)</f>
        <v>-18.801428571428573</v>
      </c>
      <c r="R22" s="415">
        <f>Q22*$R$4</f>
        <v>-2.4348710158862512</v>
      </c>
    </row>
    <row r="23" spans="1:18" ht="31.5">
      <c r="A23" t="s">
        <v>191</v>
      </c>
      <c r="B23" s="143" t="s">
        <v>192</v>
      </c>
      <c r="C23" s="395">
        <v>1</v>
      </c>
      <c r="D23" t="s">
        <v>185</v>
      </c>
      <c r="E23" s="417">
        <v>-23</v>
      </c>
      <c r="F23" s="399">
        <f>E23*C23</f>
        <v>-23</v>
      </c>
      <c r="G23" s="399">
        <f>E23/(1+$E$5)^$G$5</f>
        <v>-21.904761904761905</v>
      </c>
      <c r="H23" s="399">
        <v>0</v>
      </c>
      <c r="I23" s="399">
        <v>0</v>
      </c>
      <c r="J23" s="399">
        <v>0</v>
      </c>
      <c r="K23" s="399">
        <v>0</v>
      </c>
      <c r="L23" s="399">
        <v>0</v>
      </c>
      <c r="M23" s="399">
        <v>0</v>
      </c>
      <c r="N23" s="399">
        <v>0</v>
      </c>
      <c r="O23" s="399">
        <v>0</v>
      </c>
      <c r="P23" s="399">
        <v>0</v>
      </c>
      <c r="Q23" s="399">
        <f>SUM(F23:P23)</f>
        <v>-44.904761904761905</v>
      </c>
      <c r="R23" s="415">
        <f>Q23*$R$4</f>
        <v>-5.8153721044012219</v>
      </c>
    </row>
    <row r="24" spans="1:18">
      <c r="C24" s="327"/>
      <c r="E24" s="139"/>
      <c r="F24" s="398"/>
      <c r="G24" s="405"/>
      <c r="H24" s="399"/>
      <c r="I24" s="399"/>
      <c r="J24" s="399"/>
      <c r="K24" s="399"/>
      <c r="L24" s="399"/>
      <c r="M24" s="399"/>
      <c r="N24" s="399"/>
      <c r="O24" s="399"/>
      <c r="P24" s="399"/>
      <c r="Q24" s="399"/>
      <c r="R24" s="415"/>
    </row>
    <row r="25" spans="1:18">
      <c r="A25" s="198"/>
      <c r="B25" s="198"/>
      <c r="C25" s="329"/>
      <c r="D25" s="198"/>
      <c r="E25" s="280"/>
      <c r="F25" s="401"/>
      <c r="G25" s="404"/>
      <c r="H25" s="403"/>
      <c r="I25" s="403"/>
      <c r="J25" s="403"/>
      <c r="K25" s="403"/>
      <c r="L25" s="403"/>
      <c r="M25" s="403"/>
      <c r="N25" s="403"/>
      <c r="O25" s="403"/>
      <c r="P25" s="403"/>
      <c r="Q25" s="399"/>
      <c r="R25" s="415"/>
    </row>
    <row r="26" spans="1:18">
      <c r="A26" t="s">
        <v>357</v>
      </c>
      <c r="C26" s="327"/>
      <c r="E26" s="139"/>
      <c r="F26" s="398"/>
      <c r="G26" s="405"/>
      <c r="H26" s="399"/>
      <c r="I26" s="399"/>
      <c r="J26" s="399"/>
      <c r="K26" s="399"/>
      <c r="L26" s="399"/>
      <c r="M26" s="399"/>
      <c r="N26" s="399"/>
      <c r="O26" s="399"/>
      <c r="P26" s="399"/>
      <c r="Q26" s="399"/>
      <c r="R26" s="415"/>
    </row>
    <row r="27" spans="1:18">
      <c r="B27" t="s">
        <v>401</v>
      </c>
      <c r="C27" s="395">
        <v>1</v>
      </c>
      <c r="D27" t="s">
        <v>402</v>
      </c>
      <c r="E27" s="417">
        <v>-18.55</v>
      </c>
      <c r="F27" s="399">
        <f>E27*C27</f>
        <v>-18.55</v>
      </c>
      <c r="G27" s="399">
        <v>0</v>
      </c>
      <c r="H27" s="399">
        <v>0</v>
      </c>
      <c r="I27" s="399">
        <v>0</v>
      </c>
      <c r="J27" s="399">
        <v>0</v>
      </c>
      <c r="K27" s="399">
        <v>0</v>
      </c>
      <c r="L27" s="399">
        <v>0</v>
      </c>
      <c r="M27" s="399">
        <v>0</v>
      </c>
      <c r="N27" s="399">
        <v>0</v>
      </c>
      <c r="O27" s="399">
        <v>0</v>
      </c>
      <c r="P27" s="399">
        <v>0</v>
      </c>
      <c r="Q27" s="399">
        <f>SUM(F27:P27)</f>
        <v>-18.55</v>
      </c>
      <c r="R27" s="415">
        <f>Q27*$R$4</f>
        <v>-2.4023098656092219</v>
      </c>
    </row>
    <row r="28" spans="1:18">
      <c r="B28" t="s">
        <v>359</v>
      </c>
      <c r="C28" s="395">
        <v>1</v>
      </c>
      <c r="D28" t="s">
        <v>185</v>
      </c>
      <c r="E28" s="417">
        <v>-18.399999999999999</v>
      </c>
      <c r="F28" s="399">
        <f>E28*C28</f>
        <v>-18.399999999999999</v>
      </c>
      <c r="G28" s="399">
        <v>0</v>
      </c>
      <c r="H28" s="399">
        <v>0</v>
      </c>
      <c r="I28" s="399">
        <v>0</v>
      </c>
      <c r="J28" s="399">
        <v>0</v>
      </c>
      <c r="K28" s="399">
        <v>0</v>
      </c>
      <c r="L28" s="399">
        <v>0</v>
      </c>
      <c r="M28" s="399">
        <v>0</v>
      </c>
      <c r="N28" s="399">
        <v>0</v>
      </c>
      <c r="O28" s="399">
        <v>0</v>
      </c>
      <c r="P28" s="399">
        <v>0</v>
      </c>
      <c r="Q28" s="399">
        <f>SUM(F28:P28)</f>
        <v>-18.399999999999999</v>
      </c>
      <c r="R28" s="415">
        <f>Q28*$R$4</f>
        <v>-2.3828841793644031</v>
      </c>
    </row>
    <row r="29" spans="1:18">
      <c r="B29" t="s">
        <v>412</v>
      </c>
      <c r="C29" s="395">
        <v>1</v>
      </c>
      <c r="D29" t="s">
        <v>185</v>
      </c>
      <c r="E29" s="417">
        <v>-200</v>
      </c>
      <c r="F29" s="399">
        <f>E29*C29</f>
        <v>-200</v>
      </c>
      <c r="G29" s="399">
        <v>0</v>
      </c>
      <c r="H29" s="399">
        <v>0</v>
      </c>
      <c r="I29" s="399">
        <v>0</v>
      </c>
      <c r="J29" s="399">
        <v>0</v>
      </c>
      <c r="K29" s="399">
        <v>0</v>
      </c>
      <c r="L29" s="399">
        <v>0</v>
      </c>
      <c r="M29" s="399">
        <v>0</v>
      </c>
      <c r="N29" s="399">
        <v>0</v>
      </c>
      <c r="O29" s="399">
        <v>0</v>
      </c>
      <c r="P29" s="399">
        <v>0</v>
      </c>
      <c r="Q29" s="399">
        <f>SUM(F29:P29)</f>
        <v>-200</v>
      </c>
      <c r="R29" s="415">
        <f>Q29*$R$4</f>
        <v>-25.900914993091341</v>
      </c>
    </row>
    <row r="30" spans="1:18">
      <c r="B30" t="s">
        <v>403</v>
      </c>
      <c r="C30" s="395">
        <v>3</v>
      </c>
      <c r="D30" t="s">
        <v>185</v>
      </c>
      <c r="E30" s="417">
        <v>-8</v>
      </c>
      <c r="F30" s="399">
        <f>E30*C30</f>
        <v>-24</v>
      </c>
      <c r="G30" s="399">
        <f>(E30*C30)/(1+E5)^H5</f>
        <v>-21.768707482993197</v>
      </c>
      <c r="H30" s="399">
        <v>0</v>
      </c>
      <c r="I30" s="399">
        <v>0</v>
      </c>
      <c r="J30" s="399">
        <v>0</v>
      </c>
      <c r="K30" s="399">
        <v>0</v>
      </c>
      <c r="L30" s="399">
        <v>0</v>
      </c>
      <c r="M30" s="399">
        <v>0</v>
      </c>
      <c r="N30" s="399">
        <v>0</v>
      </c>
      <c r="O30" s="399">
        <v>0</v>
      </c>
      <c r="P30" s="399">
        <v>0</v>
      </c>
      <c r="Q30" s="399">
        <f>SUM(F30:P30)</f>
        <v>-45.768707482993193</v>
      </c>
      <c r="R30" s="415">
        <f>Q30*$R$4</f>
        <v>-5.927257009303351</v>
      </c>
    </row>
    <row r="31" spans="1:18">
      <c r="A31" s="198"/>
      <c r="B31" s="198"/>
      <c r="C31" s="331"/>
      <c r="D31" s="198"/>
      <c r="E31" s="280"/>
      <c r="F31" s="401"/>
      <c r="G31" s="404"/>
      <c r="H31" s="404"/>
      <c r="I31" s="404"/>
      <c r="J31" s="404"/>
      <c r="K31" s="404"/>
      <c r="L31" s="404"/>
      <c r="M31" s="404"/>
      <c r="N31" s="404"/>
      <c r="O31" s="404"/>
      <c r="P31" s="404"/>
      <c r="Q31" s="404"/>
      <c r="R31" s="415"/>
    </row>
    <row r="32" spans="1:18">
      <c r="A32" t="s">
        <v>404</v>
      </c>
      <c r="C32" s="140"/>
      <c r="E32" s="139"/>
      <c r="F32" s="398"/>
      <c r="G32" s="405"/>
      <c r="H32" s="405"/>
      <c r="I32" s="405"/>
      <c r="J32" s="405"/>
      <c r="K32" s="405"/>
      <c r="L32" s="405"/>
      <c r="M32" s="405"/>
      <c r="N32" s="405"/>
      <c r="O32" s="405"/>
      <c r="P32" s="405"/>
      <c r="Q32" s="405"/>
      <c r="R32" s="415"/>
    </row>
    <row r="33" spans="1:20">
      <c r="B33" t="s">
        <v>405</v>
      </c>
      <c r="C33" s="395">
        <v>1</v>
      </c>
      <c r="D33" s="139" t="s">
        <v>406</v>
      </c>
      <c r="E33" s="417">
        <v>-13</v>
      </c>
      <c r="F33" s="399">
        <v>0</v>
      </c>
      <c r="G33" s="399">
        <f>($E$33*G8)/(1+$E$5)^G5</f>
        <v>-81.755142857142872</v>
      </c>
      <c r="H33" s="399">
        <f t="shared" ref="H33:P33" si="8">($E$33*H8)/(1+$E$5)^H5</f>
        <v>-116.73469387755104</v>
      </c>
      <c r="I33" s="399">
        <f t="shared" si="8"/>
        <v>-111.17589893100097</v>
      </c>
      <c r="J33" s="399">
        <f t="shared" si="8"/>
        <v>-105.88180850571523</v>
      </c>
      <c r="K33" s="399">
        <f t="shared" si="8"/>
        <v>-100.83981762449068</v>
      </c>
      <c r="L33" s="399">
        <f t="shared" si="8"/>
        <v>-96.03792154713399</v>
      </c>
      <c r="M33" s="399">
        <f t="shared" si="8"/>
        <v>-91.464687187746648</v>
      </c>
      <c r="N33" s="399">
        <f t="shared" si="8"/>
        <v>-87.109225893092045</v>
      </c>
      <c r="O33" s="399">
        <f t="shared" si="8"/>
        <v>-82.961167517230521</v>
      </c>
      <c r="P33" s="399">
        <f t="shared" si="8"/>
        <v>-79.010635730695739</v>
      </c>
      <c r="Q33" s="399">
        <f>NPV($C$49,G33:P33)</f>
        <v>-952.97099967179975</v>
      </c>
      <c r="R33" s="415">
        <f>Q33*$R$4</f>
        <v>-123.4141042669028</v>
      </c>
    </row>
    <row r="34" spans="1:20">
      <c r="B34" t="s">
        <v>407</v>
      </c>
      <c r="C34" s="395">
        <v>1</v>
      </c>
      <c r="D34" s="139" t="s">
        <v>406</v>
      </c>
      <c r="E34" s="417">
        <v>-6</v>
      </c>
      <c r="F34" s="399">
        <v>0</v>
      </c>
      <c r="G34" s="399">
        <f>($E$34*G8)/(1+$E$5)^G5</f>
        <v>-37.733142857142859</v>
      </c>
      <c r="H34" s="399">
        <f t="shared" ref="H34:P34" si="9">($E$34*H8)/(1+$E$5)^H5</f>
        <v>-53.87755102040817</v>
      </c>
      <c r="I34" s="399">
        <f t="shared" si="9"/>
        <v>-51.311953352769677</v>
      </c>
      <c r="J34" s="399">
        <f t="shared" si="9"/>
        <v>-48.868527002637791</v>
      </c>
      <c r="K34" s="399">
        <f t="shared" si="9"/>
        <v>-46.541454288226468</v>
      </c>
      <c r="L34" s="399">
        <f t="shared" si="9"/>
        <v>-44.325194560215685</v>
      </c>
      <c r="M34" s="399">
        <f t="shared" si="9"/>
        <v>-42.214471009729216</v>
      </c>
      <c r="N34" s="399">
        <f t="shared" si="9"/>
        <v>-40.204258104504021</v>
      </c>
      <c r="O34" s="399">
        <f t="shared" si="9"/>
        <v>-38.289769623337165</v>
      </c>
      <c r="P34" s="399">
        <f t="shared" si="9"/>
        <v>-36.466447260321104</v>
      </c>
      <c r="Q34" s="399">
        <f>NPV($C$49,G34:P34)</f>
        <v>-439.83276907929218</v>
      </c>
      <c r="R34" s="415">
        <f>Q34*$R$4</f>
        <v>-56.9603558154936</v>
      </c>
    </row>
    <row r="35" spans="1:20">
      <c r="B35" t="s">
        <v>408</v>
      </c>
      <c r="C35" s="395">
        <v>1</v>
      </c>
      <c r="D35" s="139" t="s">
        <v>406</v>
      </c>
      <c r="E35" s="417">
        <v>-5.2</v>
      </c>
      <c r="F35" s="399">
        <v>0</v>
      </c>
      <c r="G35" s="399">
        <f>($E$35*G8)/(1+$E$5)^G5</f>
        <v>-32.702057142857143</v>
      </c>
      <c r="H35" s="399">
        <f t="shared" ref="H35:O35" si="10">($E$35*H8)/(1+$E$5)^H5</f>
        <v>-46.693877551020414</v>
      </c>
      <c r="I35" s="399">
        <f t="shared" si="10"/>
        <v>-44.47035957240039</v>
      </c>
      <c r="J35" s="399">
        <f t="shared" si="10"/>
        <v>-42.352723402286088</v>
      </c>
      <c r="K35" s="399">
        <f t="shared" si="10"/>
        <v>-40.335927049796268</v>
      </c>
      <c r="L35" s="399">
        <f t="shared" si="10"/>
        <v>-38.415168618853592</v>
      </c>
      <c r="M35" s="399">
        <f t="shared" si="10"/>
        <v>-36.585874875098654</v>
      </c>
      <c r="N35" s="399">
        <f t="shared" si="10"/>
        <v>-34.843690357236817</v>
      </c>
      <c r="O35" s="399">
        <f t="shared" si="10"/>
        <v>-33.184467006892206</v>
      </c>
      <c r="P35" s="399">
        <f t="shared" ref="P35" si="11">((E35*C35)*($P$8))/(1+$E$5)^$P$5</f>
        <v>-31.604254292278291</v>
      </c>
      <c r="Q35" s="399">
        <f>NPV($C$49,G35:P35)</f>
        <v>-381.1883998687199</v>
      </c>
      <c r="R35" s="415">
        <f>Q35*$R$4</f>
        <v>-49.365641706761117</v>
      </c>
    </row>
    <row r="36" spans="1:20">
      <c r="C36" s="327"/>
      <c r="E36" s="332"/>
      <c r="F36" s="406"/>
      <c r="G36" s="407"/>
      <c r="H36" s="407"/>
      <c r="I36" s="407"/>
      <c r="J36" s="407"/>
      <c r="K36" s="407"/>
      <c r="L36" s="407"/>
      <c r="M36" s="407"/>
      <c r="N36" s="407"/>
      <c r="O36" s="407"/>
      <c r="P36" s="407"/>
      <c r="Q36" s="405"/>
      <c r="R36" s="415"/>
    </row>
    <row r="37" spans="1:20">
      <c r="A37" s="277" t="s">
        <v>369</v>
      </c>
      <c r="B37" s="282" t="s">
        <v>415</v>
      </c>
      <c r="C37" s="397">
        <v>1</v>
      </c>
      <c r="D37" t="s">
        <v>371</v>
      </c>
      <c r="E37" s="418">
        <v>-60</v>
      </c>
      <c r="F37" s="408">
        <v>0</v>
      </c>
      <c r="G37" s="408">
        <f t="shared" ref="G37:P37" si="12">$E$37/(1+$E$5)^G5</f>
        <v>-57.142857142857139</v>
      </c>
      <c r="H37" s="408">
        <f t="shared" si="12"/>
        <v>-54.42176870748299</v>
      </c>
      <c r="I37" s="408">
        <f t="shared" si="12"/>
        <v>-51.830255911888557</v>
      </c>
      <c r="J37" s="408">
        <f t="shared" si="12"/>
        <v>-49.362148487512918</v>
      </c>
      <c r="K37" s="408">
        <f t="shared" si="12"/>
        <v>-47.011569988107539</v>
      </c>
      <c r="L37" s="408">
        <f t="shared" si="12"/>
        <v>-44.77292379819766</v>
      </c>
      <c r="M37" s="408">
        <f t="shared" si="12"/>
        <v>-42.640879807807288</v>
      </c>
      <c r="N37" s="408">
        <f t="shared" si="12"/>
        <v>-40.610361721721233</v>
      </c>
      <c r="O37" s="408">
        <f t="shared" si="12"/>
        <v>-38.676534973067838</v>
      </c>
      <c r="P37" s="408">
        <f t="shared" si="12"/>
        <v>-36.834795212445556</v>
      </c>
      <c r="Q37" s="399">
        <f>SUM(G37:P37)</f>
        <v>-463.30409575108865</v>
      </c>
      <c r="R37" s="415">
        <f>Q37*R4</f>
        <v>-59.999999999999986</v>
      </c>
    </row>
    <row r="38" spans="1:20" ht="16.5" thickBot="1">
      <c r="A38" s="253" t="s">
        <v>372</v>
      </c>
      <c r="B38" s="284" t="s">
        <v>373</v>
      </c>
      <c r="C38" s="396">
        <v>1</v>
      </c>
      <c r="D38" s="253" t="s">
        <v>185</v>
      </c>
      <c r="E38" s="419">
        <v>-5.83</v>
      </c>
      <c r="F38" s="409">
        <v>0</v>
      </c>
      <c r="G38" s="409">
        <f t="shared" ref="G38:P38" si="13">$E$38/(1+$E$5)^G5</f>
        <v>-5.5523809523809522</v>
      </c>
      <c r="H38" s="409">
        <f t="shared" si="13"/>
        <v>-5.2879818594104311</v>
      </c>
      <c r="I38" s="409">
        <f t="shared" si="13"/>
        <v>-5.0361731994385055</v>
      </c>
      <c r="J38" s="409">
        <f t="shared" si="13"/>
        <v>-4.796355428036672</v>
      </c>
      <c r="K38" s="409">
        <f t="shared" si="13"/>
        <v>-4.5679575505111156</v>
      </c>
      <c r="L38" s="409">
        <f t="shared" si="13"/>
        <v>-4.3504357623915393</v>
      </c>
      <c r="M38" s="409">
        <f t="shared" si="13"/>
        <v>-4.1432721546586082</v>
      </c>
      <c r="N38" s="409">
        <f t="shared" si="13"/>
        <v>-3.9459734806272464</v>
      </c>
      <c r="O38" s="409">
        <f t="shared" si="13"/>
        <v>-3.7580699815497582</v>
      </c>
      <c r="P38" s="409">
        <f t="shared" si="13"/>
        <v>-3.5791142681426269</v>
      </c>
      <c r="Q38" s="399">
        <f>SUM(G38:P38)</f>
        <v>-45.017714637147456</v>
      </c>
      <c r="R38" s="415">
        <f>Q38*R4</f>
        <v>-5.83</v>
      </c>
    </row>
    <row r="39" spans="1:20">
      <c r="C39" s="327"/>
      <c r="E39" s="332"/>
      <c r="F39" s="332"/>
      <c r="G39" s="328"/>
      <c r="H39" s="328"/>
      <c r="I39" s="328"/>
      <c r="J39" s="328"/>
      <c r="K39" s="328"/>
      <c r="L39" s="328"/>
      <c r="M39" s="328"/>
      <c r="N39" s="328"/>
      <c r="O39" s="328"/>
      <c r="P39" s="328"/>
      <c r="Q39" s="328"/>
      <c r="R39" s="328"/>
    </row>
    <row r="40" spans="1:20">
      <c r="A40" s="198"/>
      <c r="B40" s="198"/>
      <c r="C40" s="331"/>
      <c r="D40" s="198"/>
      <c r="E40" s="268"/>
      <c r="F40" s="268"/>
      <c r="G40" s="330"/>
      <c r="H40" s="330"/>
      <c r="I40" s="330"/>
      <c r="J40" s="330"/>
      <c r="K40" s="330"/>
      <c r="L40" s="330"/>
      <c r="M40" s="330"/>
      <c r="N40" s="330"/>
      <c r="O40" s="330"/>
      <c r="P40" s="330"/>
      <c r="Q40" s="330"/>
      <c r="R40" s="330"/>
    </row>
    <row r="41" spans="1:20" ht="16.5" thickBot="1">
      <c r="A41" s="198" t="s">
        <v>374</v>
      </c>
      <c r="B41" s="198"/>
      <c r="C41" s="198"/>
      <c r="D41" s="198"/>
      <c r="E41" s="190"/>
      <c r="F41" s="330">
        <f t="shared" ref="F41:P41" si="14">SUM(F11:F38)</f>
        <v>-582.57999999999993</v>
      </c>
      <c r="G41" s="330">
        <f t="shared" si="14"/>
        <v>-297.72023129251698</v>
      </c>
      <c r="H41" s="330">
        <f t="shared" si="14"/>
        <v>-302.15873015873018</v>
      </c>
      <c r="I41" s="330">
        <f t="shared" si="14"/>
        <v>-287.77021919879064</v>
      </c>
      <c r="J41" s="330">
        <f t="shared" si="14"/>
        <v>-274.06687542741969</v>
      </c>
      <c r="K41" s="330">
        <f t="shared" si="14"/>
        <v>-261.01607183563772</v>
      </c>
      <c r="L41" s="330">
        <f t="shared" si="14"/>
        <v>-248.58673508155977</v>
      </c>
      <c r="M41" s="330">
        <f t="shared" si="14"/>
        <v>-236.7492715062474</v>
      </c>
      <c r="N41" s="330">
        <f t="shared" si="14"/>
        <v>-225.4754966726166</v>
      </c>
      <c r="O41" s="330">
        <f t="shared" si="14"/>
        <v>-214.73856825963486</v>
      </c>
      <c r="P41" s="330">
        <f t="shared" si="14"/>
        <v>-204.51292215203316</v>
      </c>
      <c r="Q41" s="328">
        <f>SUM(F41:P41)</f>
        <v>-3135.3751215851876</v>
      </c>
      <c r="R41" s="328">
        <f>Q41*R4</f>
        <v>-406.04542247815681</v>
      </c>
      <c r="T41" s="291"/>
    </row>
    <row r="42" spans="1:20">
      <c r="A42" t="s">
        <v>375</v>
      </c>
      <c r="E42" s="173"/>
      <c r="F42" s="334">
        <f>F9+F41</f>
        <v>-582.57999999999993</v>
      </c>
      <c r="G42" s="334">
        <f>G9+G41</f>
        <v>79.611197278911618</v>
      </c>
      <c r="H42" s="334">
        <f t="shared" ref="H42:P42" si="15">H9+H41</f>
        <v>236.61678004535139</v>
      </c>
      <c r="I42" s="334">
        <f t="shared" si="15"/>
        <v>225.34931432890608</v>
      </c>
      <c r="J42" s="334">
        <f t="shared" si="15"/>
        <v>214.61839459895822</v>
      </c>
      <c r="K42" s="334">
        <f t="shared" si="15"/>
        <v>204.39847104662692</v>
      </c>
      <c r="L42" s="334">
        <f t="shared" si="15"/>
        <v>194.66521052059704</v>
      </c>
      <c r="M42" s="334">
        <f t="shared" si="15"/>
        <v>185.39543859104475</v>
      </c>
      <c r="N42" s="334">
        <f t="shared" si="15"/>
        <v>176.56708437242361</v>
      </c>
      <c r="O42" s="334">
        <f t="shared" si="15"/>
        <v>168.1591279737367</v>
      </c>
      <c r="P42" s="334">
        <f t="shared" si="15"/>
        <v>160.15155045117788</v>
      </c>
      <c r="Q42" s="334">
        <f>SUM(F42:P42)</f>
        <v>1262.9525692077343</v>
      </c>
      <c r="R42" s="470">
        <f>Q42*R4</f>
        <v>163.55813567677916</v>
      </c>
      <c r="S42" t="s">
        <v>518</v>
      </c>
    </row>
    <row r="43" spans="1:20" ht="16.5" thickBot="1">
      <c r="G43" s="287"/>
      <c r="R43" s="471"/>
      <c r="S43" t="s">
        <v>553</v>
      </c>
    </row>
    <row r="44" spans="1:20" ht="16.5" thickBot="1">
      <c r="A44" t="s">
        <v>53</v>
      </c>
      <c r="D44" t="s">
        <v>409</v>
      </c>
      <c r="G44" s="88">
        <v>18.21</v>
      </c>
      <c r="H44" s="88">
        <v>0.23</v>
      </c>
      <c r="I44" s="88">
        <v>0</v>
      </c>
      <c r="J44" s="88">
        <v>0</v>
      </c>
      <c r="K44" s="88">
        <v>0</v>
      </c>
      <c r="L44" s="88">
        <v>0</v>
      </c>
      <c r="M44" s="88">
        <v>0</v>
      </c>
      <c r="N44" s="88">
        <v>0</v>
      </c>
      <c r="O44" s="88">
        <v>0</v>
      </c>
      <c r="P44" s="88">
        <v>0.54</v>
      </c>
      <c r="Q44" s="286">
        <f>SUM(Q12:Q38)</f>
        <v>-3135.3751215851867</v>
      </c>
      <c r="R44" s="416">
        <f>R42*R43</f>
        <v>0</v>
      </c>
      <c r="S44" t="s">
        <v>520</v>
      </c>
    </row>
    <row r="46" spans="1:20">
      <c r="A46" t="s">
        <v>410</v>
      </c>
    </row>
    <row r="49" spans="1:12">
      <c r="A49" s="347" t="s">
        <v>452</v>
      </c>
      <c r="C49" s="288"/>
    </row>
    <row r="50" spans="1:12">
      <c r="A50" s="142" t="s">
        <v>448</v>
      </c>
    </row>
    <row r="51" spans="1:12">
      <c r="C51" s="183"/>
      <c r="L51" s="174"/>
    </row>
    <row r="52" spans="1:12">
      <c r="A52" s="347" t="s">
        <v>537</v>
      </c>
      <c r="C52" s="183"/>
      <c r="L52" s="174"/>
    </row>
    <row r="53" spans="1:12">
      <c r="A53" t="s">
        <v>539</v>
      </c>
    </row>
    <row r="55" spans="1:12">
      <c r="K55" s="348"/>
    </row>
    <row r="56" spans="1:12">
      <c r="A56" t="s">
        <v>552</v>
      </c>
    </row>
    <row r="57" spans="1:12">
      <c r="A57" s="500" t="s">
        <v>551</v>
      </c>
      <c r="B57" s="500"/>
      <c r="C57" s="500"/>
      <c r="D57" s="500"/>
      <c r="E57" s="500"/>
      <c r="F57" s="500"/>
      <c r="G57" s="500"/>
      <c r="H57" s="500"/>
      <c r="I57" s="500"/>
      <c r="J57" s="500"/>
      <c r="K57" s="500"/>
    </row>
    <row r="58" spans="1:12">
      <c r="A58" s="500"/>
      <c r="B58" s="500"/>
      <c r="C58" s="500"/>
      <c r="D58" s="500"/>
      <c r="E58" s="500"/>
      <c r="F58" s="500"/>
      <c r="G58" s="500"/>
      <c r="H58" s="500"/>
      <c r="I58" s="500"/>
      <c r="J58" s="500"/>
      <c r="K58" s="500"/>
    </row>
    <row r="59" spans="1:12" ht="6.95" customHeight="1">
      <c r="A59" s="500"/>
      <c r="B59" s="500"/>
      <c r="C59" s="500"/>
      <c r="D59" s="500"/>
      <c r="E59" s="500"/>
      <c r="F59" s="500"/>
      <c r="G59" s="500"/>
      <c r="H59" s="500"/>
      <c r="I59" s="500"/>
      <c r="J59" s="500"/>
      <c r="K59" s="500"/>
    </row>
    <row r="60" spans="1:12" ht="8.1" customHeight="1">
      <c r="A60" s="500"/>
      <c r="B60" s="500"/>
      <c r="C60" s="500"/>
      <c r="D60" s="500"/>
      <c r="E60" s="500"/>
      <c r="F60" s="500"/>
      <c r="G60" s="500"/>
      <c r="H60" s="500"/>
      <c r="I60" s="500"/>
      <c r="J60" s="500"/>
      <c r="K60" s="500"/>
    </row>
    <row r="61" spans="1:12" ht="6.95" customHeight="1">
      <c r="A61" s="500"/>
      <c r="B61" s="500"/>
      <c r="C61" s="500"/>
      <c r="D61" s="500"/>
      <c r="E61" s="500"/>
      <c r="F61" s="500"/>
      <c r="G61" s="500"/>
      <c r="H61" s="500"/>
      <c r="I61" s="500"/>
      <c r="J61" s="500"/>
      <c r="K61" s="500"/>
    </row>
  </sheetData>
  <mergeCells count="2">
    <mergeCell ref="M2:N3"/>
    <mergeCell ref="A57:K61"/>
  </mergeCells>
  <hyperlinks>
    <hyperlink ref="A50" r:id="rId1" xr:uid="{1F54E2F7-C50B-F042-B1C8-402F1A844715}"/>
    <hyperlink ref="M2:N3" location="'Instructions &amp; summary data'!A1" display="Return to instructions page" xr:uid="{03E1BD2C-47E0-5848-A917-32431FC446E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75E17-4972-5E40-AE4E-030772BA7BB6}">
  <dimension ref="A2:L44"/>
  <sheetViews>
    <sheetView workbookViewId="0">
      <selection activeCell="K2" sqref="K2:L3"/>
    </sheetView>
  </sheetViews>
  <sheetFormatPr defaultColWidth="11" defaultRowHeight="15.75"/>
  <cols>
    <col min="2" max="2" width="36.125" customWidth="1"/>
    <col min="6" max="6" width="26" customWidth="1"/>
    <col min="8" max="8" width="26" customWidth="1"/>
  </cols>
  <sheetData>
    <row r="2" spans="2:12">
      <c r="K2" s="491" t="s">
        <v>549</v>
      </c>
      <c r="L2" s="491"/>
    </row>
    <row r="3" spans="2:12" ht="21.75" thickBot="1">
      <c r="B3" s="144" t="s">
        <v>416</v>
      </c>
      <c r="K3" s="492"/>
      <c r="L3" s="492"/>
    </row>
    <row r="4" spans="2:12" ht="33.75">
      <c r="B4" s="503" t="s">
        <v>194</v>
      </c>
      <c r="C4" s="504"/>
      <c r="D4" s="504"/>
      <c r="E4" s="504"/>
      <c r="F4" s="504"/>
      <c r="G4" s="504"/>
      <c r="H4" s="504"/>
      <c r="I4" s="505"/>
    </row>
    <row r="5" spans="2:12" ht="16.5" thickBot="1">
      <c r="B5" s="145" t="s">
        <v>195</v>
      </c>
      <c r="C5" s="146" t="s">
        <v>196</v>
      </c>
      <c r="D5" s="146" t="s">
        <v>197</v>
      </c>
      <c r="E5" s="146" t="s">
        <v>198</v>
      </c>
      <c r="F5" s="146" t="s">
        <v>199</v>
      </c>
      <c r="G5" s="146" t="s">
        <v>200</v>
      </c>
      <c r="H5" s="506" t="s">
        <v>201</v>
      </c>
      <c r="I5" s="507"/>
    </row>
    <row r="6" spans="2:12" ht="16.5" thickBot="1">
      <c r="B6" s="147"/>
      <c r="C6" s="176">
        <v>20</v>
      </c>
      <c r="D6">
        <v>550</v>
      </c>
      <c r="E6">
        <v>2.5</v>
      </c>
      <c r="F6">
        <f>C6*D6*E6</f>
        <v>27500</v>
      </c>
      <c r="G6">
        <f>F6/C6</f>
        <v>1375</v>
      </c>
      <c r="H6" t="s">
        <v>202</v>
      </c>
      <c r="I6" s="428">
        <v>1200</v>
      </c>
      <c r="K6" t="s">
        <v>203</v>
      </c>
    </row>
    <row r="7" spans="2:12" ht="16.5" thickBot="1">
      <c r="B7" s="147"/>
      <c r="H7" t="s">
        <v>204</v>
      </c>
      <c r="I7" s="428">
        <v>0.55000000000000004</v>
      </c>
      <c r="K7" s="88" t="s">
        <v>205</v>
      </c>
    </row>
    <row r="8" spans="2:12" ht="16.5" thickBot="1">
      <c r="B8" s="147"/>
      <c r="H8" t="s">
        <v>206</v>
      </c>
      <c r="I8" s="428">
        <f>I6*I7</f>
        <v>660</v>
      </c>
      <c r="K8" s="463">
        <v>5.65</v>
      </c>
      <c r="L8" s="142" t="s">
        <v>207</v>
      </c>
    </row>
    <row r="9" spans="2:12">
      <c r="B9" s="148" t="s">
        <v>208</v>
      </c>
      <c r="C9" s="149" t="s">
        <v>27</v>
      </c>
      <c r="D9" s="149" t="s">
        <v>209</v>
      </c>
      <c r="E9" s="149" t="s">
        <v>210</v>
      </c>
      <c r="F9" s="149" t="s">
        <v>211</v>
      </c>
      <c r="G9" s="150" t="s">
        <v>200</v>
      </c>
      <c r="H9" s="508" t="s">
        <v>212</v>
      </c>
      <c r="I9" s="509"/>
    </row>
    <row r="10" spans="2:12">
      <c r="B10" s="151" t="s">
        <v>213</v>
      </c>
      <c r="C10" s="152" t="s">
        <v>214</v>
      </c>
      <c r="D10" s="177">
        <v>32</v>
      </c>
      <c r="E10" s="154">
        <f>5*C6</f>
        <v>100</v>
      </c>
      <c r="F10" s="155">
        <f>D10*E10</f>
        <v>3200</v>
      </c>
      <c r="G10" s="155">
        <f>F10/C6</f>
        <v>160</v>
      </c>
      <c r="H10" s="510">
        <f>G10/$I$7</f>
        <v>290.90909090909088</v>
      </c>
      <c r="I10" s="511"/>
    </row>
    <row r="11" spans="2:12" ht="17.25">
      <c r="B11" s="157" t="s">
        <v>215</v>
      </c>
      <c r="C11" s="158" t="s">
        <v>216</v>
      </c>
      <c r="D11" s="159">
        <v>0</v>
      </c>
      <c r="E11" s="160">
        <f>5*C6</f>
        <v>100</v>
      </c>
      <c r="F11" s="159">
        <f>D11*E11</f>
        <v>0</v>
      </c>
      <c r="G11" s="159">
        <f>F11/20</f>
        <v>0</v>
      </c>
      <c r="H11" s="512">
        <f>G11/$I$7</f>
        <v>0</v>
      </c>
      <c r="I11" s="513"/>
    </row>
    <row r="12" spans="2:12" ht="17.25">
      <c r="B12" s="151" t="s">
        <v>217</v>
      </c>
      <c r="C12" s="152" t="s">
        <v>218</v>
      </c>
      <c r="D12" s="155">
        <v>0</v>
      </c>
      <c r="E12" s="154"/>
      <c r="F12" s="155"/>
      <c r="G12" s="155"/>
      <c r="H12" s="153"/>
      <c r="I12" s="156"/>
    </row>
    <row r="13" spans="2:12" ht="17.25">
      <c r="B13" s="157" t="s">
        <v>215</v>
      </c>
      <c r="C13" s="158" t="s">
        <v>218</v>
      </c>
      <c r="D13" s="159">
        <v>0</v>
      </c>
      <c r="E13" s="160"/>
      <c r="F13" s="159"/>
      <c r="G13" s="159"/>
      <c r="H13" s="161"/>
      <c r="I13" s="162"/>
    </row>
    <row r="14" spans="2:12">
      <c r="B14" s="147" t="s">
        <v>219</v>
      </c>
      <c r="D14" s="163"/>
      <c r="E14" s="164"/>
      <c r="F14" s="165"/>
      <c r="G14" s="165"/>
      <c r="H14" s="166"/>
      <c r="I14" s="167"/>
    </row>
    <row r="15" spans="2:12">
      <c r="B15" s="147" t="s">
        <v>220</v>
      </c>
      <c r="C15" t="s">
        <v>251</v>
      </c>
      <c r="D15" s="420">
        <v>25</v>
      </c>
      <c r="E15" s="421">
        <f>C6</f>
        <v>20</v>
      </c>
      <c r="F15" s="424">
        <f>D15*E15</f>
        <v>500</v>
      </c>
      <c r="G15" s="422">
        <f>F15/20</f>
        <v>25</v>
      </c>
      <c r="H15" s="501">
        <f>G15/$I$8</f>
        <v>3.787878787878788E-2</v>
      </c>
      <c r="I15" s="502"/>
    </row>
    <row r="16" spans="2:12">
      <c r="B16" s="147" t="s">
        <v>221</v>
      </c>
      <c r="C16" t="s">
        <v>222</v>
      </c>
      <c r="D16" s="422">
        <v>15</v>
      </c>
      <c r="E16" s="421">
        <f>C6</f>
        <v>20</v>
      </c>
      <c r="F16" s="422">
        <f>D16*E16</f>
        <v>300</v>
      </c>
      <c r="G16" s="422">
        <f>F16/20</f>
        <v>15</v>
      </c>
      <c r="H16" s="501">
        <f t="shared" ref="H16:H31" si="0">G16/$I$8</f>
        <v>2.2727272727272728E-2</v>
      </c>
      <c r="I16" s="502"/>
    </row>
    <row r="17" spans="2:10">
      <c r="B17" s="147" t="s">
        <v>223</v>
      </c>
      <c r="C17" t="s">
        <v>224</v>
      </c>
      <c r="D17" s="422" t="s">
        <v>224</v>
      </c>
      <c r="E17" s="421">
        <f>F6*0.02</f>
        <v>550</v>
      </c>
      <c r="F17" s="422">
        <f>F6*0.02</f>
        <v>550</v>
      </c>
      <c r="G17" s="425">
        <f>F17/20</f>
        <v>27.5</v>
      </c>
      <c r="H17" s="501">
        <f t="shared" si="0"/>
        <v>4.1666666666666664E-2</v>
      </c>
      <c r="I17" s="502"/>
    </row>
    <row r="18" spans="2:10">
      <c r="B18" s="147" t="s">
        <v>225</v>
      </c>
      <c r="C18" t="s">
        <v>222</v>
      </c>
      <c r="D18" s="422">
        <f>G18</f>
        <v>1.25</v>
      </c>
      <c r="E18" s="421">
        <f>C6</f>
        <v>20</v>
      </c>
      <c r="F18" s="422">
        <f>D18*E18</f>
        <v>25</v>
      </c>
      <c r="G18" s="422">
        <v>1.25</v>
      </c>
      <c r="H18" s="501">
        <f t="shared" si="0"/>
        <v>1.893939393939394E-3</v>
      </c>
      <c r="I18" s="502"/>
    </row>
    <row r="19" spans="2:10">
      <c r="B19" s="147" t="s">
        <v>226</v>
      </c>
      <c r="C19" t="s">
        <v>222</v>
      </c>
      <c r="D19" s="422">
        <v>2</v>
      </c>
      <c r="E19" s="421">
        <f>C6</f>
        <v>20</v>
      </c>
      <c r="F19" s="422">
        <f>D19*E19</f>
        <v>40</v>
      </c>
      <c r="G19" s="422">
        <v>1</v>
      </c>
      <c r="H19" s="501">
        <f t="shared" si="0"/>
        <v>1.5151515151515152E-3</v>
      </c>
      <c r="I19" s="502"/>
    </row>
    <row r="20" spans="2:10">
      <c r="B20" s="147" t="s">
        <v>227</v>
      </c>
      <c r="C20" t="s">
        <v>228</v>
      </c>
      <c r="D20" s="422">
        <v>100</v>
      </c>
      <c r="E20" s="421">
        <f>C6</f>
        <v>20</v>
      </c>
      <c r="F20" s="424">
        <f>D20*E20</f>
        <v>2000</v>
      </c>
      <c r="G20" s="422">
        <f>F20/20</f>
        <v>100</v>
      </c>
      <c r="H20" s="501">
        <f t="shared" si="0"/>
        <v>0.15151515151515152</v>
      </c>
      <c r="I20" s="502"/>
    </row>
    <row r="21" spans="2:10">
      <c r="B21" s="147" t="s">
        <v>229</v>
      </c>
      <c r="C21" t="s">
        <v>230</v>
      </c>
      <c r="D21" s="422">
        <v>2.2000000000000002</v>
      </c>
      <c r="E21" s="421">
        <f>I8</f>
        <v>660</v>
      </c>
      <c r="F21" s="422">
        <f>E21*D21*C6</f>
        <v>29040.000000000004</v>
      </c>
      <c r="G21" s="422">
        <f>F21/20</f>
        <v>1452.0000000000002</v>
      </c>
      <c r="H21" s="501">
        <f t="shared" si="0"/>
        <v>2.2000000000000002</v>
      </c>
      <c r="I21" s="502"/>
    </row>
    <row r="22" spans="2:10">
      <c r="B22" s="147" t="s">
        <v>231</v>
      </c>
      <c r="C22" t="s">
        <v>222</v>
      </c>
      <c r="D22" s="422">
        <v>35</v>
      </c>
      <c r="E22" s="421">
        <f>C6</f>
        <v>20</v>
      </c>
      <c r="F22" s="422">
        <f>D22*E22</f>
        <v>700</v>
      </c>
      <c r="G22" s="422">
        <f>F22/20</f>
        <v>35</v>
      </c>
      <c r="H22" s="501">
        <f t="shared" si="0"/>
        <v>5.3030303030303032E-2</v>
      </c>
      <c r="I22" s="502"/>
    </row>
    <row r="23" spans="2:10">
      <c r="B23" s="147" t="s">
        <v>232</v>
      </c>
      <c r="C23" t="s">
        <v>233</v>
      </c>
      <c r="D23" s="422">
        <v>0.2</v>
      </c>
      <c r="E23" s="421">
        <f>480/0.2</f>
        <v>2400</v>
      </c>
      <c r="F23" s="422">
        <f>D23*E23</f>
        <v>480</v>
      </c>
      <c r="G23" s="422">
        <v>24</v>
      </c>
      <c r="H23" s="501">
        <f t="shared" si="0"/>
        <v>3.6363636363636362E-2</v>
      </c>
      <c r="I23" s="502"/>
    </row>
    <row r="24" spans="2:10">
      <c r="B24" s="147" t="s">
        <v>234</v>
      </c>
      <c r="C24" t="s">
        <v>233</v>
      </c>
      <c r="D24" s="422">
        <v>0.57999999999999996</v>
      </c>
      <c r="E24" s="423">
        <f>6400</f>
        <v>6400</v>
      </c>
      <c r="F24" s="422">
        <f>D24*E24</f>
        <v>3711.9999999999995</v>
      </c>
      <c r="G24" s="422">
        <v>185.40983606557376</v>
      </c>
      <c r="H24" s="501">
        <f t="shared" si="0"/>
        <v>0.28092399403874813</v>
      </c>
      <c r="I24" s="502"/>
    </row>
    <row r="25" spans="2:10">
      <c r="B25" s="147" t="s">
        <v>235</v>
      </c>
      <c r="C25" t="s">
        <v>233</v>
      </c>
      <c r="D25" s="422">
        <v>0.35</v>
      </c>
      <c r="E25" s="421">
        <f>273/0.35</f>
        <v>780</v>
      </c>
      <c r="F25" s="422">
        <f>D25*E25</f>
        <v>273</v>
      </c>
      <c r="G25" s="422">
        <v>13.65</v>
      </c>
      <c r="H25" s="501">
        <f t="shared" si="0"/>
        <v>2.0681818181818183E-2</v>
      </c>
      <c r="I25" s="502"/>
    </row>
    <row r="26" spans="2:10">
      <c r="B26" s="170" t="s">
        <v>236</v>
      </c>
      <c r="C26" s="171"/>
      <c r="D26" s="171"/>
      <c r="E26" s="171"/>
      <c r="F26" s="422">
        <f>SUM(F10:F25)</f>
        <v>40820</v>
      </c>
      <c r="G26" s="422">
        <f>SUM(G10:G25)</f>
        <v>2039.809836065574</v>
      </c>
      <c r="H26" s="501">
        <f t="shared" si="0"/>
        <v>3.0906209637357183</v>
      </c>
      <c r="I26" s="502"/>
    </row>
    <row r="27" spans="2:10">
      <c r="B27" s="172" t="s">
        <v>237</v>
      </c>
      <c r="F27" s="422"/>
      <c r="G27" s="426"/>
      <c r="H27" s="501">
        <f t="shared" si="0"/>
        <v>0</v>
      </c>
      <c r="I27" s="502"/>
    </row>
    <row r="28" spans="2:10">
      <c r="B28" s="147" t="s">
        <v>238</v>
      </c>
      <c r="F28" s="422">
        <v>1200</v>
      </c>
      <c r="G28" s="422">
        <f>F28/20</f>
        <v>60</v>
      </c>
      <c r="H28" s="501">
        <f t="shared" si="0"/>
        <v>9.0909090909090912E-2</v>
      </c>
      <c r="I28" s="502"/>
    </row>
    <row r="29" spans="2:10">
      <c r="B29" s="147" t="s">
        <v>239</v>
      </c>
      <c r="F29" s="422">
        <v>440</v>
      </c>
      <c r="G29" s="422">
        <f>F29/20</f>
        <v>22</v>
      </c>
      <c r="H29" s="501">
        <f t="shared" si="0"/>
        <v>3.3333333333333333E-2</v>
      </c>
      <c r="I29" s="502"/>
    </row>
    <row r="30" spans="2:10">
      <c r="B30" s="172" t="s">
        <v>240</v>
      </c>
      <c r="F30" s="427">
        <f>F28+F29</f>
        <v>1640</v>
      </c>
      <c r="G30" s="427">
        <f>G28+G29</f>
        <v>82</v>
      </c>
      <c r="H30" s="501">
        <f t="shared" si="0"/>
        <v>0.12424242424242424</v>
      </c>
      <c r="I30" s="502"/>
    </row>
    <row r="31" spans="2:10" ht="16.5" thickBot="1">
      <c r="B31" s="432" t="s">
        <v>241</v>
      </c>
      <c r="C31" s="433"/>
      <c r="D31" s="433"/>
      <c r="E31" s="433"/>
      <c r="F31" s="434">
        <f>F30+F26+F6</f>
        <v>69960</v>
      </c>
      <c r="G31" s="429">
        <f>G26+G6+G30</f>
        <v>3496.809836065574</v>
      </c>
      <c r="H31" s="510">
        <f t="shared" si="0"/>
        <v>5.2981967213114753</v>
      </c>
      <c r="I31" s="511"/>
      <c r="J31" t="s">
        <v>242</v>
      </c>
    </row>
    <row r="32" spans="2:10" ht="16.5" thickBot="1">
      <c r="B32" s="152"/>
      <c r="C32" s="152"/>
      <c r="D32" s="152"/>
      <c r="E32" s="152" t="s">
        <v>243</v>
      </c>
      <c r="F32" s="434">
        <f>(K8*I8)*C6</f>
        <v>74580.000000000015</v>
      </c>
      <c r="G32" s="430">
        <f>(I8*K8)</f>
        <v>3729.0000000000005</v>
      </c>
      <c r="H32" s="168"/>
      <c r="I32" s="168"/>
    </row>
    <row r="33" spans="1:12" ht="16.5" thickBot="1">
      <c r="B33" s="152"/>
      <c r="C33" s="152"/>
      <c r="D33" s="152"/>
      <c r="E33" s="152" t="s">
        <v>244</v>
      </c>
      <c r="F33" s="435">
        <f>F32-F31</f>
        <v>4620.0000000000146</v>
      </c>
      <c r="G33" s="431">
        <f>G32-G31</f>
        <v>232.19016393442644</v>
      </c>
      <c r="H33" s="168"/>
      <c r="I33" s="168"/>
    </row>
    <row r="34" spans="1:12" ht="17.25">
      <c r="B34" s="514" t="s">
        <v>245</v>
      </c>
      <c r="C34" s="514"/>
      <c r="D34" s="514"/>
      <c r="L34">
        <f>50/H38</f>
        <v>2.1917808219178081</v>
      </c>
    </row>
    <row r="35" spans="1:12" ht="17.25">
      <c r="B35" s="174" t="s">
        <v>246</v>
      </c>
      <c r="C35" s="174"/>
      <c r="D35" s="174"/>
    </row>
    <row r="38" spans="1:12">
      <c r="B38" t="s">
        <v>249</v>
      </c>
      <c r="F38" t="s">
        <v>250</v>
      </c>
      <c r="H38">
        <f>365/16</f>
        <v>22.8125</v>
      </c>
    </row>
    <row r="43" spans="1:12">
      <c r="A43" s="347" t="s">
        <v>465</v>
      </c>
    </row>
    <row r="44" spans="1:12">
      <c r="A44" s="142" t="s">
        <v>466</v>
      </c>
    </row>
  </sheetData>
  <mergeCells count="24">
    <mergeCell ref="H28:I28"/>
    <mergeCell ref="H29:I29"/>
    <mergeCell ref="H30:I30"/>
    <mergeCell ref="H31:I31"/>
    <mergeCell ref="B34:D34"/>
    <mergeCell ref="H27:I27"/>
    <mergeCell ref="H16:I16"/>
    <mergeCell ref="H17:I17"/>
    <mergeCell ref="H18:I18"/>
    <mergeCell ref="H19:I19"/>
    <mergeCell ref="H20:I20"/>
    <mergeCell ref="H21:I21"/>
    <mergeCell ref="H22:I22"/>
    <mergeCell ref="H23:I23"/>
    <mergeCell ref="H24:I24"/>
    <mergeCell ref="H25:I25"/>
    <mergeCell ref="H26:I26"/>
    <mergeCell ref="K2:L3"/>
    <mergeCell ref="H15:I15"/>
    <mergeCell ref="B4:I4"/>
    <mergeCell ref="H5:I5"/>
    <mergeCell ref="H9:I9"/>
    <mergeCell ref="H10:I10"/>
    <mergeCell ref="H11:I11"/>
  </mergeCells>
  <hyperlinks>
    <hyperlink ref="L8" r:id="rId1" xr:uid="{F7409163-740C-D24A-84CB-4E3439D40069}"/>
    <hyperlink ref="A44" r:id="rId2" xr:uid="{C3F3DC29-11F4-D549-A955-809B63FE7EE0}"/>
    <hyperlink ref="K2:L3" location="'Instructions &amp; summary data'!A1" display="Return to instructions page" xr:uid="{9B8F6D4A-3937-3D42-A65D-7A3D5D362C2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F4230-77CF-7944-BE36-452C20967177}">
  <dimension ref="A2:L44"/>
  <sheetViews>
    <sheetView zoomScale="120" zoomScaleNormal="120" workbookViewId="0">
      <selection activeCell="K2" sqref="K2:L3"/>
    </sheetView>
  </sheetViews>
  <sheetFormatPr defaultColWidth="11" defaultRowHeight="15.75"/>
  <cols>
    <col min="2" max="2" width="32.375" customWidth="1"/>
    <col min="3" max="3" width="10.875" customWidth="1"/>
    <col min="6" max="6" width="17.625" customWidth="1"/>
    <col min="8" max="8" width="23" customWidth="1"/>
  </cols>
  <sheetData>
    <row r="2" spans="2:12">
      <c r="K2" s="491" t="s">
        <v>549</v>
      </c>
      <c r="L2" s="491"/>
    </row>
    <row r="3" spans="2:12" ht="21.75" thickBot="1">
      <c r="B3" s="144" t="s">
        <v>247</v>
      </c>
      <c r="K3" s="492"/>
      <c r="L3" s="492"/>
    </row>
    <row r="4" spans="2:12" ht="33.75">
      <c r="B4" s="503" t="s">
        <v>194</v>
      </c>
      <c r="C4" s="504"/>
      <c r="D4" s="504"/>
      <c r="E4" s="504"/>
      <c r="F4" s="504"/>
      <c r="G4" s="504"/>
      <c r="H4" s="504"/>
      <c r="I4" s="505"/>
    </row>
    <row r="5" spans="2:12" ht="16.5" thickBot="1">
      <c r="B5" s="145" t="s">
        <v>195</v>
      </c>
      <c r="C5" s="146" t="s">
        <v>196</v>
      </c>
      <c r="D5" s="146" t="s">
        <v>197</v>
      </c>
      <c r="E5" s="146" t="s">
        <v>198</v>
      </c>
      <c r="F5" s="146" t="s">
        <v>199</v>
      </c>
      <c r="G5" s="146" t="s">
        <v>200</v>
      </c>
      <c r="H5" s="506" t="s">
        <v>201</v>
      </c>
      <c r="I5" s="507"/>
    </row>
    <row r="6" spans="2:12" ht="16.5" thickBot="1">
      <c r="B6" s="147"/>
      <c r="C6" s="176">
        <v>20</v>
      </c>
      <c r="D6">
        <v>550</v>
      </c>
      <c r="E6">
        <v>2.5</v>
      </c>
      <c r="F6">
        <f>C6*D6*E6</f>
        <v>27500</v>
      </c>
      <c r="G6">
        <f>F6/C6</f>
        <v>1375</v>
      </c>
      <c r="H6" t="s">
        <v>202</v>
      </c>
      <c r="I6" s="428">
        <v>1200</v>
      </c>
      <c r="K6" t="s">
        <v>203</v>
      </c>
    </row>
    <row r="7" spans="2:12" ht="16.5" thickBot="1">
      <c r="B7" s="147"/>
      <c r="H7" t="s">
        <v>204</v>
      </c>
      <c r="I7" s="428">
        <v>0.55000000000000004</v>
      </c>
      <c r="K7" s="88" t="s">
        <v>205</v>
      </c>
    </row>
    <row r="8" spans="2:12" ht="16.5" thickBot="1">
      <c r="B8" s="147"/>
      <c r="H8" t="s">
        <v>206</v>
      </c>
      <c r="I8" s="428">
        <f>I6*I7</f>
        <v>660</v>
      </c>
      <c r="K8" s="463">
        <v>5.65</v>
      </c>
      <c r="L8" s="142" t="s">
        <v>207</v>
      </c>
    </row>
    <row r="9" spans="2:12">
      <c r="B9" s="148" t="s">
        <v>208</v>
      </c>
      <c r="C9" s="149" t="s">
        <v>27</v>
      </c>
      <c r="D9" s="149" t="s">
        <v>209</v>
      </c>
      <c r="E9" s="149" t="s">
        <v>210</v>
      </c>
      <c r="F9" s="149" t="s">
        <v>211</v>
      </c>
      <c r="G9" s="150" t="s">
        <v>200</v>
      </c>
      <c r="H9" s="508" t="s">
        <v>212</v>
      </c>
      <c r="I9" s="509"/>
    </row>
    <row r="10" spans="2:12">
      <c r="B10" s="151" t="s">
        <v>213</v>
      </c>
      <c r="C10" s="152" t="s">
        <v>214</v>
      </c>
      <c r="D10" s="153">
        <v>32</v>
      </c>
      <c r="E10" s="154">
        <f>5*C6</f>
        <v>100</v>
      </c>
      <c r="F10" s="155">
        <f>D10*E10</f>
        <v>3200</v>
      </c>
      <c r="G10" s="155">
        <f>F10/C6</f>
        <v>160</v>
      </c>
      <c r="H10" s="510" t="e">
        <f>G10/$J$7</f>
        <v>#DIV/0!</v>
      </c>
      <c r="I10" s="511"/>
    </row>
    <row r="11" spans="2:12" ht="17.25">
      <c r="B11" s="157" t="s">
        <v>215</v>
      </c>
      <c r="C11" s="158" t="s">
        <v>216</v>
      </c>
      <c r="D11" s="159">
        <v>0</v>
      </c>
      <c r="E11" s="160">
        <f>5*C6</f>
        <v>100</v>
      </c>
      <c r="F11" s="159">
        <f>D11*E11</f>
        <v>0</v>
      </c>
      <c r="G11" s="159">
        <f>F11/20</f>
        <v>0</v>
      </c>
      <c r="H11" s="512" t="e">
        <f t="shared" ref="H11" si="0">G11/$J$7</f>
        <v>#DIV/0!</v>
      </c>
      <c r="I11" s="513"/>
    </row>
    <row r="12" spans="2:12" ht="17.25">
      <c r="B12" s="151" t="s">
        <v>217</v>
      </c>
      <c r="C12" s="152" t="s">
        <v>218</v>
      </c>
      <c r="D12" s="155">
        <v>0</v>
      </c>
      <c r="E12" s="154"/>
      <c r="F12" s="155"/>
      <c r="G12" s="155"/>
      <c r="H12" s="153"/>
      <c r="I12" s="156"/>
    </row>
    <row r="13" spans="2:12" ht="17.25">
      <c r="B13" s="157" t="s">
        <v>215</v>
      </c>
      <c r="C13" s="158" t="s">
        <v>218</v>
      </c>
      <c r="D13" s="159">
        <v>0</v>
      </c>
      <c r="E13" s="160"/>
      <c r="F13" s="159"/>
      <c r="G13" s="159"/>
      <c r="H13" s="161"/>
      <c r="I13" s="162"/>
    </row>
    <row r="14" spans="2:12">
      <c r="B14" s="147" t="s">
        <v>219</v>
      </c>
      <c r="D14" s="163"/>
      <c r="E14" s="164"/>
      <c r="F14" s="165"/>
      <c r="G14" s="165"/>
      <c r="H14" s="166"/>
      <c r="I14" s="167"/>
    </row>
    <row r="15" spans="2:12">
      <c r="B15" s="147" t="s">
        <v>220</v>
      </c>
      <c r="C15" t="s">
        <v>251</v>
      </c>
      <c r="D15" s="420">
        <v>25</v>
      </c>
      <c r="E15" s="421">
        <f>C6</f>
        <v>20</v>
      </c>
      <c r="F15" s="424">
        <f>D15*E15</f>
        <v>500</v>
      </c>
      <c r="G15" s="422">
        <f>F15/C6</f>
        <v>25</v>
      </c>
      <c r="H15" s="501">
        <f>G15/$I$8</f>
        <v>3.787878787878788E-2</v>
      </c>
      <c r="I15" s="502"/>
    </row>
    <row r="16" spans="2:12">
      <c r="B16" s="147" t="s">
        <v>221</v>
      </c>
      <c r="C16" t="s">
        <v>222</v>
      </c>
      <c r="D16" s="422">
        <v>15</v>
      </c>
      <c r="E16" s="421">
        <f>C6</f>
        <v>20</v>
      </c>
      <c r="F16" s="422">
        <f>D16*E16</f>
        <v>300</v>
      </c>
      <c r="G16" s="422">
        <f>F16/C6</f>
        <v>15</v>
      </c>
      <c r="H16" s="501">
        <f t="shared" ref="H16:H32" si="1">G16/$I$8</f>
        <v>2.2727272727272728E-2</v>
      </c>
      <c r="I16" s="502"/>
    </row>
    <row r="17" spans="2:10">
      <c r="B17" s="147" t="s">
        <v>223</v>
      </c>
      <c r="C17" t="s">
        <v>224</v>
      </c>
      <c r="D17" s="422" t="s">
        <v>224</v>
      </c>
      <c r="E17" s="421">
        <f>F6*0.02</f>
        <v>550</v>
      </c>
      <c r="F17" s="422">
        <f>F6*0.02</f>
        <v>550</v>
      </c>
      <c r="G17" s="425">
        <f>F17/C6</f>
        <v>27.5</v>
      </c>
      <c r="H17" s="501">
        <f t="shared" si="1"/>
        <v>4.1666666666666664E-2</v>
      </c>
      <c r="I17" s="502"/>
    </row>
    <row r="18" spans="2:10">
      <c r="B18" s="147" t="s">
        <v>225</v>
      </c>
      <c r="C18" t="s">
        <v>222</v>
      </c>
      <c r="D18" s="422">
        <f>G18</f>
        <v>1.25</v>
      </c>
      <c r="E18" s="421">
        <f>C6</f>
        <v>20</v>
      </c>
      <c r="F18" s="422">
        <f>D18*E18</f>
        <v>25</v>
      </c>
      <c r="G18" s="422">
        <v>1.25</v>
      </c>
      <c r="H18" s="501">
        <f t="shared" si="1"/>
        <v>1.893939393939394E-3</v>
      </c>
      <c r="I18" s="502"/>
    </row>
    <row r="19" spans="2:10">
      <c r="B19" s="147" t="s">
        <v>248</v>
      </c>
      <c r="C19" t="s">
        <v>222</v>
      </c>
      <c r="D19" s="436">
        <v>60</v>
      </c>
      <c r="E19" s="421">
        <f>C6</f>
        <v>20</v>
      </c>
      <c r="F19" s="422">
        <f>D19*E19</f>
        <v>1200</v>
      </c>
      <c r="G19" s="436">
        <f>D19</f>
        <v>60</v>
      </c>
      <c r="H19" s="501">
        <f t="shared" ref="H19" si="2">G19/$I$8</f>
        <v>9.0909090909090912E-2</v>
      </c>
      <c r="I19" s="502"/>
    </row>
    <row r="20" spans="2:10">
      <c r="B20" s="147"/>
      <c r="C20" t="s">
        <v>222</v>
      </c>
      <c r="D20" s="422">
        <v>2</v>
      </c>
      <c r="E20" s="421">
        <f>C6</f>
        <v>20</v>
      </c>
      <c r="F20" s="422">
        <f>D20*E20</f>
        <v>40</v>
      </c>
      <c r="G20" s="422">
        <v>1</v>
      </c>
      <c r="H20" s="501">
        <f t="shared" si="1"/>
        <v>1.5151515151515152E-3</v>
      </c>
      <c r="I20" s="502"/>
    </row>
    <row r="21" spans="2:10">
      <c r="B21" s="147" t="s">
        <v>227</v>
      </c>
      <c r="C21" t="s">
        <v>228</v>
      </c>
      <c r="D21" s="422">
        <v>100</v>
      </c>
      <c r="E21" s="421">
        <f>C6</f>
        <v>20</v>
      </c>
      <c r="F21" s="424">
        <f>D21*E21</f>
        <v>2000</v>
      </c>
      <c r="G21" s="422">
        <f>F21/20</f>
        <v>100</v>
      </c>
      <c r="H21" s="501">
        <f t="shared" si="1"/>
        <v>0.15151515151515152</v>
      </c>
      <c r="I21" s="502"/>
    </row>
    <row r="22" spans="2:10">
      <c r="B22" s="147" t="s">
        <v>229</v>
      </c>
      <c r="C22" t="s">
        <v>230</v>
      </c>
      <c r="D22" s="422">
        <v>2.2000000000000002</v>
      </c>
      <c r="E22" s="421">
        <f>I8</f>
        <v>660</v>
      </c>
      <c r="F22" s="422">
        <f>E22*D22*C6</f>
        <v>29040.000000000004</v>
      </c>
      <c r="G22" s="422">
        <f>F22/20</f>
        <v>1452.0000000000002</v>
      </c>
      <c r="H22" s="501">
        <f t="shared" si="1"/>
        <v>2.2000000000000002</v>
      </c>
      <c r="I22" s="502"/>
    </row>
    <row r="23" spans="2:10">
      <c r="B23" s="147" t="s">
        <v>231</v>
      </c>
      <c r="C23" t="s">
        <v>222</v>
      </c>
      <c r="D23" s="422">
        <v>35</v>
      </c>
      <c r="E23" s="421">
        <f>C6</f>
        <v>20</v>
      </c>
      <c r="F23" s="422">
        <f>D23*E23</f>
        <v>700</v>
      </c>
      <c r="G23" s="422">
        <f>F23/20</f>
        <v>35</v>
      </c>
      <c r="H23" s="501">
        <f t="shared" si="1"/>
        <v>5.3030303030303032E-2</v>
      </c>
      <c r="I23" s="502"/>
    </row>
    <row r="24" spans="2:10">
      <c r="B24" s="147" t="s">
        <v>232</v>
      </c>
      <c r="C24" t="s">
        <v>233</v>
      </c>
      <c r="D24" s="422">
        <v>0.2</v>
      </c>
      <c r="E24" s="421">
        <f>480/0.2</f>
        <v>2400</v>
      </c>
      <c r="F24" s="422">
        <f>D24*E24</f>
        <v>480</v>
      </c>
      <c r="G24" s="422">
        <v>24</v>
      </c>
      <c r="H24" s="501">
        <f t="shared" si="1"/>
        <v>3.6363636363636362E-2</v>
      </c>
      <c r="I24" s="502"/>
    </row>
    <row r="25" spans="2:10">
      <c r="B25" s="147" t="s">
        <v>234</v>
      </c>
      <c r="C25" t="s">
        <v>233</v>
      </c>
      <c r="D25" s="422">
        <v>0.57999999999999996</v>
      </c>
      <c r="E25" s="423">
        <f>6400</f>
        <v>6400</v>
      </c>
      <c r="F25" s="422">
        <f>D25*E25</f>
        <v>3711.9999999999995</v>
      </c>
      <c r="G25" s="422">
        <v>185.40983606557376</v>
      </c>
      <c r="H25" s="501">
        <f t="shared" si="1"/>
        <v>0.28092399403874813</v>
      </c>
      <c r="I25" s="502"/>
    </row>
    <row r="26" spans="2:10">
      <c r="B26" s="147" t="s">
        <v>235</v>
      </c>
      <c r="C26" t="s">
        <v>233</v>
      </c>
      <c r="D26" s="422">
        <v>0.35</v>
      </c>
      <c r="E26" s="421">
        <f>273/0.35</f>
        <v>780</v>
      </c>
      <c r="F26" s="422">
        <f>D26*E26</f>
        <v>273</v>
      </c>
      <c r="G26" s="422">
        <v>13.65</v>
      </c>
      <c r="H26" s="501">
        <f t="shared" si="1"/>
        <v>2.0681818181818183E-2</v>
      </c>
      <c r="I26" s="502"/>
    </row>
    <row r="27" spans="2:10">
      <c r="B27" s="170" t="s">
        <v>236</v>
      </c>
      <c r="C27" s="171"/>
      <c r="D27" s="171"/>
      <c r="E27" s="171"/>
      <c r="F27" s="422">
        <f>SUM(F10:F26)</f>
        <v>42020</v>
      </c>
      <c r="G27" s="422">
        <f>SUM(G10:G26)</f>
        <v>2099.809836065574</v>
      </c>
      <c r="H27" s="501">
        <f t="shared" si="1"/>
        <v>3.1815300546448091</v>
      </c>
      <c r="I27" s="502"/>
    </row>
    <row r="28" spans="2:10">
      <c r="B28" s="172" t="s">
        <v>237</v>
      </c>
      <c r="F28" s="422"/>
      <c r="G28" s="426"/>
      <c r="H28" s="501">
        <f t="shared" si="1"/>
        <v>0</v>
      </c>
      <c r="I28" s="502"/>
    </row>
    <row r="29" spans="2:10">
      <c r="B29" s="147" t="s">
        <v>238</v>
      </c>
      <c r="F29" s="422">
        <v>1200</v>
      </c>
      <c r="G29" s="422">
        <f>F29/20</f>
        <v>60</v>
      </c>
      <c r="H29" s="501">
        <f t="shared" si="1"/>
        <v>9.0909090909090912E-2</v>
      </c>
      <c r="I29" s="502"/>
    </row>
    <row r="30" spans="2:10">
      <c r="B30" s="147" t="s">
        <v>239</v>
      </c>
      <c r="F30" s="422">
        <v>440</v>
      </c>
      <c r="G30" s="422">
        <f>F30/20</f>
        <v>22</v>
      </c>
      <c r="H30" s="501">
        <f t="shared" si="1"/>
        <v>3.3333333333333333E-2</v>
      </c>
      <c r="I30" s="502"/>
    </row>
    <row r="31" spans="2:10">
      <c r="B31" s="172" t="s">
        <v>240</v>
      </c>
      <c r="F31" s="427">
        <f>F29+F30</f>
        <v>1640</v>
      </c>
      <c r="G31" s="427">
        <f>G29+G30</f>
        <v>82</v>
      </c>
      <c r="H31" s="501">
        <f t="shared" si="1"/>
        <v>0.12424242424242424</v>
      </c>
      <c r="I31" s="502"/>
    </row>
    <row r="32" spans="2:10" ht="16.5" thickBot="1">
      <c r="B32" s="432" t="s">
        <v>241</v>
      </c>
      <c r="C32" s="433"/>
      <c r="D32" s="433"/>
      <c r="E32" s="433"/>
      <c r="F32" s="434">
        <f>F31+F27+F6</f>
        <v>71160</v>
      </c>
      <c r="G32" s="429">
        <f>G27+G6+G31</f>
        <v>3556.809836065574</v>
      </c>
      <c r="H32" s="510">
        <f t="shared" si="1"/>
        <v>5.3891058122205671</v>
      </c>
      <c r="I32" s="511"/>
      <c r="J32" t="s">
        <v>242</v>
      </c>
    </row>
    <row r="33" spans="1:9" ht="16.5" thickBot="1">
      <c r="B33" s="152"/>
      <c r="C33" s="152"/>
      <c r="D33" s="152"/>
      <c r="E33" s="152" t="s">
        <v>243</v>
      </c>
      <c r="F33" s="434">
        <f>(K8*I8)*C6</f>
        <v>74580.000000000015</v>
      </c>
      <c r="G33" s="430">
        <f>(I8*K8)</f>
        <v>3729.0000000000005</v>
      </c>
      <c r="H33" s="168"/>
      <c r="I33" s="168"/>
    </row>
    <row r="34" spans="1:9" ht="16.5" thickBot="1">
      <c r="B34" s="152"/>
      <c r="C34" s="152"/>
      <c r="D34" s="152"/>
      <c r="E34" s="152" t="s">
        <v>244</v>
      </c>
      <c r="F34" s="435">
        <f>F33-F32</f>
        <v>3420.0000000000146</v>
      </c>
      <c r="G34" s="431">
        <f>G33-G32</f>
        <v>172.19016393442644</v>
      </c>
      <c r="H34" s="168"/>
      <c r="I34" s="168"/>
    </row>
    <row r="35" spans="1:9" ht="17.25">
      <c r="B35" s="514" t="s">
        <v>245</v>
      </c>
      <c r="C35" s="514"/>
      <c r="D35" s="514"/>
    </row>
    <row r="36" spans="1:9" ht="17.25">
      <c r="B36" s="174" t="s">
        <v>246</v>
      </c>
      <c r="C36" s="174"/>
      <c r="D36" s="174"/>
    </row>
    <row r="43" spans="1:9">
      <c r="A43" s="347" t="s">
        <v>465</v>
      </c>
    </row>
    <row r="44" spans="1:9">
      <c r="A44" s="142" t="s">
        <v>466</v>
      </c>
    </row>
  </sheetData>
  <mergeCells count="25">
    <mergeCell ref="H30:I30"/>
    <mergeCell ref="H31:I31"/>
    <mergeCell ref="H32:I32"/>
    <mergeCell ref="B35:D35"/>
    <mergeCell ref="H22:I22"/>
    <mergeCell ref="H23:I23"/>
    <mergeCell ref="H24:I24"/>
    <mergeCell ref="H25:I25"/>
    <mergeCell ref="H26:I26"/>
    <mergeCell ref="H27:I27"/>
    <mergeCell ref="K2:L3"/>
    <mergeCell ref="H15:I15"/>
    <mergeCell ref="H28:I28"/>
    <mergeCell ref="H29:I29"/>
    <mergeCell ref="H17:I17"/>
    <mergeCell ref="H18:I18"/>
    <mergeCell ref="H20:I20"/>
    <mergeCell ref="H21:I21"/>
    <mergeCell ref="H16:I16"/>
    <mergeCell ref="H19:I19"/>
    <mergeCell ref="B4:I4"/>
    <mergeCell ref="H5:I5"/>
    <mergeCell ref="H9:I9"/>
    <mergeCell ref="H10:I10"/>
    <mergeCell ref="H11:I11"/>
  </mergeCells>
  <hyperlinks>
    <hyperlink ref="L8" r:id="rId1" xr:uid="{C10CBC37-B907-284D-A5CD-D379AFEFC3CE}"/>
    <hyperlink ref="A44" r:id="rId2" xr:uid="{37741143-FF6D-AA47-99A8-E6BC5491698B}"/>
    <hyperlink ref="K2:L3" location="'Instructions &amp; summary data'!A1" display="Return to instructions page" xr:uid="{E036A908-6FBF-C446-A8BF-1411DE6AD06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9C84-8B9C-C941-BB07-F157A032DE5B}">
  <dimension ref="A2:R51"/>
  <sheetViews>
    <sheetView workbookViewId="0">
      <selection activeCell="O2" sqref="O2:P3"/>
    </sheetView>
  </sheetViews>
  <sheetFormatPr defaultColWidth="11" defaultRowHeight="15.75"/>
  <cols>
    <col min="4" max="4" width="28.875" customWidth="1"/>
  </cols>
  <sheetData>
    <row r="2" spans="1:16" ht="16.5" thickBot="1">
      <c r="O2" s="491" t="s">
        <v>549</v>
      </c>
      <c r="P2" s="491"/>
    </row>
    <row r="3" spans="1:16" ht="16.5" thickBot="1">
      <c r="C3" s="178" t="s">
        <v>253</v>
      </c>
      <c r="O3" s="492"/>
      <c r="P3" s="492"/>
    </row>
    <row r="4" spans="1:16" ht="24" thickBot="1">
      <c r="B4" s="179" t="s">
        <v>254</v>
      </c>
      <c r="C4" s="180">
        <v>10</v>
      </c>
    </row>
    <row r="5" spans="1:16" ht="16.5" thickBot="1">
      <c r="B5" s="181" t="s">
        <v>255</v>
      </c>
      <c r="C5" s="180">
        <v>0.08</v>
      </c>
    </row>
    <row r="6" spans="1:16">
      <c r="C6" s="516" t="s">
        <v>256</v>
      </c>
      <c r="D6" s="516"/>
      <c r="H6" t="s">
        <v>257</v>
      </c>
      <c r="J6" s="182">
        <f>((C5*(1+C5)^C4)/((1+C5)^C4-1))</f>
        <v>0.14902948869707539</v>
      </c>
      <c r="K6" t="s">
        <v>258</v>
      </c>
    </row>
    <row r="7" spans="1:16">
      <c r="C7" t="s">
        <v>259</v>
      </c>
      <c r="H7" s="183"/>
      <c r="I7" s="173"/>
      <c r="J7" t="s">
        <v>260</v>
      </c>
    </row>
    <row r="8" spans="1:16" ht="47.25">
      <c r="C8" s="184" t="s">
        <v>261</v>
      </c>
      <c r="D8" s="184"/>
      <c r="E8" s="185" t="s">
        <v>262</v>
      </c>
      <c r="F8" s="186" t="s">
        <v>263</v>
      </c>
      <c r="G8" s="187" t="s">
        <v>264</v>
      </c>
      <c r="H8" s="186" t="s">
        <v>265</v>
      </c>
      <c r="I8" s="188" t="s">
        <v>266</v>
      </c>
      <c r="J8" s="187" t="s">
        <v>267</v>
      </c>
    </row>
    <row r="9" spans="1:16">
      <c r="C9" s="158" t="s">
        <v>268</v>
      </c>
      <c r="D9" s="158"/>
      <c r="E9" s="437">
        <v>0</v>
      </c>
      <c r="F9" s="439">
        <v>1</v>
      </c>
      <c r="G9" s="440">
        <f>F9*E9</f>
        <v>0</v>
      </c>
      <c r="H9" s="441">
        <v>0</v>
      </c>
      <c r="I9" s="440">
        <f>G9/(1+$C$5)^H9</f>
        <v>0</v>
      </c>
      <c r="J9" s="440">
        <f>I9*$J$6</f>
        <v>0</v>
      </c>
    </row>
    <row r="10" spans="1:16">
      <c r="C10" s="158" t="s">
        <v>269</v>
      </c>
      <c r="D10" s="158"/>
      <c r="E10" s="437">
        <v>17.399999999999999</v>
      </c>
      <c r="F10" s="439">
        <v>0</v>
      </c>
      <c r="G10" s="440">
        <f t="shared" ref="G10:G25" si="0">F10*E10</f>
        <v>0</v>
      </c>
      <c r="H10" s="441">
        <v>0</v>
      </c>
      <c r="I10" s="440">
        <f t="shared" ref="I10:I18" si="1">G10/(1+$C$5)^H10</f>
        <v>0</v>
      </c>
      <c r="J10" s="440">
        <f t="shared" ref="J10:J25" si="2">I10*$J$6</f>
        <v>0</v>
      </c>
    </row>
    <row r="11" spans="1:16">
      <c r="C11" s="158" t="s">
        <v>270</v>
      </c>
      <c r="D11" s="158"/>
      <c r="E11" s="437">
        <v>6</v>
      </c>
      <c r="F11" s="439">
        <v>1</v>
      </c>
      <c r="G11" s="440">
        <f>F11*E11</f>
        <v>6</v>
      </c>
      <c r="H11" s="441">
        <v>0</v>
      </c>
      <c r="I11" s="440">
        <f t="shared" si="1"/>
        <v>6</v>
      </c>
      <c r="J11" s="440">
        <f t="shared" si="2"/>
        <v>0.89417693218245231</v>
      </c>
    </row>
    <row r="12" spans="1:16">
      <c r="C12" s="158" t="s">
        <v>271</v>
      </c>
      <c r="D12" s="158"/>
      <c r="E12" s="437">
        <v>15</v>
      </c>
      <c r="F12" s="439">
        <v>1</v>
      </c>
      <c r="G12" s="440">
        <f>F12*E12</f>
        <v>15</v>
      </c>
      <c r="H12" s="441">
        <v>0</v>
      </c>
      <c r="I12" s="440">
        <f t="shared" si="1"/>
        <v>15</v>
      </c>
      <c r="J12" s="440">
        <f t="shared" si="2"/>
        <v>2.2354423304561308</v>
      </c>
    </row>
    <row r="13" spans="1:16">
      <c r="C13" s="158" t="s">
        <v>272</v>
      </c>
      <c r="D13" s="158"/>
      <c r="E13" s="437">
        <v>7</v>
      </c>
      <c r="F13" s="439">
        <v>1</v>
      </c>
      <c r="G13" s="440">
        <f t="shared" si="0"/>
        <v>7</v>
      </c>
      <c r="H13" s="441">
        <v>0</v>
      </c>
      <c r="I13" s="440">
        <f t="shared" si="1"/>
        <v>7</v>
      </c>
      <c r="J13" s="440">
        <f t="shared" si="2"/>
        <v>1.0432064208795278</v>
      </c>
    </row>
    <row r="14" spans="1:16">
      <c r="C14" s="158" t="s">
        <v>273</v>
      </c>
      <c r="D14" s="158"/>
      <c r="E14" s="437">
        <v>25</v>
      </c>
      <c r="F14" s="439">
        <v>1</v>
      </c>
      <c r="G14" s="440">
        <f t="shared" si="0"/>
        <v>25</v>
      </c>
      <c r="H14" s="441">
        <v>0</v>
      </c>
      <c r="I14" s="440">
        <f t="shared" si="1"/>
        <v>25</v>
      </c>
      <c r="J14" s="440">
        <f t="shared" si="2"/>
        <v>3.7257372174268846</v>
      </c>
    </row>
    <row r="15" spans="1:16">
      <c r="C15" s="158" t="s">
        <v>274</v>
      </c>
      <c r="D15" s="158"/>
      <c r="E15" s="437">
        <v>162</v>
      </c>
      <c r="F15" s="439">
        <v>1</v>
      </c>
      <c r="G15" s="440">
        <f t="shared" si="0"/>
        <v>162</v>
      </c>
      <c r="H15" s="441">
        <v>0</v>
      </c>
      <c r="I15" s="440">
        <f t="shared" si="1"/>
        <v>162</v>
      </c>
      <c r="J15" s="440">
        <f t="shared" si="2"/>
        <v>24.142777168926212</v>
      </c>
    </row>
    <row r="16" spans="1:16">
      <c r="A16" t="s">
        <v>275</v>
      </c>
      <c r="C16" s="158" t="s">
        <v>276</v>
      </c>
      <c r="D16" s="158"/>
      <c r="E16" s="437">
        <v>25</v>
      </c>
      <c r="F16" s="439">
        <v>1</v>
      </c>
      <c r="G16" s="440">
        <f t="shared" si="0"/>
        <v>25</v>
      </c>
      <c r="H16" s="441">
        <v>0</v>
      </c>
      <c r="I16" s="440">
        <f t="shared" si="1"/>
        <v>25</v>
      </c>
      <c r="J16" s="440">
        <f t="shared" si="2"/>
        <v>3.7257372174268846</v>
      </c>
    </row>
    <row r="17" spans="1:15">
      <c r="A17" s="189">
        <v>14</v>
      </c>
      <c r="B17" s="182" t="s">
        <v>185</v>
      </c>
      <c r="C17" s="158" t="s">
        <v>277</v>
      </c>
      <c r="D17" s="158"/>
      <c r="E17" s="437">
        <f>A17*3</f>
        <v>42</v>
      </c>
      <c r="F17" s="439">
        <v>1</v>
      </c>
      <c r="G17" s="440">
        <f t="shared" si="0"/>
        <v>42</v>
      </c>
      <c r="H17" s="441">
        <v>1</v>
      </c>
      <c r="I17" s="440">
        <f t="shared" si="1"/>
        <v>38.888888888888886</v>
      </c>
      <c r="J17" s="440">
        <f t="shared" si="2"/>
        <v>5.7955912271084866</v>
      </c>
    </row>
    <row r="18" spans="1:15">
      <c r="A18" s="189">
        <v>8</v>
      </c>
      <c r="B18" s="182" t="s">
        <v>185</v>
      </c>
      <c r="C18" s="158" t="s">
        <v>278</v>
      </c>
      <c r="D18" s="158"/>
      <c r="E18" s="437">
        <f>A17+A18+A19+A20</f>
        <v>43</v>
      </c>
      <c r="F18" s="439">
        <v>1</v>
      </c>
      <c r="G18" s="440">
        <f t="shared" si="0"/>
        <v>43</v>
      </c>
      <c r="H18" s="441">
        <v>2</v>
      </c>
      <c r="I18" s="440">
        <f t="shared" si="1"/>
        <v>36.865569272976678</v>
      </c>
      <c r="J18" s="440">
        <f t="shared" si="2"/>
        <v>5.4940569392783276</v>
      </c>
    </row>
    <row r="19" spans="1:15">
      <c r="A19" s="189">
        <v>16</v>
      </c>
      <c r="B19" s="182" t="s">
        <v>185</v>
      </c>
      <c r="C19" s="191" t="s">
        <v>279</v>
      </c>
      <c r="D19" s="191"/>
      <c r="E19" s="192"/>
      <c r="F19" s="193"/>
      <c r="G19" s="194"/>
      <c r="H19" s="195"/>
      <c r="I19" s="194"/>
      <c r="J19" s="173">
        <f>I19*$J$6</f>
        <v>0</v>
      </c>
    </row>
    <row r="20" spans="1:15">
      <c r="A20" s="189">
        <v>5</v>
      </c>
      <c r="B20" s="182" t="s">
        <v>280</v>
      </c>
      <c r="C20" s="158" t="s">
        <v>281</v>
      </c>
      <c r="D20" s="158"/>
      <c r="E20" s="437">
        <v>120</v>
      </c>
      <c r="F20" s="442">
        <v>0</v>
      </c>
      <c r="G20" s="440">
        <f t="shared" si="0"/>
        <v>0</v>
      </c>
      <c r="H20" s="441">
        <v>3</v>
      </c>
      <c r="I20" s="440">
        <f>G20/(1+$C$5)^3</f>
        <v>0</v>
      </c>
      <c r="J20" s="440">
        <f t="shared" si="2"/>
        <v>0</v>
      </c>
      <c r="K20" s="173">
        <f t="shared" ref="K20:L20" si="3">I20/(1+$C$5)^3</f>
        <v>0</v>
      </c>
      <c r="L20" s="173">
        <f t="shared" si="3"/>
        <v>0</v>
      </c>
    </row>
    <row r="21" spans="1:15">
      <c r="C21" s="158" t="s">
        <v>282</v>
      </c>
      <c r="D21" s="158"/>
      <c r="E21" s="437">
        <v>29</v>
      </c>
      <c r="F21" s="442">
        <v>0</v>
      </c>
      <c r="G21" s="440">
        <f t="shared" si="0"/>
        <v>0</v>
      </c>
      <c r="H21" s="441" t="s">
        <v>283</v>
      </c>
      <c r="I21" s="443">
        <f>G21*(((1+$C$5)^$C$4-1)/(((1+$C$5)^3-1)*(1+$C$5)^$C$4))</f>
        <v>0</v>
      </c>
      <c r="J21" s="440">
        <f t="shared" si="2"/>
        <v>0</v>
      </c>
    </row>
    <row r="22" spans="1:15">
      <c r="C22" s="158" t="s">
        <v>284</v>
      </c>
      <c r="D22" s="197"/>
      <c r="E22" s="438">
        <v>32</v>
      </c>
      <c r="F22" s="444">
        <v>1</v>
      </c>
      <c r="G22" s="443">
        <f t="shared" si="0"/>
        <v>32</v>
      </c>
      <c r="H22" s="445" t="s">
        <v>285</v>
      </c>
      <c r="I22" s="443">
        <f>G22*(((1+$C$5)^$C$4-1)/(((1+$C$5)^3-1)*(1+$C$5)^$C$4))</f>
        <v>66.141758491290716</v>
      </c>
      <c r="J22" s="440">
        <f t="shared" si="2"/>
        <v>9.8570724494824997</v>
      </c>
    </row>
    <row r="23" spans="1:15">
      <c r="C23" s="184" t="s">
        <v>286</v>
      </c>
      <c r="D23" s="199"/>
      <c r="E23" s="192"/>
      <c r="F23" s="200"/>
      <c r="G23" s="194"/>
      <c r="H23" s="195"/>
      <c r="I23" s="194"/>
      <c r="J23" s="173">
        <f t="shared" si="2"/>
        <v>0</v>
      </c>
    </row>
    <row r="24" spans="1:15">
      <c r="C24" s="158" t="s">
        <v>287</v>
      </c>
      <c r="D24" s="158"/>
      <c r="E24" s="437">
        <v>139</v>
      </c>
      <c r="F24" s="442">
        <v>1</v>
      </c>
      <c r="G24" s="440">
        <f t="shared" si="0"/>
        <v>139</v>
      </c>
      <c r="H24" s="446" t="s">
        <v>184</v>
      </c>
      <c r="I24" s="440">
        <f>(E24*((((1+$C$5)^C4)-1))/(($C$5)*(1+$C$5)^C4))</f>
        <v>932.70131445286108</v>
      </c>
      <c r="J24" s="440">
        <f t="shared" si="2"/>
        <v>139.00000000000003</v>
      </c>
      <c r="M24" s="173"/>
    </row>
    <row r="25" spans="1:15" ht="32.25" thickBot="1">
      <c r="C25" s="197" t="s">
        <v>288</v>
      </c>
      <c r="D25" s="197"/>
      <c r="E25" s="438">
        <f>(E13+E9+E14+E15+E17+E16+E18)*0.03</f>
        <v>9.1199999999999992</v>
      </c>
      <c r="F25" s="444">
        <v>1</v>
      </c>
      <c r="G25" s="443">
        <f t="shared" si="0"/>
        <v>9.1199999999999992</v>
      </c>
      <c r="H25" s="447" t="s">
        <v>184</v>
      </c>
      <c r="I25" s="440">
        <f>(E25*((((1+$C$5)^C4)-1))/(($C$5)*(1+$C$5)^C4))</f>
        <v>61.195942358345988</v>
      </c>
      <c r="J25" s="440">
        <f t="shared" si="2"/>
        <v>9.120000000000001</v>
      </c>
      <c r="K25" s="143" t="s">
        <v>474</v>
      </c>
      <c r="L25" t="s">
        <v>10</v>
      </c>
    </row>
    <row r="26" spans="1:15" ht="16.5" thickBot="1">
      <c r="H26" t="s">
        <v>289</v>
      </c>
      <c r="J26" s="448">
        <f>SUM(J9:J25)</f>
        <v>205.03379790316745</v>
      </c>
      <c r="K26" s="176"/>
      <c r="L26" s="242">
        <f>J26*K26</f>
        <v>0</v>
      </c>
    </row>
    <row r="27" spans="1:15" ht="16.5" thickBot="1">
      <c r="H27" t="s">
        <v>290</v>
      </c>
      <c r="J27" s="391">
        <f>J26*2.47</f>
        <v>506.43348082082366</v>
      </c>
      <c r="K27" s="449"/>
      <c r="L27" s="242">
        <f>J27*K27</f>
        <v>0</v>
      </c>
    </row>
    <row r="28" spans="1:15">
      <c r="J28" s="173"/>
    </row>
    <row r="29" spans="1:15">
      <c r="C29" t="s">
        <v>291</v>
      </c>
      <c r="J29" s="173"/>
    </row>
    <row r="30" spans="1:15">
      <c r="C30" t="s">
        <v>292</v>
      </c>
    </row>
    <row r="31" spans="1:15">
      <c r="C31" s="515" t="s">
        <v>293</v>
      </c>
      <c r="D31" s="515"/>
      <c r="E31" s="515"/>
      <c r="F31" s="515"/>
      <c r="G31" s="515"/>
      <c r="H31" s="515"/>
      <c r="I31" s="515"/>
      <c r="J31" s="515"/>
      <c r="K31" s="515"/>
      <c r="L31" s="515"/>
      <c r="M31" s="515"/>
      <c r="N31" s="515"/>
      <c r="O31" s="515"/>
    </row>
    <row r="32" spans="1:15">
      <c r="C32" s="515"/>
      <c r="D32" s="515"/>
      <c r="E32" s="515"/>
      <c r="F32" s="515"/>
      <c r="G32" s="515"/>
      <c r="H32" s="515"/>
      <c r="I32" s="515"/>
      <c r="J32" s="515"/>
      <c r="K32" s="515"/>
      <c r="L32" s="515"/>
      <c r="M32" s="515"/>
      <c r="N32" s="515"/>
      <c r="O32" s="515"/>
    </row>
    <row r="33" spans="3:18">
      <c r="C33" t="s">
        <v>386</v>
      </c>
    </row>
    <row r="34" spans="3:18">
      <c r="C34" s="515" t="s">
        <v>294</v>
      </c>
      <c r="D34" s="515"/>
      <c r="E34" s="515"/>
      <c r="F34" s="515"/>
      <c r="G34" s="515"/>
      <c r="H34" s="515"/>
      <c r="I34" s="515"/>
      <c r="J34" s="515"/>
      <c r="K34" s="515"/>
      <c r="L34" s="515"/>
      <c r="M34" s="515"/>
      <c r="N34" s="515"/>
      <c r="O34" s="515"/>
      <c r="P34" s="515"/>
      <c r="Q34" s="515"/>
      <c r="R34" s="515"/>
    </row>
    <row r="35" spans="3:18">
      <c r="C35" s="515"/>
      <c r="D35" s="515"/>
      <c r="E35" s="515"/>
      <c r="F35" s="515"/>
      <c r="G35" s="515"/>
      <c r="H35" s="515"/>
      <c r="I35" s="515"/>
      <c r="J35" s="515"/>
      <c r="K35" s="515"/>
      <c r="L35" s="515"/>
      <c r="M35" s="515"/>
      <c r="N35" s="515"/>
      <c r="O35" s="515"/>
      <c r="P35" s="515"/>
      <c r="Q35" s="515"/>
      <c r="R35" s="515"/>
    </row>
    <row r="36" spans="3:18">
      <c r="C36" s="515" t="s">
        <v>295</v>
      </c>
      <c r="D36" s="515"/>
      <c r="E36" s="515"/>
      <c r="F36" s="515"/>
      <c r="G36" s="515"/>
      <c r="H36" s="515"/>
      <c r="I36" s="515"/>
      <c r="J36" s="515"/>
      <c r="K36" s="515"/>
      <c r="L36" s="515"/>
      <c r="M36" s="515"/>
      <c r="N36" s="515"/>
      <c r="O36" s="515"/>
    </row>
    <row r="37" spans="3:18">
      <c r="C37" s="515"/>
      <c r="D37" s="515"/>
      <c r="E37" s="515"/>
      <c r="F37" s="515"/>
      <c r="G37" s="515"/>
      <c r="H37" s="515"/>
      <c r="I37" s="515"/>
      <c r="J37" s="515"/>
      <c r="K37" s="515"/>
      <c r="L37" s="515"/>
      <c r="M37" s="515"/>
      <c r="N37" s="515"/>
      <c r="O37" s="515"/>
    </row>
    <row r="38" spans="3:18">
      <c r="C38" s="515" t="s">
        <v>296</v>
      </c>
      <c r="D38" s="515"/>
      <c r="E38" s="515"/>
      <c r="F38" s="515"/>
      <c r="G38" s="515"/>
      <c r="H38" s="515"/>
      <c r="I38" s="515"/>
      <c r="J38" s="515"/>
      <c r="K38" s="515"/>
      <c r="L38" s="515"/>
      <c r="M38" s="515"/>
      <c r="N38" s="515"/>
      <c r="O38" s="515"/>
    </row>
    <row r="39" spans="3:18">
      <c r="C39" s="515"/>
      <c r="D39" s="515"/>
      <c r="E39" s="515"/>
      <c r="F39" s="515"/>
      <c r="G39" s="515"/>
      <c r="H39" s="515"/>
      <c r="I39" s="515"/>
      <c r="J39" s="515"/>
      <c r="K39" s="515"/>
      <c r="L39" s="515"/>
      <c r="M39" s="515"/>
      <c r="N39" s="515"/>
      <c r="O39" s="515"/>
    </row>
    <row r="40" spans="3:18">
      <c r="C40" s="515"/>
      <c r="D40" s="515"/>
      <c r="E40" s="515"/>
      <c r="F40" s="515"/>
      <c r="G40" s="515"/>
      <c r="H40" s="515"/>
      <c r="I40" s="515"/>
      <c r="J40" s="515"/>
      <c r="K40" s="515"/>
      <c r="L40" s="515"/>
      <c r="M40" s="515"/>
      <c r="N40" s="515"/>
      <c r="O40" s="515"/>
    </row>
    <row r="41" spans="3:18">
      <c r="C41" s="515"/>
      <c r="D41" s="515"/>
      <c r="E41" s="515"/>
      <c r="F41" s="515"/>
      <c r="G41" s="515"/>
      <c r="H41" s="515"/>
      <c r="I41" s="515"/>
      <c r="J41" s="515"/>
      <c r="K41" s="515"/>
      <c r="L41" s="515"/>
      <c r="M41" s="515"/>
      <c r="N41" s="515"/>
      <c r="O41" s="515"/>
    </row>
    <row r="42" spans="3:18">
      <c r="C42" s="515"/>
      <c r="D42" s="515"/>
      <c r="E42" s="515"/>
      <c r="F42" s="515"/>
      <c r="G42" s="515"/>
      <c r="H42" s="515"/>
      <c r="I42" s="515"/>
      <c r="J42" s="515"/>
      <c r="K42" s="515"/>
      <c r="L42" s="515"/>
      <c r="M42" s="515"/>
      <c r="N42" s="515"/>
      <c r="O42" s="515"/>
    </row>
    <row r="43" spans="3:18">
      <c r="C43" t="s">
        <v>297</v>
      </c>
      <c r="D43" t="s">
        <v>298</v>
      </c>
      <c r="E43" t="s">
        <v>299</v>
      </c>
    </row>
    <row r="46" spans="3:18">
      <c r="C46" t="s">
        <v>300</v>
      </c>
    </row>
    <row r="47" spans="3:18">
      <c r="C47" t="s">
        <v>301</v>
      </c>
    </row>
    <row r="50" spans="1:1">
      <c r="A50" s="347" t="s">
        <v>452</v>
      </c>
    </row>
    <row r="51" spans="1:1">
      <c r="A51" s="142" t="s">
        <v>453</v>
      </c>
    </row>
  </sheetData>
  <mergeCells count="6">
    <mergeCell ref="C38:O42"/>
    <mergeCell ref="O2:P3"/>
    <mergeCell ref="C6:D6"/>
    <mergeCell ref="C31:O32"/>
    <mergeCell ref="C34:R35"/>
    <mergeCell ref="C36:O37"/>
  </mergeCells>
  <hyperlinks>
    <hyperlink ref="A51" r:id="rId1" display="https://acsess.onlinelibrary.wiley.com/doi/full/10.1002/jeq2.20345" xr:uid="{C45D33C2-0FE5-634B-876D-B64190ED8B1E}"/>
    <hyperlink ref="O2:P3" location="'Instructions &amp; summary data'!A1" display="Return to instructions page" xr:uid="{05FE0311-4A06-F34B-955F-494EEF9BA40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2D6F-29E8-3942-9920-D3DC4686C945}">
  <dimension ref="B3:N25"/>
  <sheetViews>
    <sheetView workbookViewId="0">
      <selection activeCell="M3" sqref="M3:N4"/>
    </sheetView>
  </sheetViews>
  <sheetFormatPr defaultColWidth="11" defaultRowHeight="15.75"/>
  <cols>
    <col min="2" max="2" width="15.125" customWidth="1"/>
  </cols>
  <sheetData>
    <row r="3" spans="2:14">
      <c r="M3" s="491" t="s">
        <v>549</v>
      </c>
      <c r="N3" s="491"/>
    </row>
    <row r="4" spans="2:14" ht="26.25">
      <c r="B4" s="338" t="s">
        <v>417</v>
      </c>
      <c r="M4" s="492"/>
      <c r="N4" s="492"/>
    </row>
    <row r="6" spans="2:14">
      <c r="B6" s="515" t="s">
        <v>418</v>
      </c>
      <c r="C6" s="517"/>
      <c r="D6" s="517"/>
      <c r="E6" s="517"/>
      <c r="F6" s="517"/>
      <c r="G6" s="517"/>
      <c r="H6" s="517"/>
      <c r="I6" s="517"/>
      <c r="J6" s="517"/>
      <c r="K6" s="517"/>
    </row>
    <row r="7" spans="2:14">
      <c r="B7" s="517"/>
      <c r="C7" s="517"/>
      <c r="D7" s="517"/>
      <c r="E7" s="517"/>
      <c r="F7" s="517"/>
      <c r="G7" s="517"/>
      <c r="H7" s="517"/>
      <c r="I7" s="517"/>
      <c r="J7" s="517"/>
      <c r="K7" s="517"/>
    </row>
    <row r="8" spans="2:14">
      <c r="B8" s="517"/>
      <c r="C8" s="517"/>
      <c r="D8" s="517"/>
      <c r="E8" s="517"/>
      <c r="F8" s="517"/>
      <c r="G8" s="517"/>
      <c r="H8" s="517"/>
      <c r="I8" s="517"/>
      <c r="J8" s="517"/>
      <c r="K8" s="517"/>
    </row>
    <row r="9" spans="2:14">
      <c r="B9" s="517"/>
      <c r="C9" s="517"/>
      <c r="D9" s="517"/>
      <c r="E9" s="517"/>
      <c r="F9" s="517"/>
      <c r="G9" s="517"/>
      <c r="H9" s="517"/>
      <c r="I9" s="517"/>
      <c r="J9" s="517"/>
      <c r="K9" s="517"/>
    </row>
    <row r="10" spans="2:14">
      <c r="B10" s="517"/>
      <c r="C10" s="517"/>
      <c r="D10" s="517"/>
      <c r="E10" s="517"/>
      <c r="F10" s="517"/>
      <c r="G10" s="517"/>
      <c r="H10" s="517"/>
      <c r="I10" s="517"/>
      <c r="J10" s="517"/>
      <c r="K10" s="517"/>
    </row>
    <row r="11" spans="2:14" ht="2.1" customHeight="1">
      <c r="B11" s="517"/>
      <c r="C11" s="517"/>
      <c r="D11" s="517"/>
      <c r="E11" s="517"/>
      <c r="F11" s="517"/>
      <c r="G11" s="517"/>
      <c r="H11" s="517"/>
      <c r="I11" s="517"/>
      <c r="J11" s="517"/>
      <c r="K11" s="517"/>
    </row>
    <row r="12" spans="2:14" hidden="1">
      <c r="B12" s="517"/>
      <c r="C12" s="517"/>
      <c r="D12" s="517"/>
      <c r="E12" s="517"/>
      <c r="F12" s="517"/>
      <c r="G12" s="517"/>
      <c r="H12" s="517"/>
      <c r="I12" s="517"/>
      <c r="J12" s="517"/>
      <c r="K12" s="517"/>
    </row>
    <row r="14" spans="2:14" ht="48" thickBot="1">
      <c r="C14" s="236" t="s">
        <v>420</v>
      </c>
      <c r="D14" s="164" t="s">
        <v>421</v>
      </c>
      <c r="E14" s="323" t="s">
        <v>425</v>
      </c>
      <c r="F14" s="143" t="s">
        <v>474</v>
      </c>
      <c r="G14" t="s">
        <v>10</v>
      </c>
    </row>
    <row r="15" spans="2:14" ht="16.5" thickBot="1">
      <c r="C15" s="317">
        <v>3014.35</v>
      </c>
      <c r="D15" s="336">
        <v>116</v>
      </c>
      <c r="E15" s="337">
        <f>(C15*D24)+D15</f>
        <v>312.08779333423172</v>
      </c>
      <c r="F15" s="176"/>
      <c r="G15" s="242">
        <f>E15*F15</f>
        <v>0</v>
      </c>
    </row>
    <row r="16" spans="2:14">
      <c r="B16" t="s">
        <v>424</v>
      </c>
      <c r="G16" s="173"/>
    </row>
    <row r="18" spans="2:4">
      <c r="B18" s="347" t="s">
        <v>426</v>
      </c>
    </row>
    <row r="19" spans="2:4">
      <c r="B19" s="142" t="s">
        <v>419</v>
      </c>
    </row>
    <row r="23" spans="2:4">
      <c r="D23" t="s">
        <v>422</v>
      </c>
    </row>
    <row r="24" spans="2:4">
      <c r="B24" t="s">
        <v>255</v>
      </c>
      <c r="C24" s="182">
        <v>0.05</v>
      </c>
      <c r="D24" s="182">
        <f>((C24*(1+C24)^C25)/((1+C24)^C25-1))</f>
        <v>6.5051435080276582E-2</v>
      </c>
    </row>
    <row r="25" spans="2:4">
      <c r="B25" t="s">
        <v>423</v>
      </c>
      <c r="C25" s="182">
        <v>30</v>
      </c>
    </row>
  </sheetData>
  <mergeCells count="2">
    <mergeCell ref="B6:K12"/>
    <mergeCell ref="M3:N4"/>
  </mergeCells>
  <hyperlinks>
    <hyperlink ref="B19" r:id="rId1" xr:uid="{9F6DE8F2-90BF-8A47-B1B9-554A03E0764B}"/>
    <hyperlink ref="M3:N4" location="'Instructions &amp; summary data'!A1" display="Return to instructions page" xr:uid="{7ECB8158-23B6-AB4F-8DD1-CB91C22F0A3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F66E2-3DF4-9546-9591-F0B3F5EDDB6E}">
  <dimension ref="B2:J13"/>
  <sheetViews>
    <sheetView workbookViewId="0"/>
  </sheetViews>
  <sheetFormatPr defaultColWidth="11" defaultRowHeight="15.75"/>
  <cols>
    <col min="2" max="2" width="18.125" customWidth="1"/>
  </cols>
  <sheetData>
    <row r="2" spans="2:10" ht="23.25">
      <c r="B2" s="480" t="s">
        <v>252</v>
      </c>
      <c r="I2" s="491" t="s">
        <v>549</v>
      </c>
      <c r="J2" s="491"/>
    </row>
    <row r="3" spans="2:10">
      <c r="I3" s="492"/>
      <c r="J3" s="492"/>
    </row>
    <row r="4" spans="2:10">
      <c r="B4" s="142" t="s">
        <v>302</v>
      </c>
    </row>
    <row r="8" spans="2:10">
      <c r="C8" t="s">
        <v>475</v>
      </c>
    </row>
    <row r="10" spans="2:10">
      <c r="B10" t="s">
        <v>478</v>
      </c>
      <c r="C10" s="452">
        <v>40.82</v>
      </c>
      <c r="D10" t="s">
        <v>476</v>
      </c>
    </row>
    <row r="12" spans="2:10" ht="18" thickBot="1">
      <c r="C12" s="451">
        <v>0</v>
      </c>
      <c r="D12" t="s">
        <v>477</v>
      </c>
    </row>
    <row r="13" spans="2:10" ht="16.5" thickBot="1">
      <c r="C13" s="450">
        <f>C12*C10</f>
        <v>0</v>
      </c>
      <c r="D13" t="s">
        <v>479</v>
      </c>
    </row>
  </sheetData>
  <mergeCells count="1">
    <mergeCell ref="I2:J3"/>
  </mergeCells>
  <hyperlinks>
    <hyperlink ref="B4" r:id="rId1" xr:uid="{BC38C3F6-057D-A143-8482-5670C70587D9}"/>
    <hyperlink ref="I2:J3" location="'Instructions &amp; summary data'!A1" display="Return to instructions page" xr:uid="{9EA1179E-9193-BF47-A325-6139671D210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C711-1E34-C449-A958-36DCDBDB5F59}">
  <dimension ref="A2:J38"/>
  <sheetViews>
    <sheetView workbookViewId="0">
      <selection activeCell="I2" sqref="I2:J3"/>
    </sheetView>
  </sheetViews>
  <sheetFormatPr defaultColWidth="11" defaultRowHeight="15.75"/>
  <cols>
    <col min="2" max="2" width="21.375" customWidth="1"/>
    <col min="5" max="5" width="18.375" customWidth="1"/>
  </cols>
  <sheetData>
    <row r="2" spans="2:10">
      <c r="I2" s="491" t="s">
        <v>549</v>
      </c>
      <c r="J2" s="491"/>
    </row>
    <row r="3" spans="2:10">
      <c r="I3" s="492"/>
      <c r="J3" s="492"/>
    </row>
    <row r="5" spans="2:10" ht="23.25">
      <c r="B5" s="480" t="s">
        <v>445</v>
      </c>
    </row>
    <row r="6" spans="2:10">
      <c r="B6" t="s">
        <v>547</v>
      </c>
    </row>
    <row r="8" spans="2:10">
      <c r="B8" t="s">
        <v>428</v>
      </c>
    </row>
    <row r="9" spans="2:10">
      <c r="B9" t="s">
        <v>427</v>
      </c>
    </row>
    <row r="12" spans="2:10">
      <c r="B12" s="518" t="s">
        <v>548</v>
      </c>
      <c r="C12" s="518"/>
      <c r="D12" s="518"/>
    </row>
    <row r="13" spans="2:10" ht="33.950000000000003" customHeight="1">
      <c r="B13" s="198" t="s">
        <v>439</v>
      </c>
      <c r="C13" s="198" t="s">
        <v>437</v>
      </c>
      <c r="D13" s="198" t="s">
        <v>438</v>
      </c>
      <c r="F13" s="236" t="s">
        <v>440</v>
      </c>
      <c r="G13" s="236" t="s">
        <v>441</v>
      </c>
      <c r="H13" s="236" t="s">
        <v>442</v>
      </c>
    </row>
    <row r="14" spans="2:10">
      <c r="B14" t="s">
        <v>429</v>
      </c>
      <c r="C14" s="340">
        <v>0.23</v>
      </c>
      <c r="D14" s="341">
        <v>0</v>
      </c>
      <c r="F14" s="343">
        <v>0.03</v>
      </c>
      <c r="G14" s="344">
        <v>1</v>
      </c>
      <c r="H14" s="344">
        <v>0</v>
      </c>
    </row>
    <row r="15" spans="2:10">
      <c r="B15" t="s">
        <v>430</v>
      </c>
      <c r="C15" s="342">
        <v>0.16</v>
      </c>
      <c r="D15" s="335">
        <v>0</v>
      </c>
      <c r="F15" s="343">
        <v>0.05</v>
      </c>
      <c r="G15" s="344">
        <v>1</v>
      </c>
      <c r="H15" s="344">
        <v>0</v>
      </c>
    </row>
    <row r="16" spans="2:10">
      <c r="B16" t="s">
        <v>431</v>
      </c>
      <c r="C16" s="342">
        <v>0.19</v>
      </c>
      <c r="D16" s="335">
        <v>0</v>
      </c>
      <c r="F16" s="343">
        <v>0.1</v>
      </c>
      <c r="G16" s="344">
        <v>1</v>
      </c>
      <c r="H16" s="344">
        <v>0</v>
      </c>
    </row>
    <row r="17" spans="2:9">
      <c r="B17" t="s">
        <v>433</v>
      </c>
      <c r="C17" s="335">
        <v>0.76</v>
      </c>
      <c r="D17" s="335">
        <v>1.54</v>
      </c>
      <c r="F17" s="343">
        <v>0.23</v>
      </c>
      <c r="G17" s="344">
        <v>0.66</v>
      </c>
      <c r="H17" s="344">
        <v>0.33</v>
      </c>
      <c r="I17" s="169">
        <f>(C17*G17)+(D17*H17)</f>
        <v>1.0098</v>
      </c>
    </row>
    <row r="18" spans="2:9">
      <c r="B18" t="s">
        <v>434</v>
      </c>
      <c r="C18" s="335">
        <v>0.25</v>
      </c>
      <c r="D18" s="335">
        <v>0.84</v>
      </c>
      <c r="F18" s="343">
        <v>0.23</v>
      </c>
      <c r="G18" s="344">
        <v>0.66</v>
      </c>
      <c r="H18" s="344">
        <v>0.33</v>
      </c>
      <c r="I18" s="169">
        <f>(C18*G18)+(D18*H18)</f>
        <v>0.44220000000000004</v>
      </c>
    </row>
    <row r="19" spans="2:9">
      <c r="B19" t="s">
        <v>435</v>
      </c>
      <c r="C19" s="335">
        <v>0.22</v>
      </c>
      <c r="D19" s="335"/>
      <c r="F19" s="343">
        <v>0.2</v>
      </c>
      <c r="G19" s="344">
        <v>1</v>
      </c>
      <c r="H19" s="344">
        <v>0</v>
      </c>
    </row>
    <row r="20" spans="2:9">
      <c r="B20" t="s">
        <v>436</v>
      </c>
      <c r="C20" s="335">
        <v>0.25</v>
      </c>
      <c r="D20" s="335"/>
      <c r="F20" s="343">
        <v>0.1</v>
      </c>
      <c r="G20" s="344">
        <v>1</v>
      </c>
      <c r="H20" s="344">
        <v>0</v>
      </c>
    </row>
    <row r="21" spans="2:9">
      <c r="B21" s="198" t="s">
        <v>432</v>
      </c>
      <c r="C21" s="342">
        <v>1.63</v>
      </c>
      <c r="D21" s="335">
        <v>3.23</v>
      </c>
      <c r="F21" s="343">
        <v>0.04</v>
      </c>
      <c r="G21" s="344">
        <v>0.5</v>
      </c>
      <c r="H21" s="344">
        <v>0.5</v>
      </c>
      <c r="I21" s="169">
        <f>(C21*G21)+(D21*H21)</f>
        <v>2.4299999999999997</v>
      </c>
    </row>
    <row r="22" spans="2:9">
      <c r="C22" s="339"/>
      <c r="F22" s="344">
        <f>SUM(F14:F21)</f>
        <v>0.98000000000000009</v>
      </c>
    </row>
    <row r="25" spans="2:9" ht="77.099999999999994" customHeight="1" thickBot="1">
      <c r="D25" s="143"/>
      <c r="E25" s="143" t="s">
        <v>443</v>
      </c>
      <c r="F25" s="143" t="s">
        <v>444</v>
      </c>
      <c r="G25" s="143" t="s">
        <v>447</v>
      </c>
    </row>
    <row r="26" spans="2:9" ht="16.5" thickBot="1">
      <c r="E26" s="464">
        <f>(C14+F14)+(C15*F15)+(C16*F16)+(F17*I17)+(F18*I18)+(C19*F19)+(C20*F20)+(F21*I21)</f>
        <v>0.78716000000000019</v>
      </c>
      <c r="F26" s="176"/>
      <c r="G26" s="431">
        <f>F26*D32</f>
        <v>0</v>
      </c>
    </row>
    <row r="31" spans="2:9">
      <c r="D31" t="s">
        <v>422</v>
      </c>
    </row>
    <row r="32" spans="2:9">
      <c r="B32" t="s">
        <v>255</v>
      </c>
      <c r="C32" s="182">
        <v>0.05</v>
      </c>
      <c r="D32" s="182">
        <f>((C32*(1+C32)^C33)/((1+C32)^C33-1))</f>
        <v>5.4776735485736472E-2</v>
      </c>
    </row>
    <row r="33" spans="1:3">
      <c r="B33" t="s">
        <v>423</v>
      </c>
      <c r="C33" s="182">
        <v>50</v>
      </c>
    </row>
    <row r="37" spans="1:3">
      <c r="A37" s="347" t="s">
        <v>450</v>
      </c>
    </row>
    <row r="38" spans="1:3">
      <c r="A38" s="142" t="s">
        <v>451</v>
      </c>
    </row>
  </sheetData>
  <mergeCells count="2">
    <mergeCell ref="B12:D12"/>
    <mergeCell ref="I2:J3"/>
  </mergeCells>
  <hyperlinks>
    <hyperlink ref="A38" r:id="rId1" xr:uid="{53C883AC-11F2-BC45-B697-6B1C52165117}"/>
    <hyperlink ref="I2:J3" location="'Instructions &amp; summary data'!A1" display="Return to instructions page" xr:uid="{6A1E6A34-76CF-5249-9835-B6913AFFDB9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AC65-59A5-CF4D-9B5E-ADD6CD8F4C29}">
  <dimension ref="A3:N39"/>
  <sheetViews>
    <sheetView workbookViewId="0">
      <selection activeCell="M3" sqref="M3:N4"/>
    </sheetView>
  </sheetViews>
  <sheetFormatPr defaultColWidth="11" defaultRowHeight="15.75"/>
  <cols>
    <col min="6" max="6" width="12.375" customWidth="1"/>
  </cols>
  <sheetData>
    <row r="3" spans="2:14">
      <c r="M3" s="491" t="s">
        <v>549</v>
      </c>
      <c r="N3" s="491"/>
    </row>
    <row r="4" spans="2:14">
      <c r="M4" s="492"/>
      <c r="N4" s="492"/>
    </row>
    <row r="5" spans="2:14" ht="23.25">
      <c r="B5" s="480" t="s">
        <v>446</v>
      </c>
    </row>
    <row r="6" spans="2:14">
      <c r="B6" t="s">
        <v>547</v>
      </c>
    </row>
    <row r="8" spans="2:14">
      <c r="B8" t="s">
        <v>428</v>
      </c>
    </row>
    <row r="9" spans="2:14">
      <c r="B9" t="s">
        <v>427</v>
      </c>
    </row>
    <row r="12" spans="2:14">
      <c r="B12" s="518" t="s">
        <v>548</v>
      </c>
      <c r="C12" s="518"/>
      <c r="D12" s="518"/>
    </row>
    <row r="13" spans="2:14">
      <c r="B13" s="198" t="s">
        <v>439</v>
      </c>
      <c r="C13" s="198" t="s">
        <v>437</v>
      </c>
      <c r="D13" s="198" t="s">
        <v>438</v>
      </c>
      <c r="F13" s="236" t="s">
        <v>440</v>
      </c>
      <c r="G13" s="236" t="s">
        <v>441</v>
      </c>
      <c r="H13" s="236" t="s">
        <v>442</v>
      </c>
    </row>
    <row r="14" spans="2:14">
      <c r="B14" t="s">
        <v>429</v>
      </c>
      <c r="C14" s="340">
        <v>0.23</v>
      </c>
      <c r="D14" s="341">
        <v>0</v>
      </c>
      <c r="F14" s="343">
        <v>0.03</v>
      </c>
      <c r="G14" s="344">
        <v>1</v>
      </c>
      <c r="H14" s="344">
        <v>0</v>
      </c>
    </row>
    <row r="15" spans="2:14">
      <c r="B15" t="s">
        <v>430</v>
      </c>
      <c r="C15" s="342">
        <v>0.16</v>
      </c>
      <c r="D15" s="335">
        <v>0</v>
      </c>
      <c r="F15" s="343">
        <v>0.05</v>
      </c>
      <c r="G15" s="344">
        <v>1</v>
      </c>
      <c r="H15" s="344">
        <v>0</v>
      </c>
    </row>
    <row r="16" spans="2:14">
      <c r="B16" t="s">
        <v>431</v>
      </c>
      <c r="C16" s="342">
        <v>0.19</v>
      </c>
      <c r="D16" s="335">
        <v>0</v>
      </c>
      <c r="F16" s="343">
        <v>0.1</v>
      </c>
      <c r="G16" s="344">
        <v>1</v>
      </c>
      <c r="H16" s="344">
        <v>0</v>
      </c>
    </row>
    <row r="17" spans="2:9">
      <c r="B17" t="s">
        <v>433</v>
      </c>
      <c r="C17" s="335">
        <v>0.76</v>
      </c>
      <c r="D17" s="335">
        <v>1.54</v>
      </c>
      <c r="F17" s="343">
        <v>0.23</v>
      </c>
      <c r="G17" s="344">
        <v>0.66</v>
      </c>
      <c r="H17" s="344">
        <v>0.33</v>
      </c>
      <c r="I17" s="169">
        <f>(C17*G17)+(D17*H17)</f>
        <v>1.0098</v>
      </c>
    </row>
    <row r="18" spans="2:9">
      <c r="B18" t="s">
        <v>434</v>
      </c>
      <c r="C18" s="335">
        <v>0.25</v>
      </c>
      <c r="D18" s="335">
        <v>0.84</v>
      </c>
      <c r="F18" s="343">
        <v>0.23</v>
      </c>
      <c r="G18" s="344">
        <v>0.66</v>
      </c>
      <c r="H18" s="344">
        <v>0.33</v>
      </c>
      <c r="I18" s="169">
        <f>(C18*G18)+(D18*H18)</f>
        <v>0.44220000000000004</v>
      </c>
    </row>
    <row r="19" spans="2:9">
      <c r="B19" t="s">
        <v>435</v>
      </c>
      <c r="C19" s="335">
        <v>0.22</v>
      </c>
      <c r="D19" s="335"/>
      <c r="F19" s="343">
        <v>0.2</v>
      </c>
      <c r="G19" s="344">
        <v>1</v>
      </c>
      <c r="H19" s="344">
        <v>0</v>
      </c>
    </row>
    <row r="20" spans="2:9">
      <c r="B20" t="s">
        <v>436</v>
      </c>
      <c r="C20" s="335">
        <v>0.25</v>
      </c>
      <c r="D20" s="335"/>
      <c r="F20" s="343">
        <v>0.1</v>
      </c>
      <c r="G20" s="344">
        <v>1</v>
      </c>
      <c r="H20" s="344">
        <v>0</v>
      </c>
    </row>
    <row r="21" spans="2:9">
      <c r="B21" s="198" t="s">
        <v>432</v>
      </c>
      <c r="C21" s="342">
        <v>1.63</v>
      </c>
      <c r="D21" s="335">
        <v>3.23</v>
      </c>
      <c r="F21" s="343">
        <v>0.04</v>
      </c>
      <c r="G21" s="344">
        <v>0.5</v>
      </c>
      <c r="H21" s="344">
        <v>0.5</v>
      </c>
      <c r="I21" s="169">
        <f>(C21*G21)+(D21*H21)</f>
        <v>2.4299999999999997</v>
      </c>
    </row>
    <row r="22" spans="2:9">
      <c r="C22" s="339"/>
      <c r="F22" s="344">
        <f>SUM(F14:F21)</f>
        <v>0.98000000000000009</v>
      </c>
    </row>
    <row r="25" spans="2:9" ht="79.5" thickBot="1">
      <c r="D25" s="143"/>
      <c r="E25" s="143" t="s">
        <v>443</v>
      </c>
      <c r="F25" s="323" t="s">
        <v>444</v>
      </c>
      <c r="G25" s="143" t="s">
        <v>447</v>
      </c>
    </row>
    <row r="26" spans="2:9" ht="16.5" thickBot="1">
      <c r="E26" s="189">
        <f>(C14+F14)+(C15*F15)+(C16*F16)+(F17*I17)+(F18*I18)+(C19*F19)+(C20*F20)+(F21*I21)</f>
        <v>0.78716000000000019</v>
      </c>
      <c r="F26" s="345">
        <v>0</v>
      </c>
      <c r="G26" s="346">
        <f>F26*E33</f>
        <v>0</v>
      </c>
    </row>
    <row r="32" spans="2:9">
      <c r="E32" t="s">
        <v>422</v>
      </c>
    </row>
    <row r="33" spans="1:5">
      <c r="C33" t="s">
        <v>255</v>
      </c>
      <c r="D33" s="182">
        <v>0.05</v>
      </c>
      <c r="E33" s="182">
        <f>((D33*(1+D33)^D34)/((1+D33)^D34-1))</f>
        <v>5.4776735485736472E-2</v>
      </c>
    </row>
    <row r="34" spans="1:5">
      <c r="C34" t="s">
        <v>423</v>
      </c>
      <c r="D34" s="182">
        <v>50</v>
      </c>
    </row>
    <row r="38" spans="1:5">
      <c r="A38" s="347" t="s">
        <v>450</v>
      </c>
    </row>
    <row r="39" spans="1:5">
      <c r="A39" s="142" t="s">
        <v>451</v>
      </c>
    </row>
  </sheetData>
  <mergeCells count="2">
    <mergeCell ref="B12:D12"/>
    <mergeCell ref="M3:N4"/>
  </mergeCells>
  <hyperlinks>
    <hyperlink ref="A39" r:id="rId1" xr:uid="{8CDC9FCB-273E-D247-92F8-13C11D8BF8BA}"/>
    <hyperlink ref="M3:N4" location="'Instructions &amp; summary data'!A1" display="Return to instructions page" xr:uid="{427862E9-BE5A-F14C-B3E8-F57443C211B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82474-8789-BB42-928B-E8FB974E4A18}">
  <dimension ref="O2:P3"/>
  <sheetViews>
    <sheetView workbookViewId="0">
      <selection activeCell="O2" sqref="O2:P3"/>
    </sheetView>
  </sheetViews>
  <sheetFormatPr defaultColWidth="11" defaultRowHeight="15.75"/>
  <sheetData>
    <row r="2" spans="15:16">
      <c r="O2" s="491" t="s">
        <v>549</v>
      </c>
      <c r="P2" s="491"/>
    </row>
    <row r="3" spans="15:16">
      <c r="O3" s="492"/>
      <c r="P3" s="492"/>
    </row>
  </sheetData>
  <mergeCells count="1">
    <mergeCell ref="O2:P3"/>
  </mergeCells>
  <hyperlinks>
    <hyperlink ref="O2:P3" location="'Instructions &amp; summary data'!A1" display="Return to instructions page" xr:uid="{1011EF8E-3951-CA47-AF6A-BEF5C4B380C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6AF3-4353-2749-B8B9-410D95C3BE91}">
  <dimension ref="A1:X52"/>
  <sheetViews>
    <sheetView topLeftCell="B20" workbookViewId="0">
      <selection activeCell="R50" sqref="R50"/>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1" spans="1:24" ht="16.5" thickBot="1"/>
    <row r="2" spans="1:24" ht="16.5" thickBot="1">
      <c r="A2" t="s">
        <v>387</v>
      </c>
      <c r="E2" s="164" t="s">
        <v>385</v>
      </c>
      <c r="F2" s="164"/>
      <c r="G2"/>
      <c r="R2" s="175">
        <f>((E3*(1+$E$3)^P3)/((1+$E$3)^P3-1))</f>
        <v>0.1295045749654567</v>
      </c>
      <c r="S2" t="s">
        <v>413</v>
      </c>
    </row>
    <row r="3" spans="1:24" ht="16.5" thickBot="1">
      <c r="A3" t="s">
        <v>388</v>
      </c>
      <c r="D3" s="164"/>
      <c r="E3" s="252">
        <v>0.05</v>
      </c>
      <c r="F3" s="164"/>
      <c r="G3">
        <v>1</v>
      </c>
      <c r="H3" s="88">
        <v>2</v>
      </c>
      <c r="I3" s="88">
        <v>3</v>
      </c>
      <c r="J3">
        <v>4</v>
      </c>
      <c r="K3" s="88">
        <v>5</v>
      </c>
      <c r="L3" s="88">
        <v>6</v>
      </c>
      <c r="M3">
        <v>7</v>
      </c>
      <c r="N3" s="88">
        <v>8</v>
      </c>
      <c r="O3" s="88">
        <v>9</v>
      </c>
      <c r="P3">
        <v>10</v>
      </c>
    </row>
    <row r="4" spans="1:24" ht="47.25">
      <c r="C4" t="s">
        <v>182</v>
      </c>
      <c r="D4" t="s">
        <v>183</v>
      </c>
      <c r="E4" t="s">
        <v>389</v>
      </c>
      <c r="F4" s="88" t="s">
        <v>327</v>
      </c>
      <c r="G4" s="322" t="s">
        <v>328</v>
      </c>
      <c r="H4" s="322" t="s">
        <v>329</v>
      </c>
      <c r="I4" s="322" t="s">
        <v>330</v>
      </c>
      <c r="J4" s="322" t="s">
        <v>331</v>
      </c>
      <c r="K4" s="322" t="s">
        <v>332</v>
      </c>
      <c r="L4" s="322" t="s">
        <v>333</v>
      </c>
      <c r="M4" s="322" t="s">
        <v>334</v>
      </c>
      <c r="N4" s="322" t="s">
        <v>335</v>
      </c>
      <c r="O4" s="322" t="s">
        <v>336</v>
      </c>
      <c r="P4" s="322" t="s">
        <v>337</v>
      </c>
      <c r="Q4" s="323" t="s">
        <v>338</v>
      </c>
      <c r="R4" s="323" t="s">
        <v>390</v>
      </c>
    </row>
    <row r="5" spans="1:24">
      <c r="A5" s="277" t="s">
        <v>391</v>
      </c>
      <c r="B5" s="277"/>
      <c r="C5" s="324"/>
      <c r="D5" s="277"/>
      <c r="E5" s="277"/>
      <c r="F5" s="277"/>
      <c r="G5" s="325"/>
      <c r="H5" s="325"/>
      <c r="I5" s="325"/>
      <c r="J5" s="325"/>
      <c r="K5" s="325"/>
      <c r="L5" s="325"/>
      <c r="M5" s="325"/>
      <c r="N5" s="325"/>
      <c r="O5" s="325"/>
      <c r="P5" s="325"/>
      <c r="Q5" s="325"/>
      <c r="R5" s="326"/>
    </row>
    <row r="6" spans="1:24">
      <c r="B6" t="s">
        <v>392</v>
      </c>
      <c r="C6" s="333">
        <v>9.9</v>
      </c>
      <c r="D6" t="s">
        <v>393</v>
      </c>
      <c r="E6" s="410"/>
      <c r="F6" s="410"/>
      <c r="G6" s="411">
        <f>0.667*C6</f>
        <v>6.6033000000000008</v>
      </c>
      <c r="H6" s="412">
        <f>$C6</f>
        <v>9.9</v>
      </c>
      <c r="I6" s="412">
        <f t="shared" ref="I6:O6" si="0">$C6</f>
        <v>9.9</v>
      </c>
      <c r="J6" s="412">
        <f t="shared" si="0"/>
        <v>9.9</v>
      </c>
      <c r="K6" s="412">
        <f t="shared" si="0"/>
        <v>9.9</v>
      </c>
      <c r="L6" s="412">
        <f t="shared" si="0"/>
        <v>9.9</v>
      </c>
      <c r="M6" s="412">
        <f t="shared" si="0"/>
        <v>9.9</v>
      </c>
      <c r="N6" s="412">
        <f t="shared" si="0"/>
        <v>9.9</v>
      </c>
      <c r="O6" s="412">
        <f t="shared" si="0"/>
        <v>9.9</v>
      </c>
      <c r="P6" s="412">
        <f>C6</f>
        <v>9.9</v>
      </c>
      <c r="Q6" s="407"/>
      <c r="R6" s="328"/>
    </row>
    <row r="7" spans="1:24">
      <c r="A7" t="s">
        <v>394</v>
      </c>
      <c r="C7" s="327"/>
      <c r="E7" s="462">
        <v>200</v>
      </c>
      <c r="F7" s="413"/>
      <c r="G7" s="407">
        <v>0</v>
      </c>
      <c r="H7" s="407">
        <v>0</v>
      </c>
      <c r="I7" s="407">
        <v>0</v>
      </c>
      <c r="J7" s="407">
        <v>0</v>
      </c>
      <c r="K7" s="407">
        <v>0</v>
      </c>
      <c r="L7" s="407">
        <v>0</v>
      </c>
      <c r="M7" s="407">
        <v>0</v>
      </c>
      <c r="N7" s="407">
        <v>0</v>
      </c>
      <c r="O7" s="407">
        <v>0</v>
      </c>
      <c r="P7" s="407">
        <f>(P6*E7)/(1+E3)^P3</f>
        <v>1215.5482420107035</v>
      </c>
      <c r="Q7" s="407">
        <f>SUM(G7:P7)</f>
        <v>1215.5482420107035</v>
      </c>
      <c r="R7" s="414">
        <f>Q7*$R$2</f>
        <v>157.41905843160424</v>
      </c>
    </row>
    <row r="8" spans="1:24">
      <c r="A8" s="198" t="s">
        <v>395</v>
      </c>
      <c r="B8" s="198"/>
      <c r="C8" s="329"/>
      <c r="D8" s="198"/>
      <c r="E8" s="268"/>
      <c r="F8" s="268"/>
      <c r="G8" s="330"/>
      <c r="H8" s="330"/>
      <c r="I8" s="330"/>
      <c r="J8" s="330"/>
      <c r="K8" s="330"/>
      <c r="L8" s="330"/>
      <c r="M8" s="330"/>
      <c r="N8" s="330"/>
      <c r="O8" s="330"/>
      <c r="P8" s="330"/>
      <c r="Q8" s="328"/>
      <c r="R8" s="414"/>
    </row>
    <row r="9" spans="1:24" ht="31.5">
      <c r="A9" s="143" t="s">
        <v>411</v>
      </c>
      <c r="C9" s="327"/>
      <c r="E9" s="169"/>
      <c r="F9" s="169"/>
      <c r="G9" s="328"/>
      <c r="H9" s="328"/>
      <c r="I9" s="328"/>
      <c r="J9" s="328"/>
      <c r="K9" s="328"/>
      <c r="L9" s="328"/>
      <c r="M9" s="328"/>
      <c r="N9" s="328"/>
      <c r="O9" s="328"/>
      <c r="P9" s="328"/>
      <c r="Q9" s="328"/>
      <c r="R9" s="414"/>
      <c r="V9" s="139"/>
      <c r="W9" s="139"/>
      <c r="X9" s="139"/>
    </row>
    <row r="10" spans="1:24">
      <c r="B10" t="s">
        <v>163</v>
      </c>
      <c r="C10" s="395">
        <v>1100</v>
      </c>
      <c r="D10" t="s">
        <v>396</v>
      </c>
      <c r="E10" s="417">
        <v>-0.2</v>
      </c>
      <c r="F10" s="399">
        <f>E10*C10</f>
        <v>-220</v>
      </c>
      <c r="G10" s="400">
        <v>0</v>
      </c>
      <c r="H10" s="399">
        <v>0</v>
      </c>
      <c r="I10" s="399">
        <v>0</v>
      </c>
      <c r="J10" s="399">
        <v>0</v>
      </c>
      <c r="K10" s="399">
        <v>0</v>
      </c>
      <c r="L10" s="399">
        <v>0</v>
      </c>
      <c r="M10" s="399">
        <v>0</v>
      </c>
      <c r="N10" s="399">
        <v>0</v>
      </c>
      <c r="O10" s="399">
        <v>0</v>
      </c>
      <c r="P10" s="399">
        <v>0</v>
      </c>
      <c r="Q10" s="399">
        <f>SUM(F10:P10)</f>
        <v>-220</v>
      </c>
      <c r="R10" s="415">
        <f>Q10*$R$2</f>
        <v>-28.491006492400473</v>
      </c>
      <c r="V10" s="139"/>
      <c r="W10" s="139"/>
      <c r="X10" s="139"/>
    </row>
    <row r="11" spans="1:24">
      <c r="A11" s="198"/>
      <c r="B11" s="198"/>
      <c r="C11" s="329"/>
      <c r="D11" s="198"/>
      <c r="E11" s="280"/>
      <c r="F11" s="401"/>
      <c r="G11" s="402"/>
      <c r="H11" s="403"/>
      <c r="I11" s="403"/>
      <c r="J11" s="403"/>
      <c r="K11" s="403"/>
      <c r="L11" s="403"/>
      <c r="M11" s="403"/>
      <c r="N11" s="403"/>
      <c r="O11" s="403"/>
      <c r="P11" s="403"/>
      <c r="Q11" s="399"/>
      <c r="R11" s="415"/>
      <c r="V11" s="139"/>
      <c r="W11" s="139"/>
      <c r="X11" s="139"/>
    </row>
    <row r="12" spans="1:24">
      <c r="A12" t="s">
        <v>116</v>
      </c>
      <c r="C12" s="327"/>
      <c r="E12" s="139"/>
      <c r="F12" s="398"/>
      <c r="G12" s="400"/>
      <c r="H12" s="399"/>
      <c r="I12" s="399"/>
      <c r="J12" s="399"/>
      <c r="K12" s="399"/>
      <c r="L12" s="399"/>
      <c r="M12" s="399"/>
      <c r="N12" s="399"/>
      <c r="O12" s="399"/>
      <c r="P12" s="399"/>
      <c r="Q12" s="399"/>
      <c r="R12" s="415"/>
      <c r="V12" s="139"/>
      <c r="W12" s="139"/>
      <c r="X12" s="139"/>
    </row>
    <row r="13" spans="1:24">
      <c r="B13" t="s">
        <v>31</v>
      </c>
      <c r="C13" s="395">
        <v>100</v>
      </c>
      <c r="D13" t="s">
        <v>397</v>
      </c>
      <c r="E13" s="417">
        <v>-0.56000000000000005</v>
      </c>
      <c r="F13" s="399">
        <f>C13*E13</f>
        <v>-56.000000000000007</v>
      </c>
      <c r="G13" s="400">
        <v>0</v>
      </c>
      <c r="H13" s="399">
        <v>0</v>
      </c>
      <c r="I13" s="399">
        <v>0</v>
      </c>
      <c r="J13" s="399">
        <v>0</v>
      </c>
      <c r="K13" s="399">
        <v>0</v>
      </c>
      <c r="L13" s="399">
        <v>0</v>
      </c>
      <c r="M13" s="399">
        <v>0</v>
      </c>
      <c r="N13" s="399">
        <v>0</v>
      </c>
      <c r="O13" s="399">
        <v>0</v>
      </c>
      <c r="P13" s="399">
        <v>0</v>
      </c>
      <c r="Q13" s="399">
        <f>SUM(F13:P13)</f>
        <v>-56.000000000000007</v>
      </c>
      <c r="R13" s="415">
        <f>Q13*$R$2</f>
        <v>-7.2522561980655764</v>
      </c>
    </row>
    <row r="14" spans="1:24" ht="18">
      <c r="B14" t="s">
        <v>398</v>
      </c>
      <c r="C14" s="395">
        <v>0</v>
      </c>
      <c r="D14" t="s">
        <v>397</v>
      </c>
      <c r="E14" s="417">
        <v>-0.61666666666666703</v>
      </c>
      <c r="F14" s="399">
        <f t="shared" ref="F14:P15" si="1">$E14*$C14</f>
        <v>0</v>
      </c>
      <c r="G14" s="400">
        <v>0</v>
      </c>
      <c r="H14" s="399">
        <f t="shared" si="1"/>
        <v>0</v>
      </c>
      <c r="I14" s="399">
        <f t="shared" si="1"/>
        <v>0</v>
      </c>
      <c r="J14" s="399">
        <f t="shared" si="1"/>
        <v>0</v>
      </c>
      <c r="K14" s="399">
        <f t="shared" si="1"/>
        <v>0</v>
      </c>
      <c r="L14" s="399">
        <f t="shared" si="1"/>
        <v>0</v>
      </c>
      <c r="M14" s="399">
        <f t="shared" si="1"/>
        <v>0</v>
      </c>
      <c r="N14" s="399">
        <f t="shared" si="1"/>
        <v>0</v>
      </c>
      <c r="O14" s="399">
        <f t="shared" si="1"/>
        <v>0</v>
      </c>
      <c r="P14" s="399">
        <f t="shared" si="1"/>
        <v>0</v>
      </c>
      <c r="Q14" s="399">
        <f>SUM(F14:P14)</f>
        <v>0</v>
      </c>
      <c r="R14" s="415">
        <f>Q14*$R$2</f>
        <v>0</v>
      </c>
      <c r="S14" s="141"/>
    </row>
    <row r="15" spans="1:24" ht="18">
      <c r="B15" t="s">
        <v>399</v>
      </c>
      <c r="C15" s="395">
        <v>0</v>
      </c>
      <c r="D15" t="s">
        <v>397</v>
      </c>
      <c r="E15" s="417">
        <v>-0.63124999999999998</v>
      </c>
      <c r="F15" s="399">
        <f t="shared" si="1"/>
        <v>0</v>
      </c>
      <c r="G15" s="400">
        <v>0</v>
      </c>
      <c r="H15" s="399">
        <f t="shared" si="1"/>
        <v>0</v>
      </c>
      <c r="I15" s="399">
        <f t="shared" si="1"/>
        <v>0</v>
      </c>
      <c r="J15" s="399">
        <f t="shared" si="1"/>
        <v>0</v>
      </c>
      <c r="K15" s="399">
        <f t="shared" si="1"/>
        <v>0</v>
      </c>
      <c r="L15" s="399">
        <f t="shared" si="1"/>
        <v>0</v>
      </c>
      <c r="M15" s="399">
        <f t="shared" si="1"/>
        <v>0</v>
      </c>
      <c r="N15" s="399">
        <f t="shared" si="1"/>
        <v>0</v>
      </c>
      <c r="O15" s="399">
        <f t="shared" si="1"/>
        <v>0</v>
      </c>
      <c r="P15" s="399">
        <f t="shared" si="1"/>
        <v>0</v>
      </c>
      <c r="Q15" s="399">
        <f>SUM(F15:P15)</f>
        <v>0</v>
      </c>
      <c r="R15" s="415">
        <f>Q15*$R$2</f>
        <v>0</v>
      </c>
    </row>
    <row r="16" spans="1:24">
      <c r="A16" s="198"/>
      <c r="B16" s="198"/>
      <c r="C16" s="329"/>
      <c r="D16" s="198"/>
      <c r="E16" s="280"/>
      <c r="F16" s="401"/>
      <c r="G16" s="404"/>
      <c r="H16" s="403"/>
      <c r="I16" s="403"/>
      <c r="J16" s="403"/>
      <c r="K16" s="403"/>
      <c r="L16" s="403"/>
      <c r="M16" s="403"/>
      <c r="N16" s="403"/>
      <c r="O16" s="403"/>
      <c r="P16" s="403"/>
      <c r="Q16" s="399"/>
      <c r="R16" s="415"/>
    </row>
    <row r="17" spans="1:18">
      <c r="A17" t="s">
        <v>187</v>
      </c>
      <c r="C17" s="327"/>
      <c r="E17" s="139"/>
      <c r="F17" s="398"/>
      <c r="G17" s="405"/>
      <c r="H17" s="399"/>
      <c r="I17" s="399"/>
      <c r="J17" s="399"/>
      <c r="K17" s="399"/>
      <c r="L17" s="399"/>
      <c r="M17" s="399"/>
      <c r="N17" s="399"/>
      <c r="O17" s="399"/>
      <c r="P17" s="399"/>
      <c r="Q17" s="399"/>
      <c r="R17" s="415"/>
    </row>
    <row r="18" spans="1:18">
      <c r="A18" t="s">
        <v>188</v>
      </c>
      <c r="B18" t="s">
        <v>189</v>
      </c>
      <c r="C18" s="395">
        <v>1</v>
      </c>
      <c r="D18" t="s">
        <v>185</v>
      </c>
      <c r="E18" s="417">
        <v>-13</v>
      </c>
      <c r="F18" s="399">
        <f>E18*C18</f>
        <v>-13</v>
      </c>
      <c r="G18" s="399">
        <f>E18/(1+$E$3)^$G$3</f>
        <v>-12.38095238095238</v>
      </c>
      <c r="H18" s="399">
        <v>0</v>
      </c>
      <c r="I18" s="399">
        <v>0</v>
      </c>
      <c r="J18" s="399">
        <v>0</v>
      </c>
      <c r="K18" s="399">
        <v>0</v>
      </c>
      <c r="L18" s="399">
        <v>0</v>
      </c>
      <c r="M18" s="399">
        <v>0</v>
      </c>
      <c r="N18" s="399">
        <v>0</v>
      </c>
      <c r="O18" s="399">
        <v>0</v>
      </c>
      <c r="P18" s="399">
        <v>0</v>
      </c>
      <c r="Q18" s="399">
        <f>SUM(F18:P18)</f>
        <v>-25.38095238095238</v>
      </c>
      <c r="R18" s="415">
        <f>Q18*$R$2</f>
        <v>-3.2869494503137342</v>
      </c>
    </row>
    <row r="19" spans="1:18" ht="18">
      <c r="A19" t="s">
        <v>190</v>
      </c>
      <c r="B19" t="s">
        <v>400</v>
      </c>
      <c r="C19" s="395">
        <v>1</v>
      </c>
      <c r="D19" t="s">
        <v>185</v>
      </c>
      <c r="E19" s="417">
        <v>-9.6300000000000008</v>
      </c>
      <c r="F19" s="399">
        <f>E19*C19</f>
        <v>-9.6300000000000008</v>
      </c>
      <c r="G19" s="399">
        <f t="shared" ref="G19" si="2">E19/(1+$E$3)^$G$3</f>
        <v>-9.1714285714285726</v>
      </c>
      <c r="H19" s="399">
        <v>0</v>
      </c>
      <c r="I19" s="399">
        <v>0</v>
      </c>
      <c r="J19" s="399">
        <v>0</v>
      </c>
      <c r="K19" s="399">
        <v>0</v>
      </c>
      <c r="L19" s="399">
        <v>0</v>
      </c>
      <c r="M19" s="399">
        <v>0</v>
      </c>
      <c r="N19" s="399">
        <v>0</v>
      </c>
      <c r="O19" s="399">
        <v>0</v>
      </c>
      <c r="P19" s="399">
        <v>0</v>
      </c>
      <c r="Q19" s="399">
        <f>SUM(F19:P19)</f>
        <v>-18.801428571428573</v>
      </c>
      <c r="R19" s="415">
        <f>Q19*$R$2</f>
        <v>-2.4348710158862512</v>
      </c>
    </row>
    <row r="20" spans="1:18" ht="31.5">
      <c r="A20" t="s">
        <v>191</v>
      </c>
      <c r="B20" s="143" t="s">
        <v>192</v>
      </c>
      <c r="C20" s="395">
        <v>1</v>
      </c>
      <c r="D20" t="s">
        <v>185</v>
      </c>
      <c r="E20" s="417">
        <v>-23</v>
      </c>
      <c r="F20" s="399">
        <f>E20*C20</f>
        <v>-23</v>
      </c>
      <c r="G20" s="399">
        <f>E20/(1+$E$3)^$G$3</f>
        <v>-21.904761904761905</v>
      </c>
      <c r="H20" s="399">
        <v>0</v>
      </c>
      <c r="I20" s="399">
        <v>0</v>
      </c>
      <c r="J20" s="399">
        <v>0</v>
      </c>
      <c r="K20" s="399">
        <v>0</v>
      </c>
      <c r="L20" s="399">
        <v>0</v>
      </c>
      <c r="M20" s="399">
        <v>0</v>
      </c>
      <c r="N20" s="399">
        <v>0</v>
      </c>
      <c r="O20" s="399">
        <v>0</v>
      </c>
      <c r="P20" s="399">
        <v>0</v>
      </c>
      <c r="Q20" s="399">
        <f>SUM(F20:P20)</f>
        <v>-44.904761904761905</v>
      </c>
      <c r="R20" s="415">
        <f>Q20*$R$2</f>
        <v>-5.8153721044012219</v>
      </c>
    </row>
    <row r="21" spans="1:18">
      <c r="C21" s="327"/>
      <c r="E21" s="139"/>
      <c r="F21" s="398"/>
      <c r="G21" s="405"/>
      <c r="H21" s="399"/>
      <c r="I21" s="399"/>
      <c r="J21" s="399"/>
      <c r="K21" s="399"/>
      <c r="L21" s="399"/>
      <c r="M21" s="399"/>
      <c r="N21" s="399"/>
      <c r="O21" s="399"/>
      <c r="P21" s="399"/>
      <c r="Q21" s="399"/>
      <c r="R21" s="415"/>
    </row>
    <row r="22" spans="1:18">
      <c r="A22" s="198"/>
      <c r="B22" s="198"/>
      <c r="C22" s="329"/>
      <c r="D22" s="198"/>
      <c r="E22" s="280"/>
      <c r="F22" s="401"/>
      <c r="G22" s="404"/>
      <c r="H22" s="403"/>
      <c r="I22" s="403"/>
      <c r="J22" s="403"/>
      <c r="K22" s="403"/>
      <c r="L22" s="403"/>
      <c r="M22" s="403"/>
      <c r="N22" s="403"/>
      <c r="O22" s="403"/>
      <c r="P22" s="403"/>
      <c r="Q22" s="399"/>
      <c r="R22" s="415"/>
    </row>
    <row r="23" spans="1:18">
      <c r="A23" t="s">
        <v>357</v>
      </c>
      <c r="C23" s="327"/>
      <c r="E23" s="139"/>
      <c r="F23" s="398"/>
      <c r="G23" s="405"/>
      <c r="H23" s="399"/>
      <c r="I23" s="399"/>
      <c r="J23" s="399"/>
      <c r="K23" s="399"/>
      <c r="L23" s="399"/>
      <c r="M23" s="399"/>
      <c r="N23" s="399"/>
      <c r="O23" s="399"/>
      <c r="P23" s="399"/>
      <c r="Q23" s="399"/>
      <c r="R23" s="415"/>
    </row>
    <row r="24" spans="1:18">
      <c r="B24" t="s">
        <v>401</v>
      </c>
      <c r="C24" s="395">
        <v>1</v>
      </c>
      <c r="D24" t="s">
        <v>402</v>
      </c>
      <c r="E24" s="417">
        <v>-18.55</v>
      </c>
      <c r="F24" s="399">
        <f>E24*C24</f>
        <v>-18.55</v>
      </c>
      <c r="G24" s="399">
        <v>0</v>
      </c>
      <c r="H24" s="399">
        <v>0</v>
      </c>
      <c r="I24" s="399">
        <v>0</v>
      </c>
      <c r="J24" s="399">
        <v>0</v>
      </c>
      <c r="K24" s="399">
        <v>0</v>
      </c>
      <c r="L24" s="399">
        <v>0</v>
      </c>
      <c r="M24" s="399">
        <v>0</v>
      </c>
      <c r="N24" s="399">
        <v>0</v>
      </c>
      <c r="O24" s="399">
        <v>0</v>
      </c>
      <c r="P24" s="399">
        <v>0</v>
      </c>
      <c r="Q24" s="399">
        <f>SUM(F24:P24)</f>
        <v>-18.55</v>
      </c>
      <c r="R24" s="415">
        <f>Q24*$R$2</f>
        <v>-2.4023098656092219</v>
      </c>
    </row>
    <row r="25" spans="1:18">
      <c r="B25" t="s">
        <v>359</v>
      </c>
      <c r="C25" s="395">
        <v>1</v>
      </c>
      <c r="D25" t="s">
        <v>185</v>
      </c>
      <c r="E25" s="417">
        <v>-18.399999999999999</v>
      </c>
      <c r="F25" s="399">
        <f>E25*C25</f>
        <v>-18.399999999999999</v>
      </c>
      <c r="G25" s="399">
        <v>0</v>
      </c>
      <c r="H25" s="399">
        <v>0</v>
      </c>
      <c r="I25" s="399">
        <v>0</v>
      </c>
      <c r="J25" s="399">
        <v>0</v>
      </c>
      <c r="K25" s="399">
        <v>0</v>
      </c>
      <c r="L25" s="399">
        <v>0</v>
      </c>
      <c r="M25" s="399">
        <v>0</v>
      </c>
      <c r="N25" s="399">
        <v>0</v>
      </c>
      <c r="O25" s="399">
        <v>0</v>
      </c>
      <c r="P25" s="399">
        <v>0</v>
      </c>
      <c r="Q25" s="399">
        <f>SUM(F25:P25)</f>
        <v>-18.399999999999999</v>
      </c>
      <c r="R25" s="415">
        <f>Q25*$R$2</f>
        <v>-2.3828841793644031</v>
      </c>
    </row>
    <row r="26" spans="1:18">
      <c r="B26" t="s">
        <v>412</v>
      </c>
      <c r="C26" s="395">
        <v>1</v>
      </c>
      <c r="D26" t="s">
        <v>185</v>
      </c>
      <c r="E26" s="417">
        <v>-200</v>
      </c>
      <c r="F26" s="399">
        <f>E26*C26</f>
        <v>-200</v>
      </c>
      <c r="G26" s="399">
        <v>0</v>
      </c>
      <c r="H26" s="399">
        <v>0</v>
      </c>
      <c r="I26" s="399">
        <v>0</v>
      </c>
      <c r="J26" s="399">
        <v>0</v>
      </c>
      <c r="K26" s="399">
        <v>0</v>
      </c>
      <c r="L26" s="399">
        <v>0</v>
      </c>
      <c r="M26" s="399">
        <v>0</v>
      </c>
      <c r="N26" s="399">
        <v>0</v>
      </c>
      <c r="O26" s="399">
        <v>0</v>
      </c>
      <c r="P26" s="399">
        <v>0</v>
      </c>
      <c r="Q26" s="399">
        <f>SUM(F26:P26)</f>
        <v>-200</v>
      </c>
      <c r="R26" s="415">
        <f>Q26*$R$2</f>
        <v>-25.900914993091341</v>
      </c>
    </row>
    <row r="27" spans="1:18">
      <c r="B27" t="s">
        <v>403</v>
      </c>
      <c r="C27" s="395">
        <v>3</v>
      </c>
      <c r="D27" t="s">
        <v>185</v>
      </c>
      <c r="E27" s="417">
        <v>-8</v>
      </c>
      <c r="F27" s="399">
        <f>E27*C27</f>
        <v>-24</v>
      </c>
      <c r="G27" s="399">
        <f>(E27*C27)/(1+E3)^H3</f>
        <v>-21.768707482993197</v>
      </c>
      <c r="H27" s="399">
        <v>0</v>
      </c>
      <c r="I27" s="399">
        <v>0</v>
      </c>
      <c r="J27" s="399">
        <v>0</v>
      </c>
      <c r="K27" s="399">
        <v>0</v>
      </c>
      <c r="L27" s="399">
        <v>0</v>
      </c>
      <c r="M27" s="399">
        <v>0</v>
      </c>
      <c r="N27" s="399">
        <v>0</v>
      </c>
      <c r="O27" s="399">
        <v>0</v>
      </c>
      <c r="P27" s="399">
        <v>0</v>
      </c>
      <c r="Q27" s="399">
        <f>SUM(F27:P27)</f>
        <v>-45.768707482993193</v>
      </c>
      <c r="R27" s="415">
        <f>Q27*$R$2</f>
        <v>-5.927257009303351</v>
      </c>
    </row>
    <row r="28" spans="1:18">
      <c r="A28" s="198"/>
      <c r="B28" s="198"/>
      <c r="C28" s="331"/>
      <c r="D28" s="198"/>
      <c r="E28" s="280"/>
      <c r="F28" s="401"/>
      <c r="G28" s="404"/>
      <c r="H28" s="404"/>
      <c r="I28" s="404"/>
      <c r="J28" s="404"/>
      <c r="K28" s="404"/>
      <c r="L28" s="404"/>
      <c r="M28" s="404"/>
      <c r="N28" s="404"/>
      <c r="O28" s="404"/>
      <c r="P28" s="404"/>
      <c r="Q28" s="404"/>
      <c r="R28" s="415"/>
    </row>
    <row r="29" spans="1:18">
      <c r="A29" t="s">
        <v>404</v>
      </c>
      <c r="C29" s="140"/>
      <c r="E29" s="139"/>
      <c r="F29" s="398"/>
      <c r="G29" s="405"/>
      <c r="H29" s="405"/>
      <c r="I29" s="405"/>
      <c r="J29" s="405"/>
      <c r="K29" s="405"/>
      <c r="L29" s="405"/>
      <c r="M29" s="405"/>
      <c r="N29" s="405"/>
      <c r="O29" s="405"/>
      <c r="P29" s="405"/>
      <c r="Q29" s="405"/>
      <c r="R29" s="415"/>
    </row>
    <row r="30" spans="1:18">
      <c r="B30" t="s">
        <v>405</v>
      </c>
      <c r="C30" s="395">
        <v>0</v>
      </c>
      <c r="D30" s="139" t="s">
        <v>406</v>
      </c>
      <c r="E30" s="417">
        <v>-13</v>
      </c>
      <c r="F30" s="399">
        <v>0</v>
      </c>
      <c r="G30" s="399">
        <v>0</v>
      </c>
      <c r="H30" s="399">
        <v>0</v>
      </c>
      <c r="I30" s="399">
        <v>0</v>
      </c>
      <c r="J30" s="399">
        <v>0</v>
      </c>
      <c r="K30" s="399">
        <v>0</v>
      </c>
      <c r="L30" s="399">
        <v>0</v>
      </c>
      <c r="M30" s="399">
        <v>0</v>
      </c>
      <c r="N30" s="399">
        <v>0</v>
      </c>
      <c r="O30" s="399">
        <v>0</v>
      </c>
      <c r="P30" s="399">
        <f>((E30*C30)*($P$6))/(1+$E$3)^$P$3</f>
        <v>0</v>
      </c>
      <c r="Q30" s="399">
        <f>NPV($C$46,G30:P30)</f>
        <v>0</v>
      </c>
      <c r="R30" s="415">
        <f>Q30*$R$2</f>
        <v>0</v>
      </c>
    </row>
    <row r="31" spans="1:18">
      <c r="B31" t="s">
        <v>407</v>
      </c>
      <c r="C31" s="395">
        <v>0</v>
      </c>
      <c r="D31" s="139" t="s">
        <v>406</v>
      </c>
      <c r="E31" s="417">
        <v>-6</v>
      </c>
      <c r="F31" s="399">
        <v>0</v>
      </c>
      <c r="G31" s="399">
        <v>0</v>
      </c>
      <c r="H31" s="399">
        <v>0</v>
      </c>
      <c r="I31" s="399">
        <v>0</v>
      </c>
      <c r="J31" s="399">
        <v>0</v>
      </c>
      <c r="K31" s="399">
        <v>0</v>
      </c>
      <c r="L31" s="399">
        <v>0</v>
      </c>
      <c r="M31" s="399">
        <v>0</v>
      </c>
      <c r="N31" s="399">
        <v>0</v>
      </c>
      <c r="O31" s="399">
        <v>0</v>
      </c>
      <c r="P31" s="399">
        <f t="shared" ref="P31:P32" si="3">((E31*C31)*($P$6))/(1+$E$3)^$P$3</f>
        <v>0</v>
      </c>
      <c r="Q31" s="399">
        <f>NPV($C$46,G31:P31)</f>
        <v>0</v>
      </c>
      <c r="R31" s="415">
        <f>Q31*$R$2</f>
        <v>0</v>
      </c>
    </row>
    <row r="32" spans="1:18">
      <c r="B32" t="s">
        <v>408</v>
      </c>
      <c r="C32" s="395">
        <v>0</v>
      </c>
      <c r="D32" s="139" t="s">
        <v>406</v>
      </c>
      <c r="E32" s="417">
        <v>-5.2</v>
      </c>
      <c r="F32" s="399">
        <v>0</v>
      </c>
      <c r="G32" s="399">
        <v>0</v>
      </c>
      <c r="H32" s="399">
        <v>0</v>
      </c>
      <c r="I32" s="399">
        <v>0</v>
      </c>
      <c r="J32" s="399">
        <v>0</v>
      </c>
      <c r="K32" s="399">
        <v>0</v>
      </c>
      <c r="L32" s="399">
        <v>0</v>
      </c>
      <c r="M32" s="399">
        <v>0</v>
      </c>
      <c r="N32" s="399">
        <v>0</v>
      </c>
      <c r="O32" s="399">
        <v>0</v>
      </c>
      <c r="P32" s="399">
        <f t="shared" si="3"/>
        <v>0</v>
      </c>
      <c r="Q32" s="399">
        <f>NPV($C$46,G32:P32)</f>
        <v>0</v>
      </c>
      <c r="R32" s="415">
        <f>Q32*$R$2</f>
        <v>0</v>
      </c>
    </row>
    <row r="33" spans="1:20">
      <c r="C33" s="327"/>
      <c r="E33" s="332"/>
      <c r="F33" s="406"/>
      <c r="G33" s="407"/>
      <c r="H33" s="407"/>
      <c r="I33" s="407"/>
      <c r="J33" s="407"/>
      <c r="K33" s="407"/>
      <c r="L33" s="407"/>
      <c r="M33" s="407"/>
      <c r="N33" s="407"/>
      <c r="O33" s="407"/>
      <c r="P33" s="407"/>
      <c r="Q33" s="405"/>
      <c r="R33" s="415"/>
    </row>
    <row r="34" spans="1:20">
      <c r="A34" s="277" t="s">
        <v>369</v>
      </c>
      <c r="B34" s="282" t="s">
        <v>415</v>
      </c>
      <c r="C34" s="397">
        <v>1</v>
      </c>
      <c r="D34" t="s">
        <v>371</v>
      </c>
      <c r="E34" s="418">
        <v>-60</v>
      </c>
      <c r="F34" s="408">
        <v>0</v>
      </c>
      <c r="G34" s="408">
        <f t="shared" ref="G34:P34" si="4">$E$34/(1+$E$3)^G3</f>
        <v>-57.142857142857139</v>
      </c>
      <c r="H34" s="408">
        <f t="shared" si="4"/>
        <v>-54.42176870748299</v>
      </c>
      <c r="I34" s="408">
        <f t="shared" si="4"/>
        <v>-51.830255911888557</v>
      </c>
      <c r="J34" s="408">
        <f t="shared" si="4"/>
        <v>-49.362148487512918</v>
      </c>
      <c r="K34" s="408">
        <f t="shared" si="4"/>
        <v>-47.011569988107539</v>
      </c>
      <c r="L34" s="408">
        <f t="shared" si="4"/>
        <v>-44.77292379819766</v>
      </c>
      <c r="M34" s="408">
        <f t="shared" si="4"/>
        <v>-42.640879807807288</v>
      </c>
      <c r="N34" s="408">
        <f t="shared" si="4"/>
        <v>-40.610361721721233</v>
      </c>
      <c r="O34" s="408">
        <f t="shared" si="4"/>
        <v>-38.676534973067838</v>
      </c>
      <c r="P34" s="408">
        <f t="shared" si="4"/>
        <v>-36.834795212445556</v>
      </c>
      <c r="Q34" s="399">
        <f>SUM(G34:P34)</f>
        <v>-463.30409575108865</v>
      </c>
      <c r="R34" s="415">
        <f>Q34*R2</f>
        <v>-59.999999999999986</v>
      </c>
    </row>
    <row r="35" spans="1:20" ht="16.5" thickBot="1">
      <c r="A35" s="253" t="s">
        <v>372</v>
      </c>
      <c r="B35" s="284" t="s">
        <v>373</v>
      </c>
      <c r="C35" s="396">
        <v>1</v>
      </c>
      <c r="D35" s="253" t="s">
        <v>185</v>
      </c>
      <c r="E35" s="419">
        <v>-5.83</v>
      </c>
      <c r="F35" s="409">
        <v>0</v>
      </c>
      <c r="G35" s="409">
        <f t="shared" ref="G35:P35" si="5">$E$35/(1+$E$3)^G3</f>
        <v>-5.5523809523809522</v>
      </c>
      <c r="H35" s="409">
        <f t="shared" si="5"/>
        <v>-5.2879818594104311</v>
      </c>
      <c r="I35" s="409">
        <f t="shared" si="5"/>
        <v>-5.0361731994385055</v>
      </c>
      <c r="J35" s="409">
        <f t="shared" si="5"/>
        <v>-4.796355428036672</v>
      </c>
      <c r="K35" s="409">
        <f t="shared" si="5"/>
        <v>-4.5679575505111156</v>
      </c>
      <c r="L35" s="409">
        <f t="shared" si="5"/>
        <v>-4.3504357623915393</v>
      </c>
      <c r="M35" s="409">
        <f t="shared" si="5"/>
        <v>-4.1432721546586082</v>
      </c>
      <c r="N35" s="409">
        <f t="shared" si="5"/>
        <v>-3.9459734806272464</v>
      </c>
      <c r="O35" s="409">
        <f t="shared" si="5"/>
        <v>-3.7580699815497582</v>
      </c>
      <c r="P35" s="409">
        <f t="shared" si="5"/>
        <v>-3.5791142681426269</v>
      </c>
      <c r="Q35" s="399">
        <f>SUM(G35:P35)</f>
        <v>-45.017714637147456</v>
      </c>
      <c r="R35" s="415">
        <f>Q35*R2</f>
        <v>-5.83</v>
      </c>
    </row>
    <row r="36" spans="1:20">
      <c r="C36" s="327"/>
      <c r="E36" s="332"/>
      <c r="F36" s="332"/>
      <c r="G36" s="328"/>
      <c r="H36" s="328"/>
      <c r="I36" s="328"/>
      <c r="J36" s="328"/>
      <c r="K36" s="328"/>
      <c r="L36" s="328"/>
      <c r="M36" s="328"/>
      <c r="N36" s="328"/>
      <c r="O36" s="328"/>
      <c r="P36" s="328"/>
      <c r="Q36" s="328"/>
      <c r="R36" s="328"/>
    </row>
    <row r="37" spans="1:20">
      <c r="A37" s="198"/>
      <c r="B37" s="198"/>
      <c r="C37" s="331"/>
      <c r="D37" s="198"/>
      <c r="E37" s="268"/>
      <c r="F37" s="268"/>
      <c r="G37" s="330"/>
      <c r="H37" s="330"/>
      <c r="I37" s="330"/>
      <c r="J37" s="330"/>
      <c r="K37" s="330"/>
      <c r="L37" s="330"/>
      <c r="M37" s="330"/>
      <c r="N37" s="330"/>
      <c r="O37" s="330"/>
      <c r="P37" s="330"/>
      <c r="Q37" s="330"/>
      <c r="R37" s="330"/>
    </row>
    <row r="38" spans="1:20" ht="16.5" thickBot="1">
      <c r="A38" s="198" t="s">
        <v>374</v>
      </c>
      <c r="B38" s="198"/>
      <c r="C38" s="198"/>
      <c r="D38" s="198"/>
      <c r="E38" s="190"/>
      <c r="F38" s="330">
        <f t="shared" ref="F38:P38" si="6">SUM(F9:F35)</f>
        <v>-582.57999999999993</v>
      </c>
      <c r="G38" s="330">
        <f t="shared" si="6"/>
        <v>-127.92108843537414</v>
      </c>
      <c r="H38" s="330">
        <f t="shared" si="6"/>
        <v>-59.709750566893419</v>
      </c>
      <c r="I38" s="330">
        <f t="shared" si="6"/>
        <v>-56.866429111327065</v>
      </c>
      <c r="J38" s="330">
        <f t="shared" si="6"/>
        <v>-54.158503915549588</v>
      </c>
      <c r="K38" s="330">
        <f t="shared" si="6"/>
        <v>-51.579527538618656</v>
      </c>
      <c r="L38" s="330">
        <f t="shared" si="6"/>
        <v>-49.123359560589201</v>
      </c>
      <c r="M38" s="330">
        <f t="shared" si="6"/>
        <v>-46.784151962465899</v>
      </c>
      <c r="N38" s="330">
        <f t="shared" si="6"/>
        <v>-44.556335202348478</v>
      </c>
      <c r="O38" s="330">
        <f t="shared" si="6"/>
        <v>-42.434604954617598</v>
      </c>
      <c r="P38" s="330">
        <f t="shared" si="6"/>
        <v>-40.413909480588181</v>
      </c>
      <c r="Q38" s="328">
        <f>SUM(F38:P38)</f>
        <v>-1156.1276607283719</v>
      </c>
      <c r="R38" s="328">
        <f>Q38*R2</f>
        <v>-149.72382130843553</v>
      </c>
      <c r="T38" s="291"/>
    </row>
    <row r="39" spans="1:20" ht="16.5" thickBot="1">
      <c r="A39" t="s">
        <v>375</v>
      </c>
      <c r="E39" s="173"/>
      <c r="F39" s="334">
        <f>F7+F38</f>
        <v>-582.57999999999993</v>
      </c>
      <c r="G39" s="334">
        <f>G7+G38</f>
        <v>-127.92108843537414</v>
      </c>
      <c r="H39" s="334">
        <f t="shared" ref="H39:P39" si="7">H7+H38</f>
        <v>-59.709750566893419</v>
      </c>
      <c r="I39" s="334">
        <f t="shared" si="7"/>
        <v>-56.866429111327065</v>
      </c>
      <c r="J39" s="334">
        <f t="shared" si="7"/>
        <v>-54.158503915549588</v>
      </c>
      <c r="K39" s="334">
        <f t="shared" si="7"/>
        <v>-51.579527538618656</v>
      </c>
      <c r="L39" s="334">
        <f t="shared" si="7"/>
        <v>-49.123359560589201</v>
      </c>
      <c r="M39" s="334">
        <f t="shared" si="7"/>
        <v>-46.784151962465899</v>
      </c>
      <c r="N39" s="334">
        <f t="shared" si="7"/>
        <v>-44.556335202348478</v>
      </c>
      <c r="O39" s="334">
        <f t="shared" si="7"/>
        <v>-42.434604954617598</v>
      </c>
      <c r="P39" s="334">
        <f t="shared" si="7"/>
        <v>1175.1343325301152</v>
      </c>
      <c r="Q39" s="334">
        <f>SUM(F39:P39)</f>
        <v>59.420581282331568</v>
      </c>
      <c r="R39" s="416">
        <f>Q39*R2</f>
        <v>7.695237123168722</v>
      </c>
      <c r="S39" t="s">
        <v>414</v>
      </c>
    </row>
    <row r="40" spans="1:20">
      <c r="G40" s="287"/>
    </row>
    <row r="41" spans="1:20">
      <c r="A41" t="s">
        <v>53</v>
      </c>
      <c r="D41" t="s">
        <v>409</v>
      </c>
      <c r="G41" s="88">
        <v>18.21</v>
      </c>
      <c r="H41" s="88">
        <v>0.23</v>
      </c>
      <c r="I41" s="88">
        <v>0</v>
      </c>
      <c r="J41" s="88">
        <v>0</v>
      </c>
      <c r="K41" s="88">
        <v>0</v>
      </c>
      <c r="L41" s="88">
        <v>0</v>
      </c>
      <c r="M41" s="88">
        <v>0</v>
      </c>
      <c r="N41" s="88">
        <v>0</v>
      </c>
      <c r="O41" s="88">
        <v>0</v>
      </c>
      <c r="P41" s="88">
        <v>0.54</v>
      </c>
      <c r="Q41" s="286">
        <f>SUM(Q10:Q35)</f>
        <v>-1156.1276607283723</v>
      </c>
    </row>
    <row r="43" spans="1:20">
      <c r="A43" t="s">
        <v>410</v>
      </c>
    </row>
    <row r="46" spans="1:20">
      <c r="A46" s="347" t="s">
        <v>452</v>
      </c>
      <c r="C46" s="288"/>
    </row>
    <row r="47" spans="1:20">
      <c r="A47" s="142" t="s">
        <v>448</v>
      </c>
    </row>
    <row r="48" spans="1:20">
      <c r="C48" s="183"/>
      <c r="L48" s="174"/>
    </row>
    <row r="49" spans="3:12">
      <c r="C49" s="183"/>
      <c r="L49" s="174"/>
    </row>
    <row r="52" spans="3:12">
      <c r="K52" s="348" t="s">
        <v>452</v>
      </c>
    </row>
  </sheetData>
  <hyperlinks>
    <hyperlink ref="A47" r:id="rId1" xr:uid="{255BAA22-D990-AD40-A45F-B21A9FBB7CF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A553-5A20-544F-981B-7A427BC0DBF5}">
  <dimension ref="A1:M83"/>
  <sheetViews>
    <sheetView tabSelected="1" workbookViewId="0">
      <selection activeCell="A18" sqref="A18"/>
    </sheetView>
  </sheetViews>
  <sheetFormatPr defaultColWidth="11" defaultRowHeight="15.75"/>
  <sheetData>
    <row r="1" spans="1:13" ht="21" thickBot="1">
      <c r="A1" s="87" t="s">
        <v>86</v>
      </c>
      <c r="B1" s="92" t="s">
        <v>554</v>
      </c>
      <c r="C1" s="92" t="s">
        <v>555</v>
      </c>
      <c r="D1" s="92" t="s">
        <v>556</v>
      </c>
      <c r="E1" s="92" t="s">
        <v>557</v>
      </c>
      <c r="F1" s="92" t="s">
        <v>558</v>
      </c>
      <c r="G1" s="92" t="s">
        <v>559</v>
      </c>
      <c r="H1" s="92" t="s">
        <v>560</v>
      </c>
      <c r="I1" s="92" t="s">
        <v>561</v>
      </c>
      <c r="J1" s="92" t="s">
        <v>562</v>
      </c>
      <c r="K1" t="s">
        <v>563</v>
      </c>
      <c r="L1" t="s">
        <v>564</v>
      </c>
    </row>
    <row r="2" spans="1:13" ht="16.5" thickTop="1">
      <c r="A2" s="1" t="s">
        <v>0</v>
      </c>
      <c r="B2" s="2"/>
      <c r="C2" s="3"/>
      <c r="D2" s="3"/>
      <c r="E2" s="3"/>
      <c r="F2" s="3"/>
      <c r="G2" s="3"/>
      <c r="H2" s="3"/>
      <c r="I2" s="3"/>
      <c r="J2" s="3"/>
    </row>
    <row r="3" spans="1:13">
      <c r="A3" s="4" t="s">
        <v>565</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c r="A6" s="8"/>
      <c r="B6" s="3"/>
      <c r="C6" s="3"/>
      <c r="D6" s="7"/>
      <c r="E6" s="7"/>
      <c r="F6" s="7"/>
      <c r="G6" s="3"/>
      <c r="H6" s="3"/>
      <c r="I6" s="3"/>
      <c r="J6" s="3"/>
      <c r="L6" s="491" t="s">
        <v>549</v>
      </c>
      <c r="M6" s="491"/>
    </row>
    <row r="7" spans="1:13" ht="24" customHeight="1">
      <c r="A7" s="9" t="s">
        <v>3</v>
      </c>
      <c r="B7" s="10"/>
      <c r="C7" s="10"/>
      <c r="D7" s="11" t="s">
        <v>4</v>
      </c>
      <c r="E7" s="12"/>
      <c r="F7" s="11" t="s">
        <v>5</v>
      </c>
      <c r="G7" s="10"/>
      <c r="H7" s="10"/>
      <c r="I7" s="10"/>
      <c r="J7" s="10"/>
      <c r="L7" s="492"/>
      <c r="M7" s="492"/>
    </row>
    <row r="8" spans="1:13">
      <c r="A8" s="358" t="s">
        <v>6</v>
      </c>
      <c r="B8" s="359"/>
      <c r="C8" s="352"/>
      <c r="D8" s="90">
        <v>209</v>
      </c>
      <c r="E8" s="13" t="s">
        <v>7</v>
      </c>
      <c r="F8" s="91">
        <v>500</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
        <v>566</v>
      </c>
    </row>
    <row r="12" spans="1:13">
      <c r="A12" s="353" t="s">
        <v>16</v>
      </c>
      <c r="B12" s="354"/>
      <c r="C12" s="3"/>
      <c r="D12" s="3"/>
      <c r="E12" s="3"/>
      <c r="F12" s="3"/>
      <c r="G12" s="356">
        <v>8.1</v>
      </c>
      <c r="H12" s="356">
        <v>4.5</v>
      </c>
      <c r="I12" s="23">
        <v>12.6</v>
      </c>
      <c r="J12" s="24">
        <v>6300</v>
      </c>
    </row>
    <row r="13" spans="1:13">
      <c r="A13" s="353" t="s">
        <v>17</v>
      </c>
      <c r="B13" s="354"/>
      <c r="C13" s="3"/>
      <c r="D13" s="3"/>
      <c r="E13" s="3"/>
      <c r="F13" s="3"/>
      <c r="G13" s="357">
        <v>7.6</v>
      </c>
      <c r="H13" s="357">
        <v>5.7</v>
      </c>
      <c r="I13" s="23">
        <v>13.3</v>
      </c>
      <c r="J13" s="24">
        <v>6650</v>
      </c>
    </row>
    <row r="14" spans="1:13">
      <c r="A14" s="353" t="s">
        <v>18</v>
      </c>
      <c r="B14" s="354"/>
      <c r="C14" s="3"/>
      <c r="D14" s="3"/>
      <c r="E14" s="3"/>
      <c r="F14" s="3"/>
      <c r="G14" s="357">
        <v>4.7</v>
      </c>
      <c r="H14" s="357">
        <v>3.5</v>
      </c>
      <c r="I14" s="23">
        <v>8.1999999999999993</v>
      </c>
      <c r="J14" s="24">
        <v>4100</v>
      </c>
    </row>
    <row r="15" spans="1:13">
      <c r="A15" s="353" t="s">
        <v>19</v>
      </c>
      <c r="B15" s="354"/>
      <c r="C15" s="3"/>
      <c r="D15" s="3"/>
      <c r="E15" s="3"/>
      <c r="F15" s="3"/>
      <c r="G15" s="357">
        <v>10.4</v>
      </c>
      <c r="H15" s="357">
        <v>6.2</v>
      </c>
      <c r="I15" s="23">
        <v>16.600000000000001</v>
      </c>
      <c r="J15" s="24">
        <v>8300</v>
      </c>
    </row>
    <row r="16" spans="1:13">
      <c r="A16" s="353" t="s">
        <v>20</v>
      </c>
      <c r="B16" s="354"/>
      <c r="C16" s="3"/>
      <c r="D16" s="3"/>
      <c r="E16" s="3"/>
      <c r="F16" s="3"/>
      <c r="G16" s="357">
        <v>4</v>
      </c>
      <c r="H16" s="357">
        <v>2.5</v>
      </c>
      <c r="I16" s="23">
        <v>6.5</v>
      </c>
      <c r="J16" s="24">
        <v>3250</v>
      </c>
    </row>
    <row r="17" spans="1:10">
      <c r="A17" s="353" t="s">
        <v>21</v>
      </c>
      <c r="B17" s="354"/>
      <c r="C17" s="3"/>
      <c r="D17" s="3"/>
      <c r="E17" s="3"/>
      <c r="F17" s="3"/>
      <c r="G17" s="357">
        <v>0</v>
      </c>
      <c r="H17" s="357">
        <v>0</v>
      </c>
      <c r="I17" s="23">
        <v>0</v>
      </c>
      <c r="J17" s="24">
        <v>0</v>
      </c>
    </row>
    <row r="18" spans="1:10">
      <c r="A18" s="353" t="s">
        <v>22</v>
      </c>
      <c r="B18" s="354"/>
      <c r="C18" s="3"/>
      <c r="D18" s="3"/>
      <c r="E18" s="3"/>
      <c r="F18" s="3"/>
      <c r="G18" s="357">
        <v>0</v>
      </c>
      <c r="H18" s="357">
        <v>0</v>
      </c>
      <c r="I18" s="23">
        <v>0</v>
      </c>
      <c r="J18" s="24">
        <v>0</v>
      </c>
    </row>
    <row r="19" spans="1:10">
      <c r="A19" s="353" t="s">
        <v>22</v>
      </c>
      <c r="B19" s="354"/>
      <c r="C19" s="3"/>
      <c r="D19" s="3"/>
      <c r="E19" s="3"/>
      <c r="F19" s="3"/>
      <c r="G19" s="357">
        <v>0</v>
      </c>
      <c r="H19" s="357">
        <v>0</v>
      </c>
      <c r="I19" s="23">
        <v>0</v>
      </c>
      <c r="J19" s="24">
        <v>0</v>
      </c>
    </row>
    <row r="20" spans="1:10">
      <c r="A20" s="353" t="s">
        <v>22</v>
      </c>
      <c r="B20" s="355"/>
      <c r="C20" s="25"/>
      <c r="D20" s="25"/>
      <c r="E20" s="25"/>
      <c r="F20" s="25"/>
      <c r="G20" s="357">
        <v>0</v>
      </c>
      <c r="H20" s="357">
        <v>0</v>
      </c>
      <c r="I20" s="26">
        <v>0</v>
      </c>
      <c r="J20" s="27">
        <v>0</v>
      </c>
    </row>
    <row r="21" spans="1:10">
      <c r="A21" s="28" t="s">
        <v>23</v>
      </c>
      <c r="B21" s="2"/>
      <c r="C21" s="3"/>
      <c r="D21" s="3"/>
      <c r="E21" s="3"/>
      <c r="F21" s="3"/>
      <c r="G21" s="23">
        <v>34.799999999999997</v>
      </c>
      <c r="H21" s="23">
        <v>22.4</v>
      </c>
      <c r="I21" s="29">
        <v>57.199999999999996</v>
      </c>
      <c r="J21" s="30">
        <v>28599.999999999996</v>
      </c>
    </row>
    <row r="22" spans="1:10">
      <c r="A22" s="28" t="s">
        <v>24</v>
      </c>
      <c r="B22" s="2"/>
      <c r="C22" s="3"/>
      <c r="D22" s="3"/>
      <c r="E22" s="3"/>
      <c r="F22" s="3"/>
      <c r="G22" s="24">
        <v>17400</v>
      </c>
      <c r="H22" s="24">
        <v>11200</v>
      </c>
      <c r="I22" s="30">
        <v>28599.999999999996</v>
      </c>
      <c r="J22" s="31" t="s">
        <v>87</v>
      </c>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
        <v>566</v>
      </c>
    </row>
    <row r="26" spans="1:10">
      <c r="A26" s="8" t="s">
        <v>88</v>
      </c>
      <c r="B26" s="3"/>
      <c r="C26" s="360">
        <v>3.81</v>
      </c>
      <c r="D26" s="35" t="s">
        <v>29</v>
      </c>
      <c r="E26" s="362">
        <v>30000</v>
      </c>
      <c r="F26" s="36" t="s">
        <v>30</v>
      </c>
      <c r="G26" s="31"/>
      <c r="H26" s="23">
        <v>114.3</v>
      </c>
      <c r="I26" s="23">
        <v>114.3</v>
      </c>
      <c r="J26" s="24">
        <v>57150</v>
      </c>
    </row>
    <row r="27" spans="1:10">
      <c r="A27" s="8" t="s">
        <v>89</v>
      </c>
      <c r="B27" s="3"/>
      <c r="C27" s="361">
        <v>0.5</v>
      </c>
      <c r="D27" s="35" t="s">
        <v>32</v>
      </c>
      <c r="E27" s="363">
        <v>138</v>
      </c>
      <c r="F27" s="36" t="s">
        <v>33</v>
      </c>
      <c r="G27" s="31"/>
      <c r="H27" s="23">
        <v>69</v>
      </c>
      <c r="I27" s="23">
        <v>69</v>
      </c>
      <c r="J27" s="24">
        <v>34500</v>
      </c>
    </row>
    <row r="28" spans="1:10">
      <c r="A28" s="8" t="s">
        <v>90</v>
      </c>
      <c r="B28" s="3"/>
      <c r="C28" s="361">
        <v>0.57999999999999996</v>
      </c>
      <c r="D28" s="35" t="s">
        <v>32</v>
      </c>
      <c r="E28" s="364">
        <v>78</v>
      </c>
      <c r="F28" s="36" t="s">
        <v>33</v>
      </c>
      <c r="G28" s="31"/>
      <c r="H28" s="23">
        <v>45.239999999999995</v>
      </c>
      <c r="I28" s="23">
        <v>45.239999999999995</v>
      </c>
      <c r="J28" s="24">
        <v>22619.999999999996</v>
      </c>
    </row>
    <row r="29" spans="1:10">
      <c r="A29" s="8" t="s">
        <v>91</v>
      </c>
      <c r="B29" s="3"/>
      <c r="C29" s="361">
        <v>0.36</v>
      </c>
      <c r="D29" s="35" t="s">
        <v>32</v>
      </c>
      <c r="E29" s="364">
        <v>63</v>
      </c>
      <c r="F29" s="36" t="s">
        <v>33</v>
      </c>
      <c r="G29" s="31"/>
      <c r="H29" s="23">
        <v>22.68</v>
      </c>
      <c r="I29" s="23">
        <v>22.68</v>
      </c>
      <c r="J29" s="24">
        <v>11340</v>
      </c>
    </row>
    <row r="30" spans="1:10">
      <c r="A30" s="8" t="s">
        <v>92</v>
      </c>
      <c r="B30" s="3"/>
      <c r="C30" s="3"/>
      <c r="D30" s="35"/>
      <c r="E30" s="3"/>
      <c r="F30" s="36"/>
      <c r="G30" s="31"/>
      <c r="H30" s="357">
        <v>6.41</v>
      </c>
      <c r="I30" s="23">
        <v>6.41</v>
      </c>
      <c r="J30" s="24">
        <v>3205</v>
      </c>
    </row>
    <row r="31" spans="1:10">
      <c r="A31" s="8" t="s">
        <v>93</v>
      </c>
      <c r="B31" s="3"/>
      <c r="C31" s="3"/>
      <c r="D31" s="35"/>
      <c r="E31" s="3"/>
      <c r="F31" s="36"/>
      <c r="G31" s="31"/>
      <c r="H31" s="357">
        <v>47</v>
      </c>
      <c r="I31" s="23">
        <v>47</v>
      </c>
      <c r="J31" s="24">
        <v>23500</v>
      </c>
    </row>
    <row r="32" spans="1:10">
      <c r="A32" s="8" t="s">
        <v>94</v>
      </c>
      <c r="B32" s="3"/>
      <c r="C32" s="3"/>
      <c r="D32" s="35"/>
      <c r="E32" s="3"/>
      <c r="F32" s="36"/>
      <c r="G32" s="31"/>
      <c r="H32" s="357">
        <v>16.2</v>
      </c>
      <c r="I32" s="23">
        <v>16.2</v>
      </c>
      <c r="J32" s="24">
        <v>8100</v>
      </c>
    </row>
    <row r="33" spans="1:10">
      <c r="A33" s="8" t="s">
        <v>95</v>
      </c>
      <c r="B33" s="3"/>
      <c r="C33" s="3"/>
      <c r="D33" s="35"/>
      <c r="E33" s="3"/>
      <c r="F33" s="36"/>
      <c r="G33" s="31"/>
      <c r="H33" s="357">
        <v>12.9</v>
      </c>
      <c r="I33" s="23">
        <v>12.9</v>
      </c>
      <c r="J33" s="24">
        <v>6450</v>
      </c>
    </row>
    <row r="34" spans="1:10">
      <c r="A34" s="46" t="s">
        <v>96</v>
      </c>
      <c r="B34" s="25"/>
      <c r="C34" s="365">
        <v>8</v>
      </c>
      <c r="D34" s="38" t="s">
        <v>42</v>
      </c>
      <c r="E34" s="366">
        <v>8.1199999999999994E-2</v>
      </c>
      <c r="F34" s="39" t="s">
        <v>43</v>
      </c>
      <c r="G34" s="40"/>
      <c r="H34" s="41">
        <v>19.278503999999998</v>
      </c>
      <c r="I34" s="26">
        <v>19.278503999999998</v>
      </c>
      <c r="J34" s="27">
        <v>9639.2519999999986</v>
      </c>
    </row>
    <row r="35" spans="1:10">
      <c r="A35" s="28" t="s">
        <v>58</v>
      </c>
      <c r="B35" s="2"/>
      <c r="C35" s="3"/>
      <c r="D35" s="3"/>
      <c r="E35" s="3"/>
      <c r="F35" s="3"/>
      <c r="G35" s="31"/>
      <c r="H35" s="23">
        <v>353.00850400000002</v>
      </c>
      <c r="I35" s="29">
        <v>353.00850400000002</v>
      </c>
      <c r="J35" s="30">
        <v>176504.25200000001</v>
      </c>
    </row>
    <row r="36" spans="1:10">
      <c r="A36" s="8"/>
      <c r="B36" s="3"/>
      <c r="C36" s="3"/>
      <c r="D36" s="3"/>
      <c r="E36" s="3"/>
      <c r="F36" s="3"/>
      <c r="G36" s="3"/>
      <c r="H36" s="3"/>
      <c r="I36" s="3"/>
      <c r="J36" s="24" t="s">
        <v>44</v>
      </c>
    </row>
    <row r="37" spans="1:10">
      <c r="A37" s="9" t="s">
        <v>45</v>
      </c>
      <c r="B37" s="33"/>
      <c r="C37" s="11"/>
      <c r="D37" s="11"/>
      <c r="E37" s="11"/>
      <c r="F37" s="10"/>
      <c r="G37" s="21"/>
      <c r="H37" s="21"/>
      <c r="I37" s="22"/>
      <c r="J37" s="22"/>
    </row>
    <row r="38" spans="1:10">
      <c r="A38" s="367" t="s">
        <v>46</v>
      </c>
      <c r="B38" s="3"/>
      <c r="C38" s="3"/>
      <c r="D38" s="3"/>
      <c r="E38" s="3"/>
      <c r="F38" s="3"/>
      <c r="G38" s="356">
        <v>23</v>
      </c>
      <c r="H38" s="356">
        <v>8.6999999999999993</v>
      </c>
      <c r="I38" s="23">
        <v>31.7</v>
      </c>
      <c r="J38" s="24">
        <v>15850</v>
      </c>
    </row>
    <row r="39" spans="1:10">
      <c r="A39" s="368" t="s">
        <v>47</v>
      </c>
      <c r="B39" s="3"/>
      <c r="C39" s="3"/>
      <c r="D39" s="3"/>
      <c r="E39" s="3"/>
      <c r="F39" s="3"/>
      <c r="G39" s="357">
        <v>11.1</v>
      </c>
      <c r="H39" s="357">
        <v>3.8</v>
      </c>
      <c r="I39" s="23">
        <v>14.899999999999999</v>
      </c>
      <c r="J39" s="24">
        <v>7449.9999999999991</v>
      </c>
    </row>
    <row r="40" spans="1:10">
      <c r="A40" s="43" t="s">
        <v>48</v>
      </c>
      <c r="B40" s="3"/>
      <c r="C40" s="361">
        <v>7.6999999999999999E-2</v>
      </c>
      <c r="D40" s="36" t="s">
        <v>49</v>
      </c>
      <c r="E40" s="361">
        <v>4.8000000000000001E-2</v>
      </c>
      <c r="F40" s="36" t="s">
        <v>50</v>
      </c>
      <c r="G40" s="23">
        <v>16.093</v>
      </c>
      <c r="H40" s="23">
        <v>10.032</v>
      </c>
      <c r="I40" s="23">
        <v>26.125</v>
      </c>
      <c r="J40" s="24">
        <v>13062.5</v>
      </c>
    </row>
    <row r="41" spans="1:10">
      <c r="A41" s="43" t="s">
        <v>51</v>
      </c>
      <c r="B41" s="3"/>
      <c r="C41" s="361">
        <v>0.05</v>
      </c>
      <c r="D41" s="36" t="s">
        <v>49</v>
      </c>
      <c r="E41" s="361">
        <v>0.18360000000000001</v>
      </c>
      <c r="F41" s="36" t="s">
        <v>50</v>
      </c>
      <c r="G41" s="23">
        <v>10.450000000000001</v>
      </c>
      <c r="H41" s="23">
        <v>38.372400000000006</v>
      </c>
      <c r="I41" s="23">
        <v>48.822400000000009</v>
      </c>
      <c r="J41" s="24">
        <v>24411.200000000004</v>
      </c>
    </row>
    <row r="42" spans="1:10">
      <c r="A42" s="43" t="s">
        <v>52</v>
      </c>
      <c r="B42" s="3"/>
      <c r="C42" s="361">
        <v>3.1600000000000003E-2</v>
      </c>
      <c r="D42" s="36" t="s">
        <v>49</v>
      </c>
      <c r="E42" s="361">
        <v>2.53E-2</v>
      </c>
      <c r="F42" s="36" t="s">
        <v>50</v>
      </c>
      <c r="G42" s="23">
        <v>6.6044000000000009</v>
      </c>
      <c r="H42" s="23">
        <v>5.2877000000000001</v>
      </c>
      <c r="I42" s="23">
        <v>11.892100000000001</v>
      </c>
      <c r="J42" s="24">
        <v>5946.05</v>
      </c>
    </row>
    <row r="43" spans="1:10">
      <c r="A43" s="371" t="s">
        <v>21</v>
      </c>
      <c r="B43" s="25"/>
      <c r="C43" s="25"/>
      <c r="D43" s="25"/>
      <c r="E43" s="25"/>
      <c r="F43" s="25"/>
      <c r="G43" s="357">
        <v>0</v>
      </c>
      <c r="H43" s="357">
        <v>0</v>
      </c>
      <c r="I43" s="26">
        <v>0</v>
      </c>
      <c r="J43" s="27">
        <v>0</v>
      </c>
    </row>
    <row r="44" spans="1:10">
      <c r="A44" s="28" t="s">
        <v>23</v>
      </c>
      <c r="B44" s="2"/>
      <c r="C44" s="3"/>
      <c r="D44" s="3"/>
      <c r="E44" s="3"/>
      <c r="F44" s="3"/>
      <c r="G44" s="23">
        <v>67.247399999999999</v>
      </c>
      <c r="H44" s="23">
        <v>66.192100000000011</v>
      </c>
      <c r="I44" s="29">
        <v>133.43950000000001</v>
      </c>
      <c r="J44" s="3"/>
    </row>
    <row r="45" spans="1:10">
      <c r="A45" s="28" t="s">
        <v>24</v>
      </c>
      <c r="B45" s="2"/>
      <c r="C45" s="3"/>
      <c r="D45" s="3"/>
      <c r="E45" s="3"/>
      <c r="F45" s="3"/>
      <c r="G45" s="24">
        <v>33623.699999999997</v>
      </c>
      <c r="H45" s="24">
        <v>33096.050000000003</v>
      </c>
      <c r="I45" s="30"/>
      <c r="J45" s="30">
        <v>66719.75</v>
      </c>
    </row>
    <row r="46" spans="1:10">
      <c r="A46" s="8"/>
      <c r="B46" s="3"/>
      <c r="C46" s="3"/>
      <c r="D46" s="3"/>
      <c r="E46" s="3"/>
      <c r="F46" s="3"/>
      <c r="G46" s="3"/>
      <c r="H46" s="3"/>
      <c r="I46" s="3"/>
      <c r="J46" s="24"/>
    </row>
    <row r="47" spans="1:10">
      <c r="A47" s="9" t="s">
        <v>53</v>
      </c>
      <c r="B47" s="33"/>
      <c r="C47" s="11" t="s">
        <v>54</v>
      </c>
      <c r="D47" s="11"/>
      <c r="E47" s="11" t="s">
        <v>55</v>
      </c>
      <c r="F47" s="10"/>
      <c r="G47" s="21"/>
      <c r="H47" s="21"/>
      <c r="I47" s="22"/>
      <c r="J47" s="22"/>
    </row>
    <row r="48" spans="1:10">
      <c r="A48" s="8" t="s">
        <v>56</v>
      </c>
      <c r="B48" s="2"/>
      <c r="C48" s="361">
        <v>20.149999999999999</v>
      </c>
      <c r="D48" s="3"/>
      <c r="E48" s="365">
        <v>2.5499999999999998</v>
      </c>
      <c r="F48" s="44"/>
      <c r="G48" s="45">
        <v>51.382499999999993</v>
      </c>
      <c r="H48" s="31"/>
      <c r="I48" s="23">
        <v>51.382499999999993</v>
      </c>
      <c r="J48" s="24">
        <v>25691.249999999996</v>
      </c>
    </row>
    <row r="49" spans="1:10">
      <c r="A49" s="46" t="s">
        <v>57</v>
      </c>
      <c r="B49" s="47"/>
      <c r="C49" s="361">
        <v>0</v>
      </c>
      <c r="D49" s="25"/>
      <c r="E49" s="365">
        <v>0</v>
      </c>
      <c r="F49" s="47"/>
      <c r="G49" s="40"/>
      <c r="H49" s="26">
        <v>0</v>
      </c>
      <c r="I49" s="26">
        <v>0</v>
      </c>
      <c r="J49" s="27">
        <v>0</v>
      </c>
    </row>
    <row r="50" spans="1:10">
      <c r="A50" s="28" t="s">
        <v>58</v>
      </c>
      <c r="B50" s="44"/>
      <c r="C50" s="48"/>
      <c r="D50" s="48"/>
      <c r="E50" s="48"/>
      <c r="F50" s="48"/>
      <c r="G50" s="23">
        <v>51.382499999999993</v>
      </c>
      <c r="H50" s="23">
        <v>0</v>
      </c>
      <c r="I50" s="29">
        <v>51.382499999999993</v>
      </c>
      <c r="J50" s="30">
        <v>25691.249999999996</v>
      </c>
    </row>
    <row r="51" spans="1:10">
      <c r="A51" s="49"/>
      <c r="B51" s="44"/>
      <c r="C51" s="48"/>
      <c r="D51" s="48"/>
      <c r="E51" s="48"/>
      <c r="F51" s="48"/>
      <c r="G51" s="3"/>
      <c r="H51" s="3"/>
      <c r="I51" s="3"/>
      <c r="J51" s="24"/>
    </row>
    <row r="52" spans="1:10">
      <c r="A52" s="9" t="s">
        <v>59</v>
      </c>
      <c r="B52" s="33"/>
      <c r="C52" s="11"/>
      <c r="D52" s="11"/>
      <c r="E52" s="11"/>
      <c r="F52" s="10"/>
      <c r="G52" s="21"/>
      <c r="H52" s="21"/>
      <c r="I52" s="22"/>
      <c r="J52" s="22" t="s">
        <v>44</v>
      </c>
    </row>
    <row r="53" spans="1:10">
      <c r="A53" s="8" t="s">
        <v>60</v>
      </c>
      <c r="B53" s="3"/>
      <c r="C53" s="3"/>
      <c r="D53" s="3"/>
      <c r="E53" s="489" t="s">
        <v>471</v>
      </c>
      <c r="F53" s="489"/>
      <c r="G53" s="372">
        <v>143</v>
      </c>
      <c r="H53" s="31"/>
      <c r="I53" s="29">
        <v>143</v>
      </c>
      <c r="J53" s="30">
        <v>71500</v>
      </c>
    </row>
    <row r="54" spans="1:10">
      <c r="A54" s="8"/>
      <c r="B54" s="3"/>
      <c r="C54" s="3"/>
      <c r="D54" s="3"/>
      <c r="E54" s="490"/>
      <c r="F54" s="490"/>
      <c r="G54" s="3"/>
      <c r="H54" s="3"/>
      <c r="I54" s="3"/>
      <c r="J54" s="24" t="s">
        <v>44</v>
      </c>
    </row>
    <row r="55" spans="1:10">
      <c r="A55" s="32"/>
      <c r="B55" s="17"/>
      <c r="C55" s="17"/>
      <c r="D55" s="17"/>
      <c r="E55" s="17"/>
      <c r="F55" s="17"/>
      <c r="G55" s="18" t="s">
        <v>8</v>
      </c>
      <c r="H55" s="19"/>
      <c r="I55" s="19" t="s">
        <v>9</v>
      </c>
      <c r="J55" s="20" t="s">
        <v>10</v>
      </c>
    </row>
    <row r="56" spans="1:10">
      <c r="A56" s="9" t="s">
        <v>61</v>
      </c>
      <c r="B56" s="33"/>
      <c r="C56" s="11"/>
      <c r="D56" s="11"/>
      <c r="E56" s="11"/>
      <c r="F56" s="10"/>
      <c r="G56" s="21" t="s">
        <v>12</v>
      </c>
      <c r="H56" s="21" t="s">
        <v>13</v>
      </c>
      <c r="I56" s="22" t="s">
        <v>14</v>
      </c>
      <c r="J56" s="22" t="s">
        <v>566</v>
      </c>
    </row>
    <row r="57" spans="1:10">
      <c r="A57" s="8" t="s">
        <v>62</v>
      </c>
      <c r="B57" s="3"/>
      <c r="C57" s="3"/>
      <c r="D57" s="3"/>
      <c r="E57" s="3"/>
      <c r="F57" s="3"/>
      <c r="G57" s="23">
        <v>296.42989999999998</v>
      </c>
      <c r="H57" s="23">
        <v>441.60060399999998</v>
      </c>
      <c r="I57" s="29">
        <v>738.03050400000006</v>
      </c>
      <c r="J57" s="3"/>
    </row>
    <row r="58" spans="1:10" ht="16.5" thickBot="1">
      <c r="A58" s="50" t="s">
        <v>63</v>
      </c>
      <c r="B58" s="51"/>
      <c r="C58" s="51"/>
      <c r="D58" s="51"/>
      <c r="E58" s="51"/>
      <c r="F58" s="51"/>
      <c r="G58" s="52">
        <v>1.418324880382775</v>
      </c>
      <c r="H58" s="52">
        <v>2.1129215502392342</v>
      </c>
      <c r="I58" s="52">
        <v>3.5312464306220099</v>
      </c>
      <c r="J58" s="53"/>
    </row>
    <row r="59" spans="1:10" ht="16.5" thickTop="1">
      <c r="A59" s="54" t="s">
        <v>64</v>
      </c>
      <c r="B59" s="55"/>
      <c r="C59" s="55"/>
      <c r="D59" s="55"/>
      <c r="E59" s="55"/>
      <c r="F59" s="55"/>
      <c r="G59" s="56">
        <v>148214.94999999998</v>
      </c>
      <c r="H59" s="56">
        <v>220800.302</v>
      </c>
      <c r="I59" s="56"/>
      <c r="J59" s="56">
        <v>369015.25199999998</v>
      </c>
    </row>
    <row r="60" spans="1:10">
      <c r="A60" s="8"/>
      <c r="B60" s="3"/>
      <c r="C60" s="3"/>
      <c r="D60" s="3"/>
      <c r="E60" s="3"/>
      <c r="F60" s="3"/>
      <c r="G60" s="24"/>
      <c r="H60" s="24"/>
      <c r="I60" s="24"/>
      <c r="J60" s="31"/>
    </row>
    <row r="61" spans="1:10">
      <c r="A61" s="32"/>
      <c r="B61" s="17"/>
      <c r="C61" s="17"/>
      <c r="D61" s="17"/>
      <c r="E61" s="17"/>
      <c r="F61" s="17"/>
      <c r="G61" s="57"/>
      <c r="H61" s="58" t="s">
        <v>65</v>
      </c>
      <c r="I61" s="59" t="s">
        <v>66</v>
      </c>
      <c r="J61" s="60" t="s">
        <v>67</v>
      </c>
    </row>
    <row r="62" spans="1:10">
      <c r="A62" s="9" t="s">
        <v>68</v>
      </c>
      <c r="B62" s="10"/>
      <c r="C62" s="10"/>
      <c r="D62" s="10"/>
      <c r="E62" s="10"/>
      <c r="F62" s="10"/>
      <c r="G62" s="61"/>
      <c r="H62" s="62" t="s">
        <v>69</v>
      </c>
      <c r="I62" s="62" t="s">
        <v>70</v>
      </c>
      <c r="J62" s="63" t="s">
        <v>71</v>
      </c>
    </row>
    <row r="63" spans="1:10">
      <c r="A63" s="8" t="s">
        <v>72</v>
      </c>
      <c r="B63" s="64"/>
      <c r="C63" s="458">
        <v>0</v>
      </c>
      <c r="D63" s="3"/>
      <c r="E63" s="3"/>
      <c r="F63" s="3"/>
      <c r="G63" s="24"/>
      <c r="H63" s="31"/>
      <c r="I63" s="23">
        <v>0</v>
      </c>
      <c r="J63" s="65">
        <v>0</v>
      </c>
    </row>
    <row r="64" spans="1:10">
      <c r="A64" s="8" t="s">
        <v>73</v>
      </c>
      <c r="B64" s="64"/>
      <c r="C64" s="3"/>
      <c r="D64" s="3"/>
      <c r="E64" s="3"/>
      <c r="F64" s="3"/>
      <c r="G64" s="24"/>
      <c r="H64" s="31"/>
      <c r="I64" s="370">
        <v>0</v>
      </c>
      <c r="J64" s="65">
        <v>0</v>
      </c>
    </row>
    <row r="65" spans="1:10">
      <c r="A65" s="66" t="s">
        <v>74</v>
      </c>
      <c r="B65" s="67"/>
      <c r="C65" s="369">
        <v>0</v>
      </c>
      <c r="D65" s="3"/>
      <c r="E65" s="3"/>
      <c r="F65" s="3"/>
      <c r="G65" s="68"/>
      <c r="H65" s="69"/>
      <c r="I65" s="70">
        <v>0</v>
      </c>
      <c r="J65" s="71">
        <v>0</v>
      </c>
    </row>
    <row r="66" spans="1:10" ht="16.5" thickBot="1">
      <c r="A66" s="72" t="s">
        <v>75</v>
      </c>
      <c r="B66" s="73"/>
      <c r="C66" s="51"/>
      <c r="D66" s="51"/>
      <c r="E66" s="51"/>
      <c r="F66" s="51"/>
      <c r="G66" s="74"/>
      <c r="H66" s="53"/>
      <c r="I66" s="29">
        <v>0</v>
      </c>
      <c r="J66" s="30">
        <v>0</v>
      </c>
    </row>
    <row r="67" spans="1:10" ht="17.25" thickTop="1" thickBot="1">
      <c r="A67" s="54" t="s">
        <v>76</v>
      </c>
      <c r="B67" s="77"/>
      <c r="C67" s="78"/>
      <c r="D67" s="78"/>
      <c r="E67" s="78"/>
      <c r="F67" s="78"/>
      <c r="G67" s="79"/>
      <c r="H67" s="80">
        <v>-441.60060399999998</v>
      </c>
      <c r="I67" s="388">
        <v>-738.03050399999995</v>
      </c>
      <c r="J67" s="390">
        <v>-369015.25199999998</v>
      </c>
    </row>
    <row r="68" spans="1:10">
      <c r="A68" s="28" t="s">
        <v>77</v>
      </c>
      <c r="B68" s="2"/>
      <c r="C68" s="3"/>
      <c r="D68" s="3"/>
      <c r="E68" s="3"/>
      <c r="F68" s="3"/>
      <c r="G68" s="3"/>
      <c r="H68" s="3"/>
      <c r="I68" s="3"/>
      <c r="J68" s="3"/>
    </row>
    <row r="69" spans="1:10">
      <c r="A69" s="82" t="s">
        <v>78</v>
      </c>
      <c r="B69" s="2"/>
      <c r="C69" s="3"/>
      <c r="D69" s="3"/>
      <c r="E69" s="3"/>
      <c r="F69" s="3"/>
      <c r="G69" s="3"/>
      <c r="H69" s="3"/>
      <c r="I69" s="3"/>
      <c r="J69" s="3"/>
    </row>
    <row r="70" spans="1:10">
      <c r="A70" s="83" t="s">
        <v>79</v>
      </c>
      <c r="B70" s="2"/>
      <c r="C70" s="3"/>
      <c r="D70" s="3"/>
      <c r="E70" s="3"/>
      <c r="F70" s="3"/>
      <c r="G70" s="3"/>
      <c r="H70" s="3"/>
      <c r="I70" s="3"/>
      <c r="J70" s="3"/>
    </row>
    <row r="71" spans="1:10">
      <c r="A71" s="84" t="s">
        <v>80</v>
      </c>
      <c r="B71" s="2"/>
      <c r="C71" s="3"/>
      <c r="D71" s="3"/>
      <c r="E71" s="3"/>
      <c r="F71" s="3"/>
      <c r="G71" s="3"/>
      <c r="H71" s="3"/>
      <c r="I71" s="3"/>
      <c r="J71" s="3"/>
    </row>
    <row r="72" spans="1:10">
      <c r="A72" s="85" t="s">
        <v>81</v>
      </c>
      <c r="B72" s="2"/>
      <c r="C72" s="3"/>
      <c r="D72" s="3"/>
      <c r="E72" s="3"/>
      <c r="F72" s="3"/>
      <c r="G72" s="3"/>
      <c r="H72" s="3"/>
      <c r="I72" s="3"/>
      <c r="J72" s="3"/>
    </row>
    <row r="73" spans="1:10">
      <c r="A73" s="8" t="s">
        <v>82</v>
      </c>
      <c r="B73" s="2"/>
      <c r="C73" s="2"/>
      <c r="D73" s="2"/>
      <c r="E73" s="2"/>
      <c r="F73" s="2"/>
      <c r="G73" s="3"/>
      <c r="H73" s="3"/>
      <c r="I73" s="3"/>
      <c r="J73" s="3"/>
    </row>
    <row r="74" spans="1:10">
      <c r="A74" s="84" t="s">
        <v>83</v>
      </c>
      <c r="B74" s="3"/>
      <c r="C74" s="3"/>
      <c r="D74" s="3"/>
      <c r="E74" s="3"/>
      <c r="F74" s="3"/>
      <c r="G74" s="3"/>
      <c r="H74" s="3"/>
      <c r="I74" s="3"/>
      <c r="J74" s="3"/>
    </row>
    <row r="75" spans="1:10">
      <c r="A75" s="6" t="s">
        <v>84</v>
      </c>
      <c r="B75" s="3"/>
      <c r="C75" s="3"/>
      <c r="D75" s="3"/>
      <c r="E75" s="3"/>
      <c r="F75" s="3"/>
      <c r="G75" s="3"/>
      <c r="H75" s="3"/>
      <c r="I75" s="3"/>
      <c r="J75" s="3"/>
    </row>
    <row r="76" spans="1:10">
      <c r="A76" s="86">
        <v>45702</v>
      </c>
      <c r="B76" s="3"/>
      <c r="C76" s="3"/>
      <c r="D76" s="3"/>
      <c r="E76" s="3"/>
      <c r="F76" s="3"/>
      <c r="G76" s="3"/>
      <c r="H76" s="3"/>
      <c r="I76" s="3"/>
      <c r="J76" s="3"/>
    </row>
    <row r="79" spans="1:10">
      <c r="A79" s="347" t="s">
        <v>532</v>
      </c>
    </row>
    <row r="80" spans="1:10">
      <c r="A80" s="142" t="s">
        <v>533</v>
      </c>
    </row>
    <row r="82" spans="1:1">
      <c r="A82" s="477" t="s">
        <v>534</v>
      </c>
    </row>
    <row r="83" spans="1:1">
      <c r="A83" s="233" t="s">
        <v>303</v>
      </c>
    </row>
  </sheetData>
  <mergeCells count="2">
    <mergeCell ref="E53:F54"/>
    <mergeCell ref="L6:M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3388-0D35-E844-8C52-49E437F9043C}">
  <dimension ref="A1:M153"/>
  <sheetViews>
    <sheetView zoomScaleNormal="100" workbookViewId="0">
      <selection activeCell="A27" sqref="A27"/>
    </sheetView>
  </sheetViews>
  <sheetFormatPr defaultColWidth="11" defaultRowHeight="15.75"/>
  <cols>
    <col min="13" max="13" width="16.5" customWidth="1"/>
  </cols>
  <sheetData>
    <row r="1" spans="1:13" ht="20.25">
      <c r="A1" s="493" t="s">
        <v>85</v>
      </c>
      <c r="B1" s="493"/>
      <c r="C1" s="493"/>
      <c r="D1" s="493"/>
      <c r="E1" s="493"/>
      <c r="F1" s="493"/>
      <c r="G1" s="493"/>
      <c r="H1" s="493"/>
      <c r="I1" s="493"/>
      <c r="J1" s="493"/>
    </row>
    <row r="2" spans="1:13">
      <c r="A2" s="1" t="s">
        <v>0</v>
      </c>
      <c r="B2" s="2"/>
      <c r="C2" s="3"/>
      <c r="D2" s="3"/>
      <c r="E2" s="3"/>
      <c r="F2" s="3"/>
      <c r="G2" s="3"/>
      <c r="H2" s="3"/>
      <c r="I2" s="3"/>
      <c r="J2" s="3"/>
    </row>
    <row r="3" spans="1:13">
      <c r="A3" s="4" t="s">
        <v>1</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ht="15" customHeight="1">
      <c r="A6" s="8"/>
      <c r="B6" s="3"/>
      <c r="C6" s="3"/>
      <c r="D6" s="7"/>
      <c r="E6" s="7"/>
      <c r="F6" s="7"/>
      <c r="G6" s="3"/>
      <c r="H6" s="3"/>
      <c r="I6" s="3"/>
      <c r="J6" s="3"/>
      <c r="L6" s="491" t="s">
        <v>549</v>
      </c>
      <c r="M6" s="491"/>
    </row>
    <row r="7" spans="1:13" ht="15.95" customHeight="1">
      <c r="A7" s="9" t="s">
        <v>3</v>
      </c>
      <c r="B7" s="10"/>
      <c r="C7" s="10"/>
      <c r="D7" s="11" t="s">
        <v>4</v>
      </c>
      <c r="E7" s="12"/>
      <c r="F7" s="11" t="s">
        <v>5</v>
      </c>
      <c r="G7" s="10"/>
      <c r="H7" s="10"/>
      <c r="I7" s="10"/>
      <c r="J7" s="10"/>
      <c r="L7" s="492"/>
      <c r="M7" s="492"/>
    </row>
    <row r="8" spans="1:13">
      <c r="A8" s="358" t="s">
        <v>6</v>
      </c>
      <c r="B8" s="359"/>
      <c r="C8" s="352"/>
      <c r="D8" s="90">
        <v>204</v>
      </c>
      <c r="E8" s="13" t="s">
        <v>7</v>
      </c>
      <c r="F8" s="91">
        <v>5888</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tr">
        <f>F8&amp;" Acres"&amp;""</f>
        <v>5888 Acres</v>
      </c>
    </row>
    <row r="12" spans="1:13">
      <c r="A12" s="353" t="s">
        <v>15</v>
      </c>
      <c r="B12" s="3"/>
      <c r="C12" s="3"/>
      <c r="D12" s="3"/>
      <c r="E12" s="3"/>
      <c r="F12" s="3"/>
      <c r="G12" s="356">
        <v>6.4</v>
      </c>
      <c r="H12" s="356">
        <v>5</v>
      </c>
      <c r="I12" s="23">
        <f t="shared" ref="I12:I20" si="0">G12+H12</f>
        <v>11.4</v>
      </c>
      <c r="J12" s="24">
        <f>$F$8*I12</f>
        <v>67123.199999999997</v>
      </c>
    </row>
    <row r="13" spans="1:13">
      <c r="A13" s="353" t="s">
        <v>16</v>
      </c>
      <c r="B13" s="3"/>
      <c r="C13" s="3"/>
      <c r="D13" s="3"/>
      <c r="E13" s="3"/>
      <c r="F13" s="3"/>
      <c r="G13" s="356">
        <v>8.1</v>
      </c>
      <c r="H13" s="356">
        <v>4.5</v>
      </c>
      <c r="I13" s="23">
        <f t="shared" si="0"/>
        <v>12.6</v>
      </c>
      <c r="J13" s="24">
        <f t="shared" ref="J13:J20" si="1">$F$8*I13</f>
        <v>74188.800000000003</v>
      </c>
    </row>
    <row r="14" spans="1:13">
      <c r="A14" s="353" t="s">
        <v>17</v>
      </c>
      <c r="B14" s="3"/>
      <c r="C14" s="3"/>
      <c r="D14" s="3"/>
      <c r="E14" s="3"/>
      <c r="F14" s="3"/>
      <c r="G14" s="357">
        <v>7.6</v>
      </c>
      <c r="H14" s="357">
        <v>5.7</v>
      </c>
      <c r="I14" s="23">
        <f t="shared" si="0"/>
        <v>13.3</v>
      </c>
      <c r="J14" s="24">
        <f t="shared" si="1"/>
        <v>78310.400000000009</v>
      </c>
    </row>
    <row r="15" spans="1:13">
      <c r="A15" s="353" t="s">
        <v>18</v>
      </c>
      <c r="B15" s="3"/>
      <c r="C15" s="3"/>
      <c r="D15" s="3"/>
      <c r="E15" s="3"/>
      <c r="F15" s="3"/>
      <c r="G15" s="357">
        <v>4.7</v>
      </c>
      <c r="H15" s="357">
        <v>3.5</v>
      </c>
      <c r="I15" s="23">
        <f t="shared" si="0"/>
        <v>8.1999999999999993</v>
      </c>
      <c r="J15" s="24">
        <f t="shared" si="1"/>
        <v>48281.599999999999</v>
      </c>
    </row>
    <row r="16" spans="1:13">
      <c r="A16" s="353" t="s">
        <v>19</v>
      </c>
      <c r="B16" s="3"/>
      <c r="C16" s="3"/>
      <c r="D16" s="3"/>
      <c r="E16" s="3"/>
      <c r="F16" s="3"/>
      <c r="G16" s="357">
        <v>10.4</v>
      </c>
      <c r="H16" s="357">
        <v>6.2</v>
      </c>
      <c r="I16" s="23">
        <f t="shared" si="0"/>
        <v>16.600000000000001</v>
      </c>
      <c r="J16" s="24">
        <f t="shared" si="1"/>
        <v>97740.800000000003</v>
      </c>
    </row>
    <row r="17" spans="1:10">
      <c r="A17" s="353" t="s">
        <v>20</v>
      </c>
      <c r="B17" s="3"/>
      <c r="C17" s="3"/>
      <c r="D17" s="3"/>
      <c r="E17" s="3"/>
      <c r="F17" s="3"/>
      <c r="G17" s="357">
        <v>4</v>
      </c>
      <c r="H17" s="357">
        <v>2.5</v>
      </c>
      <c r="I17" s="23">
        <f t="shared" si="0"/>
        <v>6.5</v>
      </c>
      <c r="J17" s="24">
        <f t="shared" si="1"/>
        <v>38272</v>
      </c>
    </row>
    <row r="18" spans="1:10">
      <c r="A18" s="353" t="s">
        <v>21</v>
      </c>
      <c r="B18" s="3"/>
      <c r="C18" s="3"/>
      <c r="D18" s="3"/>
      <c r="E18" s="3"/>
      <c r="F18" s="3"/>
      <c r="G18" s="357">
        <v>0</v>
      </c>
      <c r="H18" s="357">
        <v>0</v>
      </c>
      <c r="I18" s="23">
        <f t="shared" si="0"/>
        <v>0</v>
      </c>
      <c r="J18" s="24">
        <f t="shared" si="1"/>
        <v>0</v>
      </c>
    </row>
    <row r="19" spans="1:10">
      <c r="A19" s="353" t="s">
        <v>22</v>
      </c>
      <c r="B19" s="3"/>
      <c r="C19" s="3"/>
      <c r="D19" s="3"/>
      <c r="E19" s="3"/>
      <c r="F19" s="3"/>
      <c r="G19" s="357">
        <v>0</v>
      </c>
      <c r="H19" s="357">
        <v>0</v>
      </c>
      <c r="I19" s="23">
        <f t="shared" si="0"/>
        <v>0</v>
      </c>
      <c r="J19" s="24">
        <f t="shared" si="1"/>
        <v>0</v>
      </c>
    </row>
    <row r="20" spans="1:10">
      <c r="A20" s="353" t="s">
        <v>22</v>
      </c>
      <c r="B20" s="25"/>
      <c r="C20" s="25"/>
      <c r="D20" s="25"/>
      <c r="E20" s="25"/>
      <c r="F20" s="25"/>
      <c r="G20" s="357">
        <v>0</v>
      </c>
      <c r="H20" s="357">
        <v>0</v>
      </c>
      <c r="I20" s="26">
        <f t="shared" si="0"/>
        <v>0</v>
      </c>
      <c r="J20" s="24">
        <f t="shared" si="1"/>
        <v>0</v>
      </c>
    </row>
    <row r="21" spans="1:10">
      <c r="A21" s="28" t="s">
        <v>23</v>
      </c>
      <c r="B21" s="2"/>
      <c r="C21" s="3"/>
      <c r="D21" s="3"/>
      <c r="E21" s="3"/>
      <c r="F21" s="3"/>
      <c r="G21" s="23">
        <f>SUM(G12:G20)</f>
        <v>41.2</v>
      </c>
      <c r="H21" s="23">
        <f>SUM(H12:H20)</f>
        <v>27.4</v>
      </c>
      <c r="I21" s="29">
        <f>SUM(I12:I20)</f>
        <v>68.599999999999994</v>
      </c>
      <c r="J21" s="30">
        <f>SUM(J12:J20)</f>
        <v>403916.79999999999</v>
      </c>
    </row>
    <row r="22" spans="1:10">
      <c r="A22" s="28" t="s">
        <v>24</v>
      </c>
      <c r="B22" s="2"/>
      <c r="C22" s="3"/>
      <c r="D22" s="3"/>
      <c r="E22" s="3"/>
      <c r="F22" s="3"/>
      <c r="G22" s="24">
        <f>$F$9*G21</f>
        <v>0</v>
      </c>
      <c r="H22" s="24">
        <f>$F$9*H21</f>
        <v>0</v>
      </c>
      <c r="I22" s="30">
        <f>$F$9*I21</f>
        <v>0</v>
      </c>
      <c r="J22" s="31"/>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tr">
        <f>F8&amp;" Acres"&amp;""</f>
        <v>5888 Acres</v>
      </c>
    </row>
    <row r="26" spans="1:10">
      <c r="A26" s="34" t="s">
        <v>28</v>
      </c>
      <c r="B26" s="3"/>
      <c r="C26" s="360">
        <v>3.81</v>
      </c>
      <c r="D26" s="35" t="s">
        <v>29</v>
      </c>
      <c r="E26" s="362">
        <v>30000</v>
      </c>
      <c r="F26" s="36" t="s">
        <v>30</v>
      </c>
      <c r="G26" s="31"/>
      <c r="H26" s="23">
        <f>C26*E26/1000</f>
        <v>114.3</v>
      </c>
      <c r="I26" s="23">
        <f t="shared" ref="I26:I35" si="2">H26</f>
        <v>114.3</v>
      </c>
      <c r="J26" s="24">
        <f>I26*$F$8</f>
        <v>672998.40000000002</v>
      </c>
    </row>
    <row r="27" spans="1:10">
      <c r="A27" s="34" t="s">
        <v>31</v>
      </c>
      <c r="B27" s="3"/>
      <c r="C27" s="361">
        <v>0.5</v>
      </c>
      <c r="D27" s="35" t="s">
        <v>32</v>
      </c>
      <c r="E27" s="363">
        <v>181</v>
      </c>
      <c r="F27" s="36" t="s">
        <v>33</v>
      </c>
      <c r="G27" s="31"/>
      <c r="H27" s="23">
        <f>C27*E27</f>
        <v>90.5</v>
      </c>
      <c r="I27" s="23">
        <f t="shared" si="2"/>
        <v>90.5</v>
      </c>
      <c r="J27" s="24">
        <f t="shared" ref="J27:J35" si="3">I27*$F$8</f>
        <v>532864</v>
      </c>
    </row>
    <row r="28" spans="1:10">
      <c r="A28" s="34" t="s">
        <v>34</v>
      </c>
      <c r="B28" s="3"/>
      <c r="C28" s="361">
        <v>0.57999999999999996</v>
      </c>
      <c r="D28" s="35" t="s">
        <v>32</v>
      </c>
      <c r="E28" s="364">
        <v>72</v>
      </c>
      <c r="F28" s="36" t="s">
        <v>33</v>
      </c>
      <c r="G28" s="31"/>
      <c r="H28" s="23">
        <f>C28*E28</f>
        <v>41.76</v>
      </c>
      <c r="I28" s="23">
        <f t="shared" si="2"/>
        <v>41.76</v>
      </c>
      <c r="J28" s="24">
        <f t="shared" si="3"/>
        <v>245882.87999999998</v>
      </c>
    </row>
    <row r="29" spans="1:10">
      <c r="A29" s="34" t="s">
        <v>35</v>
      </c>
      <c r="B29" s="3"/>
      <c r="C29" s="361">
        <v>0.36</v>
      </c>
      <c r="D29" s="35" t="s">
        <v>32</v>
      </c>
      <c r="E29" s="364">
        <v>58</v>
      </c>
      <c r="F29" s="36" t="s">
        <v>33</v>
      </c>
      <c r="G29" s="31"/>
      <c r="H29" s="23">
        <f>C29*E29</f>
        <v>20.88</v>
      </c>
      <c r="I29" s="23">
        <f t="shared" si="2"/>
        <v>20.88</v>
      </c>
      <c r="J29" s="24">
        <f t="shared" si="3"/>
        <v>122941.43999999999</v>
      </c>
    </row>
    <row r="30" spans="1:10">
      <c r="A30" s="34" t="s">
        <v>36</v>
      </c>
      <c r="B30" s="3"/>
      <c r="C30" s="3"/>
      <c r="D30" s="35"/>
      <c r="E30" s="3"/>
      <c r="F30" s="36"/>
      <c r="G30" s="31"/>
      <c r="H30" s="357">
        <v>6.41</v>
      </c>
      <c r="I30" s="23">
        <f t="shared" si="2"/>
        <v>6.41</v>
      </c>
      <c r="J30" s="24">
        <f t="shared" si="3"/>
        <v>37742.080000000002</v>
      </c>
    </row>
    <row r="31" spans="1:10">
      <c r="A31" s="34" t="s">
        <v>37</v>
      </c>
      <c r="B31" s="3"/>
      <c r="C31" s="3"/>
      <c r="D31" s="35"/>
      <c r="E31" s="3"/>
      <c r="F31" s="36"/>
      <c r="G31" s="31"/>
      <c r="H31" s="357">
        <v>47</v>
      </c>
      <c r="I31" s="23">
        <f t="shared" si="2"/>
        <v>47</v>
      </c>
      <c r="J31" s="24">
        <f t="shared" si="3"/>
        <v>276736</v>
      </c>
    </row>
    <row r="32" spans="1:10">
      <c r="A32" s="34" t="s">
        <v>38</v>
      </c>
      <c r="B32" s="3"/>
      <c r="C32" s="3"/>
      <c r="D32" s="35"/>
      <c r="E32" s="3"/>
      <c r="F32" s="36"/>
      <c r="G32" s="31"/>
      <c r="H32" s="357">
        <v>18</v>
      </c>
      <c r="I32" s="23">
        <f t="shared" si="2"/>
        <v>18</v>
      </c>
      <c r="J32" s="24">
        <f t="shared" si="3"/>
        <v>105984</v>
      </c>
    </row>
    <row r="33" spans="1:10">
      <c r="A33" s="34" t="s">
        <v>39</v>
      </c>
      <c r="B33" s="3"/>
      <c r="C33" s="3"/>
      <c r="D33" s="35"/>
      <c r="E33" s="3"/>
      <c r="F33" s="36"/>
      <c r="G33" s="31"/>
      <c r="H33" s="357">
        <v>16.2</v>
      </c>
      <c r="I33" s="23">
        <f t="shared" si="2"/>
        <v>16.2</v>
      </c>
      <c r="J33" s="24">
        <f t="shared" si="3"/>
        <v>95385.599999999991</v>
      </c>
    </row>
    <row r="34" spans="1:10">
      <c r="A34" s="34" t="s">
        <v>40</v>
      </c>
      <c r="B34" s="3"/>
      <c r="C34" s="3"/>
      <c r="D34" s="35"/>
      <c r="E34" s="3"/>
      <c r="F34" s="36"/>
      <c r="G34" s="31"/>
      <c r="H34" s="357">
        <v>12.9</v>
      </c>
      <c r="I34" s="23">
        <f t="shared" si="2"/>
        <v>12.9</v>
      </c>
      <c r="J34" s="24">
        <f t="shared" si="3"/>
        <v>75955.199999999997</v>
      </c>
    </row>
    <row r="35" spans="1:10">
      <c r="A35" s="37" t="s">
        <v>41</v>
      </c>
      <c r="B35" s="25"/>
      <c r="C35" s="365">
        <v>8</v>
      </c>
      <c r="D35" s="38" t="s">
        <v>42</v>
      </c>
      <c r="E35" s="366">
        <v>8.1199999999999994E-2</v>
      </c>
      <c r="F35" s="39" t="s">
        <v>43</v>
      </c>
      <c r="G35" s="40"/>
      <c r="H35" s="41">
        <f>(SUM(H26:H34)+H21)*C35*E35/12</f>
        <v>21.40161333333333</v>
      </c>
      <c r="I35" s="26">
        <f t="shared" si="2"/>
        <v>21.40161333333333</v>
      </c>
      <c r="J35" s="24">
        <f t="shared" si="3"/>
        <v>126012.69930666665</v>
      </c>
    </row>
    <row r="36" spans="1:10">
      <c r="A36" s="42" t="s">
        <v>9</v>
      </c>
      <c r="B36" s="2"/>
      <c r="C36" s="3"/>
      <c r="D36" s="3"/>
      <c r="E36" s="3"/>
      <c r="F36" s="3"/>
      <c r="G36" s="31"/>
      <c r="H36" s="23">
        <f>SUM(H26:H35)</f>
        <v>389.35161333333332</v>
      </c>
      <c r="I36" s="29">
        <f t="shared" ref="I36:J36" si="4">SUM(I26:I35)</f>
        <v>389.35161333333332</v>
      </c>
      <c r="J36" s="30">
        <f t="shared" si="4"/>
        <v>2292502.2993066669</v>
      </c>
    </row>
    <row r="37" spans="1:10">
      <c r="A37" s="8"/>
      <c r="B37" s="3"/>
      <c r="C37" s="3"/>
      <c r="D37" s="3"/>
      <c r="E37" s="3"/>
      <c r="F37" s="3"/>
      <c r="G37" s="3"/>
      <c r="H37" s="3"/>
      <c r="I37" s="3"/>
      <c r="J37" s="24" t="s">
        <v>44</v>
      </c>
    </row>
    <row r="38" spans="1:10">
      <c r="A38" s="9" t="s">
        <v>45</v>
      </c>
      <c r="B38" s="33"/>
      <c r="C38" s="11"/>
      <c r="D38" s="11"/>
      <c r="E38" s="11"/>
      <c r="F38" s="10"/>
      <c r="G38" s="21"/>
      <c r="H38" s="21"/>
      <c r="I38" s="22"/>
      <c r="J38" s="22"/>
    </row>
    <row r="39" spans="1:10">
      <c r="A39" s="367" t="s">
        <v>46</v>
      </c>
      <c r="B39" s="3"/>
      <c r="C39" s="3"/>
      <c r="D39" s="3"/>
      <c r="E39" s="3"/>
      <c r="F39" s="3"/>
      <c r="G39" s="356">
        <v>23</v>
      </c>
      <c r="H39" s="356">
        <v>8.6999999999999993</v>
      </c>
      <c r="I39" s="23">
        <f t="shared" ref="I39:I44" si="5">SUM(G39:H39)</f>
        <v>31.7</v>
      </c>
      <c r="J39" s="24">
        <f>$F$8*I39</f>
        <v>186649.60000000001</v>
      </c>
    </row>
    <row r="40" spans="1:10">
      <c r="A40" s="368" t="s">
        <v>47</v>
      </c>
      <c r="B40" s="3"/>
      <c r="C40" s="3"/>
      <c r="D40" s="3"/>
      <c r="E40" s="3"/>
      <c r="F40" s="3"/>
      <c r="G40" s="357">
        <v>11.1</v>
      </c>
      <c r="H40" s="357">
        <v>3.8</v>
      </c>
      <c r="I40" s="23">
        <f t="shared" si="5"/>
        <v>14.899999999999999</v>
      </c>
      <c r="J40" s="24">
        <f t="shared" ref="J40:J44" si="6">$F$8*I40</f>
        <v>87731.199999999997</v>
      </c>
    </row>
    <row r="41" spans="1:10">
      <c r="A41" s="43" t="s">
        <v>48</v>
      </c>
      <c r="B41" s="3"/>
      <c r="C41" s="361">
        <v>7.6999999999999999E-2</v>
      </c>
      <c r="D41" s="36" t="s">
        <v>49</v>
      </c>
      <c r="E41" s="361">
        <v>4.8000000000000001E-2</v>
      </c>
      <c r="F41" s="36" t="s">
        <v>50</v>
      </c>
      <c r="G41" s="23">
        <f>C41*D8</f>
        <v>15.708</v>
      </c>
      <c r="H41" s="23">
        <f>E41*D8</f>
        <v>9.7919999999999998</v>
      </c>
      <c r="I41" s="23">
        <f t="shared" si="5"/>
        <v>25.5</v>
      </c>
      <c r="J41" s="24">
        <f t="shared" si="6"/>
        <v>150144</v>
      </c>
    </row>
    <row r="42" spans="1:10">
      <c r="A42" s="43" t="s">
        <v>51</v>
      </c>
      <c r="B42" s="3"/>
      <c r="C42" s="361">
        <v>0.05</v>
      </c>
      <c r="D42" s="36" t="s">
        <v>49</v>
      </c>
      <c r="E42" s="361">
        <f>1.53*0.02*6</f>
        <v>0.18360000000000001</v>
      </c>
      <c r="F42" s="36" t="s">
        <v>50</v>
      </c>
      <c r="G42" s="23">
        <f>C42*D8</f>
        <v>10.200000000000001</v>
      </c>
      <c r="H42" s="23">
        <f>E42*D8</f>
        <v>37.4544</v>
      </c>
      <c r="I42" s="23">
        <f t="shared" si="5"/>
        <v>47.654400000000003</v>
      </c>
      <c r="J42" s="24">
        <f t="shared" si="6"/>
        <v>280589.10720000003</v>
      </c>
    </row>
    <row r="43" spans="1:10">
      <c r="A43" s="43" t="s">
        <v>52</v>
      </c>
      <c r="B43" s="3"/>
      <c r="C43" s="361">
        <v>3.1600000000000003E-2</v>
      </c>
      <c r="D43" s="36" t="s">
        <v>49</v>
      </c>
      <c r="E43" s="361">
        <v>2.53E-2</v>
      </c>
      <c r="F43" s="36" t="s">
        <v>50</v>
      </c>
      <c r="G43" s="23">
        <f>C43*D8</f>
        <v>6.4464000000000006</v>
      </c>
      <c r="H43" s="23">
        <f>E43*D8</f>
        <v>5.1612</v>
      </c>
      <c r="I43" s="23">
        <f t="shared" si="5"/>
        <v>11.607600000000001</v>
      </c>
      <c r="J43" s="24">
        <f t="shared" si="6"/>
        <v>68345.548800000004</v>
      </c>
    </row>
    <row r="44" spans="1:10">
      <c r="A44" s="368" t="s">
        <v>21</v>
      </c>
      <c r="B44" s="25"/>
      <c r="C44" s="25"/>
      <c r="D44" s="25"/>
      <c r="E44" s="25"/>
      <c r="F44" s="25"/>
      <c r="G44" s="357">
        <v>0</v>
      </c>
      <c r="H44" s="357">
        <v>0</v>
      </c>
      <c r="I44" s="26">
        <f t="shared" si="5"/>
        <v>0</v>
      </c>
      <c r="J44" s="24">
        <f t="shared" si="6"/>
        <v>0</v>
      </c>
    </row>
    <row r="45" spans="1:10">
      <c r="A45" s="28" t="s">
        <v>23</v>
      </c>
      <c r="B45" s="2"/>
      <c r="C45" s="3"/>
      <c r="D45" s="3"/>
      <c r="E45" s="3"/>
      <c r="F45" s="3"/>
      <c r="G45" s="23">
        <f>SUM(G39:G44)</f>
        <v>66.454400000000007</v>
      </c>
      <c r="H45" s="23">
        <f>SUM(H39:H44)</f>
        <v>64.907600000000002</v>
      </c>
      <c r="I45" s="29">
        <f>SUM(I39:I44)</f>
        <v>131.36199999999999</v>
      </c>
      <c r="J45" s="3"/>
    </row>
    <row r="46" spans="1:10">
      <c r="A46" s="28" t="s">
        <v>24</v>
      </c>
      <c r="B46" s="2"/>
      <c r="C46" s="3"/>
      <c r="D46" s="3"/>
      <c r="E46" s="3"/>
      <c r="F46" s="3"/>
      <c r="G46" s="24">
        <f>$F$9*G45</f>
        <v>0</v>
      </c>
      <c r="H46" s="24">
        <f>$F$9*H45</f>
        <v>0</v>
      </c>
      <c r="I46" s="30"/>
      <c r="J46" s="30">
        <f>SUM(J39:J44)</f>
        <v>773459.45600000001</v>
      </c>
    </row>
    <row r="47" spans="1:10">
      <c r="A47" s="8"/>
      <c r="B47" s="3"/>
      <c r="C47" s="3"/>
      <c r="D47" s="3"/>
      <c r="E47" s="3"/>
      <c r="F47" s="3"/>
      <c r="G47" s="3"/>
      <c r="H47" s="3"/>
      <c r="I47" s="3"/>
      <c r="J47" s="24"/>
    </row>
    <row r="48" spans="1:10">
      <c r="A48" s="9" t="s">
        <v>53</v>
      </c>
      <c r="B48" s="33"/>
      <c r="C48" s="11" t="s">
        <v>54</v>
      </c>
      <c r="D48" s="11"/>
      <c r="E48" s="11" t="s">
        <v>55</v>
      </c>
      <c r="F48" s="10"/>
      <c r="G48" s="21"/>
      <c r="H48" s="21"/>
      <c r="I48" s="22"/>
      <c r="J48" s="22"/>
    </row>
    <row r="49" spans="1:11">
      <c r="A49" s="8" t="s">
        <v>56</v>
      </c>
      <c r="B49" s="2"/>
      <c r="C49" s="361">
        <v>20.149999999999999</v>
      </c>
      <c r="D49" s="3"/>
      <c r="E49" s="365">
        <v>2.8</v>
      </c>
      <c r="F49" s="44"/>
      <c r="G49" s="45">
        <f>E49*C49</f>
        <v>56.419999999999995</v>
      </c>
      <c r="H49" s="31"/>
      <c r="I49" s="23">
        <f>G49</f>
        <v>56.419999999999995</v>
      </c>
      <c r="J49" s="24">
        <f>I49*$F$8</f>
        <v>332200.95999999996</v>
      </c>
    </row>
    <row r="50" spans="1:11">
      <c r="A50" s="46" t="s">
        <v>57</v>
      </c>
      <c r="B50" s="47"/>
      <c r="C50" s="361">
        <v>0</v>
      </c>
      <c r="D50" s="25"/>
      <c r="E50" s="365">
        <v>0</v>
      </c>
      <c r="F50" s="47"/>
      <c r="G50" s="40"/>
      <c r="H50" s="26">
        <f>E50*C50</f>
        <v>0</v>
      </c>
      <c r="I50" s="26">
        <f>H50</f>
        <v>0</v>
      </c>
      <c r="J50" s="27">
        <f>$F$9*I50</f>
        <v>0</v>
      </c>
    </row>
    <row r="51" spans="1:11">
      <c r="A51" s="28" t="s">
        <v>58</v>
      </c>
      <c r="B51" s="44"/>
      <c r="C51" s="48"/>
      <c r="D51" s="48"/>
      <c r="E51" s="48"/>
      <c r="F51" s="48"/>
      <c r="G51" s="23">
        <f>G49</f>
        <v>56.419999999999995</v>
      </c>
      <c r="H51" s="23">
        <f>H50</f>
        <v>0</v>
      </c>
      <c r="I51" s="29">
        <f>I49+I50</f>
        <v>56.419999999999995</v>
      </c>
      <c r="J51" s="30">
        <f>J49+J50</f>
        <v>332200.95999999996</v>
      </c>
    </row>
    <row r="52" spans="1:11">
      <c r="A52" s="49"/>
      <c r="B52" s="44"/>
      <c r="C52" s="48"/>
      <c r="D52" s="48"/>
      <c r="E52" s="48"/>
      <c r="F52" s="48"/>
      <c r="G52" s="3"/>
      <c r="H52" s="3"/>
      <c r="I52" s="3"/>
      <c r="J52" s="24"/>
    </row>
    <row r="53" spans="1:11">
      <c r="A53" s="9" t="s">
        <v>59</v>
      </c>
      <c r="B53" s="33"/>
      <c r="C53" s="11"/>
      <c r="D53" s="11"/>
      <c r="E53" s="11"/>
      <c r="F53" s="10"/>
      <c r="G53" s="21"/>
      <c r="H53" s="21"/>
      <c r="I53" s="22"/>
      <c r="J53" s="22" t="s">
        <v>44</v>
      </c>
    </row>
    <row r="54" spans="1:11">
      <c r="A54" s="8" t="s">
        <v>60</v>
      </c>
      <c r="B54" s="3"/>
      <c r="C54" s="3"/>
      <c r="D54" s="3"/>
      <c r="E54" s="489" t="s">
        <v>472</v>
      </c>
      <c r="F54" s="489"/>
      <c r="G54" s="375">
        <v>143</v>
      </c>
      <c r="H54" s="31"/>
      <c r="I54" s="29">
        <f>G54</f>
        <v>143</v>
      </c>
      <c r="J54" s="30">
        <f>G54*$F$8</f>
        <v>841984</v>
      </c>
      <c r="K54" s="173"/>
    </row>
    <row r="55" spans="1:11">
      <c r="A55" s="8"/>
      <c r="B55" s="3"/>
      <c r="C55" s="3"/>
      <c r="D55" s="3"/>
      <c r="E55" s="490"/>
      <c r="F55" s="490"/>
      <c r="G55" s="3"/>
      <c r="H55" s="3"/>
      <c r="I55" s="3"/>
      <c r="J55" s="24" t="s">
        <v>44</v>
      </c>
    </row>
    <row r="56" spans="1:11">
      <c r="A56" s="32"/>
      <c r="B56" s="17"/>
      <c r="C56" s="17"/>
      <c r="D56" s="17"/>
      <c r="E56" s="17"/>
      <c r="F56" s="17"/>
      <c r="G56" s="18" t="s">
        <v>8</v>
      </c>
      <c r="H56" s="19"/>
      <c r="I56" s="19" t="s">
        <v>9</v>
      </c>
      <c r="J56" s="20" t="s">
        <v>10</v>
      </c>
    </row>
    <row r="57" spans="1:11">
      <c r="A57" s="9" t="s">
        <v>61</v>
      </c>
      <c r="B57" s="33"/>
      <c r="C57" s="11"/>
      <c r="D57" s="11"/>
      <c r="E57" s="11"/>
      <c r="F57" s="10"/>
      <c r="G57" s="21" t="s">
        <v>12</v>
      </c>
      <c r="H57" s="21" t="s">
        <v>13</v>
      </c>
      <c r="I57" s="22" t="s">
        <v>14</v>
      </c>
      <c r="J57" s="22" t="str">
        <f>F8&amp;" Acres"&amp;""</f>
        <v>5888 Acres</v>
      </c>
    </row>
    <row r="58" spans="1:11">
      <c r="A58" s="8" t="s">
        <v>62</v>
      </c>
      <c r="B58" s="3"/>
      <c r="C58" s="3"/>
      <c r="D58" s="3"/>
      <c r="E58" s="3"/>
      <c r="F58" s="3"/>
      <c r="G58" s="23">
        <f>G21+G45+G51+G54</f>
        <v>307.07439999999997</v>
      </c>
      <c r="H58" s="23">
        <f>H21+H36+H45+H51</f>
        <v>481.6592133333333</v>
      </c>
      <c r="I58" s="29">
        <f>I21+I36+I45+I51+I54</f>
        <v>788.73361333333321</v>
      </c>
      <c r="J58" s="3"/>
    </row>
    <row r="59" spans="1:11" ht="16.5" thickBot="1">
      <c r="A59" s="50" t="s">
        <v>63</v>
      </c>
      <c r="B59" s="51"/>
      <c r="C59" s="51"/>
      <c r="D59" s="51"/>
      <c r="E59" s="51"/>
      <c r="F59" s="51"/>
      <c r="G59" s="52">
        <f>IF($D$9&gt;0,G58/$D$9,0)</f>
        <v>0</v>
      </c>
      <c r="H59" s="52">
        <f>IF($D$9&gt;0,H58/$D$9,0)</f>
        <v>0</v>
      </c>
      <c r="I59" s="52">
        <f>IF($D$9&gt;0,I58/$D$9,0)</f>
        <v>0</v>
      </c>
      <c r="J59" s="53"/>
    </row>
    <row r="60" spans="1:11" ht="16.5" thickTop="1">
      <c r="A60" s="54" t="s">
        <v>64</v>
      </c>
      <c r="B60" s="55"/>
      <c r="C60" s="55"/>
      <c r="D60" s="55"/>
      <c r="E60" s="55"/>
      <c r="F60" s="55"/>
      <c r="G60" s="56">
        <f>$F$9*G58</f>
        <v>0</v>
      </c>
      <c r="H60" s="56">
        <f>$F$9*H58</f>
        <v>0</v>
      </c>
      <c r="I60" s="56"/>
      <c r="J60" s="56">
        <f>J21+J36+J46+J51+J54</f>
        <v>4644063.5153066665</v>
      </c>
    </row>
    <row r="61" spans="1:11">
      <c r="A61" s="8"/>
      <c r="B61" s="3"/>
      <c r="C61" s="3"/>
      <c r="D61" s="3"/>
      <c r="E61" s="3"/>
      <c r="F61" s="3"/>
      <c r="G61" s="24"/>
      <c r="H61" s="24"/>
      <c r="I61" s="24"/>
      <c r="J61" s="31"/>
    </row>
    <row r="62" spans="1:11">
      <c r="A62" s="32"/>
      <c r="B62" s="17"/>
      <c r="C62" s="17"/>
      <c r="D62" s="17"/>
      <c r="E62" s="17"/>
      <c r="F62" s="17"/>
      <c r="G62" s="57"/>
      <c r="H62" s="58" t="s">
        <v>65</v>
      </c>
      <c r="I62" s="59" t="s">
        <v>66</v>
      </c>
      <c r="J62" s="60" t="s">
        <v>67</v>
      </c>
    </row>
    <row r="63" spans="1:11">
      <c r="A63" s="9" t="s">
        <v>68</v>
      </c>
      <c r="B63" s="10"/>
      <c r="C63" s="10"/>
      <c r="D63" s="10"/>
      <c r="E63" s="10"/>
      <c r="F63" s="10"/>
      <c r="G63" s="61"/>
      <c r="H63" s="62" t="s">
        <v>69</v>
      </c>
      <c r="I63" s="62" t="s">
        <v>70</v>
      </c>
      <c r="J63" s="63" t="s">
        <v>71</v>
      </c>
    </row>
    <row r="64" spans="1:11">
      <c r="A64" s="8" t="s">
        <v>72</v>
      </c>
      <c r="B64" s="64"/>
      <c r="C64" s="459">
        <v>0</v>
      </c>
      <c r="D64" s="3"/>
      <c r="E64" s="3"/>
      <c r="F64" s="3"/>
      <c r="G64" s="24"/>
      <c r="H64" s="31"/>
      <c r="I64" s="23">
        <f>C64*D$8</f>
        <v>0</v>
      </c>
      <c r="J64" s="65">
        <f>I64*F$8</f>
        <v>0</v>
      </c>
    </row>
    <row r="65" spans="1:10">
      <c r="A65" s="8" t="s">
        <v>73</v>
      </c>
      <c r="B65" s="64"/>
      <c r="C65" s="3"/>
      <c r="D65" s="3"/>
      <c r="E65" s="3"/>
      <c r="F65" s="3"/>
      <c r="G65" s="24"/>
      <c r="H65" s="31"/>
      <c r="I65" s="357">
        <v>0</v>
      </c>
      <c r="J65" s="65">
        <f>I65*F$9</f>
        <v>0</v>
      </c>
    </row>
    <row r="66" spans="1:10">
      <c r="A66" s="66" t="s">
        <v>74</v>
      </c>
      <c r="B66" s="67"/>
      <c r="C66" s="369">
        <v>0</v>
      </c>
      <c r="D66" s="3"/>
      <c r="E66" s="3"/>
      <c r="F66" s="3"/>
      <c r="G66" s="68"/>
      <c r="H66" s="69"/>
      <c r="I66" s="70">
        <f>C66*D$9</f>
        <v>0</v>
      </c>
      <c r="J66" s="71">
        <f>I66*F$9</f>
        <v>0</v>
      </c>
    </row>
    <row r="67" spans="1:10" ht="16.5" thickBot="1">
      <c r="A67" s="72" t="s">
        <v>75</v>
      </c>
      <c r="B67" s="73"/>
      <c r="C67" s="51"/>
      <c r="D67" s="51"/>
      <c r="E67" s="51"/>
      <c r="F67" s="51"/>
      <c r="G67" s="74"/>
      <c r="H67" s="53"/>
      <c r="I67" s="29">
        <f>I64+I65+I66</f>
        <v>0</v>
      </c>
      <c r="J67" s="30">
        <f>J64+J65+J66</f>
        <v>0</v>
      </c>
    </row>
    <row r="68" spans="1:10" ht="17.25" thickTop="1" thickBot="1">
      <c r="A68" s="54" t="s">
        <v>76</v>
      </c>
      <c r="B68" s="77"/>
      <c r="C68" s="78"/>
      <c r="D68" s="78"/>
      <c r="E68" s="78"/>
      <c r="F68" s="78"/>
      <c r="G68" s="79"/>
      <c r="H68" s="201">
        <f>I67-H58</f>
        <v>-481.6592133333333</v>
      </c>
      <c r="I68" s="388">
        <f>I67-I58</f>
        <v>-788.73361333333321</v>
      </c>
      <c r="J68" s="390">
        <f>J67-J60</f>
        <v>-4644063.5153066665</v>
      </c>
    </row>
    <row r="69" spans="1:10">
      <c r="A69" s="28" t="s">
        <v>77</v>
      </c>
      <c r="B69" s="2"/>
      <c r="C69" s="3"/>
      <c r="D69" s="3"/>
      <c r="E69" s="3"/>
      <c r="F69" s="3"/>
      <c r="G69" s="3"/>
      <c r="H69" s="3"/>
      <c r="I69" s="3"/>
      <c r="J69" s="3"/>
    </row>
    <row r="70" spans="1:10">
      <c r="A70" s="82" t="s">
        <v>78</v>
      </c>
      <c r="B70" s="2"/>
      <c r="C70" s="3"/>
      <c r="D70" s="3"/>
      <c r="E70" s="3"/>
      <c r="F70" s="3"/>
      <c r="G70" s="3"/>
      <c r="H70" s="3"/>
      <c r="I70" s="3"/>
      <c r="J70" s="3"/>
    </row>
    <row r="71" spans="1:10">
      <c r="A71" s="83" t="s">
        <v>79</v>
      </c>
      <c r="B71" s="2"/>
      <c r="C71" s="3"/>
      <c r="D71" s="3"/>
      <c r="E71" s="3"/>
      <c r="F71" s="3"/>
      <c r="G71" s="3"/>
      <c r="H71" s="3"/>
      <c r="I71" s="3"/>
      <c r="J71" s="3"/>
    </row>
    <row r="72" spans="1:10">
      <c r="A72" s="84" t="s">
        <v>80</v>
      </c>
      <c r="B72" s="2"/>
      <c r="C72" s="3"/>
      <c r="D72" s="3"/>
      <c r="E72" s="3"/>
      <c r="F72" s="3"/>
      <c r="G72" s="3"/>
      <c r="H72" s="3"/>
      <c r="I72" s="3"/>
      <c r="J72" s="3"/>
    </row>
    <row r="73" spans="1:10">
      <c r="A73" s="85" t="s">
        <v>81</v>
      </c>
      <c r="B73" s="2"/>
      <c r="C73" s="3"/>
      <c r="D73" s="3"/>
      <c r="E73" s="3"/>
      <c r="F73" s="3"/>
      <c r="G73" s="3"/>
      <c r="H73" s="3"/>
      <c r="I73" s="3"/>
      <c r="J73" s="3"/>
    </row>
    <row r="74" spans="1:10">
      <c r="A74" s="8" t="s">
        <v>82</v>
      </c>
      <c r="B74" s="2"/>
      <c r="C74" s="2"/>
      <c r="D74" s="2"/>
      <c r="E74" s="2"/>
      <c r="F74" s="2"/>
      <c r="G74" s="3"/>
      <c r="H74" s="3"/>
      <c r="I74" s="3"/>
      <c r="J74" s="3"/>
    </row>
    <row r="75" spans="1:10">
      <c r="A75" s="84" t="s">
        <v>83</v>
      </c>
      <c r="B75" s="3"/>
      <c r="C75" s="3"/>
      <c r="D75" s="3"/>
      <c r="E75" s="3"/>
      <c r="F75" s="3"/>
      <c r="G75" s="3"/>
      <c r="H75" s="3"/>
      <c r="I75" s="3"/>
      <c r="J75" s="3"/>
    </row>
    <row r="76" spans="1:10">
      <c r="A76" s="6" t="s">
        <v>84</v>
      </c>
      <c r="B76" s="3"/>
      <c r="C76" s="3"/>
      <c r="D76" s="3"/>
      <c r="E76" s="3"/>
      <c r="F76" s="3"/>
      <c r="G76" s="3"/>
      <c r="H76" s="3"/>
      <c r="I76" s="3"/>
      <c r="J76" s="3"/>
    </row>
    <row r="77" spans="1:10">
      <c r="A77" s="86">
        <f ca="1">TODAY()</f>
        <v>45707</v>
      </c>
      <c r="B77" s="3"/>
      <c r="C77" s="3"/>
      <c r="D77" s="3"/>
      <c r="E77" s="3"/>
      <c r="F77" s="3"/>
      <c r="G77" s="3"/>
      <c r="H77" s="3"/>
      <c r="I77" s="3"/>
      <c r="J77" s="3"/>
    </row>
    <row r="78" spans="1:10">
      <c r="A78" s="1"/>
      <c r="B78" s="2"/>
      <c r="C78" s="3"/>
      <c r="D78" s="3"/>
      <c r="E78" s="3"/>
      <c r="F78" s="3"/>
      <c r="G78" s="3"/>
      <c r="H78" s="3"/>
      <c r="I78" s="3"/>
      <c r="J78" s="3"/>
    </row>
    <row r="79" spans="1:10">
      <c r="A79" s="203"/>
      <c r="B79" s="204"/>
      <c r="C79" s="204"/>
      <c r="D79" s="204"/>
      <c r="E79" s="204"/>
      <c r="F79" s="204"/>
      <c r="G79" s="204"/>
      <c r="H79" s="204"/>
      <c r="I79" s="204"/>
      <c r="J79" s="204"/>
    </row>
    <row r="80" spans="1:10">
      <c r="A80" s="205"/>
      <c r="B80" s="204"/>
      <c r="C80" s="204"/>
      <c r="D80" s="204"/>
      <c r="E80" s="204"/>
      <c r="F80" s="204"/>
      <c r="G80" s="204"/>
      <c r="H80" s="204"/>
      <c r="I80" s="204"/>
      <c r="J80" s="204"/>
    </row>
    <row r="81" spans="1:10" ht="20.25">
      <c r="A81" s="234"/>
      <c r="B81" s="206"/>
      <c r="C81" s="206"/>
      <c r="D81" s="207"/>
      <c r="E81" s="207"/>
      <c r="F81" s="207"/>
      <c r="G81" s="3"/>
      <c r="H81" s="3"/>
      <c r="I81" s="3"/>
      <c r="J81" s="3"/>
    </row>
    <row r="82" spans="1:10">
      <c r="A82" s="233"/>
      <c r="B82" s="3"/>
      <c r="C82" s="3"/>
      <c r="D82" s="207"/>
      <c r="E82" s="207"/>
      <c r="F82" s="207"/>
      <c r="G82" s="3"/>
      <c r="H82" s="3"/>
      <c r="I82" s="3"/>
      <c r="J82" s="3"/>
    </row>
    <row r="83" spans="1:10">
      <c r="A83" s="28"/>
      <c r="B83" s="3"/>
      <c r="C83" s="3"/>
      <c r="D83" s="208"/>
      <c r="E83" s="207"/>
      <c r="F83" s="208"/>
      <c r="G83" s="3"/>
      <c r="H83" s="3"/>
      <c r="I83" s="3"/>
      <c r="J83" s="3"/>
    </row>
    <row r="84" spans="1:10">
      <c r="A84" s="209"/>
      <c r="B84" s="102"/>
      <c r="C84" s="102"/>
      <c r="D84" s="103"/>
      <c r="E84" s="13"/>
      <c r="F84" s="210"/>
      <c r="G84" s="3"/>
      <c r="H84" s="3"/>
      <c r="I84" s="3"/>
      <c r="J84" s="3"/>
    </row>
    <row r="85" spans="1:10">
      <c r="A85" s="347" t="s">
        <v>532</v>
      </c>
      <c r="B85" s="207"/>
      <c r="C85" s="207"/>
      <c r="D85" s="207"/>
      <c r="E85" s="207"/>
      <c r="F85" s="207"/>
      <c r="G85" s="207"/>
      <c r="H85" s="207"/>
      <c r="I85" s="207"/>
      <c r="J85" s="207"/>
    </row>
    <row r="86" spans="1:10">
      <c r="A86" s="142" t="s">
        <v>533</v>
      </c>
      <c r="B86" s="2"/>
      <c r="C86" s="3"/>
      <c r="D86" s="3"/>
      <c r="E86" s="3"/>
      <c r="F86" s="3"/>
      <c r="G86" s="211"/>
      <c r="H86" s="212"/>
      <c r="I86" s="212"/>
      <c r="J86" s="213"/>
    </row>
    <row r="87" spans="1:10">
      <c r="B87" s="3"/>
      <c r="C87" s="3"/>
      <c r="D87" s="3"/>
      <c r="E87" s="3"/>
      <c r="F87" s="3"/>
      <c r="G87" s="214"/>
      <c r="H87" s="214"/>
      <c r="I87" s="213"/>
      <c r="J87" s="213"/>
    </row>
    <row r="88" spans="1:10">
      <c r="A88" s="477" t="s">
        <v>534</v>
      </c>
      <c r="B88" s="3"/>
      <c r="C88" s="3"/>
      <c r="D88" s="3"/>
      <c r="E88" s="3"/>
      <c r="F88" s="3"/>
      <c r="G88" s="216"/>
      <c r="H88" s="216"/>
      <c r="I88" s="23"/>
      <c r="J88" s="24"/>
    </row>
    <row r="89" spans="1:10">
      <c r="A89" s="233" t="s">
        <v>303</v>
      </c>
      <c r="B89" s="3"/>
      <c r="C89" s="3"/>
      <c r="D89" s="3"/>
      <c r="E89" s="3"/>
      <c r="F89" s="3"/>
      <c r="G89" s="216"/>
      <c r="H89" s="216"/>
      <c r="I89" s="23"/>
      <c r="J89" s="24"/>
    </row>
    <row r="90" spans="1:10">
      <c r="A90" s="215"/>
      <c r="B90" s="3"/>
      <c r="C90" s="3"/>
      <c r="D90" s="3"/>
      <c r="E90" s="3"/>
      <c r="F90" s="3"/>
      <c r="G90" s="216"/>
      <c r="H90" s="216"/>
      <c r="I90" s="23"/>
      <c r="J90" s="24"/>
    </row>
    <row r="91" spans="1:10">
      <c r="A91" s="215"/>
      <c r="B91" s="3"/>
      <c r="C91" s="3"/>
      <c r="D91" s="3"/>
      <c r="E91" s="3"/>
      <c r="F91" s="3"/>
      <c r="G91" s="216"/>
      <c r="H91" s="216"/>
      <c r="I91" s="23"/>
      <c r="J91" s="24"/>
    </row>
    <row r="92" spans="1:10">
      <c r="A92" s="215"/>
      <c r="B92" s="3"/>
      <c r="C92" s="3"/>
      <c r="D92" s="3"/>
      <c r="E92" s="3"/>
      <c r="F92" s="3"/>
      <c r="G92" s="216"/>
      <c r="H92" s="216"/>
      <c r="I92" s="23"/>
      <c r="J92" s="24"/>
    </row>
    <row r="93" spans="1:10">
      <c r="A93" s="215"/>
      <c r="B93" s="3"/>
      <c r="C93" s="3"/>
      <c r="D93" s="3"/>
      <c r="E93" s="3"/>
      <c r="F93" s="3"/>
      <c r="G93" s="216"/>
      <c r="H93" s="216"/>
      <c r="I93" s="23"/>
      <c r="J93" s="24"/>
    </row>
    <row r="94" spans="1:10">
      <c r="A94" s="215"/>
      <c r="B94" s="3"/>
      <c r="C94" s="3"/>
      <c r="D94" s="3"/>
      <c r="E94" s="3"/>
      <c r="F94" s="3"/>
      <c r="G94" s="216"/>
      <c r="H94" s="216"/>
      <c r="I94" s="23"/>
      <c r="J94" s="24"/>
    </row>
    <row r="95" spans="1:10">
      <c r="A95" s="215"/>
      <c r="B95" s="3"/>
      <c r="C95" s="3"/>
      <c r="D95" s="3"/>
      <c r="E95" s="3"/>
      <c r="F95" s="3"/>
      <c r="G95" s="216"/>
      <c r="H95" s="216"/>
      <c r="I95" s="23"/>
      <c r="J95" s="24"/>
    </row>
    <row r="96" spans="1:10">
      <c r="A96" s="215"/>
      <c r="B96" s="3"/>
      <c r="C96" s="3"/>
      <c r="D96" s="3"/>
      <c r="E96" s="3"/>
      <c r="F96" s="3"/>
      <c r="G96" s="216"/>
      <c r="H96" s="216"/>
      <c r="I96" s="23"/>
      <c r="J96" s="24"/>
    </row>
    <row r="97" spans="1:10">
      <c r="A97" s="28"/>
      <c r="B97" s="2"/>
      <c r="C97" s="3"/>
      <c r="D97" s="3"/>
      <c r="E97" s="3"/>
      <c r="F97" s="3"/>
      <c r="G97" s="23"/>
      <c r="H97" s="23"/>
      <c r="I97" s="29"/>
      <c r="J97" s="30"/>
    </row>
    <row r="98" spans="1:10">
      <c r="A98" s="28"/>
      <c r="B98" s="2"/>
      <c r="C98" s="3"/>
      <c r="D98" s="3"/>
      <c r="E98" s="3"/>
      <c r="F98" s="3"/>
      <c r="G98" s="24"/>
      <c r="H98" s="24"/>
      <c r="I98" s="30"/>
      <c r="J98" s="31"/>
    </row>
    <row r="99" spans="1:10">
      <c r="A99" s="8"/>
      <c r="B99" s="3"/>
      <c r="C99" s="3"/>
      <c r="D99" s="3"/>
      <c r="E99" s="3"/>
      <c r="F99" s="3"/>
      <c r="G99" s="3"/>
      <c r="H99" s="3"/>
      <c r="I99" s="3"/>
      <c r="J99" s="24"/>
    </row>
    <row r="100" spans="1:10">
      <c r="A100" s="8"/>
      <c r="B100" s="3"/>
      <c r="C100" s="3"/>
      <c r="D100" s="3"/>
      <c r="E100" s="3"/>
      <c r="F100" s="3"/>
      <c r="G100" s="211"/>
      <c r="H100" s="212"/>
      <c r="I100" s="212"/>
      <c r="J100" s="213"/>
    </row>
    <row r="101" spans="1:10">
      <c r="A101" s="28"/>
      <c r="B101" s="2"/>
      <c r="C101" s="208"/>
      <c r="D101" s="208"/>
      <c r="E101" s="208"/>
      <c r="F101" s="3"/>
      <c r="G101" s="214"/>
      <c r="H101" s="214"/>
      <c r="I101" s="213"/>
      <c r="J101" s="213"/>
    </row>
    <row r="102" spans="1:10">
      <c r="A102" s="34"/>
      <c r="B102" s="3"/>
      <c r="C102" s="217"/>
      <c r="D102" s="35"/>
      <c r="E102" s="218"/>
      <c r="F102" s="36"/>
      <c r="G102" s="31"/>
      <c r="H102" s="23"/>
      <c r="I102" s="23"/>
      <c r="J102" s="24"/>
    </row>
    <row r="103" spans="1:10">
      <c r="A103" s="34"/>
      <c r="B103" s="3"/>
      <c r="C103" s="217"/>
      <c r="D103" s="35"/>
      <c r="E103" s="218"/>
      <c r="F103" s="36"/>
      <c r="G103" s="31"/>
      <c r="H103" s="23"/>
      <c r="I103" s="23"/>
      <c r="J103" s="24"/>
    </row>
    <row r="104" spans="1:10">
      <c r="A104" s="34"/>
      <c r="B104" s="3"/>
      <c r="C104" s="217"/>
      <c r="D104" s="35"/>
      <c r="E104" s="219"/>
      <c r="F104" s="36"/>
      <c r="G104" s="31"/>
      <c r="H104" s="23"/>
      <c r="I104" s="23"/>
      <c r="J104" s="24"/>
    </row>
    <row r="105" spans="1:10">
      <c r="A105" s="34"/>
      <c r="B105" s="3"/>
      <c r="C105" s="217"/>
      <c r="D105" s="35"/>
      <c r="E105" s="219"/>
      <c r="F105" s="36"/>
      <c r="G105" s="31"/>
      <c r="H105" s="23"/>
      <c r="I105" s="23"/>
      <c r="J105" s="24"/>
    </row>
    <row r="106" spans="1:10">
      <c r="A106" s="34"/>
      <c r="B106" s="3"/>
      <c r="C106" s="3"/>
      <c r="D106" s="35"/>
      <c r="E106" s="3"/>
      <c r="F106" s="36"/>
      <c r="G106" s="31"/>
      <c r="H106" s="216"/>
      <c r="I106" s="23"/>
      <c r="J106" s="24"/>
    </row>
    <row r="107" spans="1:10">
      <c r="A107" s="34"/>
      <c r="B107" s="3"/>
      <c r="C107" s="3"/>
      <c r="D107" s="35"/>
      <c r="E107" s="3"/>
      <c r="F107" s="36"/>
      <c r="G107" s="31"/>
      <c r="H107" s="216"/>
      <c r="I107" s="23"/>
      <c r="J107" s="24"/>
    </row>
    <row r="108" spans="1:10">
      <c r="A108" s="34"/>
      <c r="B108" s="3"/>
      <c r="C108" s="3"/>
      <c r="D108" s="35"/>
      <c r="E108" s="3"/>
      <c r="F108" s="36"/>
      <c r="G108" s="31"/>
      <c r="H108" s="216"/>
      <c r="I108" s="23"/>
      <c r="J108" s="24"/>
    </row>
    <row r="109" spans="1:10">
      <c r="A109" s="34"/>
      <c r="B109" s="3"/>
      <c r="C109" s="3"/>
      <c r="D109" s="35"/>
      <c r="E109" s="3"/>
      <c r="F109" s="36"/>
      <c r="G109" s="31"/>
      <c r="H109" s="216"/>
      <c r="I109" s="23"/>
      <c r="J109" s="24"/>
    </row>
    <row r="110" spans="1:10">
      <c r="A110" s="34"/>
      <c r="B110" s="3"/>
      <c r="C110" s="3"/>
      <c r="D110" s="35"/>
      <c r="E110" s="3"/>
      <c r="F110" s="36"/>
      <c r="G110" s="31"/>
      <c r="H110" s="216"/>
      <c r="I110" s="23"/>
      <c r="J110" s="24"/>
    </row>
    <row r="111" spans="1:10">
      <c r="A111" s="34"/>
      <c r="B111" s="3"/>
      <c r="C111" s="220"/>
      <c r="D111" s="35"/>
      <c r="E111" s="221"/>
      <c r="F111" s="36"/>
      <c r="G111" s="31"/>
      <c r="H111" s="23"/>
      <c r="I111" s="23"/>
      <c r="J111" s="24"/>
    </row>
    <row r="112" spans="1:10">
      <c r="A112" s="42"/>
      <c r="B112" s="2"/>
      <c r="C112" s="3"/>
      <c r="D112" s="3"/>
      <c r="E112" s="3"/>
      <c r="F112" s="3"/>
      <c r="G112" s="31"/>
      <c r="H112" s="23"/>
      <c r="I112" s="29"/>
      <c r="J112" s="30"/>
    </row>
    <row r="113" spans="1:10">
      <c r="A113" s="8"/>
      <c r="B113" s="3"/>
      <c r="C113" s="3"/>
      <c r="D113" s="3"/>
      <c r="E113" s="3"/>
      <c r="F113" s="3"/>
      <c r="G113" s="3"/>
      <c r="H113" s="3"/>
      <c r="I113" s="3"/>
      <c r="J113" s="24"/>
    </row>
    <row r="114" spans="1:10">
      <c r="A114" s="28"/>
      <c r="B114" s="2"/>
      <c r="C114" s="208"/>
      <c r="D114" s="208"/>
      <c r="E114" s="208"/>
      <c r="F114" s="3"/>
      <c r="G114" s="214"/>
      <c r="H114" s="214"/>
      <c r="I114" s="213"/>
      <c r="J114" s="213"/>
    </row>
    <row r="115" spans="1:10">
      <c r="A115" s="43"/>
      <c r="B115" s="3"/>
      <c r="C115" s="3"/>
      <c r="D115" s="3"/>
      <c r="E115" s="3"/>
      <c r="F115" s="3"/>
      <c r="G115" s="216"/>
      <c r="H115" s="216"/>
      <c r="I115" s="23"/>
      <c r="J115" s="24"/>
    </row>
    <row r="116" spans="1:10">
      <c r="A116" s="43"/>
      <c r="B116" s="3"/>
      <c r="C116" s="3"/>
      <c r="D116" s="3"/>
      <c r="E116" s="3"/>
      <c r="F116" s="3"/>
      <c r="G116" s="216"/>
      <c r="H116" s="216"/>
      <c r="I116" s="23"/>
      <c r="J116" s="24"/>
    </row>
    <row r="117" spans="1:10">
      <c r="A117" s="43"/>
      <c r="B117" s="3"/>
      <c r="C117" s="217"/>
      <c r="D117" s="36"/>
      <c r="E117" s="217"/>
      <c r="F117" s="36"/>
      <c r="G117" s="23"/>
      <c r="H117" s="23"/>
      <c r="I117" s="23"/>
      <c r="J117" s="24"/>
    </row>
    <row r="118" spans="1:10">
      <c r="A118" s="43"/>
      <c r="B118" s="3"/>
      <c r="C118" s="217"/>
      <c r="D118" s="36"/>
      <c r="E118" s="217"/>
      <c r="F118" s="36"/>
      <c r="G118" s="23"/>
      <c r="H118" s="23"/>
      <c r="I118" s="23"/>
      <c r="J118" s="24"/>
    </row>
    <row r="119" spans="1:10">
      <c r="A119" s="43"/>
      <c r="B119" s="3"/>
      <c r="C119" s="217"/>
      <c r="D119" s="36"/>
      <c r="E119" s="217"/>
      <c r="F119" s="36"/>
      <c r="G119" s="23"/>
      <c r="H119" s="23"/>
      <c r="I119" s="23"/>
      <c r="J119" s="24"/>
    </row>
    <row r="120" spans="1:10">
      <c r="A120" s="43"/>
      <c r="B120" s="3"/>
      <c r="C120" s="3"/>
      <c r="D120" s="3"/>
      <c r="E120" s="3"/>
      <c r="F120" s="3"/>
      <c r="G120" s="216"/>
      <c r="H120" s="216"/>
      <c r="I120" s="23"/>
      <c r="J120" s="24"/>
    </row>
    <row r="121" spans="1:10">
      <c r="A121" s="28"/>
      <c r="B121" s="2"/>
      <c r="C121" s="3"/>
      <c r="D121" s="3"/>
      <c r="E121" s="3"/>
      <c r="F121" s="3"/>
      <c r="G121" s="23"/>
      <c r="H121" s="23"/>
      <c r="I121" s="29"/>
      <c r="J121" s="3"/>
    </row>
    <row r="122" spans="1:10">
      <c r="A122" s="28"/>
      <c r="B122" s="2"/>
      <c r="C122" s="3"/>
      <c r="D122" s="3"/>
      <c r="E122" s="3"/>
      <c r="F122" s="3"/>
      <c r="G122" s="24"/>
      <c r="H122" s="24"/>
      <c r="I122" s="30"/>
      <c r="J122" s="30"/>
    </row>
    <row r="123" spans="1:10">
      <c r="A123" s="8"/>
      <c r="B123" s="3"/>
      <c r="C123" s="3"/>
      <c r="D123" s="3"/>
      <c r="E123" s="3"/>
      <c r="F123" s="3"/>
      <c r="G123" s="3"/>
      <c r="H123" s="3"/>
      <c r="I123" s="3"/>
      <c r="J123" s="24"/>
    </row>
    <row r="124" spans="1:10">
      <c r="A124" s="28"/>
      <c r="B124" s="2"/>
      <c r="C124" s="208"/>
      <c r="D124" s="208"/>
      <c r="E124" s="208"/>
      <c r="F124" s="3"/>
      <c r="G124" s="214"/>
      <c r="H124" s="214"/>
      <c r="I124" s="213"/>
      <c r="J124" s="213"/>
    </row>
    <row r="125" spans="1:10">
      <c r="A125" s="8"/>
      <c r="B125" s="2"/>
      <c r="C125" s="217"/>
      <c r="D125" s="3"/>
      <c r="E125" s="220"/>
      <c r="F125" s="44"/>
      <c r="G125" s="45"/>
      <c r="H125" s="31"/>
      <c r="I125" s="23"/>
      <c r="J125" s="24"/>
    </row>
    <row r="126" spans="1:10">
      <c r="A126" s="8"/>
      <c r="B126" s="44"/>
      <c r="C126" s="217"/>
      <c r="D126" s="3"/>
      <c r="E126" s="220"/>
      <c r="F126" s="44"/>
      <c r="G126" s="31"/>
      <c r="H126" s="23"/>
      <c r="I126" s="23"/>
      <c r="J126" s="24"/>
    </row>
    <row r="127" spans="1:10">
      <c r="A127" s="28"/>
      <c r="B127" s="44"/>
      <c r="C127" s="217"/>
      <c r="D127" s="217"/>
      <c r="E127" s="217"/>
      <c r="F127" s="217"/>
      <c r="G127" s="23"/>
      <c r="H127" s="23"/>
      <c r="I127" s="29"/>
      <c r="J127" s="30"/>
    </row>
    <row r="128" spans="1:10">
      <c r="A128" s="49"/>
      <c r="B128" s="44"/>
      <c r="C128" s="217"/>
      <c r="D128" s="217"/>
      <c r="E128" s="217"/>
      <c r="F128" s="217"/>
      <c r="G128" s="3"/>
      <c r="H128" s="3"/>
      <c r="I128" s="3"/>
      <c r="J128" s="24"/>
    </row>
    <row r="129" spans="1:10">
      <c r="A129" s="28"/>
      <c r="B129" s="2"/>
      <c r="C129" s="208"/>
      <c r="D129" s="208"/>
      <c r="E129" s="208"/>
      <c r="F129" s="3"/>
      <c r="G129" s="214"/>
      <c r="H129" s="214"/>
      <c r="I129" s="213"/>
      <c r="J129" s="213"/>
    </row>
    <row r="130" spans="1:10">
      <c r="A130" s="8"/>
      <c r="B130" s="3"/>
      <c r="C130" s="3"/>
      <c r="D130" s="3"/>
      <c r="E130" s="3"/>
      <c r="F130" s="3"/>
      <c r="G130" s="216"/>
      <c r="H130" s="31"/>
      <c r="I130" s="29"/>
      <c r="J130" s="30"/>
    </row>
    <row r="131" spans="1:10">
      <c r="A131" s="8"/>
      <c r="B131" s="3"/>
      <c r="C131" s="3"/>
      <c r="D131" s="3"/>
      <c r="E131" s="3"/>
      <c r="F131" s="3"/>
      <c r="G131" s="3"/>
      <c r="H131" s="3"/>
      <c r="I131" s="3"/>
      <c r="J131" s="24"/>
    </row>
    <row r="132" spans="1:10">
      <c r="A132" s="8"/>
      <c r="B132" s="3"/>
      <c r="C132" s="3"/>
      <c r="D132" s="3"/>
      <c r="E132" s="3"/>
      <c r="F132" s="3"/>
      <c r="G132" s="211"/>
      <c r="H132" s="212"/>
      <c r="I132" s="212"/>
      <c r="J132" s="213"/>
    </row>
    <row r="133" spans="1:10">
      <c r="A133" s="28"/>
      <c r="B133" s="2"/>
      <c r="C133" s="208"/>
      <c r="D133" s="208"/>
      <c r="E133" s="208"/>
      <c r="F133" s="3"/>
      <c r="G133" s="214"/>
      <c r="H133" s="214"/>
      <c r="I133" s="213"/>
      <c r="J133" s="213"/>
    </row>
    <row r="134" spans="1:10">
      <c r="A134" s="8"/>
      <c r="B134" s="3"/>
      <c r="C134" s="3"/>
      <c r="D134" s="3"/>
      <c r="E134" s="3"/>
      <c r="F134" s="3"/>
      <c r="G134" s="23"/>
      <c r="H134" s="23"/>
      <c r="I134" s="29"/>
      <c r="J134" s="3"/>
    </row>
    <row r="135" spans="1:10">
      <c r="A135" s="8"/>
      <c r="B135" s="3"/>
      <c r="C135" s="3"/>
      <c r="D135" s="3"/>
      <c r="E135" s="3"/>
      <c r="F135" s="3"/>
      <c r="G135" s="23"/>
      <c r="H135" s="23"/>
      <c r="I135" s="23"/>
      <c r="J135" s="31"/>
    </row>
    <row r="136" spans="1:10">
      <c r="A136" s="222"/>
      <c r="B136" s="223"/>
      <c r="C136" s="223"/>
      <c r="D136" s="223"/>
      <c r="E136" s="223"/>
      <c r="F136" s="223"/>
      <c r="G136" s="224"/>
      <c r="H136" s="224"/>
      <c r="I136" s="224"/>
      <c r="J136" s="224"/>
    </row>
    <row r="137" spans="1:10">
      <c r="A137" s="8"/>
      <c r="B137" s="3"/>
      <c r="C137" s="3"/>
      <c r="D137" s="3"/>
      <c r="E137" s="3"/>
      <c r="F137" s="3"/>
      <c r="G137" s="24"/>
      <c r="H137" s="24"/>
      <c r="I137" s="24"/>
      <c r="J137" s="31"/>
    </row>
    <row r="138" spans="1:10">
      <c r="A138" s="8"/>
      <c r="B138" s="3"/>
      <c r="C138" s="3"/>
      <c r="D138" s="3"/>
      <c r="E138" s="3"/>
      <c r="F138" s="3"/>
      <c r="G138" s="24"/>
      <c r="H138" s="225"/>
      <c r="I138" s="30"/>
      <c r="J138" s="226"/>
    </row>
    <row r="139" spans="1:10">
      <c r="A139" s="28"/>
      <c r="B139" s="3"/>
      <c r="C139" s="3"/>
      <c r="D139" s="3"/>
      <c r="E139" s="3"/>
      <c r="F139" s="3"/>
      <c r="G139" s="24"/>
      <c r="H139" s="225"/>
      <c r="I139" s="225"/>
      <c r="J139" s="226"/>
    </row>
    <row r="140" spans="1:10">
      <c r="A140" s="8"/>
      <c r="B140" s="64"/>
      <c r="C140" s="217"/>
      <c r="D140" s="3"/>
      <c r="E140" s="3"/>
      <c r="F140" s="3"/>
      <c r="G140" s="24"/>
      <c r="H140" s="31"/>
      <c r="I140" s="23"/>
      <c r="J140" s="65"/>
    </row>
    <row r="141" spans="1:10">
      <c r="A141" s="8"/>
      <c r="B141" s="64"/>
      <c r="C141" s="3"/>
      <c r="D141" s="3"/>
      <c r="E141" s="3"/>
      <c r="F141" s="3"/>
      <c r="G141" s="24"/>
      <c r="H141" s="31"/>
      <c r="I141" s="216"/>
      <c r="J141" s="65"/>
    </row>
    <row r="142" spans="1:10">
      <c r="A142" s="227"/>
      <c r="B142" s="67"/>
      <c r="C142" s="228"/>
      <c r="D142" s="3"/>
      <c r="E142" s="3"/>
      <c r="F142" s="3"/>
      <c r="G142" s="68"/>
      <c r="H142" s="69"/>
      <c r="I142" s="70"/>
      <c r="J142" s="71"/>
    </row>
    <row r="143" spans="1:10">
      <c r="A143" s="28"/>
      <c r="B143" s="13"/>
      <c r="C143" s="3"/>
      <c r="D143" s="3"/>
      <c r="E143" s="3"/>
      <c r="F143" s="3"/>
      <c r="G143" s="24"/>
      <c r="H143" s="31"/>
      <c r="I143" s="29"/>
      <c r="J143" s="30"/>
    </row>
    <row r="144" spans="1:10">
      <c r="A144" s="222"/>
      <c r="B144" s="229"/>
      <c r="C144" s="95"/>
      <c r="D144" s="95"/>
      <c r="E144" s="95"/>
      <c r="F144" s="95"/>
      <c r="G144" s="68"/>
      <c r="H144" s="201"/>
      <c r="I144" s="202"/>
      <c r="J144" s="224"/>
    </row>
    <row r="145" spans="1:10">
      <c r="A145" s="28"/>
      <c r="B145" s="2"/>
      <c r="C145" s="3"/>
      <c r="D145" s="3"/>
      <c r="E145" s="3"/>
      <c r="F145" s="3"/>
      <c r="G145" s="3"/>
      <c r="H145" s="3"/>
      <c r="I145" s="3"/>
      <c r="J145" s="3"/>
    </row>
    <row r="146" spans="1:10">
      <c r="A146" s="82"/>
      <c r="B146" s="2"/>
      <c r="C146" s="3"/>
      <c r="D146" s="3"/>
      <c r="E146" s="3"/>
      <c r="F146" s="3"/>
      <c r="G146" s="3"/>
      <c r="H146" s="3"/>
      <c r="I146" s="3"/>
      <c r="J146" s="3"/>
    </row>
    <row r="147" spans="1:10">
      <c r="A147" s="230"/>
      <c r="B147" s="2"/>
      <c r="C147" s="3"/>
      <c r="D147" s="3"/>
      <c r="E147" s="3"/>
      <c r="F147" s="3"/>
      <c r="G147" s="3"/>
      <c r="H147" s="3"/>
      <c r="I147" s="3"/>
      <c r="J147" s="3"/>
    </row>
    <row r="148" spans="1:10">
      <c r="A148" s="231"/>
      <c r="B148" s="2"/>
      <c r="C148" s="3"/>
      <c r="D148" s="3"/>
      <c r="E148" s="3"/>
      <c r="F148" s="3"/>
      <c r="G148" s="3"/>
      <c r="H148" s="3"/>
      <c r="I148" s="3"/>
      <c r="J148" s="3"/>
    </row>
    <row r="149" spans="1:10">
      <c r="A149" s="232"/>
      <c r="B149" s="2"/>
      <c r="C149" s="3"/>
      <c r="D149" s="3"/>
      <c r="E149" s="3"/>
      <c r="F149" s="3"/>
      <c r="G149" s="3"/>
      <c r="H149" s="3"/>
      <c r="I149" s="3"/>
      <c r="J149" s="3"/>
    </row>
    <row r="150" spans="1:10">
      <c r="A150" s="8"/>
      <c r="B150" s="2"/>
      <c r="C150" s="2"/>
      <c r="D150" s="2"/>
      <c r="E150" s="2"/>
      <c r="F150" s="2"/>
      <c r="G150" s="3"/>
      <c r="H150" s="3"/>
      <c r="I150" s="3"/>
      <c r="J150" s="3"/>
    </row>
    <row r="151" spans="1:10">
      <c r="A151" s="231"/>
      <c r="B151" s="3"/>
      <c r="C151" s="3"/>
      <c r="D151" s="3"/>
      <c r="E151" s="3"/>
      <c r="F151" s="3"/>
      <c r="G151" s="3"/>
      <c r="H151" s="3"/>
      <c r="I151" s="3"/>
      <c r="J151" s="3"/>
    </row>
    <row r="152" spans="1:10">
      <c r="A152" s="205"/>
      <c r="B152" s="3"/>
      <c r="C152" s="3"/>
      <c r="D152" s="3"/>
      <c r="E152" s="3"/>
      <c r="F152" s="3"/>
      <c r="G152" s="3"/>
      <c r="H152" s="3"/>
      <c r="I152" s="3"/>
      <c r="J152" s="3"/>
    </row>
    <row r="153" spans="1:10">
      <c r="A153" s="86"/>
      <c r="B153" s="3"/>
      <c r="C153" s="3"/>
      <c r="D153" s="3"/>
      <c r="E153" s="3"/>
      <c r="F153" s="3"/>
      <c r="G153" s="3"/>
      <c r="H153" s="3"/>
      <c r="I153" s="3"/>
      <c r="J153" s="3"/>
    </row>
  </sheetData>
  <mergeCells count="3">
    <mergeCell ref="A1:J1"/>
    <mergeCell ref="E54:F55"/>
    <mergeCell ref="L6:M7"/>
  </mergeCells>
  <hyperlinks>
    <hyperlink ref="A66" r:id="rId1" display="    Expected LDP rate" xr:uid="{5D5BF420-BB8B-324D-8CF2-E80F615BFD93}"/>
    <hyperlink ref="A72" r:id="rId2" display="Visit the CME Group website for price information, https://www.cmegroup.com/. " xr:uid="{569FD546-D967-4540-8E49-03ADD3579354}"/>
    <hyperlink ref="A73" r:id="rId3" xr:uid="{6C2942D6-539E-4E47-8284-D682B0B65D00}"/>
    <hyperlink ref="A3" r:id="rId4" display="The Estimated Costs of Crop Production publication has more information " xr:uid="{AFBB613B-522C-0E4F-ACDE-56FF769A3042}"/>
    <hyperlink ref="A75" r:id="rId5" xr:uid="{9979A1A3-6DDE-D143-9D08-F21CE2FE3CAB}"/>
    <hyperlink ref="A71" r:id="rId6" xr:uid="{64BD3439-5577-6846-B871-9F2FAAFFAE74}"/>
    <hyperlink ref="A86" r:id="rId7" xr:uid="{62A6C90D-5921-1E4A-B342-35379A876439}"/>
    <hyperlink ref="A89" r:id="rId8" xr:uid="{DDDAF96B-44E0-844A-B9BB-F5944954097B}"/>
    <hyperlink ref="L6:M7" location="'Instructions &amp; summary data'!A1" display="Return to instructions page" xr:uid="{64E4CD37-EA0F-A742-88D0-B894712DCD2B}"/>
  </hyperlinks>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4749-2912-BC4D-8806-289F28353C77}">
  <dimension ref="A1:M101"/>
  <sheetViews>
    <sheetView topLeftCell="A58" workbookViewId="0">
      <selection activeCell="L7" sqref="L7:M8"/>
    </sheetView>
  </sheetViews>
  <sheetFormatPr defaultColWidth="11" defaultRowHeight="15.75"/>
  <cols>
    <col min="8" max="8" width="12.5" bestFit="1" customWidth="1"/>
    <col min="10" max="10" width="11.125" bestFit="1" customWidth="1"/>
  </cols>
  <sheetData>
    <row r="1" spans="1:13" ht="21" thickBot="1">
      <c r="A1" s="93" t="s">
        <v>97</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98</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row>
    <row r="7" spans="1:13">
      <c r="A7" s="9" t="s">
        <v>3</v>
      </c>
      <c r="B7" s="10"/>
      <c r="C7" s="10"/>
      <c r="D7" s="11" t="s">
        <v>4</v>
      </c>
      <c r="E7" s="12"/>
      <c r="F7" s="11" t="s">
        <v>5</v>
      </c>
      <c r="G7" s="10"/>
      <c r="H7" s="10"/>
      <c r="I7" s="10"/>
      <c r="J7" s="10"/>
      <c r="K7" s="8"/>
      <c r="L7" s="491" t="s">
        <v>549</v>
      </c>
      <c r="M7" s="491"/>
    </row>
    <row r="8" spans="1:13">
      <c r="A8" s="358" t="s">
        <v>6</v>
      </c>
      <c r="B8" s="359"/>
      <c r="C8" s="352"/>
      <c r="D8" s="90">
        <v>209</v>
      </c>
      <c r="E8" s="13" t="s">
        <v>7</v>
      </c>
      <c r="F8" s="91">
        <v>5888</v>
      </c>
      <c r="G8" s="3"/>
      <c r="H8" s="3"/>
      <c r="I8" s="3"/>
      <c r="J8" s="3"/>
      <c r="K8" s="8"/>
      <c r="L8" s="492"/>
      <c r="M8" s="492"/>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5888 Acres</v>
      </c>
      <c r="K11" s="8"/>
    </row>
    <row r="12" spans="1:13">
      <c r="A12" s="353" t="s">
        <v>17</v>
      </c>
      <c r="B12" s="3"/>
      <c r="C12" s="3"/>
      <c r="D12" s="3"/>
      <c r="E12" s="3"/>
      <c r="F12" s="3"/>
      <c r="G12" s="356">
        <v>7.6</v>
      </c>
      <c r="H12" s="356">
        <v>5.7</v>
      </c>
      <c r="I12" s="23">
        <f t="shared" ref="I12:I18" si="0">G12+H12</f>
        <v>13.3</v>
      </c>
      <c r="J12" s="24">
        <f t="shared" ref="J12:J19" si="1">$F$8*I12</f>
        <v>78310.400000000009</v>
      </c>
      <c r="K12" s="8"/>
    </row>
    <row r="13" spans="1:13">
      <c r="A13" s="353" t="s">
        <v>18</v>
      </c>
      <c r="B13" s="3"/>
      <c r="C13" s="3"/>
      <c r="D13" s="3"/>
      <c r="E13" s="3"/>
      <c r="F13" s="3"/>
      <c r="G13" s="357">
        <v>4.7</v>
      </c>
      <c r="H13" s="357">
        <v>3.5</v>
      </c>
      <c r="I13" s="23">
        <f t="shared" si="0"/>
        <v>8.1999999999999993</v>
      </c>
      <c r="J13" s="24">
        <f t="shared" si="1"/>
        <v>48281.599999999999</v>
      </c>
      <c r="K13" s="8"/>
    </row>
    <row r="14" spans="1:13">
      <c r="A14" s="353" t="s">
        <v>19</v>
      </c>
      <c r="B14" s="3"/>
      <c r="C14" s="3"/>
      <c r="D14" s="3"/>
      <c r="E14" s="3"/>
      <c r="F14" s="3"/>
      <c r="G14" s="357">
        <v>10.4</v>
      </c>
      <c r="H14" s="357">
        <v>6.2</v>
      </c>
      <c r="I14" s="23">
        <f t="shared" si="0"/>
        <v>16.600000000000001</v>
      </c>
      <c r="J14" s="24">
        <f t="shared" si="1"/>
        <v>97740.800000000003</v>
      </c>
      <c r="K14" s="8"/>
    </row>
    <row r="15" spans="1:13">
      <c r="A15" s="353" t="s">
        <v>20</v>
      </c>
      <c r="B15" s="3"/>
      <c r="C15" s="3"/>
      <c r="D15" s="3"/>
      <c r="E15" s="3"/>
      <c r="F15" s="3"/>
      <c r="G15" s="357">
        <v>4</v>
      </c>
      <c r="H15" s="357">
        <v>2.5</v>
      </c>
      <c r="I15" s="23">
        <f t="shared" si="0"/>
        <v>6.5</v>
      </c>
      <c r="J15" s="24">
        <f t="shared" si="1"/>
        <v>38272</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26.700000000000003</v>
      </c>
      <c r="H19" s="23">
        <f>SUM(H12:H18)</f>
        <v>17.899999999999999</v>
      </c>
      <c r="I19" s="29">
        <f>SUM(I12:I18)</f>
        <v>44.6</v>
      </c>
      <c r="J19" s="30">
        <f t="shared" si="1"/>
        <v>262604.79999999999</v>
      </c>
      <c r="K19" s="8"/>
    </row>
    <row r="20" spans="1:11">
      <c r="A20" s="28" t="s">
        <v>24</v>
      </c>
      <c r="B20" s="2"/>
      <c r="C20" s="3"/>
      <c r="D20" s="3"/>
      <c r="E20" s="3"/>
      <c r="F20" s="3"/>
      <c r="G20" s="24">
        <f>$F$8*G19</f>
        <v>157209.60000000001</v>
      </c>
      <c r="H20" s="24">
        <f>$F$8*H19</f>
        <v>105395.2</v>
      </c>
      <c r="I20" s="30">
        <f>$F$8*I19</f>
        <v>262604.79999999999</v>
      </c>
      <c r="J20" s="31" t="s">
        <v>87</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5888 Acres</v>
      </c>
      <c r="K23" s="8"/>
    </row>
    <row r="24" spans="1:11">
      <c r="A24" s="8" t="s">
        <v>88</v>
      </c>
      <c r="B24" s="3"/>
      <c r="C24" s="360">
        <v>3.81</v>
      </c>
      <c r="D24" s="35" t="s">
        <v>29</v>
      </c>
      <c r="E24" s="362">
        <v>30000</v>
      </c>
      <c r="F24" s="36" t="s">
        <v>30</v>
      </c>
      <c r="G24" s="31"/>
      <c r="H24" s="23">
        <f>C24*E24/1000</f>
        <v>114.3</v>
      </c>
      <c r="I24" s="23">
        <f t="shared" ref="I24:I32" si="2">H24</f>
        <v>114.3</v>
      </c>
      <c r="J24" s="24">
        <f t="shared" ref="J24:J32" si="3">$F$8*I24</f>
        <v>672998.40000000002</v>
      </c>
      <c r="K24" s="8"/>
    </row>
    <row r="25" spans="1:11">
      <c r="A25" s="8" t="s">
        <v>89</v>
      </c>
      <c r="B25" s="3"/>
      <c r="C25" s="361">
        <v>0.5</v>
      </c>
      <c r="D25" s="35" t="s">
        <v>32</v>
      </c>
      <c r="E25" s="363">
        <v>138</v>
      </c>
      <c r="F25" s="36" t="s">
        <v>33</v>
      </c>
      <c r="G25" s="31"/>
      <c r="H25" s="23">
        <f>C25*E25</f>
        <v>69</v>
      </c>
      <c r="I25" s="23">
        <f t="shared" si="2"/>
        <v>69</v>
      </c>
      <c r="J25" s="24">
        <f t="shared" si="3"/>
        <v>406272</v>
      </c>
      <c r="K25" s="8"/>
    </row>
    <row r="26" spans="1:11">
      <c r="A26" s="8" t="s">
        <v>90</v>
      </c>
      <c r="B26" s="3"/>
      <c r="C26" s="361">
        <v>0.57999999999999996</v>
      </c>
      <c r="D26" s="35" t="s">
        <v>32</v>
      </c>
      <c r="E26" s="364">
        <v>78</v>
      </c>
      <c r="F26" s="36" t="s">
        <v>33</v>
      </c>
      <c r="G26" s="31"/>
      <c r="H26" s="23">
        <f>C26*E26</f>
        <v>45.239999999999995</v>
      </c>
      <c r="I26" s="23">
        <f t="shared" si="2"/>
        <v>45.239999999999995</v>
      </c>
      <c r="J26" s="24">
        <f t="shared" si="3"/>
        <v>266373.12</v>
      </c>
      <c r="K26" s="8"/>
    </row>
    <row r="27" spans="1:11">
      <c r="A27" s="8" t="s">
        <v>91</v>
      </c>
      <c r="B27" s="3"/>
      <c r="C27" s="361">
        <v>0.36</v>
      </c>
      <c r="D27" s="35" t="s">
        <v>32</v>
      </c>
      <c r="E27" s="364">
        <v>63</v>
      </c>
      <c r="F27" s="36" t="s">
        <v>33</v>
      </c>
      <c r="G27" s="31"/>
      <c r="H27" s="23">
        <f>C27*E27</f>
        <v>22.68</v>
      </c>
      <c r="I27" s="23">
        <f t="shared" si="2"/>
        <v>22.68</v>
      </c>
      <c r="J27" s="24">
        <f t="shared" si="3"/>
        <v>133539.84</v>
      </c>
      <c r="K27" s="8"/>
    </row>
    <row r="28" spans="1:11">
      <c r="A28" s="8" t="s">
        <v>92</v>
      </c>
      <c r="B28" s="3"/>
      <c r="C28" s="3"/>
      <c r="D28" s="35"/>
      <c r="E28" s="3"/>
      <c r="F28" s="36"/>
      <c r="G28" s="31"/>
      <c r="H28" s="357">
        <v>6.41</v>
      </c>
      <c r="I28" s="23">
        <f t="shared" si="2"/>
        <v>6.41</v>
      </c>
      <c r="J28" s="24">
        <f t="shared" si="3"/>
        <v>37742.080000000002</v>
      </c>
      <c r="K28" s="8"/>
    </row>
    <row r="29" spans="1:11">
      <c r="A29" s="8" t="s">
        <v>93</v>
      </c>
      <c r="B29" s="3"/>
      <c r="C29" s="3"/>
      <c r="D29" s="35"/>
      <c r="E29" s="3"/>
      <c r="F29" s="36"/>
      <c r="G29" s="31"/>
      <c r="H29" s="357">
        <v>70</v>
      </c>
      <c r="I29" s="23">
        <f t="shared" si="2"/>
        <v>70</v>
      </c>
      <c r="J29" s="24">
        <f t="shared" si="3"/>
        <v>412160</v>
      </c>
      <c r="K29" s="8"/>
    </row>
    <row r="30" spans="1:11">
      <c r="A30" s="8" t="s">
        <v>94</v>
      </c>
      <c r="B30" s="3"/>
      <c r="C30" s="3"/>
      <c r="D30" s="35"/>
      <c r="E30" s="3"/>
      <c r="F30" s="36"/>
      <c r="G30" s="31"/>
      <c r="H30" s="357">
        <v>16.2</v>
      </c>
      <c r="I30" s="23">
        <f t="shared" si="2"/>
        <v>16.2</v>
      </c>
      <c r="J30" s="24">
        <f t="shared" si="3"/>
        <v>95385.599999999991</v>
      </c>
      <c r="K30" s="8"/>
    </row>
    <row r="31" spans="1:11">
      <c r="A31" s="8" t="s">
        <v>95</v>
      </c>
      <c r="B31" s="3"/>
      <c r="C31" s="3"/>
      <c r="D31" s="35"/>
      <c r="E31" s="3"/>
      <c r="F31" s="36"/>
      <c r="G31" s="31"/>
      <c r="H31" s="357">
        <v>12.9</v>
      </c>
      <c r="I31" s="23">
        <f t="shared" si="2"/>
        <v>12.9</v>
      </c>
      <c r="J31" s="24">
        <f t="shared" si="3"/>
        <v>75955.199999999997</v>
      </c>
      <c r="K31" s="8"/>
    </row>
    <row r="32" spans="1:11">
      <c r="A32" s="46" t="s">
        <v>96</v>
      </c>
      <c r="B32" s="25"/>
      <c r="C32" s="365">
        <v>8</v>
      </c>
      <c r="D32" s="38" t="s">
        <v>42</v>
      </c>
      <c r="E32" s="366">
        <v>8.1199999999999994E-2</v>
      </c>
      <c r="F32" s="39" t="s">
        <v>43</v>
      </c>
      <c r="G32" s="40"/>
      <c r="H32" s="41">
        <f>(SUM(H24:H31)+H19)*C32*E32/12</f>
        <v>20.279970666666667</v>
      </c>
      <c r="I32" s="26">
        <f t="shared" si="2"/>
        <v>20.279970666666667</v>
      </c>
      <c r="J32" s="27">
        <f t="shared" si="3"/>
        <v>119408.46728533333</v>
      </c>
      <c r="K32" s="8"/>
    </row>
    <row r="33" spans="1:11">
      <c r="A33" s="28" t="s">
        <v>58</v>
      </c>
      <c r="B33" s="2"/>
      <c r="C33" s="3"/>
      <c r="D33" s="3"/>
      <c r="E33" s="3"/>
      <c r="F33" s="3"/>
      <c r="G33" s="31"/>
      <c r="H33" s="23">
        <f>SUM(H24:H32)</f>
        <v>377.00997066666667</v>
      </c>
      <c r="I33" s="29">
        <f>SUM(I24:I32)</f>
        <v>377.00997066666667</v>
      </c>
      <c r="J33" s="30">
        <f>SUM(J24:J32)</f>
        <v>2219834.7072853334</v>
      </c>
      <c r="K33" s="8"/>
    </row>
    <row r="34" spans="1:11">
      <c r="A34" s="8"/>
      <c r="B34" s="3"/>
      <c r="C34" s="3"/>
      <c r="D34" s="3"/>
      <c r="E34" s="3"/>
      <c r="F34" s="3"/>
      <c r="G34" s="3"/>
      <c r="H34" s="3"/>
      <c r="I34" s="3"/>
      <c r="J34" s="24" t="s">
        <v>44</v>
      </c>
      <c r="K34" s="8"/>
    </row>
    <row r="35" spans="1:11">
      <c r="A35" s="9" t="s">
        <v>45</v>
      </c>
      <c r="B35" s="33"/>
      <c r="C35" s="11"/>
      <c r="D35" s="11"/>
      <c r="E35" s="11"/>
      <c r="F35" s="10"/>
      <c r="G35" s="21"/>
      <c r="H35" s="21"/>
      <c r="I35" s="22"/>
      <c r="J35" s="22"/>
      <c r="K35" s="8"/>
    </row>
    <row r="36" spans="1:11">
      <c r="A36" s="367" t="s">
        <v>46</v>
      </c>
      <c r="B36" s="3"/>
      <c r="C36" s="3"/>
      <c r="D36" s="3"/>
      <c r="E36" s="3"/>
      <c r="F36" s="3"/>
      <c r="G36" s="356">
        <v>23</v>
      </c>
      <c r="H36" s="356">
        <v>8.6999999999999993</v>
      </c>
      <c r="I36" s="23">
        <f t="shared" ref="I36:I41" si="4">SUM(G36:H36)</f>
        <v>31.7</v>
      </c>
      <c r="J36" s="24">
        <f>$F$8*I36</f>
        <v>186649.60000000001</v>
      </c>
      <c r="K36" s="8"/>
    </row>
    <row r="37" spans="1:11">
      <c r="A37" s="368" t="s">
        <v>47</v>
      </c>
      <c r="B37" s="3"/>
      <c r="C37" s="3"/>
      <c r="D37" s="3"/>
      <c r="E37" s="3"/>
      <c r="F37" s="3"/>
      <c r="G37" s="357">
        <v>11.1</v>
      </c>
      <c r="H37" s="357">
        <v>3.8</v>
      </c>
      <c r="I37" s="23">
        <f t="shared" si="4"/>
        <v>14.899999999999999</v>
      </c>
      <c r="J37" s="24">
        <f>$F$8*I37</f>
        <v>87731.199999999997</v>
      </c>
      <c r="K37" s="8"/>
    </row>
    <row r="38" spans="1:11">
      <c r="A38" s="43" t="s">
        <v>48</v>
      </c>
      <c r="B38" s="3"/>
      <c r="C38" s="361">
        <v>7.6999999999999999E-2</v>
      </c>
      <c r="D38" s="36" t="s">
        <v>49</v>
      </c>
      <c r="E38" s="361">
        <v>4.8000000000000001E-2</v>
      </c>
      <c r="F38" s="36" t="s">
        <v>50</v>
      </c>
      <c r="G38" s="23">
        <f>C38*D8</f>
        <v>16.093</v>
      </c>
      <c r="H38" s="23">
        <f>E38*D8</f>
        <v>10.032</v>
      </c>
      <c r="I38" s="23">
        <f t="shared" si="4"/>
        <v>26.125</v>
      </c>
      <c r="J38" s="24">
        <f>$F$8*I38</f>
        <v>153824</v>
      </c>
      <c r="K38" s="8"/>
    </row>
    <row r="39" spans="1:11">
      <c r="A39" s="43" t="s">
        <v>51</v>
      </c>
      <c r="B39" s="3"/>
      <c r="C39" s="361">
        <v>0.05</v>
      </c>
      <c r="D39" s="36" t="s">
        <v>49</v>
      </c>
      <c r="E39" s="361">
        <f>1.53*0.02*6</f>
        <v>0.18360000000000001</v>
      </c>
      <c r="F39" s="36" t="s">
        <v>50</v>
      </c>
      <c r="G39" s="23">
        <f>C39*D8</f>
        <v>10.450000000000001</v>
      </c>
      <c r="H39" s="23">
        <f>E39*D8</f>
        <v>38.372400000000006</v>
      </c>
      <c r="I39" s="23">
        <f t="shared" si="4"/>
        <v>48.822400000000009</v>
      </c>
      <c r="J39" s="24">
        <f>I39*$F$8</f>
        <v>287466.29120000004</v>
      </c>
      <c r="K39" s="8"/>
    </row>
    <row r="40" spans="1:11">
      <c r="A40" s="43" t="s">
        <v>52</v>
      </c>
      <c r="B40" s="3"/>
      <c r="C40" s="361">
        <v>3.1600000000000003E-2</v>
      </c>
      <c r="D40" s="36" t="s">
        <v>49</v>
      </c>
      <c r="E40" s="361">
        <v>2.53E-2</v>
      </c>
      <c r="F40" s="36" t="s">
        <v>50</v>
      </c>
      <c r="G40" s="23">
        <f>C40*D8</f>
        <v>6.6044000000000009</v>
      </c>
      <c r="H40" s="23">
        <f>E40*D8</f>
        <v>5.2877000000000001</v>
      </c>
      <c r="I40" s="23">
        <f t="shared" si="4"/>
        <v>11.892100000000001</v>
      </c>
      <c r="J40" s="24">
        <f>I40*$F$8</f>
        <v>70020.684800000003</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SUM(G36:G41)</f>
        <v>67.247399999999999</v>
      </c>
      <c r="H42" s="23">
        <f>SUM(H36:H41)</f>
        <v>66.192100000000011</v>
      </c>
      <c r="I42" s="29">
        <f>SUM(I36:I41)</f>
        <v>133.43950000000001</v>
      </c>
      <c r="J42" s="3"/>
      <c r="K42" s="8"/>
    </row>
    <row r="43" spans="1:11">
      <c r="A43" s="28" t="s">
        <v>24</v>
      </c>
      <c r="B43" s="2"/>
      <c r="C43" s="3"/>
      <c r="D43" s="3"/>
      <c r="E43" s="3"/>
      <c r="F43" s="3"/>
      <c r="G43" s="24">
        <f>$F$8*G42</f>
        <v>395952.6912</v>
      </c>
      <c r="H43" s="24">
        <f>$F$8*H42</f>
        <v>389739.08480000007</v>
      </c>
      <c r="I43" s="30"/>
      <c r="J43" s="30">
        <f>SUM(J36:J41)</f>
        <v>785691.77600000007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8" t="s">
        <v>56</v>
      </c>
      <c r="B46" s="2"/>
      <c r="C46" s="361">
        <v>20.149999999999999</v>
      </c>
      <c r="D46" s="3"/>
      <c r="E46" s="365">
        <v>2.25</v>
      </c>
      <c r="F46" s="44"/>
      <c r="G46" s="45">
        <f>E46*C46</f>
        <v>45.337499999999999</v>
      </c>
      <c r="H46" s="31"/>
      <c r="I46" s="23">
        <f>G46</f>
        <v>45.337499999999999</v>
      </c>
      <c r="J46" s="24">
        <f>$F$8*I46</f>
        <v>266947.20000000001</v>
      </c>
      <c r="K46" s="8"/>
    </row>
    <row r="47" spans="1:11">
      <c r="A47" s="46" t="s">
        <v>57</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45.337499999999999</v>
      </c>
      <c r="H48" s="23">
        <f>H47</f>
        <v>0</v>
      </c>
      <c r="I48" s="29">
        <f>I46+I47</f>
        <v>45.337499999999999</v>
      </c>
      <c r="J48" s="30">
        <f>J46+J47</f>
        <v>266947.20000000001</v>
      </c>
      <c r="K48" s="8"/>
    </row>
    <row r="49" spans="1:11">
      <c r="A49" s="49"/>
      <c r="B49" s="44"/>
      <c r="C49" s="48"/>
      <c r="D49" s="48"/>
      <c r="E49" s="48"/>
      <c r="F49" s="48"/>
      <c r="G49" s="3"/>
      <c r="H49" s="3"/>
      <c r="I49" s="3"/>
      <c r="J49" s="24"/>
      <c r="K49" s="8"/>
    </row>
    <row r="50" spans="1:11">
      <c r="A50" s="9" t="s">
        <v>59</v>
      </c>
      <c r="B50" s="33"/>
      <c r="C50" s="11"/>
      <c r="D50" s="11"/>
      <c r="E50" s="11"/>
      <c r="F50" s="10"/>
      <c r="G50" s="21"/>
      <c r="H50" s="21"/>
      <c r="I50" s="22"/>
      <c r="J50" s="22" t="s">
        <v>44</v>
      </c>
      <c r="K50" s="8"/>
    </row>
    <row r="51" spans="1:11">
      <c r="A51" s="8" t="s">
        <v>60</v>
      </c>
      <c r="B51" s="3"/>
      <c r="C51" s="3"/>
      <c r="D51" s="3"/>
      <c r="E51" s="489" t="s">
        <v>472</v>
      </c>
      <c r="F51" s="489"/>
      <c r="G51" s="375">
        <v>143</v>
      </c>
      <c r="H51" s="31"/>
      <c r="I51" s="29">
        <f>G51</f>
        <v>143</v>
      </c>
      <c r="J51" s="30">
        <f>$F$8*I51</f>
        <v>841984</v>
      </c>
      <c r="K51" s="8"/>
    </row>
    <row r="52" spans="1:11">
      <c r="A52" s="8"/>
      <c r="B52" s="3"/>
      <c r="C52" s="3"/>
      <c r="D52" s="3"/>
      <c r="E52" s="490"/>
      <c r="F52" s="490"/>
      <c r="G52" s="3"/>
      <c r="H52" s="3"/>
      <c r="I52" s="3"/>
      <c r="J52" s="24" t="s">
        <v>44</v>
      </c>
      <c r="K52" s="8"/>
    </row>
    <row r="53" spans="1:11">
      <c r="A53" s="32"/>
      <c r="B53" s="17"/>
      <c r="C53" s="17"/>
      <c r="D53" s="17"/>
      <c r="E53" s="17"/>
      <c r="F53" s="17"/>
      <c r="G53" s="18" t="s">
        <v>8</v>
      </c>
      <c r="H53" s="19"/>
      <c r="I53" s="19" t="s">
        <v>9</v>
      </c>
      <c r="J53" s="20" t="s">
        <v>10</v>
      </c>
      <c r="K53" s="8"/>
    </row>
    <row r="54" spans="1:11">
      <c r="A54" s="9" t="s">
        <v>61</v>
      </c>
      <c r="B54" s="33"/>
      <c r="C54" s="11"/>
      <c r="D54" s="11"/>
      <c r="E54" s="11"/>
      <c r="F54" s="10"/>
      <c r="G54" s="21" t="s">
        <v>12</v>
      </c>
      <c r="H54" s="21" t="s">
        <v>13</v>
      </c>
      <c r="I54" s="22" t="s">
        <v>14</v>
      </c>
      <c r="J54" s="22" t="str">
        <f>F8&amp;" Acres"&amp;""</f>
        <v>5888 Acres</v>
      </c>
      <c r="K54" s="8"/>
    </row>
    <row r="55" spans="1:11">
      <c r="A55" s="8" t="s">
        <v>62</v>
      </c>
      <c r="B55" s="3"/>
      <c r="C55" s="3"/>
      <c r="D55" s="3"/>
      <c r="E55" s="3"/>
      <c r="F55" s="3"/>
      <c r="G55" s="23">
        <f>G19+G42+G48+G51</f>
        <v>282.28489999999999</v>
      </c>
      <c r="H55" s="23">
        <f>H19+H33+H42+H48</f>
        <v>461.10207066666669</v>
      </c>
      <c r="I55" s="29">
        <f>I19+I33+I42+I48+I51</f>
        <v>743.38697066666668</v>
      </c>
      <c r="J55" s="3"/>
      <c r="K55" s="8"/>
    </row>
    <row r="56" spans="1:11" ht="16.5" thickBot="1">
      <c r="A56" s="50" t="s">
        <v>63</v>
      </c>
      <c r="B56" s="51"/>
      <c r="C56" s="51"/>
      <c r="D56" s="51"/>
      <c r="E56" s="51"/>
      <c r="F56" s="51"/>
      <c r="G56" s="52">
        <f>IF($D$8&gt;0,G55/$D$8,0)</f>
        <v>1.3506454545454545</v>
      </c>
      <c r="H56" s="52">
        <f>IF($D$8&gt;0,H55/$D$8,0)</f>
        <v>2.2062300031897926</v>
      </c>
      <c r="I56" s="52">
        <f>IF($D$8&gt;0,I55/$D$8,0)</f>
        <v>3.5568754577352473</v>
      </c>
      <c r="J56" s="53"/>
      <c r="K56" s="8"/>
    </row>
    <row r="57" spans="1:11" ht="16.5" thickTop="1">
      <c r="A57" s="54" t="s">
        <v>64</v>
      </c>
      <c r="B57" s="55"/>
      <c r="C57" s="55"/>
      <c r="D57" s="55"/>
      <c r="E57" s="55"/>
      <c r="F57" s="55"/>
      <c r="G57" s="56">
        <f>$F$8*G55</f>
        <v>1662093.4912</v>
      </c>
      <c r="H57" s="56">
        <f>$F$8*H55</f>
        <v>2714968.9920853334</v>
      </c>
      <c r="I57" s="56"/>
      <c r="J57" s="56">
        <f>J19+J33+J43+J48+J51</f>
        <v>4377062.483285334</v>
      </c>
      <c r="K57" s="8"/>
    </row>
    <row r="58" spans="1:11">
      <c r="A58" s="8"/>
      <c r="B58" s="3"/>
      <c r="C58" s="3"/>
      <c r="D58" s="3"/>
      <c r="E58" s="3"/>
      <c r="F58" s="3"/>
      <c r="G58" s="24"/>
      <c r="H58" s="24"/>
      <c r="I58" s="24"/>
      <c r="J58" s="31"/>
      <c r="K58" s="8"/>
    </row>
    <row r="59" spans="1:11">
      <c r="A59" s="32"/>
      <c r="B59" s="17"/>
      <c r="C59" s="17"/>
      <c r="D59" s="17"/>
      <c r="E59" s="17"/>
      <c r="F59" s="17"/>
      <c r="G59" s="57"/>
      <c r="H59" s="58" t="s">
        <v>65</v>
      </c>
      <c r="I59" s="59" t="s">
        <v>66</v>
      </c>
      <c r="J59" s="60" t="s">
        <v>67</v>
      </c>
      <c r="K59" s="8"/>
    </row>
    <row r="60" spans="1:11">
      <c r="A60" s="9" t="s">
        <v>68</v>
      </c>
      <c r="B60" s="10"/>
      <c r="C60" s="10"/>
      <c r="D60" s="10"/>
      <c r="E60" s="10"/>
      <c r="F60" s="10"/>
      <c r="G60" s="61"/>
      <c r="H60" s="62" t="s">
        <v>69</v>
      </c>
      <c r="I60" s="62" t="s">
        <v>70</v>
      </c>
      <c r="J60" s="63" t="s">
        <v>71</v>
      </c>
      <c r="K60" s="8"/>
    </row>
    <row r="61" spans="1:11">
      <c r="A61" s="8" t="s">
        <v>72</v>
      </c>
      <c r="B61" s="64"/>
      <c r="C61" s="459">
        <v>0</v>
      </c>
      <c r="D61" s="3"/>
      <c r="E61" s="3"/>
      <c r="F61" s="3"/>
      <c r="G61" s="24"/>
      <c r="H61" s="31"/>
      <c r="I61" s="23">
        <f>C61*D$8</f>
        <v>0</v>
      </c>
      <c r="J61" s="65">
        <f>I61*F$8</f>
        <v>0</v>
      </c>
      <c r="K61" s="8"/>
    </row>
    <row r="62" spans="1:11">
      <c r="A62" s="8" t="s">
        <v>73</v>
      </c>
      <c r="B62" s="64"/>
      <c r="C62" s="3"/>
      <c r="D62" s="3"/>
      <c r="E62" s="3"/>
      <c r="F62" s="3"/>
      <c r="G62" s="24"/>
      <c r="H62" s="31"/>
      <c r="I62" s="357">
        <v>0</v>
      </c>
      <c r="J62" s="65">
        <f>I62*F$8</f>
        <v>0</v>
      </c>
      <c r="K62" s="8"/>
    </row>
    <row r="63" spans="1:11">
      <c r="A63" s="66" t="s">
        <v>74</v>
      </c>
      <c r="B63" s="67"/>
      <c r="C63" s="369">
        <v>0</v>
      </c>
      <c r="D63" s="3"/>
      <c r="E63" s="3"/>
      <c r="F63" s="3"/>
      <c r="G63" s="68"/>
      <c r="H63" s="69"/>
      <c r="I63" s="70">
        <f>C63*D$8</f>
        <v>0</v>
      </c>
      <c r="J63" s="71">
        <f>I63*F$8</f>
        <v>0</v>
      </c>
      <c r="K63" s="95"/>
    </row>
    <row r="64" spans="1:11" ht="16.5" thickBot="1">
      <c r="A64" s="72" t="s">
        <v>75</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-461.10207066666669</v>
      </c>
      <c r="I65" s="388">
        <f>I64-I55</f>
        <v>-743.38697066666668</v>
      </c>
      <c r="J65" s="390">
        <f>J64-J57</f>
        <v>-4377062.483285334</v>
      </c>
      <c r="K65" s="8"/>
    </row>
    <row r="68" spans="1:11">
      <c r="A68" t="s">
        <v>304</v>
      </c>
    </row>
    <row r="70" spans="1:11" ht="48" customHeight="1">
      <c r="A70" s="494" t="s">
        <v>311</v>
      </c>
      <c r="B70" s="494"/>
      <c r="C70" s="494"/>
      <c r="D70" s="240"/>
      <c r="E70" s="241"/>
      <c r="F70" s="241"/>
      <c r="G70" s="241"/>
    </row>
    <row r="71" spans="1:11" ht="48" customHeight="1">
      <c r="A71" s="244"/>
      <c r="B71" s="244"/>
      <c r="C71" s="244" t="s">
        <v>312</v>
      </c>
      <c r="D71" s="245" t="s">
        <v>313</v>
      </c>
      <c r="E71" s="246" t="s">
        <v>318</v>
      </c>
      <c r="F71" s="246" t="s">
        <v>27</v>
      </c>
      <c r="G71" s="495" t="s">
        <v>77</v>
      </c>
      <c r="H71" s="495"/>
      <c r="I71" s="495"/>
    </row>
    <row r="72" spans="1:11" ht="35.1" customHeight="1">
      <c r="A72" s="235" t="s">
        <v>28</v>
      </c>
      <c r="B72" s="236">
        <v>0</v>
      </c>
      <c r="C72" s="237">
        <v>0.31</v>
      </c>
      <c r="D72" s="238">
        <v>0.44</v>
      </c>
      <c r="E72" s="373">
        <f>0.36*120</f>
        <v>43.199999999999996</v>
      </c>
      <c r="F72" s="239" t="s">
        <v>305</v>
      </c>
      <c r="G72" s="497" t="s">
        <v>306</v>
      </c>
      <c r="H72" s="497"/>
      <c r="I72" s="497"/>
    </row>
    <row r="73" spans="1:11" ht="45" customHeight="1">
      <c r="A73" s="235" t="s">
        <v>307</v>
      </c>
      <c r="B73" s="236">
        <v>0</v>
      </c>
      <c r="C73" s="237">
        <v>11</v>
      </c>
      <c r="D73" s="238">
        <v>18</v>
      </c>
      <c r="E73" s="373">
        <v>14.3</v>
      </c>
      <c r="F73" s="239" t="s">
        <v>305</v>
      </c>
      <c r="G73" s="497" t="s">
        <v>308</v>
      </c>
      <c r="H73" s="497"/>
      <c r="I73" s="497"/>
    </row>
    <row r="74" spans="1:11" ht="74.099999999999994" customHeight="1">
      <c r="A74" s="247" t="s">
        <v>309</v>
      </c>
      <c r="B74" s="248">
        <v>0</v>
      </c>
      <c r="C74" s="249" t="s">
        <v>13</v>
      </c>
      <c r="D74" s="249"/>
      <c r="E74" s="374">
        <v>22.83</v>
      </c>
      <c r="F74" s="250" t="s">
        <v>305</v>
      </c>
      <c r="G74" s="496" t="s">
        <v>310</v>
      </c>
      <c r="H74" s="496"/>
      <c r="I74" s="496"/>
    </row>
    <row r="75" spans="1:11">
      <c r="E75" s="169">
        <f>SUM(E72:E74)</f>
        <v>80.33</v>
      </c>
      <c r="F75" s="239" t="s">
        <v>305</v>
      </c>
      <c r="G75" t="s">
        <v>314</v>
      </c>
      <c r="H75" s="169">
        <f>E75*F8</f>
        <v>472983.03999999998</v>
      </c>
    </row>
    <row r="76" spans="1:11" ht="16.5" thickBot="1"/>
    <row r="77" spans="1:11" ht="16.5" thickBot="1">
      <c r="H77" t="s">
        <v>315</v>
      </c>
      <c r="J77" s="242">
        <f>J65-H75</f>
        <v>-4850045.523285334</v>
      </c>
    </row>
    <row r="80" spans="1:11">
      <c r="A80" s="347" t="s">
        <v>532</v>
      </c>
    </row>
    <row r="81" spans="1:11">
      <c r="A81" s="142" t="s">
        <v>533</v>
      </c>
    </row>
    <row r="83" spans="1:11" ht="20.25">
      <c r="A83" s="234" t="s">
        <v>534</v>
      </c>
    </row>
    <row r="84" spans="1:11">
      <c r="A84" s="233" t="s">
        <v>303</v>
      </c>
    </row>
    <row r="87" spans="1:11" ht="20.25">
      <c r="A87" s="234"/>
    </row>
    <row r="88" spans="1:11">
      <c r="A88" s="233"/>
    </row>
    <row r="93" spans="1:11">
      <c r="A93" s="28" t="s">
        <v>77</v>
      </c>
      <c r="B93" s="2"/>
      <c r="C93" s="3"/>
      <c r="D93" s="3"/>
      <c r="E93" s="3"/>
      <c r="F93" s="3"/>
      <c r="G93" s="3"/>
      <c r="H93" s="3"/>
      <c r="I93" s="3"/>
      <c r="J93" s="3"/>
      <c r="K93" s="8"/>
    </row>
    <row r="94" spans="1:11">
      <c r="A94" s="82" t="s">
        <v>78</v>
      </c>
      <c r="B94" s="2"/>
      <c r="C94" s="3"/>
      <c r="D94" s="3"/>
      <c r="E94" s="3"/>
      <c r="F94" s="3"/>
      <c r="G94" s="3"/>
      <c r="H94" s="3"/>
      <c r="I94" s="3"/>
      <c r="J94" s="3"/>
      <c r="K94" s="8"/>
    </row>
    <row r="95" spans="1:11">
      <c r="A95" s="83" t="s">
        <v>79</v>
      </c>
      <c r="B95" s="2"/>
      <c r="C95" s="3"/>
      <c r="D95" s="3"/>
      <c r="E95" s="3"/>
      <c r="F95" s="3"/>
      <c r="G95" s="3"/>
      <c r="H95" s="3"/>
      <c r="I95" s="3"/>
      <c r="J95" s="3"/>
      <c r="K95" s="8"/>
    </row>
    <row r="96" spans="1:11">
      <c r="A96" s="84" t="s">
        <v>80</v>
      </c>
      <c r="B96" s="2"/>
      <c r="C96" s="3"/>
      <c r="D96" s="3"/>
      <c r="E96" s="3"/>
      <c r="F96" s="3"/>
      <c r="G96" s="3"/>
      <c r="H96" s="3"/>
      <c r="I96" s="3"/>
      <c r="J96" s="3"/>
      <c r="K96" s="8"/>
    </row>
    <row r="97" spans="1:11">
      <c r="A97" s="85" t="s">
        <v>81</v>
      </c>
      <c r="B97" s="2"/>
      <c r="C97" s="3"/>
      <c r="D97" s="3"/>
      <c r="E97" s="3"/>
      <c r="F97" s="3"/>
      <c r="G97" s="3"/>
      <c r="H97" s="3"/>
      <c r="I97" s="3"/>
      <c r="J97" s="3"/>
      <c r="K97" s="8"/>
    </row>
    <row r="98" spans="1:11">
      <c r="A98" s="8" t="s">
        <v>82</v>
      </c>
      <c r="B98" s="2"/>
      <c r="C98" s="2"/>
      <c r="D98" s="2"/>
      <c r="E98" s="2"/>
      <c r="F98" s="2"/>
      <c r="G98" s="3"/>
      <c r="H98" s="3"/>
      <c r="I98" s="3"/>
      <c r="J98" s="3"/>
      <c r="K98" s="8"/>
    </row>
    <row r="99" spans="1:11">
      <c r="A99" s="84" t="s">
        <v>83</v>
      </c>
      <c r="B99" s="3"/>
      <c r="C99" s="3"/>
      <c r="D99" s="3"/>
      <c r="E99" s="3"/>
      <c r="F99" s="3"/>
      <c r="G99" s="3"/>
      <c r="H99" s="3"/>
      <c r="I99" s="3"/>
      <c r="J99" s="3"/>
      <c r="K99" s="8"/>
    </row>
    <row r="100" spans="1:11">
      <c r="A100" s="6" t="s">
        <v>84</v>
      </c>
      <c r="B100" s="3"/>
      <c r="C100" s="3"/>
      <c r="D100" s="3"/>
      <c r="E100" s="3"/>
      <c r="F100" s="3"/>
      <c r="G100" s="3"/>
      <c r="H100" s="3"/>
      <c r="I100" s="3"/>
      <c r="J100" s="3"/>
      <c r="K100" s="8"/>
    </row>
    <row r="101" spans="1:11">
      <c r="A101" s="86">
        <f ca="1">TODAY()</f>
        <v>45707</v>
      </c>
      <c r="B101" s="3"/>
      <c r="C101" s="3"/>
      <c r="D101" s="3"/>
      <c r="E101" s="3"/>
      <c r="F101" s="3"/>
      <c r="G101" s="3"/>
      <c r="H101" s="3"/>
      <c r="I101" s="3"/>
      <c r="J101" s="3"/>
      <c r="K101" s="8"/>
    </row>
  </sheetData>
  <mergeCells count="7">
    <mergeCell ref="A70:C70"/>
    <mergeCell ref="G71:I71"/>
    <mergeCell ref="L7:M8"/>
    <mergeCell ref="E51:F52"/>
    <mergeCell ref="G74:I74"/>
    <mergeCell ref="G72:I72"/>
    <mergeCell ref="G73:I73"/>
  </mergeCells>
  <hyperlinks>
    <hyperlink ref="A63" r:id="rId1" display="    Expected LDP rate" xr:uid="{E06A4C5A-F191-114A-A0CE-B597A3F2774A}"/>
    <hyperlink ref="A96" r:id="rId2" display="Visit the CME Group website for price information, https://www.cmegroup.com/. " xr:uid="{82C0511E-7BED-584D-9F81-109FE11BEFB0}"/>
    <hyperlink ref="A97" r:id="rId3" xr:uid="{963B12AD-EE00-4243-8207-2A16DAA7562E}"/>
    <hyperlink ref="A3" r:id="rId4" display="The Estimated Costs of Crop Production publication has more information " xr:uid="{171AFD7A-7FDA-184C-B117-90BAA2548439}"/>
    <hyperlink ref="A99" r:id="rId5" xr:uid="{8A9D6E0B-EF32-0B40-B850-8177115C0482}"/>
    <hyperlink ref="A95" r:id="rId6" xr:uid="{F3882CA2-F685-2E48-B7C2-FFF90D50C605}"/>
    <hyperlink ref="A81" r:id="rId7" xr:uid="{83F5940E-000D-6640-A5CD-57392A806A6E}"/>
    <hyperlink ref="A84" r:id="rId8" xr:uid="{62A2372D-4837-8E44-A8B2-A42F0B9F7213}"/>
    <hyperlink ref="L7:M8" location="'Instructions &amp; summary data'!A1" display="Return to instructions page" xr:uid="{95A774BC-B5B1-994A-BE51-CCB46F280F1F}"/>
  </hyperlink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BD5D-5ED8-9E44-A858-B886B41FC4C9}">
  <dimension ref="A1:N83"/>
  <sheetViews>
    <sheetView workbookViewId="0">
      <selection activeCell="L6" sqref="L6:M7"/>
    </sheetView>
  </sheetViews>
  <sheetFormatPr defaultColWidth="11" defaultRowHeight="15.75"/>
  <sheetData>
    <row r="1" spans="1:13" ht="21" thickBot="1">
      <c r="A1" s="243" t="s">
        <v>316</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317</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91" t="s">
        <v>549</v>
      </c>
      <c r="M6" s="491"/>
    </row>
    <row r="7" spans="1:13">
      <c r="A7" s="9" t="s">
        <v>3</v>
      </c>
      <c r="B7" s="10"/>
      <c r="C7" s="10"/>
      <c r="D7" s="11" t="s">
        <v>4</v>
      </c>
      <c r="E7" s="12"/>
      <c r="F7" s="11" t="s">
        <v>5</v>
      </c>
      <c r="G7" s="10"/>
      <c r="H7" s="10"/>
      <c r="I7" s="10"/>
      <c r="J7" s="10"/>
      <c r="K7" s="8"/>
      <c r="L7" s="492"/>
      <c r="M7" s="492"/>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15</v>
      </c>
      <c r="B12" s="3"/>
      <c r="C12" s="3"/>
      <c r="D12" s="3"/>
      <c r="E12" s="3"/>
      <c r="F12" s="3"/>
      <c r="G12" s="356">
        <v>6.4</v>
      </c>
      <c r="H12" s="356">
        <v>5</v>
      </c>
      <c r="I12" s="23">
        <f t="shared" ref="I12:I20" si="0">G12+H12</f>
        <v>11.4</v>
      </c>
      <c r="J12" s="24">
        <f t="shared" ref="J12:J21" si="1">$F$8*I12</f>
        <v>5700</v>
      </c>
      <c r="K12" s="8"/>
    </row>
    <row r="13" spans="1:13">
      <c r="A13" s="353" t="s">
        <v>16</v>
      </c>
      <c r="B13" s="3"/>
      <c r="C13" s="3"/>
      <c r="D13" s="3"/>
      <c r="E13" s="3"/>
      <c r="F13" s="3"/>
      <c r="G13" s="357">
        <v>8.1</v>
      </c>
      <c r="H13" s="357">
        <v>4.5</v>
      </c>
      <c r="I13" s="23">
        <f t="shared" si="0"/>
        <v>12.6</v>
      </c>
      <c r="J13" s="24">
        <f t="shared" si="1"/>
        <v>6300</v>
      </c>
      <c r="K13" s="8"/>
    </row>
    <row r="14" spans="1:13">
      <c r="A14" s="353" t="s">
        <v>18</v>
      </c>
      <c r="B14" s="3"/>
      <c r="C14" s="3"/>
      <c r="D14" s="3"/>
      <c r="E14" s="3"/>
      <c r="F14" s="3"/>
      <c r="G14" s="357">
        <v>4.7</v>
      </c>
      <c r="H14" s="357">
        <v>3.5</v>
      </c>
      <c r="I14" s="23">
        <f t="shared" si="0"/>
        <v>8.1999999999999993</v>
      </c>
      <c r="J14" s="24">
        <f t="shared" si="1"/>
        <v>4100</v>
      </c>
      <c r="K14" s="8"/>
    </row>
    <row r="15" spans="1:13">
      <c r="A15" s="353" t="s">
        <v>19</v>
      </c>
      <c r="B15" s="3"/>
      <c r="C15" s="3"/>
      <c r="D15" s="3"/>
      <c r="E15" s="3"/>
      <c r="F15" s="3"/>
      <c r="G15" s="357">
        <v>10.4</v>
      </c>
      <c r="H15" s="357">
        <v>6.2</v>
      </c>
      <c r="I15" s="23">
        <f t="shared" si="0"/>
        <v>16.600000000000001</v>
      </c>
      <c r="J15" s="24">
        <f t="shared" si="1"/>
        <v>8300</v>
      </c>
      <c r="K15" s="8"/>
    </row>
    <row r="16" spans="1:13">
      <c r="A16" s="353" t="s">
        <v>20</v>
      </c>
      <c r="B16" s="3"/>
      <c r="C16" s="3"/>
      <c r="D16" s="3"/>
      <c r="E16" s="3"/>
      <c r="F16" s="3"/>
      <c r="G16" s="357">
        <v>4</v>
      </c>
      <c r="H16" s="357">
        <v>2.5</v>
      </c>
      <c r="I16" s="23">
        <f t="shared" si="0"/>
        <v>6.5</v>
      </c>
      <c r="J16" s="24">
        <f t="shared" si="1"/>
        <v>3250</v>
      </c>
      <c r="K16" s="8"/>
    </row>
    <row r="17" spans="1:11">
      <c r="A17" s="353" t="s">
        <v>20</v>
      </c>
      <c r="B17" s="3"/>
      <c r="C17" s="3"/>
      <c r="D17" s="3"/>
      <c r="E17" s="3"/>
      <c r="F17" s="3"/>
      <c r="G17" s="357">
        <v>4</v>
      </c>
      <c r="H17" s="357">
        <v>2.5</v>
      </c>
      <c r="I17" s="23">
        <f t="shared" si="0"/>
        <v>6.5</v>
      </c>
      <c r="J17" s="24">
        <f t="shared" si="1"/>
        <v>3250</v>
      </c>
      <c r="K17" s="8"/>
    </row>
    <row r="18" spans="1:11">
      <c r="A18" s="353" t="s">
        <v>21</v>
      </c>
      <c r="B18" s="3"/>
      <c r="C18" s="3"/>
      <c r="D18" s="3"/>
      <c r="E18" s="3"/>
      <c r="F18" s="3"/>
      <c r="G18" s="357">
        <v>0</v>
      </c>
      <c r="H18" s="357">
        <v>0</v>
      </c>
      <c r="I18" s="23">
        <f t="shared" si="0"/>
        <v>0</v>
      </c>
      <c r="J18" s="24">
        <f t="shared" si="1"/>
        <v>0</v>
      </c>
      <c r="K18" s="8"/>
    </row>
    <row r="19" spans="1:11">
      <c r="A19" s="353" t="s">
        <v>22</v>
      </c>
      <c r="B19" s="3"/>
      <c r="C19" s="3"/>
      <c r="D19" s="3"/>
      <c r="E19" s="3"/>
      <c r="F19" s="3"/>
      <c r="G19" s="357">
        <v>0</v>
      </c>
      <c r="H19" s="357">
        <v>0</v>
      </c>
      <c r="I19" s="23">
        <f t="shared" si="0"/>
        <v>0</v>
      </c>
      <c r="J19" s="24">
        <f t="shared" si="1"/>
        <v>0</v>
      </c>
      <c r="K19" s="8"/>
    </row>
    <row r="20" spans="1:11">
      <c r="A20" s="353" t="s">
        <v>22</v>
      </c>
      <c r="B20" s="25"/>
      <c r="C20" s="25"/>
      <c r="D20" s="25"/>
      <c r="E20" s="25"/>
      <c r="F20" s="25"/>
      <c r="G20" s="357">
        <v>0</v>
      </c>
      <c r="H20" s="357">
        <v>0</v>
      </c>
      <c r="I20" s="26">
        <f t="shared" si="0"/>
        <v>0</v>
      </c>
      <c r="J20" s="27">
        <f t="shared" si="1"/>
        <v>0</v>
      </c>
      <c r="K20" s="8"/>
    </row>
    <row r="21" spans="1:11">
      <c r="A21" s="28" t="s">
        <v>23</v>
      </c>
      <c r="B21" s="2"/>
      <c r="C21" s="3"/>
      <c r="D21" s="3"/>
      <c r="E21" s="3"/>
      <c r="F21" s="3"/>
      <c r="G21" s="23">
        <f>SUM(G12:G20)</f>
        <v>37.6</v>
      </c>
      <c r="H21" s="23">
        <f>SUM(H12:H20)</f>
        <v>24.2</v>
      </c>
      <c r="I21" s="29">
        <f>SUM(I12:I20)</f>
        <v>61.800000000000004</v>
      </c>
      <c r="J21" s="30">
        <f t="shared" si="1"/>
        <v>30900.000000000004</v>
      </c>
      <c r="K21" s="8"/>
    </row>
    <row r="22" spans="1:11">
      <c r="A22" s="28" t="s">
        <v>24</v>
      </c>
      <c r="B22" s="2"/>
      <c r="C22" s="3"/>
      <c r="D22" s="3"/>
      <c r="E22" s="3"/>
      <c r="F22" s="3"/>
      <c r="G22" s="24">
        <f>$F$8*G21</f>
        <v>18800</v>
      </c>
      <c r="H22" s="24">
        <f>$F$8*H21</f>
        <v>12100</v>
      </c>
      <c r="I22" s="30">
        <f>$F$8*I21</f>
        <v>30900.000000000004</v>
      </c>
      <c r="J22" s="31" t="s">
        <v>87</v>
      </c>
      <c r="K22" s="8"/>
    </row>
    <row r="23" spans="1:11">
      <c r="A23" s="8"/>
      <c r="B23" s="3"/>
      <c r="C23" s="3"/>
      <c r="D23" s="3"/>
      <c r="E23" s="3"/>
      <c r="F23" s="3"/>
      <c r="G23" s="3"/>
      <c r="H23" s="3"/>
      <c r="I23" s="3"/>
      <c r="J23" s="24"/>
      <c r="K23" s="8"/>
    </row>
    <row r="24" spans="1:11">
      <c r="A24" s="32"/>
      <c r="B24" s="17"/>
      <c r="C24" s="17"/>
      <c r="D24" s="17"/>
      <c r="E24" s="17"/>
      <c r="F24" s="17"/>
      <c r="G24" s="18" t="s">
        <v>8</v>
      </c>
      <c r="H24" s="19"/>
      <c r="I24" s="19" t="s">
        <v>9</v>
      </c>
      <c r="J24" s="20" t="s">
        <v>10</v>
      </c>
      <c r="K24" s="8"/>
    </row>
    <row r="25" spans="1:11">
      <c r="A25" s="9" t="s">
        <v>25</v>
      </c>
      <c r="B25" s="33"/>
      <c r="C25" s="11" t="s">
        <v>26</v>
      </c>
      <c r="D25" s="11"/>
      <c r="E25" s="11" t="s">
        <v>27</v>
      </c>
      <c r="F25" s="10"/>
      <c r="G25" s="21" t="s">
        <v>12</v>
      </c>
      <c r="H25" s="21" t="s">
        <v>13</v>
      </c>
      <c r="I25" s="22" t="s">
        <v>14</v>
      </c>
      <c r="J25" s="22" t="str">
        <f>F8&amp;" Acres"&amp;""</f>
        <v>500 Acres</v>
      </c>
      <c r="K25" s="8"/>
    </row>
    <row r="26" spans="1:11">
      <c r="A26" s="34" t="s">
        <v>28</v>
      </c>
      <c r="B26" s="3"/>
      <c r="C26" s="360">
        <v>62.9</v>
      </c>
      <c r="D26" s="35" t="s">
        <v>102</v>
      </c>
      <c r="E26" s="377">
        <v>1</v>
      </c>
      <c r="F26" s="36" t="s">
        <v>103</v>
      </c>
      <c r="G26" s="31"/>
      <c r="H26" s="23">
        <f>C26*E26</f>
        <v>62.9</v>
      </c>
      <c r="I26" s="23">
        <f t="shared" ref="I26:I33" si="2">H26</f>
        <v>62.9</v>
      </c>
      <c r="J26" s="24">
        <f t="shared" ref="J26:J33" si="3">$F$8*I26</f>
        <v>31450</v>
      </c>
      <c r="K26" s="8"/>
    </row>
    <row r="27" spans="1:11">
      <c r="A27" s="34" t="s">
        <v>34</v>
      </c>
      <c r="B27" s="3"/>
      <c r="C27" s="361">
        <v>0.57999999999999996</v>
      </c>
      <c r="D27" s="35" t="s">
        <v>32</v>
      </c>
      <c r="E27" s="364">
        <v>48</v>
      </c>
      <c r="F27" s="36" t="s">
        <v>33</v>
      </c>
      <c r="G27" s="31"/>
      <c r="H27" s="23">
        <f>C27*E27</f>
        <v>27.839999999999996</v>
      </c>
      <c r="I27" s="23">
        <f t="shared" si="2"/>
        <v>27.839999999999996</v>
      </c>
      <c r="J27" s="24">
        <f t="shared" si="3"/>
        <v>13919.999999999998</v>
      </c>
      <c r="K27" s="8"/>
    </row>
    <row r="28" spans="1:11">
      <c r="A28" s="34" t="s">
        <v>35</v>
      </c>
      <c r="B28" s="3"/>
      <c r="C28" s="361">
        <v>0.36</v>
      </c>
      <c r="D28" s="35" t="s">
        <v>32</v>
      </c>
      <c r="E28" s="364">
        <v>90</v>
      </c>
      <c r="F28" s="36" t="s">
        <v>33</v>
      </c>
      <c r="G28" s="31"/>
      <c r="H28" s="23">
        <f>C28*E28</f>
        <v>32.4</v>
      </c>
      <c r="I28" s="23">
        <f t="shared" si="2"/>
        <v>32.4</v>
      </c>
      <c r="J28" s="24">
        <f t="shared" si="3"/>
        <v>16200</v>
      </c>
      <c r="K28" s="8"/>
    </row>
    <row r="29" spans="1:11">
      <c r="A29" s="34" t="s">
        <v>36</v>
      </c>
      <c r="B29" s="3"/>
      <c r="C29" s="3"/>
      <c r="D29" s="35"/>
      <c r="E29" s="3"/>
      <c r="F29" s="36"/>
      <c r="G29" s="31"/>
      <c r="H29" s="357">
        <v>6.41</v>
      </c>
      <c r="I29" s="23">
        <f t="shared" si="2"/>
        <v>6.41</v>
      </c>
      <c r="J29" s="24">
        <f t="shared" si="3"/>
        <v>3205</v>
      </c>
      <c r="K29" s="8"/>
    </row>
    <row r="30" spans="1:11">
      <c r="A30" s="34" t="s">
        <v>37</v>
      </c>
      <c r="B30" s="3"/>
      <c r="C30" s="3"/>
      <c r="D30" s="35"/>
      <c r="E30" s="3"/>
      <c r="F30" s="36"/>
      <c r="G30" s="31"/>
      <c r="H30" s="357">
        <v>65</v>
      </c>
      <c r="I30" s="23">
        <f t="shared" si="2"/>
        <v>65</v>
      </c>
      <c r="J30" s="24">
        <f t="shared" si="3"/>
        <v>32500</v>
      </c>
      <c r="K30" s="8"/>
    </row>
    <row r="31" spans="1:11">
      <c r="A31" s="34" t="s">
        <v>39</v>
      </c>
      <c r="B31" s="3"/>
      <c r="C31" s="3"/>
      <c r="D31" s="35"/>
      <c r="E31" s="3"/>
      <c r="F31" s="36"/>
      <c r="G31" s="31"/>
      <c r="H31" s="357">
        <v>10.4</v>
      </c>
      <c r="I31" s="23">
        <f t="shared" si="2"/>
        <v>10.4</v>
      </c>
      <c r="J31" s="24">
        <f t="shared" si="3"/>
        <v>5200</v>
      </c>
      <c r="K31" s="8"/>
    </row>
    <row r="32" spans="1:11">
      <c r="A32" s="34" t="s">
        <v>40</v>
      </c>
      <c r="B32" s="3"/>
      <c r="C32" s="3"/>
      <c r="D32" s="35"/>
      <c r="E32" s="3"/>
      <c r="F32" s="36"/>
      <c r="G32" s="31"/>
      <c r="H32" s="357">
        <v>12.9</v>
      </c>
      <c r="I32" s="23">
        <f t="shared" si="2"/>
        <v>12.9</v>
      </c>
      <c r="J32" s="24">
        <f t="shared" si="3"/>
        <v>6450</v>
      </c>
      <c r="K32" s="8"/>
    </row>
    <row r="33" spans="1:11">
      <c r="A33" s="37" t="s">
        <v>41</v>
      </c>
      <c r="B33" s="25"/>
      <c r="C33" s="365">
        <v>8</v>
      </c>
      <c r="D33" s="38" t="s">
        <v>42</v>
      </c>
      <c r="E33" s="366">
        <v>8.1199999999999994E-2</v>
      </c>
      <c r="F33" s="39" t="s">
        <v>43</v>
      </c>
      <c r="G33" s="40"/>
      <c r="H33" s="41">
        <f>(SUM(H26:H32)+H21)*C33*E33/12</f>
        <v>13.102973333333331</v>
      </c>
      <c r="I33" s="26">
        <f t="shared" si="2"/>
        <v>13.102973333333331</v>
      </c>
      <c r="J33" s="27">
        <f t="shared" si="3"/>
        <v>6551.4866666666658</v>
      </c>
      <c r="K33" s="8"/>
    </row>
    <row r="34" spans="1:11">
      <c r="A34" s="28" t="s">
        <v>58</v>
      </c>
      <c r="B34" s="2"/>
      <c r="C34" s="3"/>
      <c r="D34" s="3"/>
      <c r="E34" s="3"/>
      <c r="F34" s="3"/>
      <c r="G34" s="31"/>
      <c r="H34" s="23">
        <f>SUM(H26:H33)</f>
        <v>230.95297333333332</v>
      </c>
      <c r="I34" s="29">
        <f>SUM(I26:I33)</f>
        <v>230.95297333333332</v>
      </c>
      <c r="J34" s="30">
        <f>SUM(J26:J33)</f>
        <v>115476.48666666666</v>
      </c>
      <c r="K34" s="8"/>
    </row>
    <row r="35" spans="1:11">
      <c r="A35" s="8"/>
      <c r="B35" s="3"/>
      <c r="C35" s="3"/>
      <c r="D35" s="3"/>
      <c r="E35" s="3"/>
      <c r="F35" s="3"/>
      <c r="G35" s="3"/>
      <c r="H35" s="3"/>
      <c r="I35" s="3"/>
      <c r="J35" s="24" t="s">
        <v>44</v>
      </c>
      <c r="K35" s="8"/>
    </row>
    <row r="36" spans="1:11">
      <c r="A36" s="9" t="s">
        <v>45</v>
      </c>
      <c r="B36" s="33"/>
      <c r="C36" s="11"/>
      <c r="D36" s="11"/>
      <c r="E36" s="11"/>
      <c r="F36" s="10"/>
      <c r="G36" s="21"/>
      <c r="H36" s="21"/>
      <c r="I36" s="22"/>
      <c r="J36" s="22"/>
      <c r="K36" s="8"/>
    </row>
    <row r="37" spans="1:11">
      <c r="A37" s="367" t="s">
        <v>46</v>
      </c>
      <c r="B37" s="3"/>
      <c r="C37" s="3"/>
      <c r="D37" s="3"/>
      <c r="E37" s="3"/>
      <c r="F37" s="3"/>
      <c r="G37" s="356">
        <v>14.7</v>
      </c>
      <c r="H37" s="356">
        <v>5.3</v>
      </c>
      <c r="I37" s="23">
        <f t="shared" ref="I37:I41" si="4">SUM(G37:H37)</f>
        <v>20</v>
      </c>
      <c r="J37" s="24">
        <f>$F$8*I37</f>
        <v>10000</v>
      </c>
      <c r="K37" s="8"/>
    </row>
    <row r="38" spans="1:11">
      <c r="A38" s="368" t="s">
        <v>47</v>
      </c>
      <c r="B38" s="3"/>
      <c r="C38" s="3"/>
      <c r="D38" s="3"/>
      <c r="E38" s="3"/>
      <c r="F38" s="3"/>
      <c r="G38" s="357">
        <v>11.1</v>
      </c>
      <c r="H38" s="357">
        <v>3.8</v>
      </c>
      <c r="I38" s="23">
        <f t="shared" si="4"/>
        <v>14.899999999999999</v>
      </c>
      <c r="J38" s="24">
        <f>$F$8*I38</f>
        <v>7449.9999999999991</v>
      </c>
      <c r="K38" s="8"/>
    </row>
    <row r="39" spans="1:11">
      <c r="A39" s="43" t="s">
        <v>48</v>
      </c>
      <c r="B39" s="3"/>
      <c r="C39" s="361">
        <v>7.6999999999999999E-2</v>
      </c>
      <c r="D39" s="36" t="s">
        <v>49</v>
      </c>
      <c r="E39" s="361">
        <v>4.8000000000000001E-2</v>
      </c>
      <c r="F39" s="36" t="s">
        <v>50</v>
      </c>
      <c r="G39" s="23">
        <f>C39*D8</f>
        <v>4.62</v>
      </c>
      <c r="H39" s="23">
        <f>E39*D8</f>
        <v>2.88</v>
      </c>
      <c r="I39" s="23">
        <f t="shared" si="4"/>
        <v>7.5</v>
      </c>
      <c r="J39" s="24">
        <f>$F$8*I39</f>
        <v>3750</v>
      </c>
      <c r="K39" s="8"/>
    </row>
    <row r="40" spans="1:11">
      <c r="A40" s="43" t="s">
        <v>52</v>
      </c>
      <c r="B40" s="3"/>
      <c r="C40" s="361">
        <v>3.1600000000000003E-2</v>
      </c>
      <c r="D40" s="36" t="s">
        <v>49</v>
      </c>
      <c r="E40" s="361">
        <v>2.53E-2</v>
      </c>
      <c r="F40" s="36" t="s">
        <v>50</v>
      </c>
      <c r="G40" s="23">
        <f>C40*D8</f>
        <v>1.8960000000000001</v>
      </c>
      <c r="H40" s="23">
        <f>E40*D8</f>
        <v>1.518</v>
      </c>
      <c r="I40" s="23">
        <f t="shared" si="4"/>
        <v>3.4140000000000001</v>
      </c>
      <c r="J40" s="24">
        <f>I40*$F$8</f>
        <v>1707</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SUM(G37:G41)</f>
        <v>32.315999999999995</v>
      </c>
      <c r="H42" s="23">
        <f>SUM(H37:H41)</f>
        <v>13.498000000000001</v>
      </c>
      <c r="I42" s="29">
        <f>SUM(I37:I41)</f>
        <v>45.814</v>
      </c>
      <c r="J42" s="3"/>
      <c r="K42" s="8"/>
    </row>
    <row r="43" spans="1:11">
      <c r="A43" s="28" t="s">
        <v>24</v>
      </c>
      <c r="B43" s="2"/>
      <c r="C43" s="3"/>
      <c r="D43" s="3"/>
      <c r="E43" s="3"/>
      <c r="F43" s="3"/>
      <c r="G43" s="24">
        <f>$F$8*G42</f>
        <v>16157.999999999998</v>
      </c>
      <c r="H43" s="24">
        <f>$F$8*H42</f>
        <v>6749.0000000000009</v>
      </c>
      <c r="I43" s="30"/>
      <c r="J43" s="30">
        <f>SUM(J37:J41)</f>
        <v>22907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34" t="s">
        <v>104</v>
      </c>
      <c r="B46" s="2"/>
      <c r="C46" s="361">
        <v>20.149999999999999</v>
      </c>
      <c r="D46" s="3"/>
      <c r="E46" s="365">
        <v>2.2000000000000002</v>
      </c>
      <c r="F46" s="44"/>
      <c r="G46" s="45">
        <f>E46*C46</f>
        <v>44.33</v>
      </c>
      <c r="H46" s="31"/>
      <c r="I46" s="23">
        <f>G46</f>
        <v>44.33</v>
      </c>
      <c r="J46" s="24">
        <f>$F$8*I46</f>
        <v>22165</v>
      </c>
      <c r="K46" s="8"/>
    </row>
    <row r="47" spans="1:11">
      <c r="A47" s="37" t="s">
        <v>105</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44.33</v>
      </c>
      <c r="H48" s="23">
        <f>H47</f>
        <v>0</v>
      </c>
      <c r="I48" s="29">
        <f>I46+I47</f>
        <v>44.33</v>
      </c>
      <c r="J48" s="30">
        <f>J46+J47</f>
        <v>22165</v>
      </c>
      <c r="K48" s="8"/>
    </row>
    <row r="49" spans="1:14">
      <c r="A49" s="49"/>
      <c r="B49" s="44"/>
      <c r="C49" s="48"/>
      <c r="D49" s="48"/>
      <c r="E49" s="48"/>
      <c r="F49" s="48"/>
      <c r="G49" s="3"/>
      <c r="H49" s="3"/>
      <c r="I49" s="3"/>
      <c r="J49" s="24"/>
      <c r="K49" s="8"/>
      <c r="N49" s="376"/>
    </row>
    <row r="50" spans="1:14">
      <c r="A50" s="9" t="s">
        <v>59</v>
      </c>
      <c r="B50" s="33"/>
      <c r="C50" s="11"/>
      <c r="D50" s="11"/>
      <c r="E50" s="11"/>
      <c r="F50" s="10"/>
      <c r="G50" s="21"/>
      <c r="H50" s="21"/>
      <c r="I50" s="22"/>
      <c r="J50" s="22" t="s">
        <v>44</v>
      </c>
      <c r="K50" s="8"/>
    </row>
    <row r="51" spans="1:14">
      <c r="A51" s="34" t="s">
        <v>106</v>
      </c>
      <c r="B51" s="3"/>
      <c r="C51" s="3"/>
      <c r="D51" s="3"/>
      <c r="E51" s="489" t="s">
        <v>472</v>
      </c>
      <c r="F51" s="489"/>
      <c r="G51" s="375">
        <v>143</v>
      </c>
      <c r="H51" s="31"/>
      <c r="I51" s="29">
        <f>G51</f>
        <v>143</v>
      </c>
      <c r="J51" s="30">
        <f>$F$8*I51</f>
        <v>71500</v>
      </c>
      <c r="K51" s="8"/>
    </row>
    <row r="52" spans="1:14">
      <c r="A52" s="8"/>
      <c r="B52" s="3"/>
      <c r="C52" s="3"/>
      <c r="D52" s="3"/>
      <c r="E52" s="490"/>
      <c r="F52" s="490"/>
      <c r="G52" s="3"/>
      <c r="H52" s="3"/>
      <c r="I52" s="3"/>
      <c r="J52" s="24" t="s">
        <v>44</v>
      </c>
      <c r="K52" s="8"/>
    </row>
    <row r="53" spans="1:14">
      <c r="A53" s="32"/>
      <c r="B53" s="17"/>
      <c r="C53" s="17"/>
      <c r="D53" s="17"/>
      <c r="E53" s="17"/>
      <c r="F53" s="17"/>
      <c r="G53" s="18" t="s">
        <v>8</v>
      </c>
      <c r="H53" s="19"/>
      <c r="I53" s="19" t="s">
        <v>9</v>
      </c>
      <c r="J53" s="20" t="s">
        <v>10</v>
      </c>
      <c r="K53" s="8"/>
    </row>
    <row r="54" spans="1:14">
      <c r="A54" s="9" t="s">
        <v>61</v>
      </c>
      <c r="B54" s="33"/>
      <c r="C54" s="11"/>
      <c r="D54" s="11"/>
      <c r="E54" s="11"/>
      <c r="F54" s="10"/>
      <c r="G54" s="21" t="s">
        <v>12</v>
      </c>
      <c r="H54" s="21" t="s">
        <v>13</v>
      </c>
      <c r="I54" s="22" t="s">
        <v>14</v>
      </c>
      <c r="J54" s="22" t="str">
        <f>F8&amp;" Acres"&amp;""</f>
        <v>500 Acres</v>
      </c>
      <c r="K54" s="8"/>
    </row>
    <row r="55" spans="1:14">
      <c r="A55" s="34" t="s">
        <v>107</v>
      </c>
      <c r="B55" s="3"/>
      <c r="C55" s="3"/>
      <c r="D55" s="3"/>
      <c r="E55" s="3"/>
      <c r="F55" s="3"/>
      <c r="G55" s="23">
        <f>G21+G42+G48+G51</f>
        <v>257.24599999999998</v>
      </c>
      <c r="H55" s="23">
        <f>H21+H34+H42+H48</f>
        <v>268.6509733333333</v>
      </c>
      <c r="I55" s="29">
        <f>I21+I34+I42+I48+I51</f>
        <v>525.89697333333334</v>
      </c>
      <c r="J55" s="3"/>
      <c r="K55" s="8"/>
    </row>
    <row r="56" spans="1:14" ht="16.5" thickBot="1">
      <c r="A56" s="96" t="s">
        <v>108</v>
      </c>
      <c r="B56" s="51"/>
      <c r="C56" s="51"/>
      <c r="D56" s="51"/>
      <c r="E56" s="51"/>
      <c r="F56" s="51"/>
      <c r="G56" s="52">
        <f>IF($D$8&gt;0,G55/$D$8,0)</f>
        <v>4.2874333333333334</v>
      </c>
      <c r="H56" s="52">
        <f>IF($D$8&gt;0,H55/$D$8,0)</f>
        <v>4.4775162222222216</v>
      </c>
      <c r="I56" s="52">
        <f>IF($D$8&gt;0,I55/$D$8,0)</f>
        <v>8.764949555555555</v>
      </c>
      <c r="J56" s="53"/>
      <c r="K56" s="8"/>
    </row>
    <row r="57" spans="1:14" ht="16.5" thickTop="1">
      <c r="A57" s="97" t="s">
        <v>109</v>
      </c>
      <c r="B57" s="55"/>
      <c r="C57" s="55"/>
      <c r="D57" s="55"/>
      <c r="E57" s="55"/>
      <c r="F57" s="55"/>
      <c r="G57" s="56">
        <f>$F$8*G55</f>
        <v>128622.99999999999</v>
      </c>
      <c r="H57" s="56">
        <f>$F$8*H55</f>
        <v>134325.48666666663</v>
      </c>
      <c r="I57" s="56"/>
      <c r="J57" s="56">
        <f>J21+J34+J43+J48+J51</f>
        <v>262948.48666666669</v>
      </c>
      <c r="K57" s="8"/>
    </row>
    <row r="58" spans="1:14">
      <c r="A58" s="8"/>
      <c r="B58" s="3"/>
      <c r="C58" s="3"/>
      <c r="D58" s="3"/>
      <c r="E58" s="3"/>
      <c r="F58" s="3"/>
      <c r="G58" s="24"/>
      <c r="H58" s="24"/>
      <c r="I58" s="24"/>
      <c r="J58" s="31"/>
      <c r="K58" s="8"/>
    </row>
    <row r="59" spans="1:14">
      <c r="A59" s="32"/>
      <c r="B59" s="17"/>
      <c r="C59" s="17"/>
      <c r="D59" s="17"/>
      <c r="E59" s="17"/>
      <c r="F59" s="17"/>
      <c r="G59" s="57"/>
      <c r="H59" s="58" t="s">
        <v>65</v>
      </c>
      <c r="I59" s="59" t="s">
        <v>66</v>
      </c>
      <c r="J59" s="60" t="s">
        <v>67</v>
      </c>
      <c r="K59" s="8"/>
    </row>
    <row r="60" spans="1:14">
      <c r="A60" s="9" t="s">
        <v>68</v>
      </c>
      <c r="B60" s="10"/>
      <c r="C60" s="10"/>
      <c r="D60" s="10"/>
      <c r="E60" s="10"/>
      <c r="F60" s="10"/>
      <c r="G60" s="61"/>
      <c r="H60" s="62" t="s">
        <v>69</v>
      </c>
      <c r="I60" s="62" t="s">
        <v>70</v>
      </c>
      <c r="J60" s="63" t="s">
        <v>71</v>
      </c>
      <c r="K60" s="8"/>
    </row>
    <row r="61" spans="1:14">
      <c r="A61" s="34" t="s">
        <v>110</v>
      </c>
      <c r="B61" s="64"/>
      <c r="C61" s="459">
        <v>0</v>
      </c>
      <c r="D61" s="3"/>
      <c r="E61" s="3"/>
      <c r="F61" s="3"/>
      <c r="G61" s="24"/>
      <c r="H61" s="31"/>
      <c r="I61" s="23">
        <f>C61*D$8</f>
        <v>0</v>
      </c>
      <c r="J61" s="65">
        <f>I61*F$8</f>
        <v>0</v>
      </c>
      <c r="K61" s="8"/>
    </row>
    <row r="62" spans="1:14">
      <c r="A62" s="34" t="s">
        <v>111</v>
      </c>
      <c r="B62" s="64"/>
      <c r="C62" s="3"/>
      <c r="D62" s="3"/>
      <c r="E62" s="3"/>
      <c r="F62" s="3"/>
      <c r="G62" s="24"/>
      <c r="H62" s="31"/>
      <c r="I62" s="357">
        <v>0</v>
      </c>
      <c r="J62" s="65">
        <f>I62*F$8</f>
        <v>0</v>
      </c>
      <c r="K62" s="8"/>
    </row>
    <row r="63" spans="1:14">
      <c r="A63" s="98" t="s">
        <v>112</v>
      </c>
      <c r="B63" s="67"/>
      <c r="C63" s="369">
        <v>0</v>
      </c>
      <c r="D63" s="3"/>
      <c r="E63" s="3"/>
      <c r="F63" s="3"/>
      <c r="G63" s="68"/>
      <c r="H63" s="69"/>
      <c r="I63" s="70">
        <f>C63*D$8</f>
        <v>0</v>
      </c>
      <c r="J63" s="71">
        <f>I63*F$8</f>
        <v>0</v>
      </c>
      <c r="K63" s="95"/>
    </row>
    <row r="64" spans="1:14" ht="16.5" thickBot="1">
      <c r="A64" s="99" t="s">
        <v>113</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-268.6509733333333</v>
      </c>
      <c r="I65" s="388">
        <f>I64-I55</f>
        <v>-525.89697333333334</v>
      </c>
      <c r="J65" s="389">
        <f>J64-J57</f>
        <v>-262948.48666666669</v>
      </c>
      <c r="K65" s="8"/>
    </row>
    <row r="66" spans="1:11">
      <c r="A66" s="28" t="s">
        <v>77</v>
      </c>
      <c r="B66" s="2"/>
      <c r="C66" s="3"/>
      <c r="D66" s="3"/>
      <c r="E66" s="3"/>
      <c r="F66" s="3"/>
      <c r="G66" s="3"/>
      <c r="H66" s="3"/>
      <c r="I66" s="3"/>
      <c r="J66" s="3"/>
      <c r="K66" s="8"/>
    </row>
    <row r="67" spans="1:11">
      <c r="A67" s="82" t="s">
        <v>78</v>
      </c>
      <c r="B67" s="2"/>
      <c r="C67" s="3"/>
      <c r="D67" s="3"/>
      <c r="E67" s="3"/>
      <c r="F67" s="3"/>
      <c r="G67" s="3"/>
      <c r="H67" s="3"/>
      <c r="I67" s="3"/>
      <c r="J67" s="3"/>
      <c r="K67" s="8"/>
    </row>
    <row r="68" spans="1:11">
      <c r="A68" s="84" t="s">
        <v>80</v>
      </c>
      <c r="B68" s="2"/>
      <c r="C68" s="3"/>
      <c r="D68" s="3"/>
      <c r="E68" s="3"/>
      <c r="F68" s="3"/>
      <c r="G68" s="3"/>
      <c r="H68" s="3"/>
      <c r="I68" s="3"/>
      <c r="J68" s="3"/>
      <c r="K68" s="8"/>
    </row>
    <row r="69" spans="1:11">
      <c r="A69" s="85" t="s">
        <v>81</v>
      </c>
      <c r="B69" s="2"/>
      <c r="C69" s="3"/>
      <c r="D69" s="3"/>
      <c r="E69" s="3"/>
      <c r="F69" s="3"/>
      <c r="G69" s="3"/>
      <c r="H69" s="3"/>
      <c r="I69" s="3"/>
      <c r="J69" s="3"/>
      <c r="K69" s="8"/>
    </row>
    <row r="70" spans="1:11">
      <c r="A70" s="8" t="s">
        <v>82</v>
      </c>
      <c r="B70" s="2"/>
      <c r="C70" s="2"/>
      <c r="D70" s="2"/>
      <c r="E70" s="2"/>
      <c r="F70" s="2"/>
      <c r="G70" s="3"/>
      <c r="H70" s="3"/>
      <c r="I70" s="3"/>
      <c r="J70" s="3"/>
      <c r="K70" s="8"/>
    </row>
    <row r="71" spans="1:11">
      <c r="A71" s="84" t="s">
        <v>83</v>
      </c>
      <c r="B71" s="3"/>
      <c r="C71" s="3"/>
      <c r="D71" s="3"/>
      <c r="E71" s="3"/>
      <c r="F71" s="3"/>
      <c r="G71" s="3"/>
      <c r="H71" s="3"/>
      <c r="I71" s="3"/>
      <c r="J71" s="3"/>
      <c r="K71" s="8"/>
    </row>
    <row r="72" spans="1:11">
      <c r="A72" s="6" t="s">
        <v>84</v>
      </c>
      <c r="B72" s="3"/>
      <c r="C72" s="3"/>
      <c r="D72" s="3"/>
      <c r="E72" s="3"/>
      <c r="F72" s="3"/>
      <c r="G72" s="3"/>
      <c r="H72" s="3"/>
      <c r="I72" s="3"/>
      <c r="J72" s="3"/>
      <c r="K72" s="8"/>
    </row>
    <row r="73" spans="1:11">
      <c r="A73" s="86">
        <f ca="1">TODAY()</f>
        <v>45707</v>
      </c>
      <c r="B73" s="3"/>
      <c r="C73" s="3"/>
      <c r="D73" s="3"/>
      <c r="E73" s="3"/>
      <c r="F73" s="3"/>
      <c r="G73" s="3"/>
      <c r="H73" s="3"/>
      <c r="I73" s="3"/>
      <c r="J73" s="3"/>
      <c r="K73" s="8"/>
    </row>
    <row r="74" spans="1:11">
      <c r="A74" s="100"/>
      <c r="B74" s="3"/>
      <c r="C74" s="3"/>
      <c r="D74" s="3"/>
      <c r="E74" s="3"/>
      <c r="F74" s="3"/>
      <c r="G74" s="3"/>
      <c r="H74" s="3"/>
      <c r="I74" s="3"/>
      <c r="J74" s="3"/>
      <c r="K74" s="8"/>
    </row>
    <row r="75" spans="1:11">
      <c r="A75" s="83" t="s">
        <v>114</v>
      </c>
      <c r="B75" s="3"/>
      <c r="C75" s="3"/>
      <c r="D75" s="3"/>
      <c r="E75" s="3"/>
      <c r="F75" s="3"/>
      <c r="G75" s="3"/>
      <c r="H75" s="3"/>
      <c r="I75" s="3"/>
      <c r="J75" s="3"/>
      <c r="K75" s="8"/>
    </row>
    <row r="76" spans="1:11">
      <c r="A76" s="8"/>
      <c r="B76" s="3"/>
      <c r="C76" s="3"/>
      <c r="D76" s="3"/>
      <c r="E76" s="3"/>
      <c r="F76" s="3"/>
      <c r="G76" s="3"/>
      <c r="H76" s="3"/>
      <c r="I76" s="3"/>
      <c r="J76" s="3"/>
      <c r="K76" s="8"/>
    </row>
    <row r="79" spans="1:11">
      <c r="A79" s="347" t="s">
        <v>536</v>
      </c>
    </row>
    <row r="80" spans="1:11">
      <c r="A80" s="142" t="s">
        <v>535</v>
      </c>
    </row>
    <row r="82" spans="1:1" ht="20.25">
      <c r="A82" s="234" t="s">
        <v>534</v>
      </c>
    </row>
    <row r="83" spans="1:1">
      <c r="A83" s="233" t="s">
        <v>303</v>
      </c>
    </row>
  </sheetData>
  <mergeCells count="2">
    <mergeCell ref="E51:F52"/>
    <mergeCell ref="L6:M7"/>
  </mergeCells>
  <hyperlinks>
    <hyperlink ref="A63" r:id="rId1" display="    Expected LDP rate" xr:uid="{2D00E44A-769B-4441-9ABB-62E93A5ED782}"/>
    <hyperlink ref="A68" r:id="rId2" display="Visit the CME Group website for price information, https://www.cmegroup.com/. " xr:uid="{261D12B0-D732-A64D-AA66-7D4CD07AA4B3}"/>
    <hyperlink ref="A69" r:id="rId3" xr:uid="{89A9391A-F29E-3D46-AF2D-5E13E39B4180}"/>
    <hyperlink ref="A3" r:id="rId4" display="The Estimated Costs of Crop Production publication has more information " xr:uid="{813457D8-F137-C744-A49F-5EC4550255EA}"/>
    <hyperlink ref="A71" r:id="rId5" xr:uid="{48FF5488-53C0-6445-B625-9D19822DD393}"/>
    <hyperlink ref="A75" r:id="rId6" display="https://www.extension.iastate.edu/legal" xr:uid="{AB2B17CD-D279-5740-8C20-3E2B07C4FD32}"/>
    <hyperlink ref="A83" r:id="rId7" xr:uid="{5A4D60D5-1D44-E34F-9615-E7E424081014}"/>
    <hyperlink ref="L6:M7" location="'Instructions &amp; summary data'!A1" display="Return to instructions page" xr:uid="{8413DB6A-378B-F546-8F7D-9040B541A9FE}"/>
  </hyperlinks>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85D2-4508-AB43-8469-AEFED875E4CE}">
  <dimension ref="A1:O91"/>
  <sheetViews>
    <sheetView workbookViewId="0">
      <selection activeCell="L6" sqref="L6:M7"/>
    </sheetView>
  </sheetViews>
  <sheetFormatPr defaultColWidth="11" defaultRowHeight="15.75"/>
  <cols>
    <col min="8" max="8" width="11.5" bestFit="1" customWidth="1"/>
    <col min="10" max="10" width="14.875" customWidth="1"/>
  </cols>
  <sheetData>
    <row r="1" spans="1:13" ht="21" thickBot="1">
      <c r="A1" s="93" t="s">
        <v>99</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100</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91" t="s">
        <v>549</v>
      </c>
      <c r="M6" s="491"/>
    </row>
    <row r="7" spans="1:13">
      <c r="A7" s="9" t="s">
        <v>3</v>
      </c>
      <c r="B7" s="10"/>
      <c r="C7" s="10"/>
      <c r="D7" s="11" t="s">
        <v>4</v>
      </c>
      <c r="E7" s="12"/>
      <c r="F7" s="11" t="s">
        <v>5</v>
      </c>
      <c r="G7" s="10"/>
      <c r="H7" s="10"/>
      <c r="I7" s="10"/>
      <c r="J7" s="10"/>
      <c r="K7" s="8"/>
      <c r="L7" s="492"/>
      <c r="M7" s="492"/>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16</v>
      </c>
      <c r="B12" s="3"/>
      <c r="C12" s="3"/>
      <c r="D12" s="3"/>
      <c r="E12" s="3"/>
      <c r="F12" s="3"/>
      <c r="G12" s="357">
        <v>8.1</v>
      </c>
      <c r="H12" s="357">
        <v>4.5</v>
      </c>
      <c r="I12" s="23">
        <f t="shared" ref="I12:I18" si="0">G12+H12</f>
        <v>12.6</v>
      </c>
      <c r="J12" s="24">
        <f t="shared" ref="J12:J19" si="1">$F$8*I12</f>
        <v>6300</v>
      </c>
      <c r="K12" s="8"/>
    </row>
    <row r="13" spans="1:13">
      <c r="A13" s="353" t="s">
        <v>101</v>
      </c>
      <c r="B13" s="3"/>
      <c r="C13" s="3"/>
      <c r="D13" s="3"/>
      <c r="E13" s="3"/>
      <c r="F13" s="3"/>
      <c r="G13" s="357">
        <v>8</v>
      </c>
      <c r="H13" s="357">
        <v>5.2</v>
      </c>
      <c r="I13" s="23">
        <f t="shared" si="0"/>
        <v>13.2</v>
      </c>
      <c r="J13" s="24">
        <f t="shared" si="1"/>
        <v>6600</v>
      </c>
      <c r="K13" s="8"/>
    </row>
    <row r="14" spans="1:13">
      <c r="A14" s="353" t="s">
        <v>20</v>
      </c>
      <c r="B14" s="3"/>
      <c r="C14" s="3"/>
      <c r="D14" s="3"/>
      <c r="E14" s="3"/>
      <c r="F14" s="3"/>
      <c r="G14" s="357">
        <v>4</v>
      </c>
      <c r="H14" s="357">
        <v>2.5</v>
      </c>
      <c r="I14" s="23">
        <f t="shared" si="0"/>
        <v>6.5</v>
      </c>
      <c r="J14" s="24">
        <f t="shared" si="1"/>
        <v>3250</v>
      </c>
      <c r="K14" s="8"/>
    </row>
    <row r="15" spans="1:13">
      <c r="A15" s="353" t="s">
        <v>20</v>
      </c>
      <c r="B15" s="3"/>
      <c r="C15" s="3"/>
      <c r="D15" s="3"/>
      <c r="E15" s="3"/>
      <c r="F15" s="3"/>
      <c r="G15" s="357">
        <v>4</v>
      </c>
      <c r="H15" s="357">
        <v>2.5</v>
      </c>
      <c r="I15" s="23">
        <f t="shared" si="0"/>
        <v>6.5</v>
      </c>
      <c r="J15" s="24">
        <f t="shared" si="1"/>
        <v>3250</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24.1</v>
      </c>
      <c r="H19" s="23">
        <f>SUM(H12:H18)</f>
        <v>14.7</v>
      </c>
      <c r="I19" s="29">
        <f>SUM(I12:I18)</f>
        <v>38.799999999999997</v>
      </c>
      <c r="J19" s="30">
        <f t="shared" si="1"/>
        <v>19400</v>
      </c>
      <c r="K19" s="8"/>
    </row>
    <row r="20" spans="1:11">
      <c r="A20" s="28" t="s">
        <v>24</v>
      </c>
      <c r="B20" s="2"/>
      <c r="C20" s="3"/>
      <c r="D20" s="3"/>
      <c r="E20" s="3"/>
      <c r="F20" s="3"/>
      <c r="G20" s="24">
        <f>$F$8*G19</f>
        <v>12050</v>
      </c>
      <c r="H20" s="24">
        <f>$F$8*H19</f>
        <v>7350</v>
      </c>
      <c r="I20" s="30">
        <f>$F$8*I19</f>
        <v>19400</v>
      </c>
      <c r="J20" s="31" t="s">
        <v>87</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500 Acres</v>
      </c>
      <c r="K23" s="8"/>
    </row>
    <row r="24" spans="1:11">
      <c r="A24" s="34" t="s">
        <v>28</v>
      </c>
      <c r="B24" s="3"/>
      <c r="C24" s="360">
        <v>62.9</v>
      </c>
      <c r="D24" s="35" t="s">
        <v>102</v>
      </c>
      <c r="E24" s="377">
        <f>160000/140000</f>
        <v>1.1428571428571428</v>
      </c>
      <c r="F24" s="36" t="s">
        <v>103</v>
      </c>
      <c r="G24" s="31"/>
      <c r="H24" s="23">
        <f>C24*E24</f>
        <v>71.885714285714286</v>
      </c>
      <c r="I24" s="23">
        <f t="shared" ref="I24:I31" si="2">H24</f>
        <v>71.885714285714286</v>
      </c>
      <c r="J24" s="24">
        <f t="shared" ref="J24:J31" si="3">$F$8*I24</f>
        <v>35942.857142857145</v>
      </c>
      <c r="K24" s="8"/>
    </row>
    <row r="25" spans="1:11">
      <c r="A25" s="34" t="s">
        <v>34</v>
      </c>
      <c r="B25" s="3"/>
      <c r="C25" s="361">
        <v>0.57999999999999996</v>
      </c>
      <c r="D25" s="35" t="s">
        <v>32</v>
      </c>
      <c r="E25" s="364">
        <v>48</v>
      </c>
      <c r="F25" s="36" t="s">
        <v>33</v>
      </c>
      <c r="G25" s="31"/>
      <c r="H25" s="23">
        <f>C25*E25</f>
        <v>27.839999999999996</v>
      </c>
      <c r="I25" s="23">
        <f t="shared" si="2"/>
        <v>27.839999999999996</v>
      </c>
      <c r="J25" s="24">
        <f t="shared" si="3"/>
        <v>13919.999999999998</v>
      </c>
      <c r="K25" s="8"/>
    </row>
    <row r="26" spans="1:11">
      <c r="A26" s="34" t="s">
        <v>35</v>
      </c>
      <c r="B26" s="3"/>
      <c r="C26" s="361">
        <v>0.36</v>
      </c>
      <c r="D26" s="35" t="s">
        <v>32</v>
      </c>
      <c r="E26" s="364">
        <v>90</v>
      </c>
      <c r="F26" s="36" t="s">
        <v>33</v>
      </c>
      <c r="G26" s="31"/>
      <c r="H26" s="23">
        <f>C26*E26</f>
        <v>32.4</v>
      </c>
      <c r="I26" s="23">
        <f t="shared" si="2"/>
        <v>32.4</v>
      </c>
      <c r="J26" s="24">
        <f t="shared" si="3"/>
        <v>16200</v>
      </c>
      <c r="K26" s="8"/>
    </row>
    <row r="27" spans="1:11">
      <c r="A27" s="34" t="s">
        <v>36</v>
      </c>
      <c r="B27" s="3"/>
      <c r="C27" s="3"/>
      <c r="D27" s="35"/>
      <c r="E27" s="3"/>
      <c r="F27" s="36"/>
      <c r="G27" s="31"/>
      <c r="H27" s="357">
        <v>6.41</v>
      </c>
      <c r="I27" s="23">
        <f t="shared" si="2"/>
        <v>6.41</v>
      </c>
      <c r="J27" s="24">
        <f t="shared" si="3"/>
        <v>3205</v>
      </c>
      <c r="K27" s="8"/>
    </row>
    <row r="28" spans="1:11">
      <c r="A28" s="34" t="s">
        <v>37</v>
      </c>
      <c r="B28" s="3"/>
      <c r="C28" s="3"/>
      <c r="D28" s="35"/>
      <c r="E28" s="3"/>
      <c r="F28" s="36"/>
      <c r="G28" s="31"/>
      <c r="H28" s="357">
        <v>77</v>
      </c>
      <c r="I28" s="23">
        <f t="shared" si="2"/>
        <v>77</v>
      </c>
      <c r="J28" s="24">
        <f t="shared" si="3"/>
        <v>38500</v>
      </c>
      <c r="K28" s="8"/>
    </row>
    <row r="29" spans="1:11">
      <c r="A29" s="34" t="s">
        <v>39</v>
      </c>
      <c r="B29" s="3"/>
      <c r="C29" s="3"/>
      <c r="D29" s="35"/>
      <c r="E29" s="3"/>
      <c r="F29" s="36"/>
      <c r="G29" s="31"/>
      <c r="H29" s="357">
        <v>10.4</v>
      </c>
      <c r="I29" s="23">
        <f t="shared" si="2"/>
        <v>10.4</v>
      </c>
      <c r="J29" s="24">
        <f t="shared" si="3"/>
        <v>5200</v>
      </c>
      <c r="K29" s="8"/>
    </row>
    <row r="30" spans="1:11">
      <c r="A30" s="34" t="s">
        <v>40</v>
      </c>
      <c r="B30" s="3"/>
      <c r="C30" s="3"/>
      <c r="D30" s="35"/>
      <c r="E30" s="3"/>
      <c r="F30" s="36"/>
      <c r="G30" s="31"/>
      <c r="H30" s="357">
        <v>12.9</v>
      </c>
      <c r="I30" s="23">
        <f t="shared" si="2"/>
        <v>12.9</v>
      </c>
      <c r="J30" s="24">
        <f t="shared" si="3"/>
        <v>6450</v>
      </c>
      <c r="K30" s="8"/>
    </row>
    <row r="31" spans="1:11">
      <c r="A31" s="37" t="s">
        <v>41</v>
      </c>
      <c r="B31" s="25"/>
      <c r="C31" s="365">
        <v>8</v>
      </c>
      <c r="D31" s="38" t="s">
        <v>42</v>
      </c>
      <c r="E31" s="366">
        <v>8.1199999999999994E-2</v>
      </c>
      <c r="F31" s="39" t="s">
        <v>43</v>
      </c>
      <c r="G31" s="40"/>
      <c r="H31" s="41">
        <f>(SUM(H24:H30)+H19)*C31*E31/12</f>
        <v>13.724733333333333</v>
      </c>
      <c r="I31" s="26">
        <f t="shared" si="2"/>
        <v>13.724733333333333</v>
      </c>
      <c r="J31" s="27">
        <f t="shared" si="3"/>
        <v>6862.3666666666668</v>
      </c>
      <c r="K31" s="8"/>
    </row>
    <row r="32" spans="1:11">
      <c r="A32" s="28" t="s">
        <v>58</v>
      </c>
      <c r="B32" s="2"/>
      <c r="C32" s="3"/>
      <c r="D32" s="3"/>
      <c r="E32" s="3"/>
      <c r="F32" s="3"/>
      <c r="G32" s="31"/>
      <c r="H32" s="23">
        <f>SUM(H24:H31)</f>
        <v>252.56044761904764</v>
      </c>
      <c r="I32" s="29">
        <f>SUM(I24:I31)</f>
        <v>252.56044761904764</v>
      </c>
      <c r="J32" s="30">
        <f>SUM(J24:J31)</f>
        <v>126280.22380952381</v>
      </c>
      <c r="K32" s="8"/>
    </row>
    <row r="33" spans="1:15">
      <c r="A33" s="8"/>
      <c r="B33" s="3"/>
      <c r="C33" s="3"/>
      <c r="D33" s="3"/>
      <c r="E33" s="3"/>
      <c r="F33" s="3"/>
      <c r="G33" s="3"/>
      <c r="H33" s="3"/>
      <c r="I33" s="3"/>
      <c r="J33" s="24" t="s">
        <v>44</v>
      </c>
      <c r="K33" s="8"/>
    </row>
    <row r="34" spans="1:15">
      <c r="A34" s="9" t="s">
        <v>45</v>
      </c>
      <c r="B34" s="33"/>
      <c r="C34" s="11"/>
      <c r="D34" s="11"/>
      <c r="E34" s="11"/>
      <c r="F34" s="10"/>
      <c r="G34" s="21"/>
      <c r="H34" s="21"/>
      <c r="I34" s="22"/>
      <c r="J34" s="22"/>
      <c r="K34" s="8"/>
    </row>
    <row r="35" spans="1:15">
      <c r="A35" s="367" t="s">
        <v>46</v>
      </c>
      <c r="B35" s="3"/>
      <c r="C35" s="3"/>
      <c r="D35" s="3"/>
      <c r="E35" s="3"/>
      <c r="F35" s="3"/>
      <c r="G35" s="356">
        <v>14.7</v>
      </c>
      <c r="H35" s="356">
        <v>5.3</v>
      </c>
      <c r="I35" s="23">
        <f t="shared" ref="I35:I39" si="4">SUM(G35:H35)</f>
        <v>20</v>
      </c>
      <c r="J35" s="24">
        <f>$F$8*I35</f>
        <v>10000</v>
      </c>
      <c r="K35" s="8"/>
    </row>
    <row r="36" spans="1:15">
      <c r="A36" s="368" t="s">
        <v>47</v>
      </c>
      <c r="B36" s="3"/>
      <c r="C36" s="3"/>
      <c r="D36" s="3"/>
      <c r="E36" s="3"/>
      <c r="F36" s="3"/>
      <c r="G36" s="357">
        <v>11.1</v>
      </c>
      <c r="H36" s="357">
        <v>3.8</v>
      </c>
      <c r="I36" s="23">
        <f t="shared" si="4"/>
        <v>14.899999999999999</v>
      </c>
      <c r="J36" s="24">
        <f>$F$8*I36</f>
        <v>7449.9999999999991</v>
      </c>
      <c r="K36" s="8"/>
    </row>
    <row r="37" spans="1:15">
      <c r="A37" s="43" t="s">
        <v>48</v>
      </c>
      <c r="B37" s="3"/>
      <c r="C37" s="361">
        <v>7.6999999999999999E-2</v>
      </c>
      <c r="D37" s="36" t="s">
        <v>49</v>
      </c>
      <c r="E37" s="361">
        <v>4.8000000000000001E-2</v>
      </c>
      <c r="F37" s="36" t="s">
        <v>50</v>
      </c>
      <c r="G37" s="23">
        <f>C37*D8</f>
        <v>4.62</v>
      </c>
      <c r="H37" s="23">
        <f>E37*D8</f>
        <v>2.88</v>
      </c>
      <c r="I37" s="23">
        <f t="shared" si="4"/>
        <v>7.5</v>
      </c>
      <c r="J37" s="24">
        <f>$F$8*I37</f>
        <v>3750</v>
      </c>
      <c r="K37" s="8"/>
    </row>
    <row r="38" spans="1:15">
      <c r="A38" s="43" t="s">
        <v>52</v>
      </c>
      <c r="B38" s="3"/>
      <c r="C38" s="361">
        <v>3.1600000000000003E-2</v>
      </c>
      <c r="D38" s="36" t="s">
        <v>49</v>
      </c>
      <c r="E38" s="361">
        <v>2.53E-2</v>
      </c>
      <c r="F38" s="36" t="s">
        <v>50</v>
      </c>
      <c r="G38" s="23">
        <f>C38*D8</f>
        <v>1.8960000000000001</v>
      </c>
      <c r="H38" s="23">
        <f>E38*D8</f>
        <v>1.518</v>
      </c>
      <c r="I38" s="23">
        <f t="shared" si="4"/>
        <v>3.4140000000000001</v>
      </c>
      <c r="J38" s="24">
        <f>I38*$F$8</f>
        <v>1707</v>
      </c>
      <c r="K38" s="8"/>
    </row>
    <row r="39" spans="1:15">
      <c r="A39" s="368" t="s">
        <v>21</v>
      </c>
      <c r="B39" s="25"/>
      <c r="C39" s="25"/>
      <c r="D39" s="25"/>
      <c r="E39" s="25"/>
      <c r="F39" s="25"/>
      <c r="G39" s="357">
        <v>0</v>
      </c>
      <c r="H39" s="357">
        <v>0</v>
      </c>
      <c r="I39" s="26">
        <f t="shared" si="4"/>
        <v>0</v>
      </c>
      <c r="J39" s="27">
        <f>$F$8*I39</f>
        <v>0</v>
      </c>
      <c r="K39" s="8"/>
    </row>
    <row r="40" spans="1:15">
      <c r="A40" s="28" t="s">
        <v>23</v>
      </c>
      <c r="B40" s="2"/>
      <c r="C40" s="3"/>
      <c r="D40" s="3"/>
      <c r="E40" s="3"/>
      <c r="F40" s="3"/>
      <c r="G40" s="23">
        <f>SUM(G35:G39)</f>
        <v>32.315999999999995</v>
      </c>
      <c r="H40" s="23">
        <f>SUM(H35:H39)</f>
        <v>13.498000000000001</v>
      </c>
      <c r="I40" s="29">
        <f>SUM(I35:I39)</f>
        <v>45.814</v>
      </c>
      <c r="J40" s="3"/>
      <c r="K40" s="8"/>
    </row>
    <row r="41" spans="1:15">
      <c r="A41" s="28" t="s">
        <v>24</v>
      </c>
      <c r="B41" s="2"/>
      <c r="C41" s="3"/>
      <c r="D41" s="3"/>
      <c r="E41" s="3"/>
      <c r="F41" s="3"/>
      <c r="G41" s="24">
        <f>$F$8*G40</f>
        <v>16157.999999999998</v>
      </c>
      <c r="H41" s="24">
        <f>$F$8*H40</f>
        <v>6749.0000000000009</v>
      </c>
      <c r="I41" s="30"/>
      <c r="J41" s="30">
        <f>SUM(J35:J39)</f>
        <v>22907</v>
      </c>
      <c r="K41" s="8"/>
    </row>
    <row r="42" spans="1:15">
      <c r="A42" s="8"/>
      <c r="B42" s="3"/>
      <c r="C42" s="3"/>
      <c r="D42" s="3"/>
      <c r="E42" s="3"/>
      <c r="F42" s="3"/>
      <c r="G42" s="3"/>
      <c r="H42" s="3"/>
      <c r="I42" s="3"/>
      <c r="J42" s="24"/>
      <c r="K42" s="8"/>
    </row>
    <row r="43" spans="1:15">
      <c r="A43" s="9" t="s">
        <v>53</v>
      </c>
      <c r="B43" s="33"/>
      <c r="C43" s="11" t="s">
        <v>54</v>
      </c>
      <c r="D43" s="11"/>
      <c r="E43" s="11" t="s">
        <v>55</v>
      </c>
      <c r="F43" s="10"/>
      <c r="G43" s="21"/>
      <c r="H43" s="21"/>
      <c r="I43" s="22"/>
      <c r="J43" s="22"/>
      <c r="K43" s="8"/>
    </row>
    <row r="44" spans="1:15">
      <c r="A44" s="34" t="s">
        <v>104</v>
      </c>
      <c r="B44" s="2"/>
      <c r="C44" s="361">
        <v>20.149999999999999</v>
      </c>
      <c r="D44" s="3"/>
      <c r="E44" s="365">
        <v>1.7</v>
      </c>
      <c r="F44" s="44"/>
      <c r="G44" s="45">
        <f>E44*C44</f>
        <v>34.254999999999995</v>
      </c>
      <c r="H44" s="31"/>
      <c r="I44" s="23">
        <f>G44</f>
        <v>34.254999999999995</v>
      </c>
      <c r="J44" s="24">
        <f>$F$8*I44</f>
        <v>17127.499999999996</v>
      </c>
      <c r="K44" s="8"/>
    </row>
    <row r="45" spans="1:15">
      <c r="A45" s="37" t="s">
        <v>105</v>
      </c>
      <c r="B45" s="47"/>
      <c r="C45" s="361">
        <v>0</v>
      </c>
      <c r="D45" s="25"/>
      <c r="E45" s="365">
        <v>0</v>
      </c>
      <c r="F45" s="47"/>
      <c r="G45" s="40"/>
      <c r="H45" s="26">
        <f>E45*C45</f>
        <v>0</v>
      </c>
      <c r="I45" s="26">
        <f>H45</f>
        <v>0</v>
      </c>
      <c r="J45" s="27">
        <f>$F$8*I45</f>
        <v>0</v>
      </c>
      <c r="K45" s="8"/>
    </row>
    <row r="46" spans="1:15">
      <c r="A46" s="28" t="s">
        <v>58</v>
      </c>
      <c r="B46" s="44"/>
      <c r="C46" s="48"/>
      <c r="D46" s="48"/>
      <c r="E46" s="48"/>
      <c r="F46" s="48"/>
      <c r="G46" s="23">
        <f>G44</f>
        <v>34.254999999999995</v>
      </c>
      <c r="H46" s="23">
        <f>H45</f>
        <v>0</v>
      </c>
      <c r="I46" s="29">
        <f>I44+I45</f>
        <v>34.254999999999995</v>
      </c>
      <c r="J46" s="30">
        <f>J44+J45</f>
        <v>17127.499999999996</v>
      </c>
      <c r="K46" s="8"/>
    </row>
    <row r="47" spans="1:15">
      <c r="A47" s="49"/>
      <c r="B47" s="44"/>
      <c r="C47" s="48"/>
      <c r="D47" s="48"/>
      <c r="E47" s="48"/>
      <c r="F47" s="48"/>
      <c r="G47" s="3"/>
      <c r="H47" s="3"/>
      <c r="I47" s="3"/>
      <c r="J47" s="24"/>
      <c r="K47" s="8"/>
    </row>
    <row r="48" spans="1:15">
      <c r="A48" s="9" t="s">
        <v>59</v>
      </c>
      <c r="B48" s="33"/>
      <c r="C48" s="11"/>
      <c r="D48" s="11"/>
      <c r="E48" s="11"/>
      <c r="F48" s="10"/>
      <c r="G48" s="21"/>
      <c r="H48" s="21"/>
      <c r="I48" s="22"/>
      <c r="J48" s="22" t="s">
        <v>44</v>
      </c>
      <c r="K48" s="8"/>
      <c r="O48" s="376"/>
    </row>
    <row r="49" spans="1:11">
      <c r="A49" s="34" t="s">
        <v>106</v>
      </c>
      <c r="B49" s="3"/>
      <c r="C49" s="3"/>
      <c r="D49" s="3"/>
      <c r="E49" s="489" t="s">
        <v>472</v>
      </c>
      <c r="F49" s="489"/>
      <c r="G49" s="375">
        <v>143</v>
      </c>
      <c r="H49" s="31"/>
      <c r="I49" s="29">
        <f>G49</f>
        <v>143</v>
      </c>
      <c r="J49" s="30">
        <f>$F$8*I49</f>
        <v>71500</v>
      </c>
      <c r="K49" s="8"/>
    </row>
    <row r="50" spans="1:11">
      <c r="A50" s="8"/>
      <c r="B50" s="3"/>
      <c r="C50" s="3"/>
      <c r="D50" s="3"/>
      <c r="E50" s="490"/>
      <c r="F50" s="490"/>
      <c r="G50" s="3"/>
      <c r="H50" s="3"/>
      <c r="I50" s="3"/>
      <c r="J50" s="24" t="s">
        <v>44</v>
      </c>
      <c r="K50" s="8"/>
    </row>
    <row r="51" spans="1:11">
      <c r="A51" s="32"/>
      <c r="B51" s="17"/>
      <c r="C51" s="17"/>
      <c r="D51" s="17"/>
      <c r="E51" s="17"/>
      <c r="F51" s="17"/>
      <c r="G51" s="18" t="s">
        <v>8</v>
      </c>
      <c r="H51" s="19"/>
      <c r="I51" s="19" t="s">
        <v>9</v>
      </c>
      <c r="J51" s="20" t="s">
        <v>10</v>
      </c>
      <c r="K51" s="8"/>
    </row>
    <row r="52" spans="1:11">
      <c r="A52" s="9" t="s">
        <v>61</v>
      </c>
      <c r="B52" s="33"/>
      <c r="C52" s="11"/>
      <c r="D52" s="11"/>
      <c r="E52" s="11"/>
      <c r="F52" s="10"/>
      <c r="G52" s="21" t="s">
        <v>12</v>
      </c>
      <c r="H52" s="21" t="s">
        <v>13</v>
      </c>
      <c r="I52" s="22" t="s">
        <v>14</v>
      </c>
      <c r="J52" s="22" t="str">
        <f>F8&amp;" Acres"&amp;""</f>
        <v>500 Acres</v>
      </c>
      <c r="K52" s="8"/>
    </row>
    <row r="53" spans="1:11">
      <c r="A53" s="34" t="s">
        <v>107</v>
      </c>
      <c r="B53" s="3"/>
      <c r="C53" s="3"/>
      <c r="D53" s="3"/>
      <c r="E53" s="3"/>
      <c r="F53" s="3"/>
      <c r="G53" s="23">
        <f>G19+G40+G46+G49</f>
        <v>233.67099999999999</v>
      </c>
      <c r="H53" s="23">
        <f>H19+H32+H40+H46</f>
        <v>280.75844761904762</v>
      </c>
      <c r="I53" s="29">
        <f>I19+I32+I40+I46+I49</f>
        <v>514.42944761904766</v>
      </c>
      <c r="J53" s="3"/>
      <c r="K53" s="8"/>
    </row>
    <row r="54" spans="1:11" ht="16.5" thickBot="1">
      <c r="A54" s="96" t="s">
        <v>108</v>
      </c>
      <c r="B54" s="51"/>
      <c r="C54" s="51"/>
      <c r="D54" s="51"/>
      <c r="E54" s="51"/>
      <c r="F54" s="51"/>
      <c r="G54" s="52">
        <f>IF($D$8&gt;0,G53/$D$8,0)</f>
        <v>3.8945166666666666</v>
      </c>
      <c r="H54" s="52">
        <f>IF($D$8&gt;0,H53/$D$8,0)</f>
        <v>4.6793074603174603</v>
      </c>
      <c r="I54" s="52">
        <f>IF($D$8&gt;0,I53/$D$8,0)</f>
        <v>8.5738241269841282</v>
      </c>
      <c r="J54" s="53"/>
      <c r="K54" s="8"/>
    </row>
    <row r="55" spans="1:11" ht="16.5" thickTop="1">
      <c r="A55" s="97" t="s">
        <v>109</v>
      </c>
      <c r="B55" s="55"/>
      <c r="C55" s="55"/>
      <c r="D55" s="55"/>
      <c r="E55" s="55"/>
      <c r="F55" s="55"/>
      <c r="G55" s="56">
        <f>$F$8*G53</f>
        <v>116835.5</v>
      </c>
      <c r="H55" s="56">
        <f>$F$8*H53</f>
        <v>140379.2238095238</v>
      </c>
      <c r="I55" s="56"/>
      <c r="J55" s="56">
        <f>J19+J32+J41+J46+J49</f>
        <v>257214.7238095238</v>
      </c>
      <c r="K55" s="8"/>
    </row>
    <row r="56" spans="1:11">
      <c r="A56" s="8"/>
      <c r="B56" s="3"/>
      <c r="C56" s="3"/>
      <c r="D56" s="3"/>
      <c r="E56" s="3"/>
      <c r="F56" s="3"/>
      <c r="G56" s="24"/>
      <c r="H56" s="24"/>
      <c r="I56" s="24"/>
      <c r="J56" s="31"/>
      <c r="K56" s="8"/>
    </row>
    <row r="57" spans="1:11">
      <c r="A57" s="32"/>
      <c r="B57" s="17"/>
      <c r="C57" s="17"/>
      <c r="D57" s="17"/>
      <c r="E57" s="17"/>
      <c r="F57" s="17"/>
      <c r="G57" s="57"/>
      <c r="H57" s="58" t="s">
        <v>65</v>
      </c>
      <c r="I57" s="59" t="s">
        <v>66</v>
      </c>
      <c r="J57" s="60" t="s">
        <v>67</v>
      </c>
      <c r="K57" s="8"/>
    </row>
    <row r="58" spans="1:11">
      <c r="A58" s="9" t="s">
        <v>68</v>
      </c>
      <c r="B58" s="10"/>
      <c r="C58" s="10"/>
      <c r="D58" s="10"/>
      <c r="E58" s="10"/>
      <c r="F58" s="10"/>
      <c r="G58" s="61"/>
      <c r="H58" s="62" t="s">
        <v>69</v>
      </c>
      <c r="I58" s="62" t="s">
        <v>70</v>
      </c>
      <c r="J58" s="63" t="s">
        <v>71</v>
      </c>
      <c r="K58" s="8"/>
    </row>
    <row r="59" spans="1:11">
      <c r="A59" s="34" t="s">
        <v>110</v>
      </c>
      <c r="B59" s="64"/>
      <c r="C59" s="459">
        <v>0</v>
      </c>
      <c r="D59" s="3"/>
      <c r="E59" s="3"/>
      <c r="F59" s="3"/>
      <c r="G59" s="24"/>
      <c r="H59" s="31"/>
      <c r="I59" s="23">
        <f>C59*D$8</f>
        <v>0</v>
      </c>
      <c r="J59" s="65">
        <f>I59*F$8</f>
        <v>0</v>
      </c>
      <c r="K59" s="8"/>
    </row>
    <row r="60" spans="1:11">
      <c r="A60" s="34" t="s">
        <v>111</v>
      </c>
      <c r="B60" s="64"/>
      <c r="C60" s="3"/>
      <c r="D60" s="3"/>
      <c r="E60" s="3"/>
      <c r="F60" s="3"/>
      <c r="G60" s="24"/>
      <c r="H60" s="31"/>
      <c r="I60" s="357">
        <v>0</v>
      </c>
      <c r="J60" s="65">
        <f>I60*F$8</f>
        <v>0</v>
      </c>
      <c r="K60" s="8"/>
    </row>
    <row r="61" spans="1:11">
      <c r="A61" s="98" t="s">
        <v>112</v>
      </c>
      <c r="B61" s="67"/>
      <c r="C61" s="369">
        <v>0</v>
      </c>
      <c r="D61" s="3"/>
      <c r="E61" s="3"/>
      <c r="F61" s="3"/>
      <c r="G61" s="68"/>
      <c r="H61" s="69"/>
      <c r="I61" s="70">
        <f>C61*D$8</f>
        <v>0</v>
      </c>
      <c r="J61" s="71">
        <f>I61*F$8</f>
        <v>0</v>
      </c>
      <c r="K61" s="95"/>
    </row>
    <row r="62" spans="1:11" ht="16.5" thickBot="1">
      <c r="A62" s="99" t="s">
        <v>113</v>
      </c>
      <c r="B62" s="73"/>
      <c r="C62" s="51"/>
      <c r="D62" s="51"/>
      <c r="E62" s="51"/>
      <c r="F62" s="51"/>
      <c r="G62" s="74"/>
      <c r="H62" s="53"/>
      <c r="I62" s="29">
        <f>I59+I60+I61</f>
        <v>0</v>
      </c>
      <c r="J62" s="30">
        <f>J59+J60+J61</f>
        <v>0</v>
      </c>
      <c r="K62" s="8"/>
    </row>
    <row r="63" spans="1:11" ht="17.25" thickTop="1" thickBot="1">
      <c r="A63" s="54" t="s">
        <v>76</v>
      </c>
      <c r="B63" s="77"/>
      <c r="C63" s="78"/>
      <c r="D63" s="78"/>
      <c r="E63" s="78"/>
      <c r="F63" s="78"/>
      <c r="G63" s="79"/>
      <c r="H63" s="201">
        <f>I62-H53</f>
        <v>-280.75844761904762</v>
      </c>
      <c r="I63" s="388">
        <f>I62-I53</f>
        <v>-514.42944761904766</v>
      </c>
      <c r="J63" s="390">
        <f>J62-J55</f>
        <v>-257214.7238095238</v>
      </c>
      <c r="K63" s="8"/>
    </row>
    <row r="65" spans="1:11">
      <c r="A65" s="498" t="s">
        <v>311</v>
      </c>
      <c r="B65" s="498"/>
      <c r="C65" s="498"/>
    </row>
    <row r="66" spans="1:11">
      <c r="A66" s="244"/>
      <c r="B66" s="244"/>
      <c r="C66" s="244" t="s">
        <v>312</v>
      </c>
      <c r="D66" s="245" t="s">
        <v>313</v>
      </c>
      <c r="E66" s="246" t="s">
        <v>318</v>
      </c>
      <c r="F66" s="246" t="s">
        <v>27</v>
      </c>
      <c r="G66" s="495" t="s">
        <v>77</v>
      </c>
      <c r="H66" s="495"/>
      <c r="I66" s="495"/>
    </row>
    <row r="67" spans="1:11">
      <c r="A67" s="235" t="s">
        <v>28</v>
      </c>
      <c r="B67" s="236">
        <v>0</v>
      </c>
      <c r="C67" s="237">
        <v>0.31</v>
      </c>
      <c r="D67" s="238">
        <v>0.44</v>
      </c>
      <c r="E67" s="373">
        <f>0.36*120</f>
        <v>43.199999999999996</v>
      </c>
      <c r="F67" s="239" t="s">
        <v>305</v>
      </c>
      <c r="G67" s="497" t="s">
        <v>306</v>
      </c>
      <c r="H67" s="497"/>
      <c r="I67" s="497"/>
    </row>
    <row r="68" spans="1:11" ht="41.1" customHeight="1">
      <c r="A68" s="235" t="s">
        <v>307</v>
      </c>
      <c r="B68" s="236">
        <v>0</v>
      </c>
      <c r="C68" s="237">
        <v>11</v>
      </c>
      <c r="D68" s="238">
        <v>18</v>
      </c>
      <c r="E68" s="373">
        <v>14.3</v>
      </c>
      <c r="F68" s="239" t="s">
        <v>305</v>
      </c>
      <c r="G68" s="497" t="s">
        <v>308</v>
      </c>
      <c r="H68" s="497"/>
      <c r="I68" s="497"/>
    </row>
    <row r="69" spans="1:11" ht="81" customHeight="1">
      <c r="A69" s="247" t="s">
        <v>309</v>
      </c>
      <c r="B69" s="248">
        <v>0</v>
      </c>
      <c r="C69" s="249" t="s">
        <v>13</v>
      </c>
      <c r="D69" s="249"/>
      <c r="E69" s="374">
        <v>22.83</v>
      </c>
      <c r="F69" s="250" t="s">
        <v>305</v>
      </c>
      <c r="G69" s="496" t="s">
        <v>310</v>
      </c>
      <c r="H69" s="496"/>
      <c r="I69" s="496"/>
    </row>
    <row r="70" spans="1:11">
      <c r="E70" s="169">
        <f>SUM(E67:E69)</f>
        <v>80.33</v>
      </c>
      <c r="F70" s="239" t="s">
        <v>305</v>
      </c>
      <c r="G70" t="s">
        <v>314</v>
      </c>
      <c r="H70" s="169">
        <f>E70*F8</f>
        <v>40165</v>
      </c>
    </row>
    <row r="73" spans="1:11" ht="16.5" thickBot="1"/>
    <row r="74" spans="1:11" ht="16.5" thickBot="1">
      <c r="I74" t="s">
        <v>315</v>
      </c>
      <c r="J74" s="391">
        <f>J63-H70</f>
        <v>-297379.7238095238</v>
      </c>
    </row>
    <row r="75" spans="1:11">
      <c r="A75" s="8"/>
      <c r="B75" s="3"/>
      <c r="C75" s="3"/>
      <c r="D75" s="3"/>
      <c r="E75" s="3"/>
      <c r="F75" s="3"/>
      <c r="G75" s="3"/>
      <c r="H75" s="3"/>
      <c r="I75" s="3"/>
      <c r="J75" s="3"/>
      <c r="K75" s="8"/>
    </row>
    <row r="76" spans="1:11">
      <c r="A76" s="8"/>
      <c r="B76" s="3"/>
      <c r="C76" s="3"/>
      <c r="D76" s="3"/>
      <c r="E76" s="3"/>
      <c r="F76" s="3"/>
      <c r="G76" s="3"/>
      <c r="H76" s="3"/>
      <c r="I76" s="3"/>
      <c r="J76" s="3"/>
      <c r="K76" s="8"/>
    </row>
    <row r="81" spans="1:11">
      <c r="A81" s="28" t="s">
        <v>77</v>
      </c>
      <c r="B81" s="2"/>
      <c r="C81" s="3"/>
      <c r="D81" s="3"/>
      <c r="E81" s="3"/>
      <c r="F81" s="3"/>
      <c r="G81" s="3"/>
      <c r="H81" s="3"/>
      <c r="I81" s="3"/>
      <c r="J81" s="3"/>
      <c r="K81" s="8"/>
    </row>
    <row r="82" spans="1:11">
      <c r="A82" s="82" t="s">
        <v>78</v>
      </c>
      <c r="B82" s="2"/>
      <c r="C82" s="3"/>
      <c r="D82" s="3"/>
      <c r="E82" s="3"/>
      <c r="F82" s="3"/>
      <c r="G82" s="3"/>
      <c r="H82" s="3"/>
      <c r="I82" s="3"/>
      <c r="J82" s="3"/>
      <c r="K82" s="8"/>
    </row>
    <row r="83" spans="1:11">
      <c r="A83" s="84" t="s">
        <v>80</v>
      </c>
      <c r="B83" s="2"/>
      <c r="C83" s="3"/>
      <c r="D83" s="3"/>
      <c r="E83" s="3"/>
      <c r="F83" s="3"/>
      <c r="G83" s="3"/>
      <c r="H83" s="3"/>
      <c r="I83" s="3"/>
      <c r="J83" s="3"/>
      <c r="K83" s="8"/>
    </row>
    <row r="84" spans="1:11">
      <c r="A84" s="85" t="s">
        <v>81</v>
      </c>
      <c r="B84" s="2"/>
      <c r="C84" s="3"/>
      <c r="D84" s="3"/>
      <c r="E84" s="3"/>
      <c r="F84" s="3"/>
      <c r="G84" s="3"/>
      <c r="H84" s="3"/>
      <c r="I84" s="3"/>
      <c r="J84" s="3"/>
      <c r="K84" s="8"/>
    </row>
    <row r="85" spans="1:11">
      <c r="A85" s="8" t="s">
        <v>82</v>
      </c>
      <c r="B85" s="2"/>
      <c r="C85" s="2"/>
      <c r="D85" s="2"/>
      <c r="E85" s="2"/>
      <c r="F85" s="2"/>
      <c r="G85" s="3"/>
      <c r="H85" s="3"/>
      <c r="I85" s="3"/>
      <c r="J85" s="3"/>
      <c r="K85" s="8"/>
    </row>
    <row r="86" spans="1:11">
      <c r="A86" s="84" t="s">
        <v>83</v>
      </c>
      <c r="B86" s="3"/>
      <c r="C86" s="3"/>
      <c r="D86" s="3"/>
      <c r="E86" s="3"/>
      <c r="F86" s="3"/>
      <c r="G86" s="3"/>
      <c r="H86" s="3"/>
      <c r="I86" s="3"/>
      <c r="J86" s="3"/>
      <c r="K86" s="8"/>
    </row>
    <row r="87" spans="1:11">
      <c r="A87" s="6" t="s">
        <v>84</v>
      </c>
      <c r="B87" s="3"/>
      <c r="C87" s="3"/>
      <c r="D87" s="3"/>
      <c r="E87" s="3"/>
      <c r="F87" s="3"/>
      <c r="G87" s="3"/>
      <c r="H87" s="3"/>
      <c r="I87" s="3"/>
      <c r="J87" s="3"/>
      <c r="K87" s="8"/>
    </row>
    <row r="88" spans="1:11">
      <c r="A88" s="86">
        <f ca="1">TODAY()</f>
        <v>45707</v>
      </c>
      <c r="B88" s="3"/>
      <c r="C88" s="3"/>
      <c r="D88" s="3"/>
      <c r="E88" s="3"/>
      <c r="F88" s="3"/>
      <c r="G88" s="3"/>
      <c r="H88" s="3"/>
      <c r="I88" s="3"/>
      <c r="J88" s="3"/>
      <c r="K88" s="8"/>
    </row>
    <row r="89" spans="1:11">
      <c r="A89" s="100"/>
      <c r="B89" s="3"/>
      <c r="C89" s="3"/>
      <c r="D89" s="3"/>
      <c r="E89" s="3"/>
      <c r="F89" s="3"/>
      <c r="G89" s="3"/>
      <c r="H89" s="3"/>
      <c r="I89" s="3"/>
      <c r="J89" s="3"/>
      <c r="K89" s="8"/>
    </row>
    <row r="90" spans="1:11">
      <c r="A90" s="83" t="s">
        <v>114</v>
      </c>
      <c r="B90" s="3"/>
      <c r="C90" s="3"/>
      <c r="D90" s="3"/>
      <c r="E90" s="3"/>
      <c r="F90" s="3"/>
      <c r="G90" s="3"/>
      <c r="H90" s="3"/>
      <c r="I90" s="3"/>
      <c r="J90" s="3"/>
      <c r="K90" s="8"/>
    </row>
    <row r="91" spans="1:11">
      <c r="A91" s="8"/>
      <c r="B91" s="3"/>
      <c r="C91" s="3"/>
      <c r="D91" s="3"/>
      <c r="E91" s="3"/>
      <c r="F91" s="3"/>
      <c r="G91" s="3"/>
      <c r="H91" s="3"/>
      <c r="I91" s="3"/>
      <c r="J91" s="3"/>
      <c r="K91" s="8"/>
    </row>
  </sheetData>
  <mergeCells count="7">
    <mergeCell ref="G68:I68"/>
    <mergeCell ref="G69:I69"/>
    <mergeCell ref="A65:C65"/>
    <mergeCell ref="L6:M7"/>
    <mergeCell ref="E49:F50"/>
    <mergeCell ref="G66:I66"/>
    <mergeCell ref="G67:I67"/>
  </mergeCells>
  <hyperlinks>
    <hyperlink ref="A61" r:id="rId1" display="    Expected LDP rate" xr:uid="{2873C65D-D56A-5245-A0F3-FA91CB8EBE56}"/>
    <hyperlink ref="A83" r:id="rId2" display="Visit the CME Group website for price information, https://www.cmegroup.com/. " xr:uid="{FAEE0C72-5D75-DA41-8F25-BB0E1E1EF078}"/>
    <hyperlink ref="A84" r:id="rId3" xr:uid="{C57A7CA3-E0ED-F649-91E9-E044950979CF}"/>
    <hyperlink ref="A3" r:id="rId4" display="The Estimated Costs of Crop Production publication has more information " xr:uid="{3A044955-B84F-6249-BA56-79FEC595AE66}"/>
    <hyperlink ref="A86" r:id="rId5" xr:uid="{94374ADD-D26A-8F43-A8C7-3620C5028D36}"/>
    <hyperlink ref="A90" r:id="rId6" display="https://www.extension.iastate.edu/legal" xr:uid="{F435273C-8E6B-7942-9F04-1F702733E733}"/>
    <hyperlink ref="L6:M7" location="'Instructions &amp; summary data'!A1" display="Return to instructions page" xr:uid="{83C8413A-FE16-D541-8AEE-B0BDBD57C033}"/>
  </hyperlinks>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57DC-7D68-DE46-98A4-FDAEE91B33A9}">
  <dimension ref="A1:L138"/>
  <sheetViews>
    <sheetView workbookViewId="0">
      <selection activeCell="K5" sqref="K5:L6"/>
    </sheetView>
  </sheetViews>
  <sheetFormatPr defaultColWidth="11" defaultRowHeight="15.75"/>
  <cols>
    <col min="2" max="2" width="17.125" customWidth="1"/>
    <col min="4" max="4" width="15.875" customWidth="1"/>
    <col min="5" max="5" width="16.625" customWidth="1"/>
  </cols>
  <sheetData>
    <row r="1" spans="1:12" ht="21" thickBot="1">
      <c r="A1" s="87" t="s">
        <v>117</v>
      </c>
      <c r="B1" s="92"/>
      <c r="C1" s="92"/>
      <c r="D1" s="92"/>
      <c r="E1" s="92"/>
      <c r="F1" s="92"/>
      <c r="G1" s="92"/>
      <c r="H1" s="92"/>
      <c r="I1" s="92"/>
      <c r="J1" s="92"/>
      <c r="K1" s="94"/>
    </row>
    <row r="2" spans="1:12" ht="16.5" thickTop="1">
      <c r="A2" s="1" t="s">
        <v>0</v>
      </c>
      <c r="B2" s="2"/>
      <c r="C2" s="3"/>
      <c r="D2" s="3"/>
      <c r="E2" s="3"/>
      <c r="F2" s="3"/>
      <c r="G2" s="3"/>
      <c r="H2" s="3"/>
      <c r="I2" s="3"/>
      <c r="J2" s="3"/>
      <c r="K2" s="8"/>
    </row>
    <row r="3" spans="1:12">
      <c r="A3" s="4" t="s">
        <v>118</v>
      </c>
      <c r="B3" s="5"/>
      <c r="C3" s="5"/>
      <c r="D3" s="5"/>
      <c r="E3" s="5"/>
      <c r="F3" s="5"/>
      <c r="G3" s="5"/>
      <c r="H3" s="5"/>
      <c r="I3" s="5"/>
      <c r="J3" s="5"/>
      <c r="K3" s="14"/>
    </row>
    <row r="4" spans="1:12">
      <c r="A4" s="6" t="s">
        <v>119</v>
      </c>
      <c r="B4" s="5"/>
      <c r="C4" s="5"/>
      <c r="D4" s="5"/>
      <c r="E4" s="5"/>
      <c r="F4" s="5"/>
      <c r="G4" s="5"/>
      <c r="H4" s="5"/>
      <c r="I4" s="5"/>
      <c r="J4" s="5"/>
      <c r="K4" s="14"/>
    </row>
    <row r="5" spans="1:12">
      <c r="A5" s="349" t="s">
        <v>2</v>
      </c>
      <c r="B5" s="350"/>
      <c r="C5" s="351"/>
      <c r="D5" s="7"/>
      <c r="E5" s="7"/>
      <c r="F5" s="7"/>
      <c r="G5" s="3"/>
      <c r="H5" s="3"/>
      <c r="I5" s="3"/>
      <c r="J5" s="3"/>
      <c r="K5" s="491" t="s">
        <v>549</v>
      </c>
      <c r="L5" s="491"/>
    </row>
    <row r="6" spans="1:12">
      <c r="A6" s="8"/>
      <c r="B6" s="3"/>
      <c r="C6" s="3"/>
      <c r="D6" s="7"/>
      <c r="E6" s="7"/>
      <c r="F6" s="7"/>
      <c r="G6" s="3"/>
      <c r="H6" s="3"/>
      <c r="I6" s="3"/>
      <c r="J6" s="3"/>
      <c r="K6" s="492"/>
      <c r="L6" s="492"/>
    </row>
    <row r="7" spans="1:12">
      <c r="A7" s="9" t="s">
        <v>3</v>
      </c>
      <c r="B7" s="10"/>
      <c r="C7" s="10"/>
      <c r="D7" s="11" t="s">
        <v>5</v>
      </c>
      <c r="E7" s="10"/>
      <c r="F7" s="10"/>
      <c r="G7" s="10"/>
      <c r="H7" s="10"/>
      <c r="I7" s="10"/>
      <c r="J7" s="10"/>
      <c r="K7" s="8"/>
    </row>
    <row r="8" spans="1:12">
      <c r="A8" s="358" t="s">
        <v>6</v>
      </c>
      <c r="B8" s="359"/>
      <c r="C8" s="352"/>
      <c r="D8" s="91">
        <v>1000</v>
      </c>
      <c r="E8" s="3"/>
      <c r="F8" s="3"/>
      <c r="G8" s="3"/>
      <c r="H8" s="3"/>
      <c r="I8" s="3"/>
      <c r="J8" s="3"/>
      <c r="K8" s="8"/>
    </row>
    <row r="9" spans="1:12">
      <c r="A9" s="101" t="s">
        <v>120</v>
      </c>
      <c r="B9" s="102"/>
      <c r="C9" s="102"/>
      <c r="D9" s="385">
        <v>2.5</v>
      </c>
      <c r="E9" s="3" t="s">
        <v>121</v>
      </c>
      <c r="F9" s="103"/>
      <c r="G9" s="379">
        <v>2</v>
      </c>
      <c r="H9" s="104" t="s">
        <v>122</v>
      </c>
      <c r="I9" s="13"/>
      <c r="J9" s="105" t="s">
        <v>123</v>
      </c>
      <c r="K9" s="8"/>
    </row>
    <row r="10" spans="1:12">
      <c r="A10" s="14"/>
      <c r="B10" s="7"/>
      <c r="C10" s="7"/>
      <c r="D10" s="7"/>
      <c r="E10" s="7"/>
      <c r="F10" s="7"/>
      <c r="G10" s="7"/>
      <c r="H10" s="7"/>
      <c r="I10" s="7"/>
      <c r="J10" s="7"/>
      <c r="K10" s="8"/>
    </row>
    <row r="11" spans="1:12">
      <c r="A11" s="106" t="s">
        <v>124</v>
      </c>
      <c r="B11" s="16"/>
      <c r="C11" s="17"/>
      <c r="D11" s="17"/>
      <c r="E11" s="17"/>
      <c r="F11" s="17"/>
      <c r="G11" s="18" t="s">
        <v>8</v>
      </c>
      <c r="H11" s="19"/>
      <c r="I11" s="19" t="s">
        <v>9</v>
      </c>
      <c r="J11" s="20" t="s">
        <v>10</v>
      </c>
      <c r="K11" s="8"/>
    </row>
    <row r="12" spans="1:12">
      <c r="A12" s="9" t="s">
        <v>11</v>
      </c>
      <c r="B12" s="10"/>
      <c r="C12" s="10"/>
      <c r="D12" s="10"/>
      <c r="E12" s="10"/>
      <c r="F12" s="10"/>
      <c r="G12" s="21" t="s">
        <v>12</v>
      </c>
      <c r="H12" s="21" t="s">
        <v>13</v>
      </c>
      <c r="I12" s="22" t="s">
        <v>14</v>
      </c>
      <c r="J12" s="22" t="str">
        <f>D8&amp;" Acres"&amp;""</f>
        <v>1000 Acres</v>
      </c>
      <c r="K12" s="8"/>
    </row>
    <row r="13" spans="1:12">
      <c r="A13" s="353" t="s">
        <v>125</v>
      </c>
      <c r="B13" s="3"/>
      <c r="C13" s="3"/>
      <c r="D13" s="3"/>
      <c r="E13" s="3"/>
      <c r="F13" s="3"/>
      <c r="G13" s="356">
        <v>4</v>
      </c>
      <c r="H13" s="356">
        <v>2.5</v>
      </c>
      <c r="I13" s="23">
        <f t="shared" ref="I13:I19" si="0">G13+H13</f>
        <v>6.5</v>
      </c>
      <c r="J13" s="24">
        <f t="shared" ref="J13:J20" si="1">$D$8*I13</f>
        <v>6500</v>
      </c>
      <c r="K13" s="8"/>
    </row>
    <row r="14" spans="1:12">
      <c r="A14" s="353" t="s">
        <v>126</v>
      </c>
      <c r="B14" s="3"/>
      <c r="C14" s="3"/>
      <c r="D14" s="3"/>
      <c r="E14" s="3"/>
      <c r="F14" s="3"/>
      <c r="G14" s="356">
        <v>16.2</v>
      </c>
      <c r="H14" s="356">
        <v>9</v>
      </c>
      <c r="I14" s="23">
        <f t="shared" si="0"/>
        <v>25.2</v>
      </c>
      <c r="J14" s="24">
        <f t="shared" si="1"/>
        <v>25200</v>
      </c>
      <c r="K14" s="8"/>
    </row>
    <row r="15" spans="1:12">
      <c r="A15" s="353" t="s">
        <v>127</v>
      </c>
      <c r="B15" s="3"/>
      <c r="C15" s="3"/>
      <c r="D15" s="3"/>
      <c r="E15" s="3"/>
      <c r="F15" s="3"/>
      <c r="G15" s="357">
        <v>3.5</v>
      </c>
      <c r="H15" s="357">
        <v>2</v>
      </c>
      <c r="I15" s="23">
        <f t="shared" si="0"/>
        <v>5.5</v>
      </c>
      <c r="J15" s="24">
        <f t="shared" si="1"/>
        <v>5500</v>
      </c>
      <c r="K15" s="8"/>
    </row>
    <row r="16" spans="1:12">
      <c r="A16" s="353" t="s">
        <v>128</v>
      </c>
      <c r="B16" s="3"/>
      <c r="C16" s="3"/>
      <c r="D16" s="3"/>
      <c r="E16" s="3"/>
      <c r="F16" s="3"/>
      <c r="G16" s="357">
        <v>3.6</v>
      </c>
      <c r="H16" s="357">
        <v>1.9</v>
      </c>
      <c r="I16" s="23">
        <f t="shared" si="0"/>
        <v>5.5</v>
      </c>
      <c r="J16" s="24">
        <f t="shared" si="1"/>
        <v>5500</v>
      </c>
      <c r="K16" s="8"/>
    </row>
    <row r="17" spans="1:11">
      <c r="A17" s="353" t="s">
        <v>129</v>
      </c>
      <c r="B17" s="3"/>
      <c r="C17" s="3"/>
      <c r="D17" s="3"/>
      <c r="E17" s="3"/>
      <c r="F17" s="3"/>
      <c r="G17" s="357">
        <v>8</v>
      </c>
      <c r="H17" s="357">
        <v>5.2</v>
      </c>
      <c r="I17" s="23">
        <f t="shared" si="0"/>
        <v>13.2</v>
      </c>
      <c r="J17" s="24">
        <f t="shared" si="1"/>
        <v>13200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23">
        <f>SUM(G13:G19)</f>
        <v>35.299999999999997</v>
      </c>
      <c r="H20" s="23">
        <f>SUM(H13:H19)</f>
        <v>20.6</v>
      </c>
      <c r="I20" s="29">
        <f>SUM(I13:I19)</f>
        <v>55.900000000000006</v>
      </c>
      <c r="J20" s="30">
        <f t="shared" si="1"/>
        <v>55900.000000000007</v>
      </c>
      <c r="K20" s="8"/>
    </row>
    <row r="21" spans="1:11">
      <c r="A21" s="28" t="s">
        <v>24</v>
      </c>
      <c r="B21" s="2"/>
      <c r="C21" s="3"/>
      <c r="D21" s="3"/>
      <c r="E21" s="3"/>
      <c r="F21" s="3"/>
      <c r="G21" s="24">
        <f>$D$8*G20</f>
        <v>35300</v>
      </c>
      <c r="H21" s="24">
        <f>$D$8*H20</f>
        <v>20600</v>
      </c>
      <c r="I21" s="30">
        <f>$D$8*I20</f>
        <v>55900.000000000007</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130</v>
      </c>
      <c r="B24" s="33"/>
      <c r="C24" s="11" t="s">
        <v>26</v>
      </c>
      <c r="D24" s="11"/>
      <c r="E24" s="11" t="s">
        <v>27</v>
      </c>
      <c r="F24" s="10"/>
      <c r="G24" s="21" t="s">
        <v>12</v>
      </c>
      <c r="H24" s="21" t="s">
        <v>13</v>
      </c>
      <c r="I24" s="22" t="s">
        <v>14</v>
      </c>
      <c r="J24" s="22" t="str">
        <f>D8&amp;" Acres"&amp;""</f>
        <v>1000 Acres</v>
      </c>
      <c r="K24" s="8"/>
    </row>
    <row r="25" spans="1:11">
      <c r="A25" s="380" t="s">
        <v>131</v>
      </c>
      <c r="B25" s="3"/>
      <c r="C25" s="357">
        <v>4.18</v>
      </c>
      <c r="D25" s="35" t="s">
        <v>132</v>
      </c>
      <c r="E25" s="381">
        <v>15</v>
      </c>
      <c r="F25" s="36" t="s">
        <v>133</v>
      </c>
      <c r="G25" s="31"/>
      <c r="H25" s="23">
        <f>C25*E25</f>
        <v>62.699999999999996</v>
      </c>
      <c r="I25" s="23">
        <f t="shared" ref="I25:I30" si="2">H25</f>
        <v>62.699999999999996</v>
      </c>
      <c r="J25" s="24">
        <f t="shared" ref="J25:J30" si="3">$D$8*I25</f>
        <v>62699.999999999993</v>
      </c>
      <c r="K25" s="8"/>
    </row>
    <row r="26" spans="1:11">
      <c r="A26" s="380"/>
      <c r="B26" s="3"/>
      <c r="C26" s="357"/>
      <c r="D26" s="35" t="s">
        <v>132</v>
      </c>
      <c r="E26" s="381"/>
      <c r="F26" s="36" t="s">
        <v>133</v>
      </c>
      <c r="G26" s="31"/>
      <c r="H26" s="23">
        <f>C26*E26</f>
        <v>0</v>
      </c>
      <c r="I26" s="23">
        <f t="shared" si="2"/>
        <v>0</v>
      </c>
      <c r="J26" s="24">
        <f t="shared" si="3"/>
        <v>0</v>
      </c>
      <c r="K26" s="8"/>
    </row>
    <row r="27" spans="1:11">
      <c r="A27" s="380"/>
      <c r="B27" s="3"/>
      <c r="C27" s="357"/>
      <c r="D27" s="35" t="s">
        <v>132</v>
      </c>
      <c r="E27" s="381"/>
      <c r="F27" s="36" t="s">
        <v>133</v>
      </c>
      <c r="G27" s="31"/>
      <c r="H27" s="23">
        <f>C27*E27</f>
        <v>0</v>
      </c>
      <c r="I27" s="23">
        <f t="shared" si="2"/>
        <v>0</v>
      </c>
      <c r="J27" s="24">
        <f t="shared" si="3"/>
        <v>0</v>
      </c>
      <c r="K27" s="8"/>
    </row>
    <row r="28" spans="1:11">
      <c r="A28" s="34" t="s">
        <v>134</v>
      </c>
      <c r="B28" s="3"/>
      <c r="C28" s="3"/>
      <c r="D28" s="35"/>
      <c r="E28" s="3"/>
      <c r="F28" s="36"/>
      <c r="G28" s="31"/>
      <c r="H28" s="357">
        <v>22</v>
      </c>
      <c r="I28" s="23">
        <f t="shared" si="2"/>
        <v>22</v>
      </c>
      <c r="J28" s="24">
        <f t="shared" si="3"/>
        <v>22000</v>
      </c>
      <c r="K28" s="8"/>
    </row>
    <row r="29" spans="1:11">
      <c r="A29" s="34" t="s">
        <v>37</v>
      </c>
      <c r="B29" s="3"/>
      <c r="C29" s="3"/>
      <c r="D29" s="35"/>
      <c r="E29" s="3"/>
      <c r="F29" s="36"/>
      <c r="G29" s="31"/>
      <c r="H29" s="357">
        <v>26.3</v>
      </c>
      <c r="I29" s="23">
        <f t="shared" si="2"/>
        <v>26.3</v>
      </c>
      <c r="J29" s="24">
        <f t="shared" si="3"/>
        <v>26300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111000</v>
      </c>
      <c r="K31" s="8"/>
    </row>
    <row r="32" spans="1:11">
      <c r="A32" s="8"/>
      <c r="B32" s="3"/>
      <c r="C32" s="3"/>
      <c r="D32" s="3"/>
      <c r="E32" s="3"/>
      <c r="F32" s="3"/>
      <c r="G32" s="3"/>
      <c r="H32" s="3"/>
      <c r="I32" s="3"/>
      <c r="J32" s="24" t="s">
        <v>44</v>
      </c>
      <c r="K32" s="8"/>
    </row>
    <row r="33" spans="1:11">
      <c r="A33" s="9" t="s">
        <v>135</v>
      </c>
      <c r="B33" s="33"/>
      <c r="C33" s="11" t="s">
        <v>54</v>
      </c>
      <c r="D33" s="11"/>
      <c r="E33" s="11" t="s">
        <v>55</v>
      </c>
      <c r="F33" s="10"/>
      <c r="G33" s="21"/>
      <c r="H33" s="21"/>
      <c r="I33" s="22"/>
      <c r="J33" s="22"/>
      <c r="K33" s="8"/>
    </row>
    <row r="34" spans="1:11">
      <c r="A34" s="34" t="s">
        <v>136</v>
      </c>
      <c r="B34" s="2"/>
      <c r="C34" s="357">
        <v>20.149999999999999</v>
      </c>
      <c r="D34" s="3"/>
      <c r="E34" s="382">
        <v>1</v>
      </c>
      <c r="F34" s="36" t="s">
        <v>137</v>
      </c>
      <c r="G34" s="107">
        <f>E34*C34</f>
        <v>20.149999999999999</v>
      </c>
      <c r="H34" s="31"/>
      <c r="I34" s="23">
        <f>G34</f>
        <v>20.149999999999999</v>
      </c>
      <c r="J34" s="24">
        <f>$D$8*I34</f>
        <v>20150</v>
      </c>
      <c r="K34" s="8"/>
    </row>
    <row r="35" spans="1:11">
      <c r="A35" s="37" t="s">
        <v>21</v>
      </c>
      <c r="B35" s="47"/>
      <c r="C35" s="357">
        <v>20.149999999999999</v>
      </c>
      <c r="D35" s="25"/>
      <c r="E35" s="382">
        <v>0</v>
      </c>
      <c r="F35" s="108" t="s">
        <v>137</v>
      </c>
      <c r="G35" s="26">
        <f>E35*C35</f>
        <v>0</v>
      </c>
      <c r="H35" s="40"/>
      <c r="I35" s="26">
        <f>G35</f>
        <v>0</v>
      </c>
      <c r="J35" s="27">
        <f>$D$8*I35</f>
        <v>0</v>
      </c>
      <c r="K35" s="8"/>
    </row>
    <row r="36" spans="1:11">
      <c r="A36" s="28" t="s">
        <v>138</v>
      </c>
      <c r="B36" s="44"/>
      <c r="C36" s="48"/>
      <c r="D36" s="48"/>
      <c r="E36" s="48"/>
      <c r="F36" s="48"/>
      <c r="G36" s="23">
        <f>SUM(G34:G35)</f>
        <v>20.149999999999999</v>
      </c>
      <c r="H36" s="23"/>
      <c r="I36" s="29">
        <f>I34+I35</f>
        <v>20.149999999999999</v>
      </c>
      <c r="J36" s="30">
        <f>J34+J35</f>
        <v>20150</v>
      </c>
      <c r="K36" s="8"/>
    </row>
    <row r="37" spans="1:11">
      <c r="A37" s="49"/>
      <c r="B37" s="44"/>
      <c r="C37" s="48"/>
      <c r="D37" s="48"/>
      <c r="E37" s="48"/>
      <c r="F37" s="48"/>
      <c r="G37" s="3"/>
      <c r="H37" s="3"/>
      <c r="I37" s="3"/>
      <c r="J37" s="24"/>
      <c r="K37" s="8"/>
    </row>
    <row r="38" spans="1:11">
      <c r="A38" s="106" t="s">
        <v>139</v>
      </c>
      <c r="B38" s="16"/>
      <c r="C38" s="17"/>
      <c r="D38" s="17"/>
      <c r="E38" s="17"/>
      <c r="F38" s="17"/>
      <c r="G38" s="109" t="s">
        <v>12</v>
      </c>
      <c r="H38" s="109" t="s">
        <v>13</v>
      </c>
      <c r="I38" s="19" t="s">
        <v>9</v>
      </c>
      <c r="J38" s="20" t="s">
        <v>10</v>
      </c>
      <c r="K38" s="8"/>
    </row>
    <row r="39" spans="1:11">
      <c r="A39" s="110" t="s">
        <v>140</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141</v>
      </c>
      <c r="B41" s="17"/>
      <c r="C41" s="17"/>
      <c r="D41" s="17"/>
      <c r="E41" s="17"/>
      <c r="F41" s="17"/>
      <c r="G41" s="18" t="s">
        <v>8</v>
      </c>
      <c r="H41" s="19"/>
      <c r="I41" s="19" t="s">
        <v>9</v>
      </c>
      <c r="J41" s="20" t="s">
        <v>10</v>
      </c>
      <c r="K41" s="8"/>
    </row>
    <row r="42" spans="1:11">
      <c r="A42" s="9" t="s">
        <v>142</v>
      </c>
      <c r="B42" s="10"/>
      <c r="C42" s="11" t="s">
        <v>26</v>
      </c>
      <c r="D42" s="11"/>
      <c r="E42" s="11" t="s">
        <v>27</v>
      </c>
      <c r="F42" s="10"/>
      <c r="G42" s="11" t="s">
        <v>12</v>
      </c>
      <c r="H42" s="11" t="s">
        <v>13</v>
      </c>
      <c r="I42" s="22" t="s">
        <v>14</v>
      </c>
      <c r="J42" s="22" t="str">
        <f>D8&amp;" Acres"&amp;""</f>
        <v>1000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20299.999999999996</v>
      </c>
      <c r="K44" s="8"/>
    </row>
    <row r="45" spans="1:11">
      <c r="A45" s="380" t="s">
        <v>35</v>
      </c>
      <c r="B45" s="3"/>
      <c r="C45" s="357">
        <v>0.36</v>
      </c>
      <c r="D45" s="35" t="s">
        <v>32</v>
      </c>
      <c r="E45" s="383">
        <v>125</v>
      </c>
      <c r="F45" s="36" t="s">
        <v>33</v>
      </c>
      <c r="G45" s="31"/>
      <c r="H45" s="23">
        <f>C45*E45</f>
        <v>45</v>
      </c>
      <c r="I45" s="23">
        <f t="shared" si="4"/>
        <v>45</v>
      </c>
      <c r="J45" s="24">
        <f>$D$8*I45</f>
        <v>45000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65300</v>
      </c>
      <c r="K48" s="8"/>
    </row>
    <row r="49" spans="1:11">
      <c r="A49" s="8"/>
      <c r="B49" s="3"/>
      <c r="C49" s="3"/>
      <c r="D49" s="3"/>
      <c r="E49" s="3"/>
      <c r="F49" s="3"/>
      <c r="G49" s="3"/>
      <c r="H49" s="3"/>
      <c r="I49" s="3"/>
      <c r="J49" s="24" t="s">
        <v>44</v>
      </c>
      <c r="K49" s="8"/>
    </row>
    <row r="50" spans="1:11">
      <c r="A50" s="9" t="s">
        <v>143</v>
      </c>
      <c r="B50" s="33"/>
      <c r="C50" s="11" t="s">
        <v>54</v>
      </c>
      <c r="D50" s="11"/>
      <c r="E50" s="11" t="s">
        <v>55</v>
      </c>
      <c r="F50" s="10"/>
      <c r="G50" s="11" t="s">
        <v>12</v>
      </c>
      <c r="H50" s="11" t="s">
        <v>13</v>
      </c>
      <c r="I50" s="116" t="s">
        <v>9</v>
      </c>
      <c r="J50" s="22" t="s">
        <v>10</v>
      </c>
      <c r="K50" s="8"/>
    </row>
    <row r="51" spans="1:11">
      <c r="A51" s="34" t="s">
        <v>144</v>
      </c>
      <c r="B51" s="2"/>
      <c r="C51" s="357">
        <v>20.149999999999999</v>
      </c>
      <c r="D51" s="3"/>
      <c r="E51" s="382">
        <v>3</v>
      </c>
      <c r="F51" s="117" t="s">
        <v>145</v>
      </c>
      <c r="G51" s="23">
        <f>E51*C51</f>
        <v>60.449999999999996</v>
      </c>
      <c r="H51" s="31"/>
      <c r="I51" s="23">
        <f>G51</f>
        <v>60.449999999999996</v>
      </c>
      <c r="J51" s="24">
        <f>$D$8*I51</f>
        <v>60449.999999999993</v>
      </c>
      <c r="K51" s="8"/>
    </row>
    <row r="52" spans="1:11">
      <c r="A52" s="37" t="s">
        <v>21</v>
      </c>
      <c r="B52" s="47"/>
      <c r="C52" s="357">
        <v>20.149999999999999</v>
      </c>
      <c r="D52" s="25"/>
      <c r="E52" s="382">
        <v>0</v>
      </c>
      <c r="F52" s="108" t="s">
        <v>145</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60449.999999999993</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164000</v>
      </c>
      <c r="K56" s="8"/>
    </row>
    <row r="57" spans="1:11">
      <c r="A57" s="8"/>
      <c r="B57" s="3"/>
      <c r="C57" s="3"/>
      <c r="D57" s="3"/>
      <c r="E57" s="3"/>
      <c r="F57" s="3"/>
      <c r="G57" s="3"/>
      <c r="H57" s="3"/>
      <c r="I57" s="3"/>
      <c r="J57" s="24" t="s">
        <v>44</v>
      </c>
      <c r="K57" s="8"/>
    </row>
    <row r="58" spans="1:11">
      <c r="A58" s="9" t="s">
        <v>146</v>
      </c>
      <c r="B58" s="16"/>
      <c r="C58" s="109"/>
      <c r="D58" s="109"/>
      <c r="E58" s="109"/>
      <c r="F58" s="17"/>
      <c r="G58" s="109" t="s">
        <v>12</v>
      </c>
      <c r="H58" s="109" t="s">
        <v>13</v>
      </c>
      <c r="I58" s="19" t="s">
        <v>9</v>
      </c>
      <c r="J58" s="20" t="s">
        <v>10</v>
      </c>
      <c r="K58" s="8"/>
    </row>
    <row r="59" spans="1:11">
      <c r="A59" s="367" t="s">
        <v>147</v>
      </c>
      <c r="B59" s="3"/>
      <c r="C59" s="3"/>
      <c r="D59" s="3"/>
      <c r="E59" s="3"/>
      <c r="F59" s="3"/>
      <c r="G59" s="356">
        <v>9.6</v>
      </c>
      <c r="H59" s="356">
        <v>5.5</v>
      </c>
      <c r="I59" s="23">
        <f t="shared" ref="I59:I63" si="5">SUM(G59:H59)</f>
        <v>15.1</v>
      </c>
      <c r="J59" s="24">
        <f>$D$8*I59</f>
        <v>15100</v>
      </c>
      <c r="K59" s="8"/>
    </row>
    <row r="60" spans="1:11">
      <c r="A60" s="368" t="s">
        <v>148</v>
      </c>
      <c r="B60" s="3"/>
      <c r="C60" s="3"/>
      <c r="D60" s="3"/>
      <c r="E60" s="3"/>
      <c r="F60" s="3"/>
      <c r="G60" s="357">
        <v>5.6</v>
      </c>
      <c r="H60" s="357">
        <v>2.5</v>
      </c>
      <c r="I60" s="23">
        <f>SUM(G60:H60)</f>
        <v>8.1</v>
      </c>
      <c r="J60" s="24">
        <f>$D$8*I60</f>
        <v>8100</v>
      </c>
      <c r="K60" s="8"/>
    </row>
    <row r="61" spans="1:11">
      <c r="A61" s="368" t="s">
        <v>149</v>
      </c>
      <c r="B61" s="3"/>
      <c r="C61" s="3"/>
      <c r="D61" s="3"/>
      <c r="E61" s="3"/>
      <c r="F61" s="3"/>
      <c r="G61" s="357">
        <v>14.3</v>
      </c>
      <c r="H61" s="357">
        <v>6.7</v>
      </c>
      <c r="I61" s="23">
        <f>SUM(G61:H61)</f>
        <v>21</v>
      </c>
      <c r="J61" s="24">
        <f>$D$8*I61</f>
        <v>21000</v>
      </c>
      <c r="K61" s="8"/>
    </row>
    <row r="62" spans="1:11">
      <c r="A62" s="43" t="s">
        <v>48</v>
      </c>
      <c r="B62" s="3"/>
      <c r="C62" s="357">
        <v>3.35</v>
      </c>
      <c r="D62" s="36" t="s">
        <v>150</v>
      </c>
      <c r="E62" s="357">
        <v>3.82</v>
      </c>
      <c r="F62" s="36" t="s">
        <v>151</v>
      </c>
      <c r="G62" s="23">
        <f>C62*D9</f>
        <v>8.375</v>
      </c>
      <c r="H62" s="23">
        <f>E62*D9</f>
        <v>9.5499999999999989</v>
      </c>
      <c r="I62" s="23">
        <f t="shared" si="5"/>
        <v>17.924999999999997</v>
      </c>
      <c r="J62" s="24">
        <f>$D$8*I62</f>
        <v>17924.999999999996</v>
      </c>
      <c r="K62" s="8"/>
    </row>
    <row r="63" spans="1:11">
      <c r="A63" s="368" t="s">
        <v>21</v>
      </c>
      <c r="B63" s="25"/>
      <c r="C63" s="25"/>
      <c r="D63" s="25"/>
      <c r="E63" s="25"/>
      <c r="F63" s="25"/>
      <c r="G63" s="357">
        <v>0</v>
      </c>
      <c r="H63" s="357">
        <v>0</v>
      </c>
      <c r="I63" s="26">
        <f t="shared" si="5"/>
        <v>0</v>
      </c>
      <c r="J63" s="27">
        <f>$D$8*I63</f>
        <v>0</v>
      </c>
      <c r="K63" s="8"/>
    </row>
    <row r="64" spans="1:11">
      <c r="A64" s="28" t="s">
        <v>152</v>
      </c>
      <c r="B64" s="2"/>
      <c r="C64" s="3"/>
      <c r="D64" s="3"/>
      <c r="E64" s="3"/>
      <c r="F64" s="3"/>
      <c r="G64" s="23">
        <f>((SUM(G59:G61)+G63)*G9)+G62</f>
        <v>67.375</v>
      </c>
      <c r="H64" s="23">
        <f>((SUM(H59:H61)+H63)*G9)+H62</f>
        <v>38.949999999999996</v>
      </c>
      <c r="I64" s="29">
        <f>SUM(I59:I63)</f>
        <v>62.125</v>
      </c>
      <c r="J64" s="3"/>
      <c r="K64" s="8"/>
    </row>
    <row r="65" spans="1:11">
      <c r="A65" s="28" t="s">
        <v>153</v>
      </c>
      <c r="B65" s="2"/>
      <c r="C65" s="3"/>
      <c r="D65" s="3"/>
      <c r="E65" s="3"/>
      <c r="F65" s="3"/>
      <c r="G65" s="23">
        <f>G64</f>
        <v>67.375</v>
      </c>
      <c r="H65" s="23">
        <f>H64</f>
        <v>38.949999999999996</v>
      </c>
      <c r="I65" s="30">
        <f>G65+H65</f>
        <v>106.32499999999999</v>
      </c>
      <c r="J65" s="3"/>
      <c r="K65" s="8"/>
    </row>
    <row r="66" spans="1:11">
      <c r="A66" s="28" t="s">
        <v>154</v>
      </c>
      <c r="B66" s="2"/>
      <c r="C66" s="3"/>
      <c r="D66" s="3"/>
      <c r="E66" s="3"/>
      <c r="F66" s="3"/>
      <c r="G66" s="23">
        <f>$D$8*G65</f>
        <v>67375</v>
      </c>
      <c r="H66" s="23">
        <f>$D$8*H65</f>
        <v>38949.999999999993</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155</v>
      </c>
      <c r="B69" s="33"/>
      <c r="C69" s="11"/>
      <c r="D69" s="11"/>
      <c r="E69" s="11"/>
      <c r="F69" s="10"/>
      <c r="G69" s="21" t="s">
        <v>12</v>
      </c>
      <c r="H69" s="21" t="s">
        <v>13</v>
      </c>
      <c r="I69" s="22" t="s">
        <v>14</v>
      </c>
      <c r="J69" s="22" t="str">
        <f>D8&amp;" Acres"&amp;""</f>
        <v>1000 Acres</v>
      </c>
      <c r="K69" s="8"/>
    </row>
    <row r="70" spans="1:11">
      <c r="A70" s="34" t="s">
        <v>156</v>
      </c>
      <c r="B70" s="3"/>
      <c r="C70" s="3"/>
      <c r="D70" s="3"/>
      <c r="E70" s="3"/>
      <c r="F70" s="3"/>
      <c r="G70" s="23">
        <f>G82+G53+G56+G65</f>
        <v>310.30833333333334</v>
      </c>
      <c r="H70" s="23">
        <f>H82+H48+H65</f>
        <v>148.11666666666665</v>
      </c>
      <c r="I70" s="29">
        <f>G70+H70</f>
        <v>458.42499999999995</v>
      </c>
      <c r="J70" s="23">
        <f>I70*D8</f>
        <v>458424.99999999994</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157</v>
      </c>
      <c r="B73" s="10"/>
      <c r="C73" s="10"/>
      <c r="D73" s="10"/>
      <c r="E73" s="10"/>
      <c r="F73" s="10"/>
      <c r="G73" s="61"/>
      <c r="H73" s="62" t="s">
        <v>69</v>
      </c>
      <c r="I73" s="62" t="s">
        <v>70</v>
      </c>
      <c r="J73" s="63" t="s">
        <v>71</v>
      </c>
      <c r="K73" s="8"/>
    </row>
    <row r="74" spans="1:11">
      <c r="A74" s="37" t="s">
        <v>322</v>
      </c>
      <c r="B74" s="120"/>
      <c r="C74" s="465">
        <v>253</v>
      </c>
      <c r="D74" s="121" t="s">
        <v>159</v>
      </c>
      <c r="E74" s="122" t="str">
        <f>CONCATENATE(D9," ",E9)</f>
        <v>2.5 tons/acre/year</v>
      </c>
      <c r="F74" s="25"/>
      <c r="G74" s="27"/>
      <c r="H74" s="40"/>
      <c r="I74" s="26">
        <f>C74*D9</f>
        <v>632.5</v>
      </c>
      <c r="J74" s="123">
        <f>I74*D$8</f>
        <v>632500</v>
      </c>
      <c r="K74" s="8"/>
    </row>
    <row r="75" spans="1:11" ht="16.5" thickBot="1">
      <c r="A75" s="72" t="s">
        <v>75</v>
      </c>
      <c r="B75" s="73"/>
      <c r="C75" s="51"/>
      <c r="D75" s="51"/>
      <c r="E75" s="51"/>
      <c r="F75" s="51"/>
      <c r="G75" s="74"/>
      <c r="H75" s="53"/>
      <c r="I75" s="75">
        <f>I74</f>
        <v>632.5</v>
      </c>
      <c r="J75" s="76">
        <f>J74</f>
        <v>632500</v>
      </c>
      <c r="K75" s="8"/>
    </row>
    <row r="76" spans="1:11" ht="16.5" thickTop="1">
      <c r="A76" s="54" t="s">
        <v>76</v>
      </c>
      <c r="B76" s="77"/>
      <c r="C76" s="78"/>
      <c r="D76" s="78"/>
      <c r="E76" s="78"/>
      <c r="F76" s="78"/>
      <c r="G76" s="79"/>
      <c r="H76" s="80">
        <f>I75-H70</f>
        <v>484.38333333333333</v>
      </c>
      <c r="I76" s="81">
        <f>I75-I70</f>
        <v>174.07500000000005</v>
      </c>
      <c r="J76" s="56">
        <f>J70-J75</f>
        <v>-174075.00000000006</v>
      </c>
      <c r="K76" s="8"/>
    </row>
    <row r="77" spans="1:11">
      <c r="A77" s="14"/>
      <c r="B77" s="7"/>
      <c r="C77" s="7"/>
      <c r="D77" s="7"/>
      <c r="E77" s="7"/>
      <c r="F77" s="7"/>
      <c r="G77" s="7"/>
      <c r="H77" s="7"/>
      <c r="I77" s="7"/>
      <c r="J77" s="7"/>
      <c r="K77" s="8"/>
    </row>
    <row r="78" spans="1:11" ht="18.75" thickBot="1">
      <c r="A78" s="124" t="s">
        <v>160</v>
      </c>
      <c r="B78" s="125"/>
      <c r="C78" s="125"/>
      <c r="D78" s="126"/>
      <c r="E78" s="125"/>
      <c r="F78" s="125"/>
      <c r="G78" s="125"/>
      <c r="H78" s="125"/>
      <c r="I78" s="125"/>
      <c r="J78" s="125"/>
      <c r="K78" s="8"/>
    </row>
    <row r="79" spans="1:11" ht="16.5" thickTop="1">
      <c r="A79" s="101" t="s">
        <v>161</v>
      </c>
      <c r="B79" s="102"/>
      <c r="C79" s="90">
        <v>4.3</v>
      </c>
      <c r="D79" s="3" t="s">
        <v>121</v>
      </c>
      <c r="E79" s="3"/>
      <c r="F79" s="103"/>
      <c r="G79" s="127" t="s">
        <v>162</v>
      </c>
      <c r="H79" s="384">
        <v>2</v>
      </c>
      <c r="I79" s="128" t="s">
        <v>115</v>
      </c>
      <c r="J79" s="105"/>
      <c r="K79" s="8"/>
    </row>
    <row r="80" spans="1:11">
      <c r="A80" s="101" t="s">
        <v>163</v>
      </c>
      <c r="B80" s="102"/>
      <c r="C80" s="385">
        <v>4</v>
      </c>
      <c r="D80" s="104" t="s">
        <v>164</v>
      </c>
      <c r="E80" s="3"/>
      <c r="F80" s="103"/>
      <c r="G80" s="127" t="s">
        <v>165</v>
      </c>
      <c r="H80" s="3"/>
      <c r="I80" s="13"/>
      <c r="J80" s="3"/>
      <c r="K80" s="8"/>
    </row>
    <row r="81" spans="1:11">
      <c r="A81" s="101"/>
      <c r="B81" s="101"/>
      <c r="C81" s="101"/>
      <c r="D81" s="101"/>
      <c r="E81" s="101"/>
      <c r="F81" s="101"/>
      <c r="G81" s="101"/>
      <c r="H81" s="101"/>
      <c r="I81" s="101"/>
      <c r="J81" s="101"/>
      <c r="K81" s="101"/>
    </row>
    <row r="82" spans="1:11">
      <c r="A82" s="129" t="s">
        <v>166</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116</v>
      </c>
      <c r="B85" s="10"/>
      <c r="C85" s="11" t="s">
        <v>26</v>
      </c>
      <c r="D85" s="11"/>
      <c r="E85" s="11" t="s">
        <v>27</v>
      </c>
      <c r="F85" s="10"/>
      <c r="G85" s="21" t="s">
        <v>12</v>
      </c>
      <c r="H85" s="21" t="s">
        <v>13</v>
      </c>
      <c r="I85" s="22" t="s">
        <v>14</v>
      </c>
      <c r="J85" s="22" t="str">
        <f>D8&amp;" Acres"&amp;""</f>
        <v>1000 Acres</v>
      </c>
      <c r="K85" s="8"/>
    </row>
    <row r="86" spans="1:11">
      <c r="A86" s="380" t="s">
        <v>167</v>
      </c>
      <c r="B86" s="3"/>
      <c r="C86" s="3"/>
      <c r="D86" s="3"/>
      <c r="E86" s="3"/>
      <c r="F86" s="3"/>
      <c r="G86" s="356">
        <v>7</v>
      </c>
      <c r="H86" s="356">
        <v>4</v>
      </c>
      <c r="I86" s="23">
        <f t="shared" ref="I86" si="6">H86</f>
        <v>4</v>
      </c>
      <c r="J86" s="24">
        <f>$D$8*I86</f>
        <v>4000</v>
      </c>
      <c r="K86" s="8"/>
    </row>
    <row r="87" spans="1:11">
      <c r="A87" s="8" t="s">
        <v>168</v>
      </c>
      <c r="B87" s="3"/>
      <c r="C87" s="3"/>
      <c r="D87" s="3"/>
      <c r="E87" s="3"/>
      <c r="F87" s="3"/>
      <c r="G87" s="3"/>
      <c r="H87" s="3"/>
      <c r="I87" s="3"/>
      <c r="J87" s="24" t="s">
        <v>44</v>
      </c>
      <c r="K87" s="8"/>
    </row>
    <row r="88" spans="1:11">
      <c r="A88" s="380" t="s">
        <v>34</v>
      </c>
      <c r="B88" s="3"/>
      <c r="C88" s="357">
        <v>0.57999999999999996</v>
      </c>
      <c r="D88" s="35" t="s">
        <v>32</v>
      </c>
      <c r="E88" s="383">
        <v>13</v>
      </c>
      <c r="F88" s="36" t="s">
        <v>169</v>
      </c>
      <c r="G88" s="31"/>
      <c r="H88" s="23">
        <f>C88*E88*C79</f>
        <v>32.421999999999997</v>
      </c>
      <c r="I88" s="23">
        <f t="shared" ref="I88:I91" si="7">H88</f>
        <v>32.421999999999997</v>
      </c>
      <c r="J88" s="24">
        <f>$D$8*I88</f>
        <v>32421.999999999996</v>
      </c>
      <c r="K88" s="8"/>
    </row>
    <row r="89" spans="1:11">
      <c r="A89" s="380" t="s">
        <v>35</v>
      </c>
      <c r="B89" s="3"/>
      <c r="C89" s="357">
        <v>0.36</v>
      </c>
      <c r="D89" s="35" t="s">
        <v>32</v>
      </c>
      <c r="E89" s="383">
        <v>50</v>
      </c>
      <c r="F89" s="36" t="s">
        <v>169</v>
      </c>
      <c r="G89" s="31"/>
      <c r="H89" s="23">
        <f>C89*E89*C79</f>
        <v>77.399999999999991</v>
      </c>
      <c r="I89" s="23">
        <f t="shared" si="7"/>
        <v>77.399999999999991</v>
      </c>
      <c r="J89" s="24">
        <f>$D$8*I89</f>
        <v>77399.999999999985</v>
      </c>
      <c r="K89" s="8"/>
    </row>
    <row r="90" spans="1:11">
      <c r="A90" s="34" t="s">
        <v>39</v>
      </c>
      <c r="B90" s="3"/>
      <c r="C90" s="3"/>
      <c r="D90" s="35"/>
      <c r="E90" s="3"/>
      <c r="F90" s="36"/>
      <c r="G90" s="31"/>
      <c r="H90" s="357">
        <v>4.6500000000000004</v>
      </c>
      <c r="I90" s="23">
        <f t="shared" si="7"/>
        <v>4.6500000000000004</v>
      </c>
      <c r="J90" s="24">
        <f>$D$8*I90</f>
        <v>4650</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118.47199999999999</v>
      </c>
      <c r="I92" s="29">
        <f>SUM(I88:I91)</f>
        <v>114.47199999999999</v>
      </c>
      <c r="J92" s="30">
        <f>SUM(J88:J91)</f>
        <v>114471.99999999999</v>
      </c>
      <c r="K92" s="8"/>
    </row>
    <row r="93" spans="1:11">
      <c r="A93" s="8"/>
      <c r="B93" s="3"/>
      <c r="C93" s="3"/>
      <c r="D93" s="3"/>
      <c r="E93" s="3"/>
      <c r="F93" s="3"/>
      <c r="G93" s="3"/>
      <c r="H93" s="3"/>
      <c r="I93" s="3"/>
      <c r="J93" s="24" t="s">
        <v>44</v>
      </c>
      <c r="K93" s="8"/>
    </row>
    <row r="94" spans="1:11">
      <c r="A94" s="9" t="s">
        <v>170</v>
      </c>
      <c r="B94" s="16"/>
      <c r="C94" s="109"/>
      <c r="D94" s="109"/>
      <c r="E94" s="109"/>
      <c r="F94" s="17"/>
      <c r="G94" s="21"/>
      <c r="H94" s="21"/>
      <c r="I94" s="20"/>
      <c r="J94" s="20"/>
      <c r="K94" s="8"/>
    </row>
    <row r="95" spans="1:11">
      <c r="A95" s="367" t="s">
        <v>147</v>
      </c>
      <c r="B95" s="3"/>
      <c r="C95" s="3"/>
      <c r="D95" s="3"/>
      <c r="E95" s="3"/>
      <c r="F95" s="3"/>
      <c r="G95" s="356">
        <v>9.6</v>
      </c>
      <c r="H95" s="356">
        <v>5.5</v>
      </c>
      <c r="I95" s="23">
        <f t="shared" ref="I95" si="8">SUM(G95:H95)</f>
        <v>15.1</v>
      </c>
      <c r="J95" s="24">
        <f>$D$8*I95</f>
        <v>15100</v>
      </c>
      <c r="K95" s="8"/>
    </row>
    <row r="96" spans="1:11">
      <c r="A96" s="368" t="s">
        <v>148</v>
      </c>
      <c r="B96" s="3"/>
      <c r="C96" s="3"/>
      <c r="D96" s="3"/>
      <c r="E96" s="3"/>
      <c r="F96" s="3"/>
      <c r="G96" s="357">
        <v>5.6</v>
      </c>
      <c r="H96" s="357">
        <v>2.5</v>
      </c>
      <c r="I96" s="23">
        <f>SUM(G96:H96)</f>
        <v>8.1</v>
      </c>
      <c r="J96" s="24">
        <f>$D$8*I96</f>
        <v>8100</v>
      </c>
      <c r="K96" s="8"/>
    </row>
    <row r="97" spans="1:11">
      <c r="A97" s="368" t="s">
        <v>149</v>
      </c>
      <c r="B97" s="3"/>
      <c r="C97" s="3"/>
      <c r="D97" s="3"/>
      <c r="E97" s="3"/>
      <c r="F97" s="3"/>
      <c r="G97" s="357">
        <v>14.3</v>
      </c>
      <c r="H97" s="357">
        <v>6.7</v>
      </c>
      <c r="I97" s="23">
        <f>SUM(G97:H97)</f>
        <v>21</v>
      </c>
      <c r="J97" s="24">
        <f>$D$8*I97</f>
        <v>21000</v>
      </c>
      <c r="K97" s="8"/>
    </row>
    <row r="98" spans="1:11">
      <c r="A98" s="43" t="s">
        <v>48</v>
      </c>
      <c r="B98" s="3"/>
      <c r="C98" s="357">
        <v>3.35</v>
      </c>
      <c r="D98" s="36" t="s">
        <v>150</v>
      </c>
      <c r="E98" s="357">
        <v>3.82</v>
      </c>
      <c r="F98" s="36" t="s">
        <v>151</v>
      </c>
      <c r="G98" s="23">
        <f>C98*C79</f>
        <v>14.404999999999999</v>
      </c>
      <c r="H98" s="23">
        <f>E98*C79</f>
        <v>16.425999999999998</v>
      </c>
      <c r="I98" s="23">
        <f t="shared" ref="I98:I99" si="9">SUM(G98:H98)</f>
        <v>30.830999999999996</v>
      </c>
      <c r="J98" s="24">
        <f>$D$8*I98</f>
        <v>30830.999999999996</v>
      </c>
      <c r="K98" s="8"/>
    </row>
    <row r="99" spans="1:11">
      <c r="A99" s="368" t="s">
        <v>21</v>
      </c>
      <c r="B99" s="25"/>
      <c r="C99" s="25"/>
      <c r="D99" s="25"/>
      <c r="E99" s="25"/>
      <c r="F99" s="25"/>
      <c r="G99" s="357">
        <v>0</v>
      </c>
      <c r="H99" s="357">
        <v>0</v>
      </c>
      <c r="I99" s="26">
        <f t="shared" si="9"/>
        <v>0</v>
      </c>
      <c r="J99" s="27">
        <f>$D$8*I99</f>
        <v>0</v>
      </c>
      <c r="K99" s="8"/>
    </row>
    <row r="100" spans="1:11">
      <c r="A100" s="28" t="s">
        <v>171</v>
      </c>
      <c r="B100" s="3"/>
      <c r="C100" s="3"/>
      <c r="D100" s="3"/>
      <c r="E100" s="3"/>
      <c r="F100" s="3"/>
      <c r="G100" s="131">
        <f>IF(C80&gt;0, G101/C80, 0)</f>
        <v>33.10125</v>
      </c>
      <c r="H100" s="131">
        <f>IF(C80&gt;0, H101/C80, 0)</f>
        <v>18.8065</v>
      </c>
      <c r="I100" s="23"/>
      <c r="J100" s="24"/>
      <c r="K100" s="8"/>
    </row>
    <row r="101" spans="1:11">
      <c r="A101" s="28" t="s">
        <v>153</v>
      </c>
      <c r="B101" s="2"/>
      <c r="C101" s="3"/>
      <c r="D101" s="3"/>
      <c r="E101" s="3"/>
      <c r="F101" s="3"/>
      <c r="G101" s="23">
        <f>((SUM(G95:G97)+G99)*C80)+G98</f>
        <v>132.405</v>
      </c>
      <c r="H101" s="23">
        <f>((SUM(H95:H97)+H99)*C80)+H98</f>
        <v>75.225999999999999</v>
      </c>
      <c r="I101" s="29">
        <f>G101+H101</f>
        <v>207.631</v>
      </c>
      <c r="J101" s="24">
        <f>I101*D8</f>
        <v>207631</v>
      </c>
      <c r="K101" s="8"/>
    </row>
    <row r="102" spans="1:11">
      <c r="A102" s="8"/>
      <c r="B102" s="3"/>
      <c r="C102" s="3"/>
      <c r="D102" s="3"/>
      <c r="E102" s="3"/>
      <c r="F102" s="3"/>
      <c r="G102" s="3"/>
      <c r="H102" s="3"/>
      <c r="I102" s="3"/>
      <c r="J102" s="24"/>
      <c r="K102" s="8"/>
    </row>
    <row r="103" spans="1:11">
      <c r="A103" s="9" t="s">
        <v>143</v>
      </c>
      <c r="B103" s="33"/>
      <c r="C103" s="11" t="s">
        <v>54</v>
      </c>
      <c r="D103" s="11"/>
      <c r="E103" s="11" t="s">
        <v>55</v>
      </c>
      <c r="F103" s="10"/>
      <c r="G103" s="21"/>
      <c r="H103" s="21"/>
      <c r="I103" s="22"/>
      <c r="J103" s="22"/>
      <c r="K103" s="8"/>
    </row>
    <row r="104" spans="1:11">
      <c r="A104" s="34" t="s">
        <v>144</v>
      </c>
      <c r="B104" s="2"/>
      <c r="C104" s="357">
        <v>20.149999999999999</v>
      </c>
      <c r="D104" s="3"/>
      <c r="E104" s="386">
        <v>1.3333299999999999</v>
      </c>
      <c r="F104" s="117" t="s">
        <v>145</v>
      </c>
      <c r="G104" s="107">
        <f>E104*C104*C80</f>
        <v>107.46639799999998</v>
      </c>
      <c r="H104" s="31"/>
      <c r="I104" s="23">
        <f>G104</f>
        <v>107.46639799999998</v>
      </c>
      <c r="J104" s="24">
        <f>$D$8*I104</f>
        <v>107466.39799999999</v>
      </c>
      <c r="K104" s="8"/>
    </row>
    <row r="105" spans="1:11">
      <c r="A105" s="37" t="s">
        <v>172</v>
      </c>
      <c r="B105" s="47"/>
      <c r="C105" s="357">
        <v>20.149999999999999</v>
      </c>
      <c r="D105" s="25"/>
      <c r="E105" s="386">
        <v>0</v>
      </c>
      <c r="F105" s="108" t="s">
        <v>145</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375">
        <v>100</v>
      </c>
      <c r="H109" s="31"/>
      <c r="I109" s="29">
        <f>G109</f>
        <v>100</v>
      </c>
      <c r="J109" s="30">
        <f>$D$8*I109</f>
        <v>100000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173</v>
      </c>
      <c r="B112" s="33"/>
      <c r="C112" s="11"/>
      <c r="D112" s="11"/>
      <c r="E112" s="11"/>
      <c r="F112" s="10"/>
      <c r="G112" s="21" t="s">
        <v>12</v>
      </c>
      <c r="H112" s="21" t="s">
        <v>13</v>
      </c>
      <c r="I112" s="22" t="s">
        <v>14</v>
      </c>
      <c r="J112" s="22" t="str">
        <f>D8&amp;" Acres"&amp;""</f>
        <v>1000 Acres</v>
      </c>
      <c r="K112" s="8"/>
    </row>
    <row r="113" spans="1:11">
      <c r="A113" s="34" t="s">
        <v>174</v>
      </c>
      <c r="B113" s="3"/>
      <c r="C113" s="3"/>
      <c r="D113" s="3"/>
      <c r="E113" s="3"/>
      <c r="F113" s="3"/>
      <c r="G113" s="23">
        <f>G86+G106+G109+G101+G82</f>
        <v>365.35473133333335</v>
      </c>
      <c r="H113" s="23">
        <f>H92+H101+H82</f>
        <v>237.56466666666665</v>
      </c>
      <c r="I113" s="29">
        <f>G113+H113</f>
        <v>602.919398</v>
      </c>
      <c r="J113" s="29">
        <f>I113*D8</f>
        <v>602919.39800000004</v>
      </c>
      <c r="K113" s="8"/>
    </row>
    <row r="114" spans="1:11">
      <c r="A114" s="34" t="s">
        <v>175</v>
      </c>
      <c r="B114" s="3"/>
      <c r="C114" s="3"/>
      <c r="D114" s="3"/>
      <c r="E114" s="3"/>
      <c r="F114" s="3"/>
      <c r="G114" s="23">
        <f>G113/C79</f>
        <v>84.966216589147294</v>
      </c>
      <c r="H114" s="23">
        <f>H113/C79</f>
        <v>55.247596899224803</v>
      </c>
      <c r="I114" s="29">
        <f>I113/C79</f>
        <v>140.2138134883721</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176</v>
      </c>
      <c r="B118" s="33"/>
      <c r="C118" s="11"/>
      <c r="D118" s="11"/>
      <c r="E118" s="11"/>
      <c r="F118" s="10"/>
      <c r="G118" s="21" t="s">
        <v>12</v>
      </c>
      <c r="H118" s="21" t="s">
        <v>13</v>
      </c>
      <c r="I118" s="22" t="s">
        <v>14</v>
      </c>
      <c r="J118" s="22" t="str">
        <f>D13&amp;" Acres"&amp;""</f>
        <v xml:space="preserve"> Acres</v>
      </c>
      <c r="K118" s="8"/>
    </row>
    <row r="119" spans="1:11">
      <c r="A119" s="34" t="s">
        <v>177</v>
      </c>
      <c r="B119" s="3"/>
      <c r="C119" s="3"/>
      <c r="D119" s="3"/>
      <c r="E119" s="3"/>
      <c r="F119" s="3"/>
      <c r="G119" s="133">
        <f>(G70+(G113*H79))/(H79+1)</f>
        <v>347.00593200000003</v>
      </c>
      <c r="H119" s="133">
        <f>(H70+(H113*H79))/(H79+1)</f>
        <v>207.74866666666665</v>
      </c>
      <c r="I119" s="29">
        <f>G119+H119</f>
        <v>554.75459866666665</v>
      </c>
      <c r="J119" s="29">
        <f>I119*D8</f>
        <v>554754.59866666666</v>
      </c>
      <c r="K119" s="8"/>
    </row>
    <row r="120" spans="1:11">
      <c r="A120" s="34" t="s">
        <v>178</v>
      </c>
      <c r="B120" s="3"/>
      <c r="C120" s="3"/>
      <c r="D120" s="3"/>
      <c r="E120" s="3"/>
      <c r="F120" s="3"/>
      <c r="G120" s="23">
        <f>((G113*H79)+G70)/(D9+(C80*C79))</f>
        <v>52.843542944162444</v>
      </c>
      <c r="H120" s="23">
        <f>((H113*H79)+H70)/(D9+(C80*C79))</f>
        <v>31.636852791878173</v>
      </c>
      <c r="I120" s="29">
        <f>((I113*H79)+I70)/(D9+(C80*C79))</f>
        <v>84.480395736040606</v>
      </c>
      <c r="J120" s="31"/>
      <c r="K120" s="8"/>
    </row>
    <row r="121" spans="1:11">
      <c r="A121" s="34" t="s">
        <v>179</v>
      </c>
      <c r="B121" s="3"/>
      <c r="C121" s="3"/>
      <c r="D121" s="3"/>
      <c r="E121" s="3"/>
      <c r="F121" s="3"/>
      <c r="G121" s="23"/>
      <c r="H121" s="23"/>
      <c r="I121" s="29"/>
      <c r="J121" s="31"/>
      <c r="K121" s="8"/>
    </row>
    <row r="122" spans="1:11">
      <c r="A122" s="134" t="s">
        <v>158</v>
      </c>
      <c r="B122" s="120"/>
      <c r="C122" s="135"/>
      <c r="D122" s="460">
        <v>253</v>
      </c>
      <c r="E122" s="136" t="s">
        <v>159</v>
      </c>
      <c r="F122" s="122" t="str">
        <f>CONCATENATE(C79," ",D79)</f>
        <v>4.3 tons/acre/year</v>
      </c>
      <c r="G122" s="27"/>
      <c r="H122" s="40"/>
      <c r="I122" s="26">
        <f>((D122*C79*C80)+I75)/(H79+1)</f>
        <v>1661.3666666666666</v>
      </c>
      <c r="J122" s="123">
        <f>I122*D$8</f>
        <v>1661366.6666666665</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180</v>
      </c>
      <c r="B125" s="73"/>
      <c r="C125" s="51"/>
      <c r="D125" s="51"/>
      <c r="E125" s="51"/>
      <c r="F125" s="51"/>
      <c r="G125" s="74"/>
      <c r="H125" s="53"/>
      <c r="I125" s="392">
        <f>I122-I119</f>
        <v>1106.6120679999999</v>
      </c>
      <c r="J125" s="393">
        <f>J122-J119</f>
        <v>1106612.068</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181</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45707</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319</v>
      </c>
    </row>
    <row r="138" spans="1:11">
      <c r="A138" s="378" t="s">
        <v>320</v>
      </c>
    </row>
  </sheetData>
  <mergeCells count="1">
    <mergeCell ref="K5:L6"/>
  </mergeCells>
  <conditionalFormatting sqref="A1:K134">
    <cfRule type="containsErrors" dxfId="11" priority="1">
      <formula>ISERROR(A1)</formula>
    </cfRule>
  </conditionalFormatting>
  <hyperlinks>
    <hyperlink ref="A3" r:id="rId1" display="The Estimated Costs of Crop Production publication has more information " xr:uid="{79BDFF12-3BDE-324F-9F5C-BF8E1B6EDAE3}"/>
    <hyperlink ref="A131" r:id="rId2" xr:uid="{DF2B0114-1640-914F-AADE-1BDC0D35A7BE}"/>
    <hyperlink ref="A138" r:id="rId3" xr:uid="{61312965-5746-B444-9FFE-03F3E8F7D7BF}"/>
    <hyperlink ref="K5:L6" location="'Instructions &amp; summary data'!A1" display="Return to instructions page" xr:uid="{CFE0898A-3049-F44A-A57F-579B8B01EDA5}"/>
  </hyperlinks>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BFB6-13E6-734C-8B47-C560968C2226}">
  <dimension ref="A1:O138"/>
  <sheetViews>
    <sheetView workbookViewId="0">
      <selection activeCell="L6" sqref="L6:M7"/>
    </sheetView>
  </sheetViews>
  <sheetFormatPr defaultColWidth="11" defaultRowHeight="15.75"/>
  <cols>
    <col min="2" max="2" width="17.125" customWidth="1"/>
    <col min="4" max="4" width="15.875" customWidth="1"/>
    <col min="5" max="5" width="16.625" customWidth="1"/>
  </cols>
  <sheetData>
    <row r="1" spans="1:15" ht="21" thickBot="1">
      <c r="A1" s="87" t="s">
        <v>117</v>
      </c>
      <c r="B1" s="92"/>
      <c r="C1" s="92"/>
      <c r="D1" s="92"/>
      <c r="E1" s="92"/>
      <c r="F1" s="92"/>
      <c r="G1" s="92"/>
      <c r="H1" s="92"/>
      <c r="I1" s="92"/>
      <c r="J1" s="92"/>
      <c r="K1" s="94"/>
    </row>
    <row r="2" spans="1:15" ht="16.5" thickTop="1">
      <c r="A2" s="1" t="s">
        <v>0</v>
      </c>
      <c r="B2" s="2"/>
      <c r="C2" s="3"/>
      <c r="D2" s="3"/>
      <c r="E2" s="3"/>
      <c r="F2" s="3"/>
      <c r="G2" s="3"/>
      <c r="H2" s="3"/>
      <c r="I2" s="3"/>
      <c r="J2" s="3"/>
      <c r="K2" s="8"/>
    </row>
    <row r="3" spans="1:15">
      <c r="A3" s="4" t="s">
        <v>118</v>
      </c>
      <c r="B3" s="5"/>
      <c r="C3" s="5"/>
      <c r="D3" s="5"/>
      <c r="E3" s="5"/>
      <c r="F3" s="5"/>
      <c r="G3" s="5"/>
      <c r="H3" s="5"/>
      <c r="I3" s="5"/>
      <c r="J3" s="5"/>
      <c r="K3" s="14"/>
    </row>
    <row r="4" spans="1:15">
      <c r="A4" s="6" t="s">
        <v>119</v>
      </c>
      <c r="B4" s="5"/>
      <c r="C4" s="5"/>
      <c r="D4" s="5"/>
      <c r="E4" s="5"/>
      <c r="F4" s="5"/>
      <c r="G4" s="5"/>
      <c r="H4" s="5"/>
      <c r="I4" s="5"/>
      <c r="J4" s="5"/>
      <c r="K4" s="14"/>
    </row>
    <row r="5" spans="1:15">
      <c r="A5" s="349" t="s">
        <v>2</v>
      </c>
      <c r="B5" s="350"/>
      <c r="C5" s="351"/>
      <c r="D5" s="7"/>
      <c r="E5" s="7"/>
      <c r="F5" s="7"/>
      <c r="G5" s="3"/>
      <c r="H5" s="3"/>
      <c r="I5" s="3"/>
      <c r="J5" s="3"/>
      <c r="K5" s="8"/>
    </row>
    <row r="6" spans="1:15">
      <c r="A6" s="8"/>
      <c r="B6" s="3"/>
      <c r="C6" s="3"/>
      <c r="D6" s="7"/>
      <c r="E6" s="7"/>
      <c r="F6" s="7"/>
      <c r="G6" s="3"/>
      <c r="H6" s="3"/>
      <c r="I6" s="3"/>
      <c r="J6" s="3"/>
      <c r="K6" s="8"/>
      <c r="L6" s="491" t="s">
        <v>549</v>
      </c>
      <c r="M6" s="491"/>
    </row>
    <row r="7" spans="1:15">
      <c r="A7" s="9" t="s">
        <v>3</v>
      </c>
      <c r="B7" s="10"/>
      <c r="C7" s="10"/>
      <c r="D7" s="11" t="s">
        <v>5</v>
      </c>
      <c r="E7" s="10"/>
      <c r="F7" s="10"/>
      <c r="G7" s="10"/>
      <c r="H7" s="10"/>
      <c r="I7" s="10"/>
      <c r="J7" s="10"/>
      <c r="K7" s="8"/>
      <c r="L7" s="492"/>
      <c r="M7" s="492"/>
    </row>
    <row r="8" spans="1:15">
      <c r="A8" s="358" t="s">
        <v>6</v>
      </c>
      <c r="B8" s="359"/>
      <c r="C8" s="352"/>
      <c r="D8" s="91">
        <v>100</v>
      </c>
      <c r="E8" s="3"/>
      <c r="F8" s="3"/>
      <c r="G8" s="3"/>
      <c r="H8" s="3"/>
      <c r="I8" s="3"/>
      <c r="J8" s="3"/>
      <c r="K8" s="8"/>
    </row>
    <row r="9" spans="1:15">
      <c r="A9" s="101" t="s">
        <v>120</v>
      </c>
      <c r="B9" s="102"/>
      <c r="C9" s="102"/>
      <c r="D9" s="385">
        <v>2.5</v>
      </c>
      <c r="E9" s="3" t="s">
        <v>121</v>
      </c>
      <c r="F9" s="103"/>
      <c r="G9" s="379">
        <v>2</v>
      </c>
      <c r="H9" s="104" t="s">
        <v>122</v>
      </c>
      <c r="I9" s="13"/>
      <c r="J9" s="105" t="s">
        <v>123</v>
      </c>
      <c r="K9" s="8"/>
    </row>
    <row r="10" spans="1:15">
      <c r="A10" s="14"/>
      <c r="B10" s="7"/>
      <c r="C10" s="7"/>
      <c r="D10" s="7"/>
      <c r="E10" s="7"/>
      <c r="F10" s="7"/>
      <c r="G10" s="7"/>
      <c r="H10" s="7"/>
      <c r="I10" s="7"/>
      <c r="J10" s="7"/>
      <c r="K10" s="8"/>
    </row>
    <row r="11" spans="1:15">
      <c r="A11" s="106" t="s">
        <v>124</v>
      </c>
      <c r="B11" s="16"/>
      <c r="C11" s="17"/>
      <c r="D11" s="17"/>
      <c r="E11" s="17"/>
      <c r="F11" s="17"/>
      <c r="G11" s="18" t="s">
        <v>8</v>
      </c>
      <c r="H11" s="19"/>
      <c r="I11" s="19" t="s">
        <v>9</v>
      </c>
      <c r="J11" s="20" t="s">
        <v>10</v>
      </c>
      <c r="K11" s="8"/>
    </row>
    <row r="12" spans="1:15">
      <c r="A12" s="9" t="s">
        <v>11</v>
      </c>
      <c r="B12" s="10"/>
      <c r="C12" s="10"/>
      <c r="D12" s="10"/>
      <c r="E12" s="10"/>
      <c r="F12" s="10"/>
      <c r="G12" s="21" t="s">
        <v>12</v>
      </c>
      <c r="H12" s="21" t="s">
        <v>13</v>
      </c>
      <c r="I12" s="22" t="s">
        <v>14</v>
      </c>
      <c r="J12" s="22" t="str">
        <f>D8&amp;" Acres"&amp;""</f>
        <v>100 Acres</v>
      </c>
      <c r="K12" s="8"/>
    </row>
    <row r="13" spans="1:15">
      <c r="A13" s="353" t="s">
        <v>125</v>
      </c>
      <c r="B13" s="3"/>
      <c r="C13" s="3"/>
      <c r="D13" s="3"/>
      <c r="E13" s="3"/>
      <c r="F13" s="3"/>
      <c r="G13" s="356">
        <v>4</v>
      </c>
      <c r="H13" s="356">
        <v>2.5</v>
      </c>
      <c r="I13" s="23">
        <f t="shared" ref="I13:I19" si="0">G13+H13</f>
        <v>6.5</v>
      </c>
      <c r="J13" s="24">
        <f t="shared" ref="J13:J20" si="1">$D$8*I13</f>
        <v>650</v>
      </c>
      <c r="K13" s="8"/>
    </row>
    <row r="14" spans="1:15">
      <c r="A14" s="353" t="s">
        <v>126</v>
      </c>
      <c r="B14" s="3"/>
      <c r="C14" s="3"/>
      <c r="D14" s="3"/>
      <c r="E14" s="3"/>
      <c r="F14" s="3"/>
      <c r="G14" s="356">
        <v>16.2</v>
      </c>
      <c r="H14" s="356">
        <v>9</v>
      </c>
      <c r="I14" s="23">
        <f t="shared" si="0"/>
        <v>25.2</v>
      </c>
      <c r="J14" s="24">
        <f t="shared" si="1"/>
        <v>2520</v>
      </c>
      <c r="K14" s="8"/>
      <c r="O14" s="376"/>
    </row>
    <row r="15" spans="1:15">
      <c r="A15" s="353" t="s">
        <v>127</v>
      </c>
      <c r="B15" s="3"/>
      <c r="C15" s="3"/>
      <c r="D15" s="3"/>
      <c r="E15" s="3"/>
      <c r="F15" s="3"/>
      <c r="G15" s="357">
        <v>3.5</v>
      </c>
      <c r="H15" s="357">
        <v>2</v>
      </c>
      <c r="I15" s="23">
        <f t="shared" si="0"/>
        <v>5.5</v>
      </c>
      <c r="J15" s="24">
        <f t="shared" si="1"/>
        <v>550</v>
      </c>
      <c r="K15" s="8"/>
    </row>
    <row r="16" spans="1:15">
      <c r="A16" s="353" t="s">
        <v>128</v>
      </c>
      <c r="B16" s="3"/>
      <c r="C16" s="3"/>
      <c r="D16" s="3"/>
      <c r="E16" s="3"/>
      <c r="F16" s="3"/>
      <c r="G16" s="357">
        <v>3.6</v>
      </c>
      <c r="H16" s="357">
        <v>1.9</v>
      </c>
      <c r="I16" s="23">
        <f t="shared" si="0"/>
        <v>5.5</v>
      </c>
      <c r="J16" s="24">
        <f t="shared" si="1"/>
        <v>550</v>
      </c>
      <c r="K16" s="8"/>
    </row>
    <row r="17" spans="1:11">
      <c r="A17" s="353" t="s">
        <v>129</v>
      </c>
      <c r="B17" s="3"/>
      <c r="C17" s="3"/>
      <c r="D17" s="3"/>
      <c r="E17" s="3"/>
      <c r="F17" s="3"/>
      <c r="G17" s="357">
        <v>8</v>
      </c>
      <c r="H17" s="357">
        <v>5.2</v>
      </c>
      <c r="I17" s="23">
        <f t="shared" si="0"/>
        <v>13.2</v>
      </c>
      <c r="J17" s="24">
        <f t="shared" si="1"/>
        <v>1320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387">
        <f>SUM(G13:G19)</f>
        <v>35.299999999999997</v>
      </c>
      <c r="H20" s="387">
        <f>SUM(H13:H19)</f>
        <v>20.6</v>
      </c>
      <c r="I20" s="29">
        <f>SUM(I13:I19)</f>
        <v>55.900000000000006</v>
      </c>
      <c r="J20" s="30">
        <f t="shared" si="1"/>
        <v>5590.0000000000009</v>
      </c>
      <c r="K20" s="8"/>
    </row>
    <row r="21" spans="1:11">
      <c r="A21" s="28" t="s">
        <v>24</v>
      </c>
      <c r="B21" s="2"/>
      <c r="C21" s="3"/>
      <c r="D21" s="3"/>
      <c r="E21" s="3"/>
      <c r="F21" s="3"/>
      <c r="G21" s="24">
        <f>$D$8*G20</f>
        <v>3529.9999999999995</v>
      </c>
      <c r="H21" s="24">
        <f>$D$8*H20</f>
        <v>2060</v>
      </c>
      <c r="I21" s="30">
        <f>$D$8*I20</f>
        <v>5590.0000000000009</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130</v>
      </c>
      <c r="B24" s="33"/>
      <c r="C24" s="11" t="s">
        <v>26</v>
      </c>
      <c r="D24" s="11"/>
      <c r="E24" s="11" t="s">
        <v>27</v>
      </c>
      <c r="F24" s="10"/>
      <c r="G24" s="21" t="s">
        <v>12</v>
      </c>
      <c r="H24" s="21" t="s">
        <v>13</v>
      </c>
      <c r="I24" s="22" t="s">
        <v>14</v>
      </c>
      <c r="J24" s="22" t="str">
        <f>D8&amp;" Acres"&amp;""</f>
        <v>100 Acres</v>
      </c>
      <c r="K24" s="8"/>
    </row>
    <row r="25" spans="1:11">
      <c r="A25" s="380" t="s">
        <v>473</v>
      </c>
      <c r="B25" s="3"/>
      <c r="C25" s="357">
        <v>4.18</v>
      </c>
      <c r="D25" s="35" t="s">
        <v>132</v>
      </c>
      <c r="E25" s="381">
        <v>15</v>
      </c>
      <c r="F25" s="36" t="s">
        <v>133</v>
      </c>
      <c r="G25" s="31"/>
      <c r="H25" s="23">
        <f>C25*E25</f>
        <v>62.699999999999996</v>
      </c>
      <c r="I25" s="23">
        <f t="shared" ref="I25:I30" si="2">H25</f>
        <v>62.699999999999996</v>
      </c>
      <c r="J25" s="24">
        <f t="shared" ref="J25:J30" si="3">$D$8*I25</f>
        <v>6270</v>
      </c>
      <c r="K25" s="8"/>
    </row>
    <row r="26" spans="1:11">
      <c r="A26" s="380"/>
      <c r="B26" s="3"/>
      <c r="C26" s="357"/>
      <c r="D26" s="35" t="s">
        <v>132</v>
      </c>
      <c r="E26" s="381"/>
      <c r="F26" s="36" t="s">
        <v>133</v>
      </c>
      <c r="G26" s="31"/>
      <c r="H26" s="23">
        <f>C26*E26</f>
        <v>0</v>
      </c>
      <c r="I26" s="23">
        <f t="shared" si="2"/>
        <v>0</v>
      </c>
      <c r="J26" s="24">
        <f t="shared" si="3"/>
        <v>0</v>
      </c>
      <c r="K26" s="8"/>
    </row>
    <row r="27" spans="1:11">
      <c r="A27" s="380"/>
      <c r="B27" s="3"/>
      <c r="C27" s="357"/>
      <c r="D27" s="35" t="s">
        <v>132</v>
      </c>
      <c r="E27" s="381"/>
      <c r="F27" s="36" t="s">
        <v>133</v>
      </c>
      <c r="G27" s="31"/>
      <c r="H27" s="23">
        <f>C27*E27</f>
        <v>0</v>
      </c>
      <c r="I27" s="23">
        <f t="shared" si="2"/>
        <v>0</v>
      </c>
      <c r="J27" s="24">
        <f t="shared" si="3"/>
        <v>0</v>
      </c>
      <c r="K27" s="8"/>
    </row>
    <row r="28" spans="1:11">
      <c r="A28" s="34" t="s">
        <v>134</v>
      </c>
      <c r="B28" s="3"/>
      <c r="C28" s="3"/>
      <c r="D28" s="35"/>
      <c r="E28" s="3"/>
      <c r="F28" s="36"/>
      <c r="G28" s="31"/>
      <c r="H28" s="357">
        <v>22</v>
      </c>
      <c r="I28" s="23">
        <f t="shared" si="2"/>
        <v>22</v>
      </c>
      <c r="J28" s="24">
        <f t="shared" si="3"/>
        <v>2200</v>
      </c>
      <c r="K28" s="8"/>
    </row>
    <row r="29" spans="1:11">
      <c r="A29" s="34" t="s">
        <v>37</v>
      </c>
      <c r="B29" s="3"/>
      <c r="C29" s="3"/>
      <c r="D29" s="35"/>
      <c r="E29" s="3"/>
      <c r="F29" s="36"/>
      <c r="G29" s="31"/>
      <c r="H29" s="357">
        <v>26.3</v>
      </c>
      <c r="I29" s="23">
        <f t="shared" si="2"/>
        <v>26.3</v>
      </c>
      <c r="J29" s="24">
        <f t="shared" si="3"/>
        <v>2630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v>
      </c>
      <c r="K31" s="8"/>
    </row>
    <row r="32" spans="1:11">
      <c r="A32" s="8"/>
      <c r="B32" s="3"/>
      <c r="C32" s="3"/>
      <c r="D32" s="3"/>
      <c r="E32" s="3"/>
      <c r="F32" s="3"/>
      <c r="G32" s="3"/>
      <c r="H32" s="3"/>
      <c r="I32" s="3"/>
      <c r="J32" s="24" t="s">
        <v>44</v>
      </c>
      <c r="K32" s="8"/>
    </row>
    <row r="33" spans="1:11">
      <c r="A33" s="9" t="s">
        <v>135</v>
      </c>
      <c r="B33" s="33"/>
      <c r="C33" s="11" t="s">
        <v>54</v>
      </c>
      <c r="D33" s="11"/>
      <c r="E33" s="11" t="s">
        <v>55</v>
      </c>
      <c r="F33" s="10"/>
      <c r="G33" s="21"/>
      <c r="H33" s="21"/>
      <c r="I33" s="22"/>
      <c r="J33" s="22"/>
      <c r="K33" s="8"/>
    </row>
    <row r="34" spans="1:11">
      <c r="A34" s="34" t="s">
        <v>136</v>
      </c>
      <c r="B34" s="2"/>
      <c r="C34" s="357">
        <v>20.149999999999999</v>
      </c>
      <c r="D34" s="3"/>
      <c r="E34" s="382">
        <v>1</v>
      </c>
      <c r="F34" s="36" t="s">
        <v>137</v>
      </c>
      <c r="G34" s="107">
        <f>E34*C34</f>
        <v>20.149999999999999</v>
      </c>
      <c r="H34" s="31"/>
      <c r="I34" s="23">
        <f>G34</f>
        <v>20.149999999999999</v>
      </c>
      <c r="J34" s="24">
        <f>$D$8*I34</f>
        <v>2014.9999999999998</v>
      </c>
      <c r="K34" s="8"/>
    </row>
    <row r="35" spans="1:11">
      <c r="A35" s="37" t="s">
        <v>21</v>
      </c>
      <c r="B35" s="47"/>
      <c r="C35" s="357">
        <v>20.149999999999999</v>
      </c>
      <c r="D35" s="25"/>
      <c r="E35" s="382">
        <v>0</v>
      </c>
      <c r="F35" s="108" t="s">
        <v>137</v>
      </c>
      <c r="G35" s="26">
        <f>E35*C35</f>
        <v>0</v>
      </c>
      <c r="H35" s="40"/>
      <c r="I35" s="26">
        <f>G35</f>
        <v>0</v>
      </c>
      <c r="J35" s="27">
        <f>$D$8*I35</f>
        <v>0</v>
      </c>
      <c r="K35" s="8"/>
    </row>
    <row r="36" spans="1:11">
      <c r="A36" s="28" t="s">
        <v>138</v>
      </c>
      <c r="B36" s="44"/>
      <c r="C36" s="48"/>
      <c r="D36" s="48"/>
      <c r="E36" s="48"/>
      <c r="F36" s="48"/>
      <c r="G36" s="23">
        <f>SUM(G34:G35)</f>
        <v>20.149999999999999</v>
      </c>
      <c r="H36" s="23"/>
      <c r="I36" s="29">
        <f>I34+I35</f>
        <v>20.149999999999999</v>
      </c>
      <c r="J36" s="30">
        <f>J34+J35</f>
        <v>2014.9999999999998</v>
      </c>
      <c r="K36" s="8"/>
    </row>
    <row r="37" spans="1:11">
      <c r="A37" s="49"/>
      <c r="B37" s="44"/>
      <c r="C37" s="48"/>
      <c r="D37" s="48"/>
      <c r="E37" s="48"/>
      <c r="F37" s="48"/>
      <c r="G37" s="3"/>
      <c r="H37" s="3"/>
      <c r="I37" s="3"/>
      <c r="J37" s="24"/>
      <c r="K37" s="8"/>
    </row>
    <row r="38" spans="1:11">
      <c r="A38" s="106" t="s">
        <v>139</v>
      </c>
      <c r="B38" s="16"/>
      <c r="C38" s="17"/>
      <c r="D38" s="17"/>
      <c r="E38" s="17"/>
      <c r="F38" s="17"/>
      <c r="G38" s="109" t="s">
        <v>12</v>
      </c>
      <c r="H38" s="109" t="s">
        <v>13</v>
      </c>
      <c r="I38" s="19" t="s">
        <v>9</v>
      </c>
      <c r="J38" s="20" t="s">
        <v>10</v>
      </c>
      <c r="K38" s="8"/>
    </row>
    <row r="39" spans="1:11">
      <c r="A39" s="110" t="s">
        <v>140</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141</v>
      </c>
      <c r="B41" s="17"/>
      <c r="C41" s="17"/>
      <c r="D41" s="17"/>
      <c r="E41" s="17"/>
      <c r="F41" s="17"/>
      <c r="G41" s="18" t="s">
        <v>8</v>
      </c>
      <c r="H41" s="19"/>
      <c r="I41" s="19" t="s">
        <v>9</v>
      </c>
      <c r="J41" s="20" t="s">
        <v>10</v>
      </c>
      <c r="K41" s="8"/>
    </row>
    <row r="42" spans="1:11">
      <c r="A42" s="9" t="s">
        <v>142</v>
      </c>
      <c r="B42" s="10"/>
      <c r="C42" s="11" t="s">
        <v>26</v>
      </c>
      <c r="D42" s="11"/>
      <c r="E42" s="11" t="s">
        <v>27</v>
      </c>
      <c r="F42" s="10"/>
      <c r="G42" s="11" t="s">
        <v>12</v>
      </c>
      <c r="H42" s="11" t="s">
        <v>13</v>
      </c>
      <c r="I42" s="22" t="s">
        <v>14</v>
      </c>
      <c r="J42" s="22" t="str">
        <f>D8&amp;" Acres"&amp;""</f>
        <v>100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2029.9999999999998</v>
      </c>
      <c r="K44" s="8"/>
    </row>
    <row r="45" spans="1:11">
      <c r="A45" s="380" t="s">
        <v>35</v>
      </c>
      <c r="B45" s="3"/>
      <c r="C45" s="357">
        <v>0.36</v>
      </c>
      <c r="D45" s="35" t="s">
        <v>32</v>
      </c>
      <c r="E45" s="383">
        <v>125</v>
      </c>
      <c r="F45" s="36" t="s">
        <v>33</v>
      </c>
      <c r="G45" s="31"/>
      <c r="H45" s="23">
        <f>C45*E45</f>
        <v>45</v>
      </c>
      <c r="I45" s="23">
        <f t="shared" si="4"/>
        <v>45</v>
      </c>
      <c r="J45" s="24">
        <f>$D$8*I45</f>
        <v>4500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v>
      </c>
      <c r="K48" s="8"/>
    </row>
    <row r="49" spans="1:11">
      <c r="A49" s="8"/>
      <c r="B49" s="3"/>
      <c r="C49" s="3"/>
      <c r="D49" s="3"/>
      <c r="E49" s="3"/>
      <c r="F49" s="3"/>
      <c r="G49" s="3"/>
      <c r="H49" s="3"/>
      <c r="I49" s="3"/>
      <c r="J49" s="24" t="s">
        <v>44</v>
      </c>
      <c r="K49" s="8"/>
    </row>
    <row r="50" spans="1:11">
      <c r="A50" s="9" t="s">
        <v>143</v>
      </c>
      <c r="B50" s="33"/>
      <c r="C50" s="11" t="s">
        <v>54</v>
      </c>
      <c r="D50" s="11"/>
      <c r="E50" s="11" t="s">
        <v>55</v>
      </c>
      <c r="F50" s="10"/>
      <c r="G50" s="11" t="s">
        <v>12</v>
      </c>
      <c r="H50" s="11" t="s">
        <v>13</v>
      </c>
      <c r="I50" s="116" t="s">
        <v>9</v>
      </c>
      <c r="J50" s="22" t="s">
        <v>10</v>
      </c>
      <c r="K50" s="8"/>
    </row>
    <row r="51" spans="1:11">
      <c r="A51" s="34" t="s">
        <v>144</v>
      </c>
      <c r="B51" s="2"/>
      <c r="C51" s="357">
        <v>20.149999999999999</v>
      </c>
      <c r="D51" s="3"/>
      <c r="E51" s="382">
        <v>3</v>
      </c>
      <c r="F51" s="117" t="s">
        <v>145</v>
      </c>
      <c r="G51" s="23">
        <f>E51*C51</f>
        <v>60.449999999999996</v>
      </c>
      <c r="H51" s="31"/>
      <c r="I51" s="23">
        <f>G51</f>
        <v>60.449999999999996</v>
      </c>
      <c r="J51" s="24">
        <f>$D$8*I51</f>
        <v>6045</v>
      </c>
      <c r="K51" s="8"/>
    </row>
    <row r="52" spans="1:11">
      <c r="A52" s="37" t="s">
        <v>21</v>
      </c>
      <c r="B52" s="47"/>
      <c r="C52" s="357">
        <v>20.149999999999999</v>
      </c>
      <c r="D52" s="25"/>
      <c r="E52" s="382">
        <v>0</v>
      </c>
      <c r="F52" s="108" t="s">
        <v>145</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6045</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v>
      </c>
      <c r="K56" s="8"/>
    </row>
    <row r="57" spans="1:11">
      <c r="A57" s="8"/>
      <c r="B57" s="3"/>
      <c r="C57" s="3"/>
      <c r="D57" s="3"/>
      <c r="E57" s="3"/>
      <c r="F57" s="3"/>
      <c r="G57" s="3"/>
      <c r="H57" s="3"/>
      <c r="I57" s="3"/>
      <c r="J57" s="24" t="s">
        <v>44</v>
      </c>
      <c r="K57" s="8"/>
    </row>
    <row r="58" spans="1:11">
      <c r="A58" s="9" t="s">
        <v>146</v>
      </c>
      <c r="B58" s="16"/>
      <c r="C58" s="109"/>
      <c r="D58" s="109"/>
      <c r="E58" s="109"/>
      <c r="F58" s="17"/>
      <c r="G58" s="109" t="s">
        <v>12</v>
      </c>
      <c r="H58" s="109" t="s">
        <v>13</v>
      </c>
      <c r="I58" s="19" t="s">
        <v>9</v>
      </c>
      <c r="J58" s="20" t="s">
        <v>10</v>
      </c>
      <c r="K58" s="8"/>
    </row>
    <row r="59" spans="1:11">
      <c r="A59" s="367" t="s">
        <v>147</v>
      </c>
      <c r="B59" s="3"/>
      <c r="C59" s="3"/>
      <c r="D59" s="3"/>
      <c r="E59" s="3"/>
      <c r="F59" s="3"/>
      <c r="G59" s="356">
        <v>9.6</v>
      </c>
      <c r="H59" s="356">
        <v>5.5</v>
      </c>
      <c r="I59" s="23">
        <f t="shared" ref="I59:I63" si="5">SUM(G59:H59)</f>
        <v>15.1</v>
      </c>
      <c r="J59" s="24">
        <f>$D$8*I59</f>
        <v>1510</v>
      </c>
      <c r="K59" s="8"/>
    </row>
    <row r="60" spans="1:11">
      <c r="A60" s="368" t="s">
        <v>148</v>
      </c>
      <c r="B60" s="3"/>
      <c r="C60" s="3"/>
      <c r="D60" s="3"/>
      <c r="E60" s="3"/>
      <c r="F60" s="3"/>
      <c r="G60" s="357">
        <v>5.6</v>
      </c>
      <c r="H60" s="357">
        <v>2.5</v>
      </c>
      <c r="I60" s="23">
        <f>SUM(G60:H60)</f>
        <v>8.1</v>
      </c>
      <c r="J60" s="24">
        <f>$D$8*I60</f>
        <v>810</v>
      </c>
      <c r="K60" s="8"/>
    </row>
    <row r="61" spans="1:11">
      <c r="A61" s="368" t="s">
        <v>149</v>
      </c>
      <c r="B61" s="3"/>
      <c r="C61" s="3"/>
      <c r="D61" s="3"/>
      <c r="E61" s="3"/>
      <c r="F61" s="3"/>
      <c r="G61" s="357">
        <v>14.3</v>
      </c>
      <c r="H61" s="357">
        <v>6.7</v>
      </c>
      <c r="I61" s="23">
        <f>SUM(G61:H61)</f>
        <v>21</v>
      </c>
      <c r="J61" s="24">
        <f>$D$8*I61</f>
        <v>2100</v>
      </c>
      <c r="K61" s="8"/>
    </row>
    <row r="62" spans="1:11">
      <c r="A62" s="43" t="s">
        <v>48</v>
      </c>
      <c r="B62" s="3"/>
      <c r="C62" s="357">
        <v>3.35</v>
      </c>
      <c r="D62" s="36" t="s">
        <v>150</v>
      </c>
      <c r="E62" s="357">
        <v>3.82</v>
      </c>
      <c r="F62" s="36" t="s">
        <v>151</v>
      </c>
      <c r="G62" s="23">
        <f>C62*D9</f>
        <v>8.375</v>
      </c>
      <c r="H62" s="23">
        <f>E62*D9</f>
        <v>9.5499999999999989</v>
      </c>
      <c r="I62" s="23">
        <f t="shared" si="5"/>
        <v>17.924999999999997</v>
      </c>
      <c r="J62" s="24">
        <f>$D$8*I62</f>
        <v>1792.4999999999998</v>
      </c>
      <c r="K62" s="8"/>
    </row>
    <row r="63" spans="1:11">
      <c r="A63" s="368" t="s">
        <v>21</v>
      </c>
      <c r="B63" s="25"/>
      <c r="C63" s="25"/>
      <c r="D63" s="25"/>
      <c r="E63" s="25"/>
      <c r="F63" s="25"/>
      <c r="G63" s="357">
        <v>0</v>
      </c>
      <c r="H63" s="357">
        <v>0</v>
      </c>
      <c r="I63" s="26">
        <f t="shared" si="5"/>
        <v>0</v>
      </c>
      <c r="J63" s="27">
        <f>$D$8*I63</f>
        <v>0</v>
      </c>
      <c r="K63" s="8"/>
    </row>
    <row r="64" spans="1:11">
      <c r="A64" s="28" t="s">
        <v>152</v>
      </c>
      <c r="B64" s="2"/>
      <c r="C64" s="3"/>
      <c r="D64" s="3"/>
      <c r="E64" s="3"/>
      <c r="F64" s="3"/>
      <c r="G64" s="23">
        <f>((SUM(G59:G61)+G63)*G9)+G62</f>
        <v>67.375</v>
      </c>
      <c r="H64" s="23">
        <f>((SUM(H59:H61)+H63)*G9)+H62</f>
        <v>38.949999999999996</v>
      </c>
      <c r="I64" s="29">
        <f>SUM(I59:I63)</f>
        <v>62.125</v>
      </c>
      <c r="J64" s="3"/>
      <c r="K64" s="8"/>
    </row>
    <row r="65" spans="1:11">
      <c r="A65" s="28" t="s">
        <v>153</v>
      </c>
      <c r="B65" s="2"/>
      <c r="C65" s="3"/>
      <c r="D65" s="3"/>
      <c r="E65" s="3"/>
      <c r="F65" s="3"/>
      <c r="G65" s="23">
        <f>G64</f>
        <v>67.375</v>
      </c>
      <c r="H65" s="23">
        <f>H64</f>
        <v>38.949999999999996</v>
      </c>
      <c r="I65" s="30">
        <f>G65+H65</f>
        <v>106.32499999999999</v>
      </c>
      <c r="J65" s="3"/>
      <c r="K65" s="8"/>
    </row>
    <row r="66" spans="1:11">
      <c r="A66" s="28" t="s">
        <v>154</v>
      </c>
      <c r="B66" s="2"/>
      <c r="C66" s="3"/>
      <c r="D66" s="3"/>
      <c r="E66" s="3"/>
      <c r="F66" s="3"/>
      <c r="G66" s="23">
        <f>$D$8*G65</f>
        <v>6737.5</v>
      </c>
      <c r="H66" s="23">
        <f>$D$8*H65</f>
        <v>3894.9999999999995</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155</v>
      </c>
      <c r="B69" s="33"/>
      <c r="C69" s="11"/>
      <c r="D69" s="11"/>
      <c r="E69" s="11"/>
      <c r="F69" s="10"/>
      <c r="G69" s="21" t="s">
        <v>12</v>
      </c>
      <c r="H69" s="21" t="s">
        <v>13</v>
      </c>
      <c r="I69" s="22" t="s">
        <v>14</v>
      </c>
      <c r="J69" s="22" t="str">
        <f>D8&amp;" Acres"&amp;""</f>
        <v>100 Acres</v>
      </c>
      <c r="K69" s="8"/>
    </row>
    <row r="70" spans="1:11">
      <c r="A70" s="34" t="s">
        <v>156</v>
      </c>
      <c r="B70" s="3"/>
      <c r="C70" s="3"/>
      <c r="D70" s="3"/>
      <c r="E70" s="3"/>
      <c r="F70" s="3"/>
      <c r="G70" s="23">
        <f>G82+G53+G56+G65</f>
        <v>310.30833333333334</v>
      </c>
      <c r="H70" s="23">
        <f>H82+H48+H65</f>
        <v>148.11666666666665</v>
      </c>
      <c r="I70" s="29">
        <f>G70+H70</f>
        <v>458.42499999999995</v>
      </c>
      <c r="J70" s="23">
        <f>I70*D8</f>
        <v>45842.499999999993</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157</v>
      </c>
      <c r="B73" s="10"/>
      <c r="C73" s="10"/>
      <c r="D73" s="10"/>
      <c r="E73" s="10"/>
      <c r="F73" s="10"/>
      <c r="G73" s="61"/>
      <c r="H73" s="62" t="s">
        <v>69</v>
      </c>
      <c r="I73" s="62" t="s">
        <v>70</v>
      </c>
      <c r="J73" s="63" t="s">
        <v>71</v>
      </c>
      <c r="K73" s="8"/>
    </row>
    <row r="74" spans="1:11">
      <c r="A74" s="37" t="s">
        <v>321</v>
      </c>
      <c r="B74" s="120"/>
      <c r="C74" s="465">
        <v>180</v>
      </c>
      <c r="D74" s="121" t="s">
        <v>159</v>
      </c>
      <c r="E74" s="122" t="str">
        <f>CONCATENATE(D9," ",E9)</f>
        <v>2.5 tons/acre/year</v>
      </c>
      <c r="F74" s="25"/>
      <c r="G74" s="27"/>
      <c r="H74" s="40"/>
      <c r="I74" s="26">
        <f>C74*D9</f>
        <v>450</v>
      </c>
      <c r="J74" s="123">
        <f>I74*D$8</f>
        <v>45000</v>
      </c>
      <c r="K74" s="8"/>
    </row>
    <row r="75" spans="1:11" ht="16.5" thickBot="1">
      <c r="A75" s="72" t="s">
        <v>75</v>
      </c>
      <c r="B75" s="73"/>
      <c r="C75" s="51"/>
      <c r="D75" s="51"/>
      <c r="E75" s="51"/>
      <c r="F75" s="51"/>
      <c r="G75" s="74"/>
      <c r="H75" s="53"/>
      <c r="I75" s="75">
        <f>I74</f>
        <v>450</v>
      </c>
      <c r="J75" s="76">
        <f>J74</f>
        <v>45000</v>
      </c>
      <c r="K75" s="8"/>
    </row>
    <row r="76" spans="1:11" ht="16.5" thickTop="1">
      <c r="A76" s="54" t="s">
        <v>76</v>
      </c>
      <c r="B76" s="77"/>
      <c r="C76" s="78"/>
      <c r="D76" s="78"/>
      <c r="E76" s="78"/>
      <c r="F76" s="78"/>
      <c r="G76" s="79"/>
      <c r="H76" s="80">
        <f>I75-H70</f>
        <v>301.88333333333333</v>
      </c>
      <c r="I76" s="81">
        <f>I75-I70</f>
        <v>-8.4249999999999545</v>
      </c>
      <c r="J76" s="56">
        <f>J70-J75</f>
        <v>842.49999999999272</v>
      </c>
      <c r="K76" s="8"/>
    </row>
    <row r="77" spans="1:11">
      <c r="A77" s="14"/>
      <c r="B77" s="7"/>
      <c r="C77" s="7"/>
      <c r="D77" s="7"/>
      <c r="E77" s="7"/>
      <c r="F77" s="7"/>
      <c r="G77" s="7"/>
      <c r="H77" s="7"/>
      <c r="I77" s="7"/>
      <c r="J77" s="7"/>
      <c r="K77" s="8"/>
    </row>
    <row r="78" spans="1:11" ht="18.75" thickBot="1">
      <c r="A78" s="124" t="s">
        <v>160</v>
      </c>
      <c r="B78" s="125"/>
      <c r="C78" s="125"/>
      <c r="D78" s="126"/>
      <c r="E78" s="125"/>
      <c r="F78" s="125"/>
      <c r="G78" s="125"/>
      <c r="H78" s="125"/>
      <c r="I78" s="125"/>
      <c r="J78" s="125"/>
      <c r="K78" s="8"/>
    </row>
    <row r="79" spans="1:11" ht="16.5" thickTop="1">
      <c r="A79" s="101" t="s">
        <v>161</v>
      </c>
      <c r="B79" s="102"/>
      <c r="C79" s="385">
        <v>6.5</v>
      </c>
      <c r="D79" s="3" t="s">
        <v>121</v>
      </c>
      <c r="E79" s="3"/>
      <c r="F79" s="103"/>
      <c r="G79" s="127" t="s">
        <v>162</v>
      </c>
      <c r="H79" s="384">
        <v>2</v>
      </c>
      <c r="I79" s="128" t="s">
        <v>115</v>
      </c>
      <c r="J79" s="105"/>
      <c r="K79" s="8"/>
    </row>
    <row r="80" spans="1:11">
      <c r="A80" s="101" t="s">
        <v>163</v>
      </c>
      <c r="B80" s="102"/>
      <c r="C80" s="385">
        <v>4</v>
      </c>
      <c r="D80" s="104" t="s">
        <v>164</v>
      </c>
      <c r="E80" s="3"/>
      <c r="F80" s="103"/>
      <c r="G80" s="127" t="s">
        <v>165</v>
      </c>
      <c r="H80" s="3"/>
      <c r="I80" s="13"/>
      <c r="J80" s="3"/>
      <c r="K80" s="8"/>
    </row>
    <row r="81" spans="1:11">
      <c r="A81" s="101"/>
      <c r="B81" s="101"/>
      <c r="C81" s="101"/>
      <c r="D81" s="101"/>
      <c r="E81" s="101"/>
      <c r="F81" s="101"/>
      <c r="G81" s="101"/>
      <c r="H81" s="101"/>
      <c r="I81" s="101"/>
      <c r="J81" s="101"/>
      <c r="K81" s="101"/>
    </row>
    <row r="82" spans="1:11">
      <c r="A82" s="129" t="s">
        <v>166</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116</v>
      </c>
      <c r="B85" s="10"/>
      <c r="C85" s="11" t="s">
        <v>26</v>
      </c>
      <c r="D85" s="11"/>
      <c r="E85" s="11" t="s">
        <v>27</v>
      </c>
      <c r="F85" s="10"/>
      <c r="G85" s="21" t="s">
        <v>12</v>
      </c>
      <c r="H85" s="21" t="s">
        <v>13</v>
      </c>
      <c r="I85" s="22" t="s">
        <v>14</v>
      </c>
      <c r="J85" s="22" t="str">
        <f>D8&amp;" Acres"&amp;""</f>
        <v>100 Acres</v>
      </c>
      <c r="K85" s="8"/>
    </row>
    <row r="86" spans="1:11">
      <c r="A86" s="380" t="s">
        <v>167</v>
      </c>
      <c r="B86" s="3"/>
      <c r="C86" s="3"/>
      <c r="D86" s="3"/>
      <c r="E86" s="3"/>
      <c r="F86" s="3"/>
      <c r="G86" s="356">
        <v>7</v>
      </c>
      <c r="H86" s="356">
        <v>4</v>
      </c>
      <c r="I86" s="23">
        <f t="shared" ref="I86" si="6">H86</f>
        <v>4</v>
      </c>
      <c r="J86" s="24">
        <f>$D$8*I86</f>
        <v>400</v>
      </c>
      <c r="K86" s="8"/>
    </row>
    <row r="87" spans="1:11">
      <c r="A87" s="8" t="s">
        <v>168</v>
      </c>
      <c r="B87" s="3"/>
      <c r="C87" s="3"/>
      <c r="D87" s="3"/>
      <c r="E87" s="3"/>
      <c r="F87" s="3"/>
      <c r="G87" s="3"/>
      <c r="H87" s="3"/>
      <c r="I87" s="3"/>
      <c r="J87" s="24" t="s">
        <v>44</v>
      </c>
      <c r="K87" s="8"/>
    </row>
    <row r="88" spans="1:11">
      <c r="A88" s="380" t="s">
        <v>34</v>
      </c>
      <c r="B88" s="3"/>
      <c r="C88" s="357">
        <v>0.57999999999999996</v>
      </c>
      <c r="D88" s="35" t="s">
        <v>32</v>
      </c>
      <c r="E88" s="383">
        <v>13</v>
      </c>
      <c r="F88" s="36" t="s">
        <v>169</v>
      </c>
      <c r="G88" s="31"/>
      <c r="H88" s="23">
        <f>C88*E88*C79</f>
        <v>49.009999999999991</v>
      </c>
      <c r="I88" s="23">
        <f t="shared" ref="I88:I91" si="7">H88</f>
        <v>49.009999999999991</v>
      </c>
      <c r="J88" s="24">
        <f>$D$8*I88</f>
        <v>4900.9999999999991</v>
      </c>
      <c r="K88" s="8"/>
    </row>
    <row r="89" spans="1:11">
      <c r="A89" s="380" t="s">
        <v>35</v>
      </c>
      <c r="B89" s="3"/>
      <c r="C89" s="357">
        <v>0.36</v>
      </c>
      <c r="D89" s="35" t="s">
        <v>32</v>
      </c>
      <c r="E89" s="383">
        <v>50</v>
      </c>
      <c r="F89" s="36" t="s">
        <v>169</v>
      </c>
      <c r="G89" s="31"/>
      <c r="H89" s="23">
        <f>C89*E89*C79</f>
        <v>117</v>
      </c>
      <c r="I89" s="23">
        <f t="shared" si="7"/>
        <v>117</v>
      </c>
      <c r="J89" s="24">
        <f>$D$8*I89</f>
        <v>11700</v>
      </c>
      <c r="K89" s="8"/>
    </row>
    <row r="90" spans="1:11">
      <c r="A90" s="34" t="s">
        <v>39</v>
      </c>
      <c r="B90" s="3"/>
      <c r="C90" s="3"/>
      <c r="D90" s="35"/>
      <c r="E90" s="3"/>
      <c r="F90" s="36"/>
      <c r="G90" s="31"/>
      <c r="H90" s="357">
        <v>4.6500000000000004</v>
      </c>
      <c r="I90" s="23">
        <f t="shared" si="7"/>
        <v>4.6500000000000004</v>
      </c>
      <c r="J90" s="24">
        <f>$D$8*I90</f>
        <v>465.00000000000006</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174.66</v>
      </c>
      <c r="I92" s="29">
        <f>SUM(I88:I91)</f>
        <v>170.66</v>
      </c>
      <c r="J92" s="30">
        <f>SUM(J88:J91)</f>
        <v>17066</v>
      </c>
      <c r="K92" s="8"/>
    </row>
    <row r="93" spans="1:11">
      <c r="A93" s="8"/>
      <c r="B93" s="3"/>
      <c r="C93" s="3"/>
      <c r="D93" s="3"/>
      <c r="E93" s="3"/>
      <c r="F93" s="3"/>
      <c r="G93" s="3"/>
      <c r="H93" s="3"/>
      <c r="I93" s="3"/>
      <c r="J93" s="24" t="s">
        <v>44</v>
      </c>
      <c r="K93" s="8"/>
    </row>
    <row r="94" spans="1:11">
      <c r="A94" s="9" t="s">
        <v>170</v>
      </c>
      <c r="B94" s="16"/>
      <c r="C94" s="109"/>
      <c r="D94" s="109"/>
      <c r="E94" s="109"/>
      <c r="F94" s="17"/>
      <c r="G94" s="21"/>
      <c r="H94" s="21"/>
      <c r="I94" s="20"/>
      <c r="J94" s="20"/>
      <c r="K94" s="8"/>
    </row>
    <row r="95" spans="1:11">
      <c r="A95" s="367" t="s">
        <v>147</v>
      </c>
      <c r="B95" s="3"/>
      <c r="C95" s="3"/>
      <c r="D95" s="3"/>
      <c r="E95" s="3"/>
      <c r="F95" s="3"/>
      <c r="G95" s="356">
        <v>9.6</v>
      </c>
      <c r="H95" s="356">
        <v>5.5</v>
      </c>
      <c r="I95" s="23">
        <f t="shared" ref="I95" si="8">SUM(G95:H95)</f>
        <v>15.1</v>
      </c>
      <c r="J95" s="24">
        <f>$D$8*I95</f>
        <v>1510</v>
      </c>
      <c r="K95" s="8"/>
    </row>
    <row r="96" spans="1:11">
      <c r="A96" s="368" t="s">
        <v>148</v>
      </c>
      <c r="B96" s="3"/>
      <c r="C96" s="3"/>
      <c r="D96" s="3"/>
      <c r="E96" s="3"/>
      <c r="F96" s="3"/>
      <c r="G96" s="357">
        <v>5.6</v>
      </c>
      <c r="H96" s="357">
        <v>2.5</v>
      </c>
      <c r="I96" s="23">
        <f>SUM(G96:H96)</f>
        <v>8.1</v>
      </c>
      <c r="J96" s="24">
        <f>$D$8*I96</f>
        <v>810</v>
      </c>
      <c r="K96" s="8"/>
    </row>
    <row r="97" spans="1:11">
      <c r="A97" s="368" t="s">
        <v>149</v>
      </c>
      <c r="B97" s="3"/>
      <c r="C97" s="3"/>
      <c r="D97" s="3"/>
      <c r="E97" s="3"/>
      <c r="F97" s="3"/>
      <c r="G97" s="357">
        <v>14.3</v>
      </c>
      <c r="H97" s="357">
        <v>6.7</v>
      </c>
      <c r="I97" s="23">
        <f>SUM(G97:H97)</f>
        <v>21</v>
      </c>
      <c r="J97" s="24">
        <f>$D$8*I97</f>
        <v>2100</v>
      </c>
      <c r="K97" s="8"/>
    </row>
    <row r="98" spans="1:11">
      <c r="A98" s="43" t="s">
        <v>48</v>
      </c>
      <c r="B98" s="3"/>
      <c r="C98" s="357">
        <v>3.35</v>
      </c>
      <c r="D98" s="36" t="s">
        <v>150</v>
      </c>
      <c r="E98" s="357">
        <v>3.82</v>
      </c>
      <c r="F98" s="36" t="s">
        <v>151</v>
      </c>
      <c r="G98" s="23">
        <f>C98*C79</f>
        <v>21.775000000000002</v>
      </c>
      <c r="H98" s="23">
        <f>E98*C79</f>
        <v>24.83</v>
      </c>
      <c r="I98" s="23">
        <f t="shared" ref="I98:I99" si="9">SUM(G98:H98)</f>
        <v>46.605000000000004</v>
      </c>
      <c r="J98" s="24">
        <f>$D$8*I98</f>
        <v>4660.5</v>
      </c>
      <c r="K98" s="8"/>
    </row>
    <row r="99" spans="1:11">
      <c r="A99" s="368" t="s">
        <v>21</v>
      </c>
      <c r="B99" s="25"/>
      <c r="C99" s="25"/>
      <c r="D99" s="25"/>
      <c r="E99" s="25"/>
      <c r="F99" s="25"/>
      <c r="G99" s="357">
        <v>0</v>
      </c>
      <c r="H99" s="357">
        <v>0</v>
      </c>
      <c r="I99" s="26">
        <f t="shared" si="9"/>
        <v>0</v>
      </c>
      <c r="J99" s="27">
        <f>$D$8*I99</f>
        <v>0</v>
      </c>
      <c r="K99" s="8"/>
    </row>
    <row r="100" spans="1:11">
      <c r="A100" s="28" t="s">
        <v>171</v>
      </c>
      <c r="B100" s="3"/>
      <c r="C100" s="3"/>
      <c r="D100" s="3"/>
      <c r="E100" s="3"/>
      <c r="F100" s="3"/>
      <c r="G100" s="131">
        <f>IF(C80&gt;0, G101/C80, 0)</f>
        <v>34.943750000000001</v>
      </c>
      <c r="H100" s="131">
        <f>IF(C80&gt;0, H101/C80, 0)</f>
        <v>20.907499999999999</v>
      </c>
      <c r="I100" s="23"/>
      <c r="J100" s="24"/>
      <c r="K100" s="8"/>
    </row>
    <row r="101" spans="1:11">
      <c r="A101" s="28" t="s">
        <v>153</v>
      </c>
      <c r="B101" s="2"/>
      <c r="C101" s="3"/>
      <c r="D101" s="3"/>
      <c r="E101" s="3"/>
      <c r="F101" s="3"/>
      <c r="G101" s="23">
        <f>((SUM(G95:G97)+G99)*C80)+G98</f>
        <v>139.77500000000001</v>
      </c>
      <c r="H101" s="23">
        <f>((SUM(H95:H97)+H99)*C80)+H98</f>
        <v>83.63</v>
      </c>
      <c r="I101" s="29">
        <f>G101+H101</f>
        <v>223.405</v>
      </c>
      <c r="J101" s="24">
        <f>I101*D8</f>
        <v>22340.5</v>
      </c>
      <c r="K101" s="8"/>
    </row>
    <row r="102" spans="1:11">
      <c r="A102" s="8"/>
      <c r="B102" s="3"/>
      <c r="C102" s="3"/>
      <c r="D102" s="3"/>
      <c r="E102" s="3"/>
      <c r="F102" s="3"/>
      <c r="G102" s="3"/>
      <c r="H102" s="3"/>
      <c r="I102" s="3"/>
      <c r="J102" s="24"/>
      <c r="K102" s="8"/>
    </row>
    <row r="103" spans="1:11">
      <c r="A103" s="9" t="s">
        <v>143</v>
      </c>
      <c r="B103" s="33"/>
      <c r="C103" s="11" t="s">
        <v>54</v>
      </c>
      <c r="D103" s="11"/>
      <c r="E103" s="11" t="s">
        <v>55</v>
      </c>
      <c r="F103" s="10"/>
      <c r="G103" s="21"/>
      <c r="H103" s="21"/>
      <c r="I103" s="22"/>
      <c r="J103" s="22"/>
      <c r="K103" s="8"/>
    </row>
    <row r="104" spans="1:11">
      <c r="A104" s="34" t="s">
        <v>144</v>
      </c>
      <c r="B104" s="2"/>
      <c r="C104" s="357">
        <v>20.149999999999999</v>
      </c>
      <c r="D104" s="3"/>
      <c r="E104" s="386">
        <v>1.3333299999999999</v>
      </c>
      <c r="F104" s="117" t="s">
        <v>145</v>
      </c>
      <c r="G104" s="107">
        <f>E104*C104*C80</f>
        <v>107.46639799999998</v>
      </c>
      <c r="H104" s="31"/>
      <c r="I104" s="23">
        <f>G104</f>
        <v>107.46639799999998</v>
      </c>
      <c r="J104" s="24">
        <f>$D$8*I104</f>
        <v>10746.639799999999</v>
      </c>
      <c r="K104" s="8"/>
    </row>
    <row r="105" spans="1:11">
      <c r="A105" s="37" t="s">
        <v>172</v>
      </c>
      <c r="B105" s="47"/>
      <c r="C105" s="357">
        <v>20.149999999999999</v>
      </c>
      <c r="D105" s="25"/>
      <c r="E105" s="386">
        <v>0</v>
      </c>
      <c r="F105" s="108" t="s">
        <v>145</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89">
        <v>100</v>
      </c>
      <c r="H109" s="31"/>
      <c r="I109" s="29">
        <f>G109</f>
        <v>100</v>
      </c>
      <c r="J109" s="30">
        <f>$D$8*I109</f>
        <v>10000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173</v>
      </c>
      <c r="B112" s="33"/>
      <c r="C112" s="11"/>
      <c r="D112" s="11"/>
      <c r="E112" s="11"/>
      <c r="F112" s="10"/>
      <c r="G112" s="21" t="s">
        <v>12</v>
      </c>
      <c r="H112" s="21" t="s">
        <v>13</v>
      </c>
      <c r="I112" s="22" t="s">
        <v>14</v>
      </c>
      <c r="J112" s="22" t="str">
        <f>D8&amp;" Acres"&amp;""</f>
        <v>100 Acres</v>
      </c>
      <c r="K112" s="8"/>
    </row>
    <row r="113" spans="1:11">
      <c r="A113" s="34" t="s">
        <v>174</v>
      </c>
      <c r="B113" s="3"/>
      <c r="C113" s="3"/>
      <c r="D113" s="3"/>
      <c r="E113" s="3"/>
      <c r="F113" s="3"/>
      <c r="G113" s="23">
        <f>G86+G106+G109+G101+G82</f>
        <v>372.72473133333335</v>
      </c>
      <c r="H113" s="23">
        <f>H92+H101+H82</f>
        <v>302.15666666666664</v>
      </c>
      <c r="I113" s="29">
        <f>G113+H113</f>
        <v>674.88139799999999</v>
      </c>
      <c r="J113" s="29">
        <f>I113*D8</f>
        <v>67488.139800000004</v>
      </c>
      <c r="K113" s="8"/>
    </row>
    <row r="114" spans="1:11">
      <c r="A114" s="34" t="s">
        <v>175</v>
      </c>
      <c r="B114" s="3"/>
      <c r="C114" s="3"/>
      <c r="D114" s="3"/>
      <c r="E114" s="3"/>
      <c r="F114" s="3"/>
      <c r="G114" s="23">
        <f>G113/C79</f>
        <v>57.342266358974364</v>
      </c>
      <c r="H114" s="23">
        <f>H113/C79</f>
        <v>46.485641025641023</v>
      </c>
      <c r="I114" s="29">
        <f>I113/C79</f>
        <v>103.82790738461539</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176</v>
      </c>
      <c r="B118" s="33"/>
      <c r="C118" s="11"/>
      <c r="D118" s="11"/>
      <c r="E118" s="11"/>
      <c r="F118" s="10"/>
      <c r="G118" s="21" t="s">
        <v>12</v>
      </c>
      <c r="H118" s="21" t="s">
        <v>13</v>
      </c>
      <c r="I118" s="22" t="s">
        <v>14</v>
      </c>
      <c r="J118" s="22" t="str">
        <f>D13&amp;" Acres"&amp;""</f>
        <v xml:space="preserve"> Acres</v>
      </c>
      <c r="K118" s="8"/>
    </row>
    <row r="119" spans="1:11">
      <c r="A119" s="34" t="s">
        <v>177</v>
      </c>
      <c r="B119" s="3"/>
      <c r="C119" s="3"/>
      <c r="D119" s="3"/>
      <c r="E119" s="3"/>
      <c r="F119" s="3"/>
      <c r="G119" s="133">
        <f>(G70+(G113*H79))/(H79+1)</f>
        <v>351.91926533333339</v>
      </c>
      <c r="H119" s="133">
        <f>(H70+(H113*H79))/(H79+1)</f>
        <v>250.80999999999997</v>
      </c>
      <c r="I119" s="29">
        <f>G119+H119</f>
        <v>602.72926533333339</v>
      </c>
      <c r="J119" s="29">
        <f>I119*D8</f>
        <v>60272.926533333339</v>
      </c>
      <c r="K119" s="8"/>
    </row>
    <row r="120" spans="1:11">
      <c r="A120" s="34" t="s">
        <v>178</v>
      </c>
      <c r="B120" s="3"/>
      <c r="C120" s="3"/>
      <c r="D120" s="3"/>
      <c r="E120" s="3"/>
      <c r="F120" s="3"/>
      <c r="G120" s="23">
        <f>((G113*H79)+G70)/(D9+(C80*C79))</f>
        <v>37.044133192982457</v>
      </c>
      <c r="H120" s="23">
        <f>((H113*H79)+H70)/(D9+(C80*C79))</f>
        <v>26.401052631578946</v>
      </c>
      <c r="I120" s="29">
        <f>((I113*H79)+I70)/(D9+(C80*C79))</f>
        <v>63.445185824561399</v>
      </c>
      <c r="J120" s="31"/>
      <c r="K120" s="8"/>
    </row>
    <row r="121" spans="1:11">
      <c r="A121" s="34" t="s">
        <v>179</v>
      </c>
      <c r="B121" s="3"/>
      <c r="C121" s="3"/>
      <c r="D121" s="3"/>
      <c r="E121" s="3"/>
      <c r="F121" s="3"/>
      <c r="G121" s="23"/>
      <c r="H121" s="23"/>
      <c r="I121" s="29"/>
      <c r="J121" s="31"/>
      <c r="K121" s="8"/>
    </row>
    <row r="122" spans="1:11">
      <c r="A122" s="134" t="s">
        <v>158</v>
      </c>
      <c r="B122" s="120"/>
      <c r="C122" s="135"/>
      <c r="D122" s="457">
        <v>180</v>
      </c>
      <c r="E122" s="136" t="s">
        <v>159</v>
      </c>
      <c r="F122" s="122" t="str">
        <f>CONCATENATE(C79," ",D79)</f>
        <v>6.5 tons/acre/year</v>
      </c>
      <c r="G122" s="27"/>
      <c r="H122" s="40"/>
      <c r="I122" s="26">
        <f>((D122*C79*C80)+I75)/(H79+1)</f>
        <v>1710</v>
      </c>
      <c r="J122" s="123">
        <f>I122*D$8</f>
        <v>171000</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180</v>
      </c>
      <c r="B125" s="73"/>
      <c r="C125" s="51"/>
      <c r="D125" s="51"/>
      <c r="E125" s="51"/>
      <c r="F125" s="51"/>
      <c r="G125" s="74"/>
      <c r="H125" s="53"/>
      <c r="I125" s="392">
        <f>I122-I119</f>
        <v>1107.2707346666666</v>
      </c>
      <c r="J125" s="393">
        <f>J122-J119</f>
        <v>110727.07346666665</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181</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45707</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319</v>
      </c>
    </row>
    <row r="138" spans="1:11">
      <c r="A138" s="142" t="s">
        <v>320</v>
      </c>
    </row>
  </sheetData>
  <mergeCells count="1">
    <mergeCell ref="L6:M7"/>
  </mergeCells>
  <conditionalFormatting sqref="A1:K134">
    <cfRule type="containsErrors" dxfId="10" priority="1">
      <formula>ISERROR(A1)</formula>
    </cfRule>
  </conditionalFormatting>
  <hyperlinks>
    <hyperlink ref="A3" r:id="rId1" display="The Estimated Costs of Crop Production publication has more information " xr:uid="{AE1C23E5-8C22-9A42-9F53-DADAC5BFF251}"/>
    <hyperlink ref="A131" r:id="rId2" xr:uid="{AA7F267E-B827-0C4C-810E-8F1F47970A49}"/>
    <hyperlink ref="A138" r:id="rId3" xr:uid="{A66E6F87-27F2-1B4C-BBCF-A13386CE6CCB}"/>
    <hyperlink ref="L6:M7" location="'Instructions &amp; summary data'!A1" display="Return to instructions page" xr:uid="{5FA1D311-4293-5543-9CC2-42C5D90C1D94}"/>
  </hyperlinks>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65BE3-6309-5F4C-AD82-BBD04E439FAE}">
  <dimension ref="A1:S65"/>
  <sheetViews>
    <sheetView workbookViewId="0">
      <selection activeCell="N2" sqref="N2:O3"/>
    </sheetView>
  </sheetViews>
  <sheetFormatPr defaultColWidth="9.125" defaultRowHeight="15.75"/>
  <cols>
    <col min="1" max="1" width="14.125" customWidth="1"/>
    <col min="2" max="2" width="25.625" customWidth="1"/>
    <col min="4" max="4" width="9.625" customWidth="1"/>
    <col min="5" max="5" width="10.5" bestFit="1" customWidth="1"/>
    <col min="6" max="6" width="10.5" customWidth="1"/>
    <col min="7" max="16" width="9.375" bestFit="1" customWidth="1"/>
    <col min="17" max="17" width="10.5" style="88" bestFit="1" customWidth="1"/>
    <col min="18" max="18" width="15.5" customWidth="1"/>
    <col min="257" max="257" width="14.125" customWidth="1"/>
    <col min="258" max="258" width="22.5" customWidth="1"/>
    <col min="260" max="260" width="9.625" customWidth="1"/>
    <col min="261" max="261" width="10.5" bestFit="1" customWidth="1"/>
    <col min="262" max="262" width="10.5" customWidth="1"/>
    <col min="274" max="274" width="15.5" customWidth="1"/>
    <col min="513" max="513" width="14.125" customWidth="1"/>
    <col min="514" max="514" width="22.5" customWidth="1"/>
    <col min="516" max="516" width="9.625" customWidth="1"/>
    <col min="517" max="517" width="10.5" bestFit="1" customWidth="1"/>
    <col min="518" max="518" width="10.5" customWidth="1"/>
    <col min="530" max="530" width="15.5" customWidth="1"/>
    <col min="769" max="769" width="14.125" customWidth="1"/>
    <col min="770" max="770" width="22.5" customWidth="1"/>
    <col min="772" max="772" width="9.625" customWidth="1"/>
    <col min="773" max="773" width="10.5" bestFit="1" customWidth="1"/>
    <col min="774" max="774" width="10.5" customWidth="1"/>
    <col min="786" max="786" width="15.5" customWidth="1"/>
    <col min="1025" max="1025" width="14.125" customWidth="1"/>
    <col min="1026" max="1026" width="22.5" customWidth="1"/>
    <col min="1028" max="1028" width="9.625" customWidth="1"/>
    <col min="1029" max="1029" width="10.5" bestFit="1" customWidth="1"/>
    <col min="1030" max="1030" width="10.5" customWidth="1"/>
    <col min="1042" max="1042" width="15.5" customWidth="1"/>
    <col min="1281" max="1281" width="14.125" customWidth="1"/>
    <col min="1282" max="1282" width="22.5" customWidth="1"/>
    <col min="1284" max="1284" width="9.625" customWidth="1"/>
    <col min="1285" max="1285" width="10.5" bestFit="1" customWidth="1"/>
    <col min="1286" max="1286" width="10.5" customWidth="1"/>
    <col min="1298" max="1298" width="15.5" customWidth="1"/>
    <col min="1537" max="1537" width="14.125" customWidth="1"/>
    <col min="1538" max="1538" width="22.5" customWidth="1"/>
    <col min="1540" max="1540" width="9.625" customWidth="1"/>
    <col min="1541" max="1541" width="10.5" bestFit="1" customWidth="1"/>
    <col min="1542" max="1542" width="10.5" customWidth="1"/>
    <col min="1554" max="1554" width="15.5" customWidth="1"/>
    <col min="1793" max="1793" width="14.125" customWidth="1"/>
    <col min="1794" max="1794" width="22.5" customWidth="1"/>
    <col min="1796" max="1796" width="9.625" customWidth="1"/>
    <col min="1797" max="1797" width="10.5" bestFit="1" customWidth="1"/>
    <col min="1798" max="1798" width="10.5" customWidth="1"/>
    <col min="1810" max="1810" width="15.5" customWidth="1"/>
    <col min="2049" max="2049" width="14.125" customWidth="1"/>
    <col min="2050" max="2050" width="22.5" customWidth="1"/>
    <col min="2052" max="2052" width="9.625" customWidth="1"/>
    <col min="2053" max="2053" width="10.5" bestFit="1" customWidth="1"/>
    <col min="2054" max="2054" width="10.5" customWidth="1"/>
    <col min="2066" max="2066" width="15.5" customWidth="1"/>
    <col min="2305" max="2305" width="14.125" customWidth="1"/>
    <col min="2306" max="2306" width="22.5" customWidth="1"/>
    <col min="2308" max="2308" width="9.625" customWidth="1"/>
    <col min="2309" max="2309" width="10.5" bestFit="1" customWidth="1"/>
    <col min="2310" max="2310" width="10.5" customWidth="1"/>
    <col min="2322" max="2322" width="15.5" customWidth="1"/>
    <col min="2561" max="2561" width="14.125" customWidth="1"/>
    <col min="2562" max="2562" width="22.5" customWidth="1"/>
    <col min="2564" max="2564" width="9.625" customWidth="1"/>
    <col min="2565" max="2565" width="10.5" bestFit="1" customWidth="1"/>
    <col min="2566" max="2566" width="10.5" customWidth="1"/>
    <col min="2578" max="2578" width="15.5" customWidth="1"/>
    <col min="2817" max="2817" width="14.125" customWidth="1"/>
    <col min="2818" max="2818" width="22.5" customWidth="1"/>
    <col min="2820" max="2820" width="9.625" customWidth="1"/>
    <col min="2821" max="2821" width="10.5" bestFit="1" customWidth="1"/>
    <col min="2822" max="2822" width="10.5" customWidth="1"/>
    <col min="2834" max="2834" width="15.5" customWidth="1"/>
    <col min="3073" max="3073" width="14.125" customWidth="1"/>
    <col min="3074" max="3074" width="22.5" customWidth="1"/>
    <col min="3076" max="3076" width="9.625" customWidth="1"/>
    <col min="3077" max="3077" width="10.5" bestFit="1" customWidth="1"/>
    <col min="3078" max="3078" width="10.5" customWidth="1"/>
    <col min="3090" max="3090" width="15.5" customWidth="1"/>
    <col min="3329" max="3329" width="14.125" customWidth="1"/>
    <col min="3330" max="3330" width="22.5" customWidth="1"/>
    <col min="3332" max="3332" width="9.625" customWidth="1"/>
    <col min="3333" max="3333" width="10.5" bestFit="1" customWidth="1"/>
    <col min="3334" max="3334" width="10.5" customWidth="1"/>
    <col min="3346" max="3346" width="15.5" customWidth="1"/>
    <col min="3585" max="3585" width="14.125" customWidth="1"/>
    <col min="3586" max="3586" width="22.5" customWidth="1"/>
    <col min="3588" max="3588" width="9.625" customWidth="1"/>
    <col min="3589" max="3589" width="10.5" bestFit="1" customWidth="1"/>
    <col min="3590" max="3590" width="10.5" customWidth="1"/>
    <col min="3602" max="3602" width="15.5" customWidth="1"/>
    <col min="3841" max="3841" width="14.125" customWidth="1"/>
    <col min="3842" max="3842" width="22.5" customWidth="1"/>
    <col min="3844" max="3844" width="9.625" customWidth="1"/>
    <col min="3845" max="3845" width="10.5" bestFit="1" customWidth="1"/>
    <col min="3846" max="3846" width="10.5" customWidth="1"/>
    <col min="3858" max="3858" width="15.5" customWidth="1"/>
    <col min="4097" max="4097" width="14.125" customWidth="1"/>
    <col min="4098" max="4098" width="22.5" customWidth="1"/>
    <col min="4100" max="4100" width="9.625" customWidth="1"/>
    <col min="4101" max="4101" width="10.5" bestFit="1" customWidth="1"/>
    <col min="4102" max="4102" width="10.5" customWidth="1"/>
    <col min="4114" max="4114" width="15.5" customWidth="1"/>
    <col min="4353" max="4353" width="14.125" customWidth="1"/>
    <col min="4354" max="4354" width="22.5" customWidth="1"/>
    <col min="4356" max="4356" width="9.625" customWidth="1"/>
    <col min="4357" max="4357" width="10.5" bestFit="1" customWidth="1"/>
    <col min="4358" max="4358" width="10.5" customWidth="1"/>
    <col min="4370" max="4370" width="15.5" customWidth="1"/>
    <col min="4609" max="4609" width="14.125" customWidth="1"/>
    <col min="4610" max="4610" width="22.5" customWidth="1"/>
    <col min="4612" max="4612" width="9.625" customWidth="1"/>
    <col min="4613" max="4613" width="10.5" bestFit="1" customWidth="1"/>
    <col min="4614" max="4614" width="10.5" customWidth="1"/>
    <col min="4626" max="4626" width="15.5" customWidth="1"/>
    <col min="4865" max="4865" width="14.125" customWidth="1"/>
    <col min="4866" max="4866" width="22.5" customWidth="1"/>
    <col min="4868" max="4868" width="9.625" customWidth="1"/>
    <col min="4869" max="4869" width="10.5" bestFit="1" customWidth="1"/>
    <col min="4870" max="4870" width="10.5" customWidth="1"/>
    <col min="4882" max="4882" width="15.5" customWidth="1"/>
    <col min="5121" max="5121" width="14.125" customWidth="1"/>
    <col min="5122" max="5122" width="22.5" customWidth="1"/>
    <col min="5124" max="5124" width="9.625" customWidth="1"/>
    <col min="5125" max="5125" width="10.5" bestFit="1" customWidth="1"/>
    <col min="5126" max="5126" width="10.5" customWidth="1"/>
    <col min="5138" max="5138" width="15.5" customWidth="1"/>
    <col min="5377" max="5377" width="14.125" customWidth="1"/>
    <col min="5378" max="5378" width="22.5" customWidth="1"/>
    <col min="5380" max="5380" width="9.625" customWidth="1"/>
    <col min="5381" max="5381" width="10.5" bestFit="1" customWidth="1"/>
    <col min="5382" max="5382" width="10.5" customWidth="1"/>
    <col min="5394" max="5394" width="15.5" customWidth="1"/>
    <col min="5633" max="5633" width="14.125" customWidth="1"/>
    <col min="5634" max="5634" width="22.5" customWidth="1"/>
    <col min="5636" max="5636" width="9.625" customWidth="1"/>
    <col min="5637" max="5637" width="10.5" bestFit="1" customWidth="1"/>
    <col min="5638" max="5638" width="10.5" customWidth="1"/>
    <col min="5650" max="5650" width="15.5" customWidth="1"/>
    <col min="5889" max="5889" width="14.125" customWidth="1"/>
    <col min="5890" max="5890" width="22.5" customWidth="1"/>
    <col min="5892" max="5892" width="9.625" customWidth="1"/>
    <col min="5893" max="5893" width="10.5" bestFit="1" customWidth="1"/>
    <col min="5894" max="5894" width="10.5" customWidth="1"/>
    <col min="5906" max="5906" width="15.5" customWidth="1"/>
    <col min="6145" max="6145" width="14.125" customWidth="1"/>
    <col min="6146" max="6146" width="22.5" customWidth="1"/>
    <col min="6148" max="6148" width="9.625" customWidth="1"/>
    <col min="6149" max="6149" width="10.5" bestFit="1" customWidth="1"/>
    <col min="6150" max="6150" width="10.5" customWidth="1"/>
    <col min="6162" max="6162" width="15.5" customWidth="1"/>
    <col min="6401" max="6401" width="14.125" customWidth="1"/>
    <col min="6402" max="6402" width="22.5" customWidth="1"/>
    <col min="6404" max="6404" width="9.625" customWidth="1"/>
    <col min="6405" max="6405" width="10.5" bestFit="1" customWidth="1"/>
    <col min="6406" max="6406" width="10.5" customWidth="1"/>
    <col min="6418" max="6418" width="15.5" customWidth="1"/>
    <col min="6657" max="6657" width="14.125" customWidth="1"/>
    <col min="6658" max="6658" width="22.5" customWidth="1"/>
    <col min="6660" max="6660" width="9.625" customWidth="1"/>
    <col min="6661" max="6661" width="10.5" bestFit="1" customWidth="1"/>
    <col min="6662" max="6662" width="10.5" customWidth="1"/>
    <col min="6674" max="6674" width="15.5" customWidth="1"/>
    <col min="6913" max="6913" width="14.125" customWidth="1"/>
    <col min="6914" max="6914" width="22.5" customWidth="1"/>
    <col min="6916" max="6916" width="9.625" customWidth="1"/>
    <col min="6917" max="6917" width="10.5" bestFit="1" customWidth="1"/>
    <col min="6918" max="6918" width="10.5" customWidth="1"/>
    <col min="6930" max="6930" width="15.5" customWidth="1"/>
    <col min="7169" max="7169" width="14.125" customWidth="1"/>
    <col min="7170" max="7170" width="22.5" customWidth="1"/>
    <col min="7172" max="7172" width="9.625" customWidth="1"/>
    <col min="7173" max="7173" width="10.5" bestFit="1" customWidth="1"/>
    <col min="7174" max="7174" width="10.5" customWidth="1"/>
    <col min="7186" max="7186" width="15.5" customWidth="1"/>
    <col min="7425" max="7425" width="14.125" customWidth="1"/>
    <col min="7426" max="7426" width="22.5" customWidth="1"/>
    <col min="7428" max="7428" width="9.625" customWidth="1"/>
    <col min="7429" max="7429" width="10.5" bestFit="1" customWidth="1"/>
    <col min="7430" max="7430" width="10.5" customWidth="1"/>
    <col min="7442" max="7442" width="15.5" customWidth="1"/>
    <col min="7681" max="7681" width="14.125" customWidth="1"/>
    <col min="7682" max="7682" width="22.5" customWidth="1"/>
    <col min="7684" max="7684" width="9.625" customWidth="1"/>
    <col min="7685" max="7685" width="10.5" bestFit="1" customWidth="1"/>
    <col min="7686" max="7686" width="10.5" customWidth="1"/>
    <col min="7698" max="7698" width="15.5" customWidth="1"/>
    <col min="7937" max="7937" width="14.125" customWidth="1"/>
    <col min="7938" max="7938" width="22.5" customWidth="1"/>
    <col min="7940" max="7940" width="9.625" customWidth="1"/>
    <col min="7941" max="7941" width="10.5" bestFit="1" customWidth="1"/>
    <col min="7942" max="7942" width="10.5" customWidth="1"/>
    <col min="7954" max="7954" width="15.5" customWidth="1"/>
    <col min="8193" max="8193" width="14.125" customWidth="1"/>
    <col min="8194" max="8194" width="22.5" customWidth="1"/>
    <col min="8196" max="8196" width="9.625" customWidth="1"/>
    <col min="8197" max="8197" width="10.5" bestFit="1" customWidth="1"/>
    <col min="8198" max="8198" width="10.5" customWidth="1"/>
    <col min="8210" max="8210" width="15.5" customWidth="1"/>
    <col min="8449" max="8449" width="14.125" customWidth="1"/>
    <col min="8450" max="8450" width="22.5" customWidth="1"/>
    <col min="8452" max="8452" width="9.625" customWidth="1"/>
    <col min="8453" max="8453" width="10.5" bestFit="1" customWidth="1"/>
    <col min="8454" max="8454" width="10.5" customWidth="1"/>
    <col min="8466" max="8466" width="15.5" customWidth="1"/>
    <col min="8705" max="8705" width="14.125" customWidth="1"/>
    <col min="8706" max="8706" width="22.5" customWidth="1"/>
    <col min="8708" max="8708" width="9.625" customWidth="1"/>
    <col min="8709" max="8709" width="10.5" bestFit="1" customWidth="1"/>
    <col min="8710" max="8710" width="10.5" customWidth="1"/>
    <col min="8722" max="8722" width="15.5" customWidth="1"/>
    <col min="8961" max="8961" width="14.125" customWidth="1"/>
    <col min="8962" max="8962" width="22.5" customWidth="1"/>
    <col min="8964" max="8964" width="9.625" customWidth="1"/>
    <col min="8965" max="8965" width="10.5" bestFit="1" customWidth="1"/>
    <col min="8966" max="8966" width="10.5" customWidth="1"/>
    <col min="8978" max="8978" width="15.5" customWidth="1"/>
    <col min="9217" max="9217" width="14.125" customWidth="1"/>
    <col min="9218" max="9218" width="22.5" customWidth="1"/>
    <col min="9220" max="9220" width="9.625" customWidth="1"/>
    <col min="9221" max="9221" width="10.5" bestFit="1" customWidth="1"/>
    <col min="9222" max="9222" width="10.5" customWidth="1"/>
    <col min="9234" max="9234" width="15.5" customWidth="1"/>
    <col min="9473" max="9473" width="14.125" customWidth="1"/>
    <col min="9474" max="9474" width="22.5" customWidth="1"/>
    <col min="9476" max="9476" width="9.625" customWidth="1"/>
    <col min="9477" max="9477" width="10.5" bestFit="1" customWidth="1"/>
    <col min="9478" max="9478" width="10.5" customWidth="1"/>
    <col min="9490" max="9490" width="15.5" customWidth="1"/>
    <col min="9729" max="9729" width="14.125" customWidth="1"/>
    <col min="9730" max="9730" width="22.5" customWidth="1"/>
    <col min="9732" max="9732" width="9.625" customWidth="1"/>
    <col min="9733" max="9733" width="10.5" bestFit="1" customWidth="1"/>
    <col min="9734" max="9734" width="10.5" customWidth="1"/>
    <col min="9746" max="9746" width="15.5" customWidth="1"/>
    <col min="9985" max="9985" width="14.125" customWidth="1"/>
    <col min="9986" max="9986" width="22.5" customWidth="1"/>
    <col min="9988" max="9988" width="9.625" customWidth="1"/>
    <col min="9989" max="9989" width="10.5" bestFit="1" customWidth="1"/>
    <col min="9990" max="9990" width="10.5" customWidth="1"/>
    <col min="10002" max="10002" width="15.5" customWidth="1"/>
    <col min="10241" max="10241" width="14.125" customWidth="1"/>
    <col min="10242" max="10242" width="22.5" customWidth="1"/>
    <col min="10244" max="10244" width="9.625" customWidth="1"/>
    <col min="10245" max="10245" width="10.5" bestFit="1" customWidth="1"/>
    <col min="10246" max="10246" width="10.5" customWidth="1"/>
    <col min="10258" max="10258" width="15.5" customWidth="1"/>
    <col min="10497" max="10497" width="14.125" customWidth="1"/>
    <col min="10498" max="10498" width="22.5" customWidth="1"/>
    <col min="10500" max="10500" width="9.625" customWidth="1"/>
    <col min="10501" max="10501" width="10.5" bestFit="1" customWidth="1"/>
    <col min="10502" max="10502" width="10.5" customWidth="1"/>
    <col min="10514" max="10514" width="15.5" customWidth="1"/>
    <col min="10753" max="10753" width="14.125" customWidth="1"/>
    <col min="10754" max="10754" width="22.5" customWidth="1"/>
    <col min="10756" max="10756" width="9.625" customWidth="1"/>
    <col min="10757" max="10757" width="10.5" bestFit="1" customWidth="1"/>
    <col min="10758" max="10758" width="10.5" customWidth="1"/>
    <col min="10770" max="10770" width="15.5" customWidth="1"/>
    <col min="11009" max="11009" width="14.125" customWidth="1"/>
    <col min="11010" max="11010" width="22.5" customWidth="1"/>
    <col min="11012" max="11012" width="9.625" customWidth="1"/>
    <col min="11013" max="11013" width="10.5" bestFit="1" customWidth="1"/>
    <col min="11014" max="11014" width="10.5" customWidth="1"/>
    <col min="11026" max="11026" width="15.5" customWidth="1"/>
    <col min="11265" max="11265" width="14.125" customWidth="1"/>
    <col min="11266" max="11266" width="22.5" customWidth="1"/>
    <col min="11268" max="11268" width="9.625" customWidth="1"/>
    <col min="11269" max="11269" width="10.5" bestFit="1" customWidth="1"/>
    <col min="11270" max="11270" width="10.5" customWidth="1"/>
    <col min="11282" max="11282" width="15.5" customWidth="1"/>
    <col min="11521" max="11521" width="14.125" customWidth="1"/>
    <col min="11522" max="11522" width="22.5" customWidth="1"/>
    <col min="11524" max="11524" width="9.625" customWidth="1"/>
    <col min="11525" max="11525" width="10.5" bestFit="1" customWidth="1"/>
    <col min="11526" max="11526" width="10.5" customWidth="1"/>
    <col min="11538" max="11538" width="15.5" customWidth="1"/>
    <col min="11777" max="11777" width="14.125" customWidth="1"/>
    <col min="11778" max="11778" width="22.5" customWidth="1"/>
    <col min="11780" max="11780" width="9.625" customWidth="1"/>
    <col min="11781" max="11781" width="10.5" bestFit="1" customWidth="1"/>
    <col min="11782" max="11782" width="10.5" customWidth="1"/>
    <col min="11794" max="11794" width="15.5" customWidth="1"/>
    <col min="12033" max="12033" width="14.125" customWidth="1"/>
    <col min="12034" max="12034" width="22.5" customWidth="1"/>
    <col min="12036" max="12036" width="9.625" customWidth="1"/>
    <col min="12037" max="12037" width="10.5" bestFit="1" customWidth="1"/>
    <col min="12038" max="12038" width="10.5" customWidth="1"/>
    <col min="12050" max="12050" width="15.5" customWidth="1"/>
    <col min="12289" max="12289" width="14.125" customWidth="1"/>
    <col min="12290" max="12290" width="22.5" customWidth="1"/>
    <col min="12292" max="12292" width="9.625" customWidth="1"/>
    <col min="12293" max="12293" width="10.5" bestFit="1" customWidth="1"/>
    <col min="12294" max="12294" width="10.5" customWidth="1"/>
    <col min="12306" max="12306" width="15.5" customWidth="1"/>
    <col min="12545" max="12545" width="14.125" customWidth="1"/>
    <col min="12546" max="12546" width="22.5" customWidth="1"/>
    <col min="12548" max="12548" width="9.625" customWidth="1"/>
    <col min="12549" max="12549" width="10.5" bestFit="1" customWidth="1"/>
    <col min="12550" max="12550" width="10.5" customWidth="1"/>
    <col min="12562" max="12562" width="15.5" customWidth="1"/>
    <col min="12801" max="12801" width="14.125" customWidth="1"/>
    <col min="12802" max="12802" width="22.5" customWidth="1"/>
    <col min="12804" max="12804" width="9.625" customWidth="1"/>
    <col min="12805" max="12805" width="10.5" bestFit="1" customWidth="1"/>
    <col min="12806" max="12806" width="10.5" customWidth="1"/>
    <col min="12818" max="12818" width="15.5" customWidth="1"/>
    <col min="13057" max="13057" width="14.125" customWidth="1"/>
    <col min="13058" max="13058" width="22.5" customWidth="1"/>
    <col min="13060" max="13060" width="9.625" customWidth="1"/>
    <col min="13061" max="13061" width="10.5" bestFit="1" customWidth="1"/>
    <col min="13062" max="13062" width="10.5" customWidth="1"/>
    <col min="13074" max="13074" width="15.5" customWidth="1"/>
    <col min="13313" max="13313" width="14.125" customWidth="1"/>
    <col min="13314" max="13314" width="22.5" customWidth="1"/>
    <col min="13316" max="13316" width="9.625" customWidth="1"/>
    <col min="13317" max="13317" width="10.5" bestFit="1" customWidth="1"/>
    <col min="13318" max="13318" width="10.5" customWidth="1"/>
    <col min="13330" max="13330" width="15.5" customWidth="1"/>
    <col min="13569" max="13569" width="14.125" customWidth="1"/>
    <col min="13570" max="13570" width="22.5" customWidth="1"/>
    <col min="13572" max="13572" width="9.625" customWidth="1"/>
    <col min="13573" max="13573" width="10.5" bestFit="1" customWidth="1"/>
    <col min="13574" max="13574" width="10.5" customWidth="1"/>
    <col min="13586" max="13586" width="15.5" customWidth="1"/>
    <col min="13825" max="13825" width="14.125" customWidth="1"/>
    <col min="13826" max="13826" width="22.5" customWidth="1"/>
    <col min="13828" max="13828" width="9.625" customWidth="1"/>
    <col min="13829" max="13829" width="10.5" bestFit="1" customWidth="1"/>
    <col min="13830" max="13830" width="10.5" customWidth="1"/>
    <col min="13842" max="13842" width="15.5" customWidth="1"/>
    <col min="14081" max="14081" width="14.125" customWidth="1"/>
    <col min="14082" max="14082" width="22.5" customWidth="1"/>
    <col min="14084" max="14084" width="9.625" customWidth="1"/>
    <col min="14085" max="14085" width="10.5" bestFit="1" customWidth="1"/>
    <col min="14086" max="14086" width="10.5" customWidth="1"/>
    <col min="14098" max="14098" width="15.5" customWidth="1"/>
    <col min="14337" max="14337" width="14.125" customWidth="1"/>
    <col min="14338" max="14338" width="22.5" customWidth="1"/>
    <col min="14340" max="14340" width="9.625" customWidth="1"/>
    <col min="14341" max="14341" width="10.5" bestFit="1" customWidth="1"/>
    <col min="14342" max="14342" width="10.5" customWidth="1"/>
    <col min="14354" max="14354" width="15.5" customWidth="1"/>
    <col min="14593" max="14593" width="14.125" customWidth="1"/>
    <col min="14594" max="14594" width="22.5" customWidth="1"/>
    <col min="14596" max="14596" width="9.625" customWidth="1"/>
    <col min="14597" max="14597" width="10.5" bestFit="1" customWidth="1"/>
    <col min="14598" max="14598" width="10.5" customWidth="1"/>
    <col min="14610" max="14610" width="15.5" customWidth="1"/>
    <col min="14849" max="14849" width="14.125" customWidth="1"/>
    <col min="14850" max="14850" width="22.5" customWidth="1"/>
    <col min="14852" max="14852" width="9.625" customWidth="1"/>
    <col min="14853" max="14853" width="10.5" bestFit="1" customWidth="1"/>
    <col min="14854" max="14854" width="10.5" customWidth="1"/>
    <col min="14866" max="14866" width="15.5" customWidth="1"/>
    <col min="15105" max="15105" width="14.125" customWidth="1"/>
    <col min="15106" max="15106" width="22.5" customWidth="1"/>
    <col min="15108" max="15108" width="9.625" customWidth="1"/>
    <col min="15109" max="15109" width="10.5" bestFit="1" customWidth="1"/>
    <col min="15110" max="15110" width="10.5" customWidth="1"/>
    <col min="15122" max="15122" width="15.5" customWidth="1"/>
    <col min="15361" max="15361" width="14.125" customWidth="1"/>
    <col min="15362" max="15362" width="22.5" customWidth="1"/>
    <col min="15364" max="15364" width="9.625" customWidth="1"/>
    <col min="15365" max="15365" width="10.5" bestFit="1" customWidth="1"/>
    <col min="15366" max="15366" width="10.5" customWidth="1"/>
    <col min="15378" max="15378" width="15.5" customWidth="1"/>
    <col min="15617" max="15617" width="14.125" customWidth="1"/>
    <col min="15618" max="15618" width="22.5" customWidth="1"/>
    <col min="15620" max="15620" width="9.625" customWidth="1"/>
    <col min="15621" max="15621" width="10.5" bestFit="1" customWidth="1"/>
    <col min="15622" max="15622" width="10.5" customWidth="1"/>
    <col min="15634" max="15634" width="15.5" customWidth="1"/>
    <col min="15873" max="15873" width="14.125" customWidth="1"/>
    <col min="15874" max="15874" width="22.5" customWidth="1"/>
    <col min="15876" max="15876" width="9.625" customWidth="1"/>
    <col min="15877" max="15877" width="10.5" bestFit="1" customWidth="1"/>
    <col min="15878" max="15878" width="10.5" customWidth="1"/>
    <col min="15890" max="15890" width="15.5" customWidth="1"/>
    <col min="16129" max="16129" width="14.125" customWidth="1"/>
    <col min="16130" max="16130" width="22.5" customWidth="1"/>
    <col min="16132" max="16132" width="9.625" customWidth="1"/>
    <col min="16133" max="16133" width="10.5" bestFit="1" customWidth="1"/>
    <col min="16134" max="16134" width="10.5" customWidth="1"/>
    <col min="16146" max="16146" width="15.5" customWidth="1"/>
  </cols>
  <sheetData>
    <row r="1" spans="1:18">
      <c r="A1" s="472"/>
    </row>
    <row r="2" spans="1:18" ht="16.5" thickBot="1">
      <c r="D2" s="164" t="s">
        <v>385</v>
      </c>
      <c r="F2" s="236"/>
      <c r="N2" s="491" t="s">
        <v>549</v>
      </c>
      <c r="O2" s="491"/>
    </row>
    <row r="3" spans="1:18" ht="42" customHeight="1" thickBot="1">
      <c r="A3" s="251" t="s">
        <v>323</v>
      </c>
      <c r="C3" s="164"/>
      <c r="D3" s="252">
        <v>0.05</v>
      </c>
      <c r="F3" s="164"/>
      <c r="G3" s="88"/>
      <c r="H3" s="88"/>
      <c r="I3" s="88"/>
      <c r="J3" s="88"/>
      <c r="K3" s="88"/>
      <c r="L3" s="88"/>
      <c r="M3" s="88"/>
      <c r="N3" s="492"/>
      <c r="O3" s="492"/>
      <c r="P3" s="88"/>
    </row>
    <row r="4" spans="1:18">
      <c r="A4" t="s">
        <v>324</v>
      </c>
      <c r="F4" s="499" t="s">
        <v>325</v>
      </c>
      <c r="G4" s="499"/>
      <c r="H4" s="499"/>
      <c r="I4" s="499"/>
      <c r="J4" s="499"/>
      <c r="K4" s="499"/>
      <c r="L4" s="499"/>
      <c r="M4" s="499"/>
      <c r="N4" s="499"/>
      <c r="O4" s="499"/>
      <c r="P4" s="499"/>
    </row>
    <row r="5" spans="1:18" ht="32.25" thickBot="1">
      <c r="A5" s="253"/>
      <c r="B5" s="253"/>
      <c r="C5" s="253" t="s">
        <v>182</v>
      </c>
      <c r="D5" s="253" t="s">
        <v>183</v>
      </c>
      <c r="E5" s="253" t="s">
        <v>326</v>
      </c>
      <c r="F5" s="254" t="s">
        <v>327</v>
      </c>
      <c r="G5" s="255" t="s">
        <v>328</v>
      </c>
      <c r="H5" s="255" t="s">
        <v>329</v>
      </c>
      <c r="I5" s="255" t="s">
        <v>330</v>
      </c>
      <c r="J5" s="255" t="s">
        <v>331</v>
      </c>
      <c r="K5" s="255" t="s">
        <v>332</v>
      </c>
      <c r="L5" s="255" t="s">
        <v>333</v>
      </c>
      <c r="M5" s="255" t="s">
        <v>334</v>
      </c>
      <c r="N5" s="255" t="s">
        <v>335</v>
      </c>
      <c r="O5" s="255" t="s">
        <v>336</v>
      </c>
      <c r="P5" s="255" t="s">
        <v>337</v>
      </c>
      <c r="Q5" s="256" t="s">
        <v>338</v>
      </c>
      <c r="R5" s="256" t="s">
        <v>339</v>
      </c>
    </row>
    <row r="6" spans="1:18" ht="16.5" thickBot="1">
      <c r="A6" t="s">
        <v>340</v>
      </c>
      <c r="F6" s="257"/>
      <c r="G6" s="258"/>
      <c r="H6" s="258"/>
      <c r="I6" s="258"/>
      <c r="J6" s="258"/>
      <c r="K6" s="258"/>
      <c r="L6" s="258"/>
      <c r="M6" s="258"/>
      <c r="N6" s="258"/>
      <c r="O6" s="258"/>
      <c r="P6" s="258"/>
      <c r="Q6" s="259"/>
      <c r="R6" s="260"/>
    </row>
    <row r="7" spans="1:18" ht="18" thickBot="1">
      <c r="A7" t="s">
        <v>193</v>
      </c>
      <c r="B7" t="s">
        <v>341</v>
      </c>
      <c r="C7" s="176">
        <v>2.8</v>
      </c>
      <c r="D7" t="s">
        <v>342</v>
      </c>
      <c r="F7" s="261"/>
      <c r="G7" s="262">
        <v>0</v>
      </c>
      <c r="H7" s="262">
        <f>(C7*0.5)</f>
        <v>1.4</v>
      </c>
      <c r="I7" s="262">
        <f>$C$7</f>
        <v>2.8</v>
      </c>
      <c r="J7" s="262">
        <f t="shared" ref="J7:P7" si="0">$C$7</f>
        <v>2.8</v>
      </c>
      <c r="K7" s="262">
        <f t="shared" si="0"/>
        <v>2.8</v>
      </c>
      <c r="L7" s="262">
        <f t="shared" si="0"/>
        <v>2.8</v>
      </c>
      <c r="M7" s="262">
        <f t="shared" si="0"/>
        <v>2.8</v>
      </c>
      <c r="N7" s="262">
        <f t="shared" si="0"/>
        <v>2.8</v>
      </c>
      <c r="O7" s="262">
        <f t="shared" si="0"/>
        <v>2.8</v>
      </c>
      <c r="P7" s="262">
        <f t="shared" si="0"/>
        <v>2.8</v>
      </c>
      <c r="Q7" s="263"/>
      <c r="R7" s="264"/>
    </row>
    <row r="8" spans="1:18" ht="16.5" thickBot="1">
      <c r="B8" t="s">
        <v>343</v>
      </c>
      <c r="E8" s="461">
        <v>60</v>
      </c>
      <c r="F8" s="265">
        <v>0</v>
      </c>
      <c r="G8" s="266">
        <f>(G$7*$E8)/1+$D$3^1</f>
        <v>0.05</v>
      </c>
      <c r="H8" s="266">
        <f>(H$7*$E8)/(1+$D$3)^2</f>
        <v>76.19047619047619</v>
      </c>
      <c r="I8" s="266">
        <f>(I$7*$E8)/(1+$D$3)^3</f>
        <v>145.12471655328795</v>
      </c>
      <c r="J8" s="266">
        <f>(J$7*$E8)/(1+$D$3)^4</f>
        <v>138.21401576503618</v>
      </c>
      <c r="K8" s="266">
        <f>(K$7*$E8)/(1+$D$3)^5</f>
        <v>131.6323959667011</v>
      </c>
      <c r="L8" s="266">
        <f>(L$7*$E8)/(1+$D$3)^6</f>
        <v>125.36418663495344</v>
      </c>
      <c r="M8" s="266">
        <f>(M$7*$E8)/(1+$D$3)^7</f>
        <v>119.3944634618604</v>
      </c>
      <c r="N8" s="266">
        <f>(N$7*$E8)/(1+$D$3)^8</f>
        <v>113.70901282081945</v>
      </c>
      <c r="O8" s="266">
        <f>(O$7*$E8)/(1+$D$3)^9</f>
        <v>108.29429792458994</v>
      </c>
      <c r="P8" s="266">
        <f>(P$7*$E8)/(1+$D$3)^10</f>
        <v>103.13742659484757</v>
      </c>
      <c r="Q8" s="263">
        <f>SUM(G8:P8)</f>
        <v>1061.1109919125722</v>
      </c>
      <c r="R8" s="267">
        <f>Q8*(($D$48*(1+$D$48)^10)/ (((1+$D$48)^10)-1))</f>
        <v>137.41872799881182</v>
      </c>
    </row>
    <row r="9" spans="1:18">
      <c r="A9" s="198"/>
      <c r="B9" s="198"/>
      <c r="C9" s="198"/>
      <c r="D9" s="198"/>
      <c r="E9" s="268"/>
      <c r="F9" s="269"/>
      <c r="G9" s="270"/>
      <c r="H9" s="270"/>
      <c r="I9" s="270"/>
      <c r="J9" s="270"/>
      <c r="K9" s="270"/>
      <c r="L9" s="270"/>
      <c r="M9" s="270"/>
      <c r="N9" s="270"/>
      <c r="O9" s="270"/>
      <c r="P9" s="270"/>
      <c r="Q9" s="271"/>
      <c r="R9" s="272"/>
    </row>
    <row r="10" spans="1:18">
      <c r="A10" t="s">
        <v>344</v>
      </c>
      <c r="E10" s="169"/>
      <c r="F10" s="273"/>
      <c r="G10" s="274"/>
      <c r="H10" s="274"/>
      <c r="I10" s="274"/>
      <c r="J10" s="274"/>
      <c r="K10" s="274"/>
      <c r="L10" s="274"/>
      <c r="M10" s="274"/>
      <c r="N10" s="274"/>
      <c r="O10" s="274"/>
      <c r="P10" s="274"/>
      <c r="Q10" s="275"/>
      <c r="R10" s="276"/>
    </row>
    <row r="11" spans="1:18">
      <c r="E11" s="169"/>
      <c r="F11" s="269"/>
      <c r="G11" s="270"/>
      <c r="H11" s="270"/>
      <c r="I11" s="270"/>
      <c r="J11" s="270"/>
      <c r="K11" s="270"/>
      <c r="L11" s="270"/>
      <c r="M11" s="270"/>
      <c r="N11" s="270"/>
      <c r="O11" s="270"/>
      <c r="P11" s="270"/>
      <c r="Q11" s="271"/>
      <c r="R11" s="272"/>
    </row>
    <row r="12" spans="1:18">
      <c r="A12" s="277" t="s">
        <v>345</v>
      </c>
      <c r="B12" s="277"/>
      <c r="C12" s="277"/>
      <c r="D12" s="277"/>
      <c r="E12" s="278"/>
      <c r="F12" s="273"/>
      <c r="G12" s="274"/>
      <c r="H12" s="274"/>
      <c r="I12" s="274"/>
      <c r="J12" s="274"/>
      <c r="K12" s="274"/>
      <c r="L12" s="274"/>
      <c r="M12" s="274"/>
      <c r="N12" s="274"/>
      <c r="O12" s="274"/>
      <c r="P12" s="274"/>
      <c r="Q12" s="275"/>
      <c r="R12" s="276"/>
    </row>
    <row r="13" spans="1:18">
      <c r="B13" t="s">
        <v>346</v>
      </c>
      <c r="C13">
        <v>1</v>
      </c>
      <c r="D13" t="s">
        <v>185</v>
      </c>
      <c r="E13" s="315">
        <v>-64</v>
      </c>
      <c r="F13" s="292">
        <f>C13*E13</f>
        <v>-64</v>
      </c>
      <c r="G13" s="293">
        <v>0</v>
      </c>
      <c r="H13" s="293">
        <v>0</v>
      </c>
      <c r="I13" s="293">
        <v>0</v>
      </c>
      <c r="J13" s="293">
        <v>0</v>
      </c>
      <c r="K13" s="293">
        <v>0</v>
      </c>
      <c r="L13" s="293">
        <v>0</v>
      </c>
      <c r="M13" s="293">
        <v>0</v>
      </c>
      <c r="N13" s="293">
        <v>0</v>
      </c>
      <c r="O13" s="293">
        <v>0</v>
      </c>
      <c r="P13" s="293">
        <v>0</v>
      </c>
      <c r="Q13" s="294">
        <f>F13</f>
        <v>-64</v>
      </c>
      <c r="R13" s="295">
        <f>Q13*(($D$48*(1+$D$48)^10)/ (((1+$D$48)^10)-1))</f>
        <v>-8.2882927977892287</v>
      </c>
    </row>
    <row r="14" spans="1:18">
      <c r="A14" s="198"/>
      <c r="B14" s="198"/>
      <c r="C14" s="198"/>
      <c r="D14" s="198"/>
      <c r="E14" s="280"/>
      <c r="F14" s="281"/>
      <c r="G14" s="296"/>
      <c r="H14" s="296"/>
      <c r="I14" s="296"/>
      <c r="J14" s="296"/>
      <c r="K14" s="296"/>
      <c r="L14" s="296"/>
      <c r="M14" s="296"/>
      <c r="N14" s="296"/>
      <c r="O14" s="296"/>
      <c r="P14" s="296"/>
      <c r="Q14" s="297"/>
      <c r="R14" s="298"/>
    </row>
    <row r="15" spans="1:18">
      <c r="A15" s="277" t="s">
        <v>186</v>
      </c>
      <c r="B15" s="277"/>
      <c r="C15" s="277"/>
      <c r="D15" s="277"/>
      <c r="E15" s="316"/>
      <c r="F15" s="279"/>
      <c r="G15" s="293"/>
      <c r="H15" s="293"/>
      <c r="I15" s="293"/>
      <c r="J15" s="293"/>
      <c r="K15" s="293"/>
      <c r="L15" s="293"/>
      <c r="M15" s="293"/>
      <c r="N15" s="293"/>
      <c r="O15" s="293"/>
      <c r="P15" s="293"/>
      <c r="Q15" s="294"/>
      <c r="R15" s="295"/>
    </row>
    <row r="16" spans="1:18">
      <c r="B16" t="s">
        <v>383</v>
      </c>
      <c r="C16" s="140">
        <v>5</v>
      </c>
      <c r="D16" t="s">
        <v>347</v>
      </c>
      <c r="E16" s="319">
        <v>-23</v>
      </c>
      <c r="F16" s="279">
        <v>0</v>
      </c>
      <c r="G16" s="293">
        <f>(E16*C16)/1+D3^1</f>
        <v>-114.95</v>
      </c>
      <c r="H16" s="293">
        <v>0</v>
      </c>
      <c r="I16" s="293">
        <v>0</v>
      </c>
      <c r="J16" s="293">
        <v>0</v>
      </c>
      <c r="K16" s="293">
        <v>0</v>
      </c>
      <c r="L16" s="293">
        <v>0</v>
      </c>
      <c r="M16" s="293">
        <v>0</v>
      </c>
      <c r="N16" s="293">
        <v>0</v>
      </c>
      <c r="O16" s="293">
        <v>0</v>
      </c>
      <c r="P16" s="293">
        <v>0</v>
      </c>
      <c r="Q16" s="294">
        <f>G16</f>
        <v>-114.95</v>
      </c>
      <c r="R16" s="295">
        <f>Q16*(($D$48*(1+$D$48)^10)/ (((1+$D$48)^10)-1))</f>
        <v>-14.886550892279248</v>
      </c>
    </row>
    <row r="17" spans="1:19">
      <c r="A17" s="198"/>
      <c r="B17" s="198"/>
      <c r="C17" s="198"/>
      <c r="D17" s="198"/>
      <c r="E17" s="280"/>
      <c r="F17" s="281"/>
      <c r="G17" s="296"/>
      <c r="H17" s="296"/>
      <c r="I17" s="296"/>
      <c r="J17" s="296"/>
      <c r="K17" s="296"/>
      <c r="L17" s="296"/>
      <c r="M17" s="296"/>
      <c r="N17" s="296"/>
      <c r="O17" s="296"/>
      <c r="P17" s="296"/>
      <c r="Q17" s="297"/>
      <c r="R17" s="298"/>
    </row>
    <row r="18" spans="1:19" ht="17.25">
      <c r="A18" t="s">
        <v>348</v>
      </c>
      <c r="B18" t="s">
        <v>349</v>
      </c>
      <c r="C18" s="313">
        <v>50</v>
      </c>
      <c r="D18" t="s">
        <v>350</v>
      </c>
      <c r="E18" s="319">
        <v>-0.46</v>
      </c>
      <c r="F18" s="299">
        <v>0</v>
      </c>
      <c r="G18" s="300">
        <f>($E18*$C18)/(1+$D$3)^1</f>
        <v>-21.904761904761905</v>
      </c>
      <c r="H18" s="300">
        <v>0</v>
      </c>
      <c r="I18" s="300">
        <v>0</v>
      </c>
      <c r="J18" s="300">
        <v>0</v>
      </c>
      <c r="K18" s="300">
        <v>0</v>
      </c>
      <c r="L18" s="300">
        <v>0</v>
      </c>
      <c r="M18" s="300">
        <v>0</v>
      </c>
      <c r="N18" s="300">
        <v>0</v>
      </c>
      <c r="O18" s="300">
        <v>0</v>
      </c>
      <c r="P18" s="300">
        <v>0</v>
      </c>
      <c r="Q18" s="301">
        <f>SUM(G18:P18)</f>
        <v>-21.904761904761905</v>
      </c>
      <c r="R18" s="302">
        <f>Q18*(($D$48*(1+$D$48)^10)/ (((1+$D$48)^10)-1))</f>
        <v>-2.836766880195718</v>
      </c>
    </row>
    <row r="19" spans="1:19">
      <c r="E19" s="139"/>
      <c r="F19" s="292"/>
      <c r="G19" s="293"/>
      <c r="H19" s="293"/>
      <c r="I19" s="293"/>
      <c r="J19" s="293"/>
      <c r="K19" s="293"/>
      <c r="L19" s="293"/>
      <c r="M19" s="293"/>
      <c r="N19" s="293"/>
      <c r="O19" s="293"/>
      <c r="P19" s="293"/>
      <c r="Q19" s="294"/>
      <c r="R19" s="295"/>
    </row>
    <row r="20" spans="1:19">
      <c r="B20" t="s">
        <v>351</v>
      </c>
      <c r="C20" s="313">
        <v>10</v>
      </c>
      <c r="D20" t="s">
        <v>352</v>
      </c>
      <c r="E20" s="319">
        <v>-0.46</v>
      </c>
      <c r="F20" s="292">
        <v>0</v>
      </c>
      <c r="G20" s="293">
        <f>$E20*$C20*0</f>
        <v>0</v>
      </c>
      <c r="H20" s="293">
        <f>($C20*$E20*H7)/(1+$D$3)^2</f>
        <v>-5.8412698412698418</v>
      </c>
      <c r="I20" s="293">
        <f>($C20*$E20*I7)/(1+$D$3)^3</f>
        <v>-11.126228269085411</v>
      </c>
      <c r="J20" s="293">
        <f>($C20*$E20*J7)/(1+$D$3)^4</f>
        <v>-10.596407875319441</v>
      </c>
      <c r="K20" s="293">
        <f>($C20*$E20*K7)/(1+$D$3)^5</f>
        <v>-10.091817024113752</v>
      </c>
      <c r="L20" s="293">
        <f>($C20*$E20*L7)/(1+$D$3)^6</f>
        <v>-9.611254308679765</v>
      </c>
      <c r="M20" s="293">
        <f>($C20*$E20*M7)/(1+$D$3)^7</f>
        <v>-9.1535755320759655</v>
      </c>
      <c r="N20" s="293">
        <f>($C20*$E20*N7)/(1+$D$3)^8</f>
        <v>-8.7176909829294917</v>
      </c>
      <c r="O20" s="293">
        <f>($C20*$E20*O7)/(1+$D$3)^9</f>
        <v>-8.3025628408852299</v>
      </c>
      <c r="P20" s="293">
        <f>($C20*$E20*P7)/(1+$D$3)^10</f>
        <v>-7.9072027056049805</v>
      </c>
      <c r="Q20" s="294">
        <f>SUM(G20:P20)</f>
        <v>-81.348009379963884</v>
      </c>
      <c r="R20" s="295">
        <f>Q20*(($D$48*(1+$D$48)^10)/ (((1+$D$48)^10)-1))</f>
        <v>-10.534939379038207</v>
      </c>
    </row>
    <row r="21" spans="1:19">
      <c r="A21" s="198"/>
      <c r="B21" s="198"/>
      <c r="C21" s="198"/>
      <c r="D21" s="198"/>
      <c r="E21" s="280"/>
      <c r="F21" s="281"/>
      <c r="G21" s="296"/>
      <c r="H21" s="296"/>
      <c r="I21" s="296"/>
      <c r="J21" s="296"/>
      <c r="K21" s="296"/>
      <c r="L21" s="296"/>
      <c r="M21" s="296"/>
      <c r="N21" s="296"/>
      <c r="O21" s="296"/>
      <c r="P21" s="296"/>
      <c r="Q21" s="297"/>
      <c r="R21" s="298"/>
    </row>
    <row r="22" spans="1:19">
      <c r="A22" t="s">
        <v>353</v>
      </c>
      <c r="E22" s="139"/>
      <c r="F22" s="303"/>
      <c r="G22" s="300"/>
      <c r="H22" s="300"/>
      <c r="I22" s="300"/>
      <c r="J22" s="300"/>
      <c r="K22" s="300"/>
      <c r="L22" s="300"/>
      <c r="M22" s="300"/>
      <c r="N22" s="300"/>
      <c r="O22" s="300"/>
      <c r="P22" s="300"/>
      <c r="Q22" s="301"/>
      <c r="R22" s="302"/>
    </row>
    <row r="23" spans="1:19">
      <c r="B23" t="s">
        <v>188</v>
      </c>
      <c r="C23" s="314">
        <v>32</v>
      </c>
      <c r="D23" t="s">
        <v>354</v>
      </c>
      <c r="E23" s="315">
        <v>-0.2</v>
      </c>
      <c r="F23" s="279">
        <v>0</v>
      </c>
      <c r="G23" s="293">
        <f>(E23*C23)/(1+$D$3)^1</f>
        <v>-6.0952380952380949</v>
      </c>
      <c r="H23" s="293">
        <v>0</v>
      </c>
      <c r="I23" s="293">
        <v>0</v>
      </c>
      <c r="J23" s="293">
        <v>0</v>
      </c>
      <c r="K23" s="293">
        <v>0</v>
      </c>
      <c r="L23" s="293">
        <v>0</v>
      </c>
      <c r="M23" s="293">
        <v>0</v>
      </c>
      <c r="N23" s="293">
        <v>0</v>
      </c>
      <c r="O23" s="293">
        <v>0</v>
      </c>
      <c r="P23" s="293">
        <v>0</v>
      </c>
      <c r="Q23" s="294">
        <f>SUM(G23:P23)</f>
        <v>-6.0952380952380949</v>
      </c>
      <c r="R23" s="295">
        <f>Q23*(($D$48*(1+$D$48)^10)/ (((1+$D$48)^10)-1))</f>
        <v>-0.78936121883706933</v>
      </c>
    </row>
    <row r="24" spans="1:19">
      <c r="B24" t="s">
        <v>355</v>
      </c>
      <c r="C24" s="314">
        <v>4</v>
      </c>
      <c r="D24" t="s">
        <v>356</v>
      </c>
      <c r="E24" s="315">
        <v>-4.38</v>
      </c>
      <c r="F24" s="279">
        <v>0</v>
      </c>
      <c r="G24" s="293">
        <f>(E24*C24)/(1+$D$3)^1</f>
        <v>-16.685714285714283</v>
      </c>
      <c r="H24" s="293">
        <v>0</v>
      </c>
      <c r="I24" s="293">
        <v>0</v>
      </c>
      <c r="J24" s="293">
        <v>0</v>
      </c>
      <c r="K24" s="293">
        <v>0</v>
      </c>
      <c r="L24" s="293">
        <v>0</v>
      </c>
      <c r="M24" s="293">
        <v>0</v>
      </c>
      <c r="N24" s="293">
        <v>0</v>
      </c>
      <c r="O24" s="293">
        <v>0</v>
      </c>
      <c r="P24" s="293">
        <v>0</v>
      </c>
      <c r="Q24" s="294">
        <f>SUM(G24:P24)</f>
        <v>-16.685714285714283</v>
      </c>
      <c r="R24" s="295">
        <f>Q24*(($D$48*(1+$D$48)^10)/ (((1+$D$48)^10)-1))</f>
        <v>-2.1608763365664774</v>
      </c>
    </row>
    <row r="25" spans="1:19">
      <c r="A25" s="198"/>
      <c r="B25" s="198"/>
      <c r="C25" s="198"/>
      <c r="D25" s="198"/>
      <c r="E25" s="280"/>
      <c r="F25" s="281"/>
      <c r="G25" s="296"/>
      <c r="H25" s="296"/>
      <c r="I25" s="296"/>
      <c r="J25" s="296"/>
      <c r="K25" s="296"/>
      <c r="L25" s="296"/>
      <c r="M25" s="296"/>
      <c r="N25" s="296"/>
      <c r="O25" s="296"/>
      <c r="P25" s="296"/>
      <c r="Q25" s="297"/>
      <c r="R25" s="298"/>
    </row>
    <row r="26" spans="1:19">
      <c r="A26" t="s">
        <v>357</v>
      </c>
      <c r="E26" s="139"/>
      <c r="F26" s="303"/>
      <c r="G26" s="300"/>
      <c r="H26" s="300"/>
      <c r="I26" s="300"/>
      <c r="J26" s="300"/>
      <c r="K26" s="300"/>
      <c r="L26" s="300"/>
      <c r="M26" s="300"/>
      <c r="N26" s="300"/>
      <c r="O26" s="300"/>
      <c r="P26" s="300"/>
      <c r="Q26" s="301"/>
      <c r="R26" s="302"/>
    </row>
    <row r="27" spans="1:19">
      <c r="B27" t="s">
        <v>358</v>
      </c>
      <c r="C27">
        <v>2</v>
      </c>
      <c r="D27" t="s">
        <v>185</v>
      </c>
      <c r="E27" s="319">
        <v>-17.55</v>
      </c>
      <c r="F27" s="279">
        <v>0</v>
      </c>
      <c r="G27" s="293">
        <f>(E27*C27)/(1+$D$3)^1</f>
        <v>-33.428571428571431</v>
      </c>
      <c r="H27" s="293">
        <v>0</v>
      </c>
      <c r="I27" s="293">
        <v>0</v>
      </c>
      <c r="J27" s="293">
        <v>0</v>
      </c>
      <c r="K27" s="293">
        <v>0</v>
      </c>
      <c r="L27" s="293">
        <v>0</v>
      </c>
      <c r="M27" s="293">
        <v>0</v>
      </c>
      <c r="N27" s="293">
        <v>0</v>
      </c>
      <c r="O27" s="293">
        <v>0</v>
      </c>
      <c r="P27" s="293">
        <v>0</v>
      </c>
      <c r="Q27" s="294">
        <f>SUM(G27:P27)</f>
        <v>-33.428571428571431</v>
      </c>
      <c r="R27" s="295">
        <f>Q27*(($D$48*(1+$D$48)^10)/ (((1+$D$48)^10)-1))</f>
        <v>-4.329152934559553</v>
      </c>
    </row>
    <row r="28" spans="1:19">
      <c r="B28" t="s">
        <v>359</v>
      </c>
      <c r="C28">
        <v>2</v>
      </c>
      <c r="D28" t="s">
        <v>185</v>
      </c>
      <c r="E28" s="319">
        <v>-18.25</v>
      </c>
      <c r="F28" s="279">
        <v>0</v>
      </c>
      <c r="G28" s="293">
        <f>(E28*C28)/(1+$D$3)^1</f>
        <v>-34.761904761904759</v>
      </c>
      <c r="H28" s="293">
        <v>0</v>
      </c>
      <c r="I28" s="293">
        <v>0</v>
      </c>
      <c r="J28" s="293">
        <v>0</v>
      </c>
      <c r="K28" s="293">
        <v>0</v>
      </c>
      <c r="L28" s="293">
        <v>0</v>
      </c>
      <c r="M28" s="293">
        <v>0</v>
      </c>
      <c r="N28" s="293">
        <v>0</v>
      </c>
      <c r="O28" s="293">
        <v>0</v>
      </c>
      <c r="P28" s="293">
        <v>0</v>
      </c>
      <c r="Q28" s="294">
        <f>SUM(G28:P28)</f>
        <v>-34.761904761904759</v>
      </c>
      <c r="R28" s="295">
        <f>Q28*(($D$48*(1+$D$48)^10)/ (((1+$D$48)^10)-1))</f>
        <v>-4.5018257011801612</v>
      </c>
    </row>
    <row r="29" spans="1:19">
      <c r="B29" t="s">
        <v>360</v>
      </c>
      <c r="C29">
        <v>1</v>
      </c>
      <c r="D29" s="143" t="s">
        <v>185</v>
      </c>
      <c r="E29" s="319">
        <v>-25.25</v>
      </c>
      <c r="F29" s="279">
        <v>0</v>
      </c>
      <c r="G29" s="293">
        <f>(E29*C29)/(1+$D$3)^1</f>
        <v>-24.047619047619047</v>
      </c>
      <c r="H29" s="293">
        <v>0</v>
      </c>
      <c r="I29" s="293">
        <v>0</v>
      </c>
      <c r="J29" s="293">
        <v>0</v>
      </c>
      <c r="K29" s="293">
        <v>0</v>
      </c>
      <c r="L29" s="293">
        <v>0</v>
      </c>
      <c r="M29" s="293">
        <v>0</v>
      </c>
      <c r="N29" s="293">
        <v>0</v>
      </c>
      <c r="O29" s="293">
        <v>0</v>
      </c>
      <c r="P29" s="293">
        <v>0</v>
      </c>
      <c r="Q29" s="294">
        <f>SUM(G29:P29)</f>
        <v>-24.047619047619047</v>
      </c>
      <c r="R29" s="295">
        <f>Q29*(($D$48*(1+$D$48)^10)/ (((1+$D$48)^10)-1))</f>
        <v>-3.1142766836931255</v>
      </c>
    </row>
    <row r="30" spans="1:19">
      <c r="B30" t="s">
        <v>361</v>
      </c>
      <c r="C30">
        <v>1</v>
      </c>
      <c r="D30" t="s">
        <v>185</v>
      </c>
      <c r="E30" s="319">
        <v>-8.35</v>
      </c>
      <c r="F30" s="279">
        <v>0</v>
      </c>
      <c r="G30" s="293">
        <f>(E30*C30)/(1+$D$3)^1</f>
        <v>-7.9523809523809517</v>
      </c>
      <c r="H30" s="293">
        <v>0</v>
      </c>
      <c r="I30" s="293">
        <v>0</v>
      </c>
      <c r="J30" s="293">
        <v>0</v>
      </c>
      <c r="K30" s="293">
        <v>0</v>
      </c>
      <c r="L30" s="293">
        <v>0</v>
      </c>
      <c r="M30" s="293">
        <v>0</v>
      </c>
      <c r="N30" s="293">
        <v>0</v>
      </c>
      <c r="O30" s="293">
        <v>0</v>
      </c>
      <c r="P30" s="293">
        <v>0</v>
      </c>
      <c r="Q30" s="294">
        <f>SUM(G30:P30)</f>
        <v>-7.9523809523809517</v>
      </c>
      <c r="R30" s="295">
        <f>Q30*(($D$48*(1+$D$48)^10)/ (((1+$D$48)^10)-1))</f>
        <v>-1.0298697152014888</v>
      </c>
    </row>
    <row r="31" spans="1:19">
      <c r="A31" s="198"/>
      <c r="B31" s="198"/>
      <c r="C31" s="198"/>
      <c r="D31" s="198"/>
      <c r="E31" s="268"/>
      <c r="F31" s="281"/>
      <c r="G31" s="296"/>
      <c r="H31" s="296"/>
      <c r="I31" s="296"/>
      <c r="J31" s="296"/>
      <c r="K31" s="296"/>
      <c r="L31" s="296"/>
      <c r="M31" s="296"/>
      <c r="N31" s="296"/>
      <c r="O31" s="296"/>
      <c r="P31" s="296"/>
      <c r="Q31" s="297"/>
      <c r="R31" s="298"/>
      <c r="S31" s="291"/>
    </row>
    <row r="32" spans="1:19">
      <c r="A32" t="s">
        <v>362</v>
      </c>
      <c r="E32" s="169"/>
      <c r="F32" s="303"/>
      <c r="G32" s="300"/>
      <c r="H32" s="300"/>
      <c r="I32" s="300"/>
      <c r="J32" s="300"/>
      <c r="K32" s="300"/>
      <c r="L32" s="300"/>
      <c r="M32" s="300"/>
      <c r="N32" s="300"/>
      <c r="O32" s="300"/>
      <c r="P32" s="300"/>
      <c r="Q32" s="301"/>
      <c r="R32" s="302"/>
    </row>
    <row r="33" spans="1:19">
      <c r="A33" s="317">
        <v>-13.7</v>
      </c>
      <c r="B33" t="s">
        <v>363</v>
      </c>
      <c r="C33">
        <v>0</v>
      </c>
      <c r="D33" t="s">
        <v>185</v>
      </c>
      <c r="E33" s="319">
        <v>0</v>
      </c>
      <c r="F33" s="279">
        <v>0</v>
      </c>
      <c r="G33" s="293">
        <v>0</v>
      </c>
      <c r="H33" s="293">
        <f>($E33*$C33*0.5)/(1+$D$3)^2</f>
        <v>0</v>
      </c>
      <c r="I33" s="293">
        <f>($E33*$C33)/(1+$D$3)^3</f>
        <v>0</v>
      </c>
      <c r="J33" s="293">
        <f>($E33*$C33)/(1+$D$3)^4</f>
        <v>0</v>
      </c>
      <c r="K33" s="293">
        <f>($E33*$C33)/(1+$D$3)^5</f>
        <v>0</v>
      </c>
      <c r="L33" s="293">
        <f>($E33*$C33)/(1+$D$3)^6</f>
        <v>0</v>
      </c>
      <c r="M33" s="293">
        <f>($E33*$C33)/(1+$D$3)^7</f>
        <v>0</v>
      </c>
      <c r="N33" s="293">
        <f>($E33*$C33)/(1+$D$3)^8</f>
        <v>0</v>
      </c>
      <c r="O33" s="293">
        <f>($E33*$C33)/(1+$D$3)^9</f>
        <v>0</v>
      </c>
      <c r="P33" s="293">
        <f>($E33*$C33)/(1+$D$3)^10</f>
        <v>0</v>
      </c>
      <c r="Q33" s="294">
        <f>SUM(G33:P33)</f>
        <v>0</v>
      </c>
      <c r="R33" s="295">
        <f>Q33*(($D$48*(1+$D$48)^10)/ (((1+$D$48)^10)-1))</f>
        <v>0</v>
      </c>
    </row>
    <row r="34" spans="1:19">
      <c r="A34" s="317">
        <v>-8.35</v>
      </c>
      <c r="B34" t="s">
        <v>364</v>
      </c>
      <c r="C34">
        <v>0</v>
      </c>
      <c r="D34" t="s">
        <v>185</v>
      </c>
      <c r="E34" s="319">
        <v>0</v>
      </c>
      <c r="F34" s="279">
        <v>0</v>
      </c>
      <c r="G34" s="293">
        <v>0</v>
      </c>
      <c r="H34" s="293">
        <f>($E34*$C34*0.5)/(1+$D$3)^2</f>
        <v>0</v>
      </c>
      <c r="I34" s="293">
        <f>($E34*$C34)/(1+$D$3)^3</f>
        <v>0</v>
      </c>
      <c r="J34" s="293">
        <f>($E34*$C34)/(1+$D$3)^4</f>
        <v>0</v>
      </c>
      <c r="K34" s="293">
        <f>($E34*$C34)/(1+$D$3)^5</f>
        <v>0</v>
      </c>
      <c r="L34" s="293">
        <f>($E34*$C34)/(1+$D$3)^6</f>
        <v>0</v>
      </c>
      <c r="M34" s="293">
        <f>($E34*$C34)/(1+$D$3)^7</f>
        <v>0</v>
      </c>
      <c r="N34" s="293">
        <f>($E34*$C34)/(1+$D$3)^8</f>
        <v>0</v>
      </c>
      <c r="O34" s="293">
        <f>($E34*$C34)/(1+$D$3)^9</f>
        <v>0</v>
      </c>
      <c r="P34" s="293">
        <f>($E34*$C34)/(1+$D$3)^10</f>
        <v>0</v>
      </c>
      <c r="Q34" s="294">
        <f>SUM(G34:P34)</f>
        <v>0</v>
      </c>
      <c r="R34" s="295">
        <f>Q34*(($D$48*(1+$D$48)^10)/ (((1+$D$48)^10)-1))</f>
        <v>0</v>
      </c>
    </row>
    <row r="35" spans="1:19">
      <c r="A35" s="317">
        <v>-17.8</v>
      </c>
      <c r="B35" t="s">
        <v>365</v>
      </c>
      <c r="C35">
        <v>0</v>
      </c>
      <c r="D35" t="s">
        <v>185</v>
      </c>
      <c r="E35" s="319">
        <v>0</v>
      </c>
      <c r="F35" s="279">
        <v>0</v>
      </c>
      <c r="G35" s="293">
        <v>0</v>
      </c>
      <c r="H35" s="293">
        <f>($E35*$C35*0.5)/(1+$D$3)^2</f>
        <v>0</v>
      </c>
      <c r="I35" s="293">
        <f>($E35*$C35)/(1+$D$3)^3</f>
        <v>0</v>
      </c>
      <c r="J35" s="293">
        <f>($E35*$C35)/(1+$D$3)^4</f>
        <v>0</v>
      </c>
      <c r="K35" s="293">
        <f>($E35*$C35)/(1+$D$3)^5</f>
        <v>0</v>
      </c>
      <c r="L35" s="293">
        <f>($E35*$C35)/(1+$D$3)^6</f>
        <v>0</v>
      </c>
      <c r="M35" s="293">
        <f>($E35*$C35)/(1+$D$3)^7</f>
        <v>0</v>
      </c>
      <c r="N35" s="293">
        <f>($E35*$C35)/(1+$D$3)^8</f>
        <v>0</v>
      </c>
      <c r="O35" s="293">
        <f>($E35*$C35)/(1+$D$3)^9</f>
        <v>0</v>
      </c>
      <c r="P35" s="293">
        <f>($E35*$C35)/(1+$D$3)^10</f>
        <v>0</v>
      </c>
      <c r="Q35" s="294"/>
      <c r="R35" s="295"/>
    </row>
    <row r="36" spans="1:19">
      <c r="A36" s="318">
        <v>-17.8</v>
      </c>
      <c r="B36" t="s">
        <v>366</v>
      </c>
      <c r="C36" s="196">
        <v>0</v>
      </c>
      <c r="D36" t="s">
        <v>367</v>
      </c>
      <c r="E36" s="319">
        <v>0</v>
      </c>
      <c r="F36" s="279">
        <v>0</v>
      </c>
      <c r="G36" s="293">
        <v>0</v>
      </c>
      <c r="H36" s="293">
        <f>($E36*$C$7*0.5)/(1+$D$3)^2</f>
        <v>0</v>
      </c>
      <c r="I36" s="293">
        <f>($E36*$C7)/(1+$D$3)^3</f>
        <v>0</v>
      </c>
      <c r="J36" s="293">
        <f>($E36*$C7)/(1+$D$3)^4</f>
        <v>0</v>
      </c>
      <c r="K36" s="293">
        <f>($E36*$C7)/(1+$D$3)^5</f>
        <v>0</v>
      </c>
      <c r="L36" s="293">
        <f>($E36*$C7)/(1+$D$3)^6</f>
        <v>0</v>
      </c>
      <c r="M36" s="293">
        <f>($E36*$C7)/(1+$D$3)^7</f>
        <v>0</v>
      </c>
      <c r="N36" s="293">
        <f>($E36*$C7)/(1+$D$3)^8</f>
        <v>0</v>
      </c>
      <c r="O36" s="293">
        <f>($E36*$C7)/(1+$D$3)^9</f>
        <v>0</v>
      </c>
      <c r="P36" s="293">
        <f>($E36*$C7)/(1+$D$3)^10</f>
        <v>0</v>
      </c>
      <c r="Q36" s="294">
        <f t="shared" ref="Q36:Q41" si="1">SUM(G36:P36)</f>
        <v>0</v>
      </c>
      <c r="R36" s="295">
        <f t="shared" ref="R36:R41" si="2">Q36*(($D$48*(1+$D$48)^10)/ (((1+$D$48)^10)-1))</f>
        <v>0</v>
      </c>
    </row>
    <row r="37" spans="1:19">
      <c r="A37" s="318">
        <v>-3.45</v>
      </c>
      <c r="B37" t="s">
        <v>368</v>
      </c>
      <c r="C37" s="196">
        <v>0</v>
      </c>
      <c r="D37" t="s">
        <v>367</v>
      </c>
      <c r="E37" s="319">
        <v>0</v>
      </c>
      <c r="F37" s="281">
        <v>0</v>
      </c>
      <c r="G37" s="296">
        <v>0</v>
      </c>
      <c r="H37" s="296">
        <f>($E37*$C7*0.5)/(1+$D$3)^2</f>
        <v>0</v>
      </c>
      <c r="I37" s="296">
        <f>($E37*$C7)/(1+$D$3)^3</f>
        <v>0</v>
      </c>
      <c r="J37" s="296">
        <f>($E37*$C7)/(1+$D$3)^4</f>
        <v>0</v>
      </c>
      <c r="K37" s="296">
        <f>($E37*$C7)/(1+$D$3)^5</f>
        <v>0</v>
      </c>
      <c r="L37" s="296">
        <f>($E37*$C7)/(1+$D$3)^6</f>
        <v>0</v>
      </c>
      <c r="M37" s="296">
        <f>($E37*$C7)/(1+$D$3)^7</f>
        <v>0</v>
      </c>
      <c r="N37" s="296">
        <f>($E37*$C7)/(1+$D$3)^8</f>
        <v>0</v>
      </c>
      <c r="O37" s="296">
        <f>($E37*$C7)/(1+$D$3)^9</f>
        <v>0</v>
      </c>
      <c r="P37" s="296">
        <f>($E37*$C7)/(1+$D$3)^10</f>
        <v>0</v>
      </c>
      <c r="Q37" s="297">
        <f t="shared" si="1"/>
        <v>0</v>
      </c>
      <c r="R37" s="298">
        <f t="shared" si="2"/>
        <v>0</v>
      </c>
    </row>
    <row r="38" spans="1:19">
      <c r="A38" s="277" t="s">
        <v>369</v>
      </c>
      <c r="B38" s="282" t="s">
        <v>370</v>
      </c>
      <c r="C38" s="283"/>
      <c r="D38" t="s">
        <v>371</v>
      </c>
      <c r="E38" s="320">
        <v>-116</v>
      </c>
      <c r="F38" s="279">
        <v>0</v>
      </c>
      <c r="G38" s="293">
        <f>$E$38/(1+$D$48)^1</f>
        <v>-110.47619047619047</v>
      </c>
      <c r="H38" s="293">
        <f>$E$38/(1+$D$48)^2</f>
        <v>-105.21541950113378</v>
      </c>
      <c r="I38" s="293">
        <f>$E$38/(1+$D$48)^3</f>
        <v>-100.20516142965121</v>
      </c>
      <c r="J38" s="293">
        <f>$E$38/(1+$D$48)^4</f>
        <v>-95.433487075858309</v>
      </c>
      <c r="K38" s="293">
        <f>$E$38/(1+$D$48)^5</f>
        <v>-90.889035310341242</v>
      </c>
      <c r="L38" s="293">
        <f>$E$38/(1+$D$48)^6</f>
        <v>-86.560986009848804</v>
      </c>
      <c r="M38" s="293">
        <f>$E$38/(1+$D$48)^7</f>
        <v>-82.439034295094089</v>
      </c>
      <c r="N38" s="293">
        <f>$E$38/(1+$D$48)^8</f>
        <v>-78.513365995327717</v>
      </c>
      <c r="O38" s="293">
        <f>$E$38/(1+$D$48)^9</f>
        <v>-74.774634281264483</v>
      </c>
      <c r="P38" s="293">
        <f>$E$38/(1+$D$48)^10</f>
        <v>-71.213937410728079</v>
      </c>
      <c r="Q38" s="294">
        <f t="shared" si="1"/>
        <v>-895.7212517854382</v>
      </c>
      <c r="R38" s="295">
        <f t="shared" si="2"/>
        <v>-116</v>
      </c>
    </row>
    <row r="39" spans="1:19" ht="16.5" thickBot="1">
      <c r="A39" s="253" t="s">
        <v>372</v>
      </c>
      <c r="B39" s="284" t="s">
        <v>373</v>
      </c>
      <c r="C39" s="285">
        <v>1</v>
      </c>
      <c r="D39" s="253" t="s">
        <v>185</v>
      </c>
      <c r="E39" s="321">
        <f>SUM(G7:G38)*0.01</f>
        <v>-3.70252380952381</v>
      </c>
      <c r="F39" s="304">
        <v>0</v>
      </c>
      <c r="G39" s="305">
        <f>$E$39/(1+$D$48)^1</f>
        <v>-3.526213151927438</v>
      </c>
      <c r="H39" s="305">
        <f>$E$39/(1+$D$48)^2</f>
        <v>-3.3582982399308934</v>
      </c>
      <c r="I39" s="305">
        <f>$E$39/(1+$D$48)^3</f>
        <v>-3.1983792761246601</v>
      </c>
      <c r="J39" s="305">
        <f>$E$39/(1+$D$48)^4</f>
        <v>-3.0460755010711051</v>
      </c>
      <c r="K39" s="305">
        <f>$E$39/(1+$D$48)^5</f>
        <v>-2.9010242867343856</v>
      </c>
      <c r="L39" s="305">
        <f>$E$39/(1+$D$48)^6</f>
        <v>-2.7628802730803677</v>
      </c>
      <c r="M39" s="305">
        <f>$E$39/(1+$D$48)^7</f>
        <v>-2.6313145457908256</v>
      </c>
      <c r="N39" s="305">
        <f>$E$39/(1+$D$48)^8</f>
        <v>-2.5060138531341201</v>
      </c>
      <c r="O39" s="305">
        <f>$E$39/(1+$D$48)^9</f>
        <v>-2.386679860127733</v>
      </c>
      <c r="P39" s="305">
        <f>$E$39/(1+$D$48)^10</f>
        <v>-2.2730284382168886</v>
      </c>
      <c r="Q39" s="306">
        <f t="shared" si="1"/>
        <v>-28.589907426138417</v>
      </c>
      <c r="R39" s="307">
        <f t="shared" si="2"/>
        <v>-3.70252380952381</v>
      </c>
    </row>
    <row r="40" spans="1:19" ht="16.5" thickBot="1">
      <c r="A40" s="198" t="s">
        <v>374</v>
      </c>
      <c r="B40" s="198"/>
      <c r="C40" s="198"/>
      <c r="D40" s="198"/>
      <c r="E40" s="190"/>
      <c r="F40" s="308">
        <f>SUM(F13:F37)</f>
        <v>-64</v>
      </c>
      <c r="G40" s="309">
        <f t="shared" ref="G40:P40" si="3">SUM(G16:G39)</f>
        <v>-373.82859410430842</v>
      </c>
      <c r="H40" s="309">
        <f t="shared" si="3"/>
        <v>-114.4149875823345</v>
      </c>
      <c r="I40" s="309">
        <f t="shared" si="3"/>
        <v>-114.52976897486128</v>
      </c>
      <c r="J40" s="309">
        <f t="shared" si="3"/>
        <v>-109.07597045224885</v>
      </c>
      <c r="K40" s="309">
        <f t="shared" si="3"/>
        <v>-103.88187662118938</v>
      </c>
      <c r="L40" s="309">
        <f t="shared" si="3"/>
        <v>-98.935120591608936</v>
      </c>
      <c r="M40" s="309">
        <f t="shared" si="3"/>
        <v>-94.22392437296088</v>
      </c>
      <c r="N40" s="309">
        <f t="shared" si="3"/>
        <v>-89.737070831391335</v>
      </c>
      <c r="O40" s="309">
        <f t="shared" si="3"/>
        <v>-85.463876982277441</v>
      </c>
      <c r="P40" s="309">
        <f t="shared" si="3"/>
        <v>-81.39416855454995</v>
      </c>
      <c r="Q40" s="310">
        <f t="shared" si="1"/>
        <v>-1265.4853590677308</v>
      </c>
      <c r="R40" s="307">
        <f t="shared" si="2"/>
        <v>-163.88614355107484</v>
      </c>
    </row>
    <row r="41" spans="1:19" ht="16.5" thickBot="1">
      <c r="A41" s="198" t="s">
        <v>375</v>
      </c>
      <c r="B41" s="198"/>
      <c r="C41" s="198"/>
      <c r="D41" s="198"/>
      <c r="E41" s="190"/>
      <c r="F41" s="311">
        <f t="shared" ref="F41:P41" si="4">F8-F40</f>
        <v>64</v>
      </c>
      <c r="G41" s="309">
        <f t="shared" si="4"/>
        <v>373.87859410430843</v>
      </c>
      <c r="H41" s="309">
        <f t="shared" si="4"/>
        <v>190.60546377281071</v>
      </c>
      <c r="I41" s="309">
        <f t="shared" si="4"/>
        <v>259.65448552814922</v>
      </c>
      <c r="J41" s="309">
        <f t="shared" si="4"/>
        <v>247.28998621728505</v>
      </c>
      <c r="K41" s="309">
        <f t="shared" si="4"/>
        <v>235.51427258789047</v>
      </c>
      <c r="L41" s="309">
        <f t="shared" si="4"/>
        <v>224.29930722656238</v>
      </c>
      <c r="M41" s="309">
        <f t="shared" si="4"/>
        <v>213.61838783482128</v>
      </c>
      <c r="N41" s="309">
        <f t="shared" si="4"/>
        <v>203.4460836522108</v>
      </c>
      <c r="O41" s="309">
        <f t="shared" si="4"/>
        <v>193.7581749068674</v>
      </c>
      <c r="P41" s="309">
        <f t="shared" si="4"/>
        <v>184.5315951493975</v>
      </c>
      <c r="Q41" s="312">
        <f t="shared" si="1"/>
        <v>2326.5963509803032</v>
      </c>
      <c r="R41" s="394">
        <f t="shared" si="2"/>
        <v>301.30487154988668</v>
      </c>
    </row>
    <row r="42" spans="1:19" ht="21.75" thickBot="1">
      <c r="E42" s="139"/>
      <c r="F42" s="139"/>
      <c r="G42" s="286"/>
      <c r="H42" s="287"/>
      <c r="I42" s="88"/>
      <c r="J42" s="88"/>
      <c r="K42" s="88"/>
      <c r="L42" s="88"/>
      <c r="M42" s="88"/>
      <c r="N42" s="88"/>
      <c r="O42" s="88"/>
      <c r="P42" s="88"/>
      <c r="Q42" s="473" t="s">
        <v>521</v>
      </c>
      <c r="R42" s="474">
        <f>SUM(R40:R41)</f>
        <v>137.41872799881185</v>
      </c>
    </row>
    <row r="43" spans="1:19" ht="16.5" thickBot="1">
      <c r="G43" s="88"/>
      <c r="H43" s="88"/>
      <c r="I43" s="88"/>
      <c r="J43" s="88"/>
      <c r="K43" s="88"/>
      <c r="L43" s="88"/>
      <c r="M43" s="88"/>
      <c r="O43" s="88"/>
      <c r="P43" s="88"/>
      <c r="R43" s="471"/>
      <c r="S43" t="s">
        <v>519</v>
      </c>
    </row>
    <row r="44" spans="1:19" ht="16.5" thickBot="1">
      <c r="A44" t="s">
        <v>376</v>
      </c>
      <c r="G44" s="88"/>
      <c r="H44" s="88"/>
      <c r="I44" s="88"/>
      <c r="J44" s="88"/>
      <c r="K44" s="88"/>
      <c r="L44" s="88"/>
      <c r="M44" s="88"/>
      <c r="O44" s="88"/>
      <c r="P44" s="88"/>
      <c r="R44" s="416">
        <f>R42*R43</f>
        <v>0</v>
      </c>
      <c r="S44" t="s">
        <v>520</v>
      </c>
    </row>
    <row r="45" spans="1:19">
      <c r="G45" s="88"/>
      <c r="H45" s="88"/>
      <c r="I45" s="88"/>
      <c r="J45" s="88"/>
      <c r="K45" s="88"/>
      <c r="L45" s="88"/>
      <c r="M45" s="88"/>
      <c r="N45" s="88"/>
      <c r="O45" s="88"/>
      <c r="P45" s="88"/>
    </row>
    <row r="46" spans="1:19">
      <c r="G46" s="88"/>
      <c r="H46" s="88"/>
      <c r="I46" s="88"/>
      <c r="J46" s="88"/>
      <c r="K46" s="88"/>
      <c r="L46" s="174"/>
      <c r="M46" s="88"/>
      <c r="N46" s="88"/>
      <c r="O46" s="88"/>
      <c r="P46" s="88"/>
    </row>
    <row r="47" spans="1:19" ht="16.5" thickBot="1">
      <c r="G47" s="88"/>
      <c r="H47" s="88"/>
      <c r="I47" s="88"/>
      <c r="J47" s="88"/>
      <c r="K47" s="88"/>
      <c r="L47" s="174"/>
      <c r="M47" s="88"/>
      <c r="N47" s="88"/>
      <c r="O47" s="88"/>
      <c r="P47" s="88"/>
    </row>
    <row r="48" spans="1:19" ht="16.5" thickBot="1">
      <c r="A48" t="s">
        <v>377</v>
      </c>
      <c r="B48" t="s">
        <v>378</v>
      </c>
      <c r="C48" s="288">
        <v>0.05</v>
      </c>
      <c r="D48" s="289">
        <f>D3</f>
        <v>0.05</v>
      </c>
      <c r="G48" s="88"/>
      <c r="H48" s="88"/>
      <c r="I48" s="88"/>
      <c r="J48" s="88"/>
      <c r="K48" s="88" t="s">
        <v>384</v>
      </c>
      <c r="L48" s="88"/>
      <c r="M48" s="88"/>
      <c r="N48" s="88"/>
      <c r="O48" s="88"/>
      <c r="P48" s="88"/>
    </row>
    <row r="49" spans="1:16">
      <c r="B49" t="s">
        <v>379</v>
      </c>
      <c r="C49">
        <v>10</v>
      </c>
      <c r="G49" s="88"/>
      <c r="H49" s="88"/>
      <c r="I49" s="88"/>
      <c r="J49" s="88"/>
      <c r="K49" s="88"/>
      <c r="L49" s="88"/>
      <c r="M49" s="88"/>
      <c r="N49" s="88"/>
      <c r="O49" s="88"/>
      <c r="P49" s="88"/>
    </row>
    <row r="50" spans="1:16">
      <c r="G50" s="88"/>
      <c r="H50" s="88"/>
      <c r="I50" s="88"/>
      <c r="J50" s="88"/>
      <c r="K50" s="88"/>
      <c r="L50" s="88"/>
      <c r="M50" s="88"/>
      <c r="N50" s="88"/>
      <c r="O50" s="88"/>
      <c r="P50" s="88"/>
    </row>
    <row r="51" spans="1:16">
      <c r="B51" t="s">
        <v>380</v>
      </c>
      <c r="C51" s="290">
        <f>C48*((1+C48)^C49)</f>
        <v>8.1444731338872089E-2</v>
      </c>
      <c r="G51" s="88"/>
      <c r="H51" s="88"/>
      <c r="I51" s="88"/>
      <c r="J51" s="88"/>
      <c r="K51" s="88"/>
      <c r="L51" s="88"/>
      <c r="M51" s="88"/>
      <c r="N51" s="88"/>
      <c r="O51" s="88"/>
      <c r="P51" s="88"/>
    </row>
    <row r="52" spans="1:16">
      <c r="B52" t="s">
        <v>381</v>
      </c>
      <c r="C52" s="183">
        <f>((1+C48)^C49)-1</f>
        <v>0.62889462677744157</v>
      </c>
    </row>
    <row r="54" spans="1:16">
      <c r="B54" t="s">
        <v>382</v>
      </c>
    </row>
    <row r="61" spans="1:16">
      <c r="A61" s="347" t="s">
        <v>537</v>
      </c>
    </row>
    <row r="62" spans="1:16" ht="20.100000000000001" customHeight="1">
      <c r="A62" t="s">
        <v>538</v>
      </c>
    </row>
    <row r="63" spans="1:16" ht="20.45" customHeight="1">
      <c r="A63" s="347" t="s">
        <v>452</v>
      </c>
    </row>
    <row r="64" spans="1:16" ht="22.35" customHeight="1">
      <c r="A64" s="142" t="s">
        <v>449</v>
      </c>
    </row>
    <row r="65" ht="21.6" customHeight="1"/>
  </sheetData>
  <mergeCells count="2">
    <mergeCell ref="F4:P4"/>
    <mergeCell ref="N2:O3"/>
  </mergeCells>
  <conditionalFormatting sqref="E48:J48">
    <cfRule type="containsErrors" dxfId="9" priority="3">
      <formula>ISERROR(E48)</formula>
    </cfRule>
  </conditionalFormatting>
  <conditionalFormatting sqref="E57:L59 F60:L60 D61 L61 E61:J62">
    <cfRule type="containsErrors" dxfId="8" priority="5">
      <formula>ISERROR(#REF!)</formula>
    </cfRule>
  </conditionalFormatting>
  <conditionalFormatting sqref="E49:N55">
    <cfRule type="containsErrors" dxfId="7" priority="8">
      <formula>ISERROR(E49)</formula>
    </cfRule>
  </conditionalFormatting>
  <conditionalFormatting sqref="E56:N56">
    <cfRule type="containsErrors" dxfId="6" priority="6">
      <formula>ISERROR(#REF!)</formula>
    </cfRule>
  </conditionalFormatting>
  <conditionalFormatting sqref="H7 E44:G47 I44:I47">
    <cfRule type="containsErrors" dxfId="5" priority="10">
      <formula>ISERROR(E7)</formula>
    </cfRule>
  </conditionalFormatting>
  <conditionalFormatting sqref="K44:K48">
    <cfRule type="containsErrors" dxfId="4" priority="9">
      <formula>ISERROR(K44)</formula>
    </cfRule>
  </conditionalFormatting>
  <conditionalFormatting sqref="L48">
    <cfRule type="containsErrors" dxfId="3" priority="2">
      <formula>ISERROR(L48)</formula>
    </cfRule>
  </conditionalFormatting>
  <conditionalFormatting sqref="M44:M48">
    <cfRule type="containsErrors" dxfId="2" priority="7">
      <formula>ISERROR(M44)</formula>
    </cfRule>
  </conditionalFormatting>
  <conditionalFormatting sqref="M57:N61 L65:N65">
    <cfRule type="containsErrors" dxfId="1" priority="4">
      <formula>ISERROR(#REF!)</formula>
    </cfRule>
  </conditionalFormatting>
  <conditionalFormatting sqref="N48">
    <cfRule type="containsErrors" dxfId="0" priority="1">
      <formula>ISERROR(N48)</formula>
    </cfRule>
  </conditionalFormatting>
  <hyperlinks>
    <hyperlink ref="A64" r:id="rId1" xr:uid="{7D0F9D68-10F3-3B4B-A285-800126E2B742}"/>
    <hyperlink ref="N2:O3" location="'Instructions &amp; summary data'!A1" display="Return to instructions page" xr:uid="{F086838F-E445-E946-9A91-D9B8B9BC5F99}"/>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 &amp; summary data</vt:lpstr>
      <vt:lpstr>C following SB</vt:lpstr>
      <vt:lpstr>C following C</vt:lpstr>
      <vt:lpstr>Conservation C</vt:lpstr>
      <vt:lpstr>SB following C</vt:lpstr>
      <vt:lpstr>Conservation SB</vt:lpstr>
      <vt:lpstr>Alfalfa Hay</vt:lpstr>
      <vt:lpstr>Grass Hay</vt:lpstr>
      <vt:lpstr>Switchgrass</vt:lpstr>
      <vt:lpstr>SRWC </vt:lpstr>
      <vt:lpstr>Perm Pasture</vt:lpstr>
      <vt:lpstr>Rotational Grazing</vt:lpstr>
      <vt:lpstr>Prairie</vt:lpstr>
      <vt:lpstr>Wetland Restoration</vt:lpstr>
      <vt:lpstr>Carbon Farming</vt:lpstr>
      <vt:lpstr>Conservation Forest</vt:lpstr>
      <vt:lpstr>Conventional Forest</vt:lpstr>
      <vt:lpstr>Fruits &amp; Veg</vt:lpstr>
      <vt:lpstr>SRWC (discard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Tyndall, John C [NREM]</dc:creator>
  <cp:lastModifiedBy>Vanguard Magala</cp:lastModifiedBy>
  <dcterms:created xsi:type="dcterms:W3CDTF">2025-02-12T16:19:17Z</dcterms:created>
  <dcterms:modified xsi:type="dcterms:W3CDTF">2025-02-19T19:07:32Z</dcterms:modified>
</cp:coreProperties>
</file>