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9A4845B3-B3F2-4DE7-A4FB-06BEDEA96240}" xr6:coauthVersionLast="47" xr6:coauthVersionMax="47" xr10:uidLastSave="{00000000-0000-0000-0000-000000000000}"/>
  <bookViews>
    <workbookView xWindow="-120" yWindow="-120" windowWidth="29040" windowHeight="15720"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I19" i="3"/>
  <c r="I20" i="3"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2"/>
  <c r="I68" i="2" s="1"/>
  <c r="J119" i="7" l="1"/>
  <c r="J125" i="7" s="1"/>
  <c r="I125" i="7"/>
  <c r="I63" i="4"/>
  <c r="I56" i="3"/>
  <c r="I65" i="3"/>
  <c r="J26" i="10" l="1"/>
  <c r="J27" i="10" s="1"/>
</calcChain>
</file>

<file path=xl/sharedStrings.xml><?xml version="1.0" encoding="utf-8"?>
<sst xmlns="http://schemas.openxmlformats.org/spreadsheetml/2006/main" count="1741" uniqueCount="567">
  <si>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</si>
  <si>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</si>
  <si>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</si>
  <si>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</si>
  <si>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</si>
  <si>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</si>
  <si>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</si>
  <si>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</si>
  <si>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</si>
  <si>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</si>
  <si>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</si>
  <si>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</si>
  <si>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</si>
  <si>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</si>
  <si>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</si>
  <si>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</si>
  <si>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</si>
  <si>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</si>
  <si>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</si>
  <si>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</si>
  <si>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</si>
  <si>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</si>
  <si>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</si>
  <si>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</si>
  <si>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</si>
  <si>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</si>
  <si>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</si>
  <si>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</si>
  <si>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</si>
  <si>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</si>
  <si>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</si>
  <si>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</si>
  <si>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</si>
  <si>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</si>
  <si>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</si>
  <si>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</si>
  <si>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</si>
  <si>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</si>
  <si>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</si>
  <si>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</si>
  <si>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</si>
  <si>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</si>
  <si>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</si>
  <si>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</si>
  <si>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</si>
  <si>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</si>
  <si>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</si>
  <si>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</si>
  <si>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</si>
  <si>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</si>
  <si>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</si>
  <si>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</si>
  <si>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</si>
  <si>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</si>
  <si>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</si>
  <si>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</si>
  <si>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</si>
  <si>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</si>
  <si>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</si>
  <si>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</si>
  <si>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</si>
  <si>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</si>
  <si>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</si>
  <si>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</si>
  <si>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</si>
  <si>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</si>
  <si>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</si>
  <si>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</si>
  <si>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</si>
  <si>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</si>
  <si>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</si>
  <si>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</si>
  <si>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</si>
  <si>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</si>
  <si>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</si>
  <si>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</si>
  <si>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</si>
  <si>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</si>
  <si>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</si>
  <si>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</si>
  <si>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</si>
  <si>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</si>
  <si>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</si>
  <si>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</si>
  <si>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</si>
  <si>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</si>
  <si>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</si>
  <si>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</si>
  <si>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</si>
  <si>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</si>
  <si>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</si>
  <si>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</si>
  <si>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</si>
  <si>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</si>
  <si>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</si>
  <si>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</si>
  <si>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</si>
  <si>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</si>
  <si>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</si>
  <si>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</si>
  <si>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</si>
  <si>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</si>
  <si>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</si>
  <si>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</si>
  <si>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</si>
  <si>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</si>
  <si>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</si>
  <si>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</si>
  <si>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</si>
  <si>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</si>
  <si>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</si>
  <si>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</si>
  <si>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</si>
  <si>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</si>
  <si>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</si>
  <si>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</si>
  <si>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</si>
  <si>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</si>
  <si>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</si>
  <si>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</si>
  <si>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</si>
  <si>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</si>
  <si>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</si>
  <si>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</si>
  <si>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</si>
  <si>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</si>
  <si>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</si>
  <si>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</si>
  <si>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</si>
  <si>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</si>
  <si>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</si>
  <si>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</si>
  <si>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</si>
  <si>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</si>
  <si>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</si>
  <si>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</si>
  <si>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</si>
  <si>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</si>
  <si>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</si>
  <si>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</si>
  <si>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</si>
  <si>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</si>
  <si>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</si>
  <si>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</si>
  <si>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</si>
  <si>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</si>
  <si>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</si>
  <si>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</si>
  <si>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</si>
  <si>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</si>
  <si>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</si>
  <si>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</si>
  <si>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</si>
  <si>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</si>
  <si>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</si>
  <si>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</si>
  <si>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</si>
  <si>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</si>
  <si>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</si>
  <si>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</si>
  <si>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</si>
  <si>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</si>
  <si>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</si>
  <si>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</si>
  <si>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</si>
  <si>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</si>
  <si>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</si>
  <si>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</si>
  <si>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</si>
  <si>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</si>
  <si>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</si>
  <si>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</si>
  <si>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</si>
  <si>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</si>
  <si>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</si>
  <si>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</si>
  <si>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</si>
  <si>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</si>
  <si>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</si>
  <si>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</si>
  <si>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</si>
  <si>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</si>
  <si>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</si>
  <si>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</si>
  <si>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</si>
  <si>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</si>
  <si>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</si>
  <si>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</si>
  <si>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</si>
  <si>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</si>
  <si>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</si>
  <si>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</si>
  <si>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</si>
  <si>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</si>
  <si>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</si>
  <si>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</si>
  <si>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</si>
  <si>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</si>
  <si>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</si>
  <si>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</si>
  <si>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</si>
  <si>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</si>
  <si>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</si>
  <si>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</si>
  <si>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</si>
  <si>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</si>
  <si>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</si>
  <si>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</si>
  <si>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</si>
  <si>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</si>
  <si>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</si>
  <si>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</si>
  <si>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</si>
  <si>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</si>
  <si>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</si>
  <si>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</si>
  <si>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</si>
  <si>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</si>
  <si>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</si>
  <si>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</si>
  <si>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</si>
  <si>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</si>
  <si>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</si>
  <si>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</si>
  <si>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</si>
  <si>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</si>
  <si>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</si>
  <si>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</si>
  <si>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</si>
  <si>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</si>
  <si>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</si>
  <si>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</si>
  <si>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</si>
  <si>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</si>
  <si>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</si>
  <si>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</si>
  <si>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</si>
  <si>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</si>
  <si>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</si>
  <si>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</si>
  <si>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</si>
  <si>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</si>
  <si>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</si>
  <si>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</si>
  <si>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</si>
  <si>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</si>
  <si>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</si>
  <si>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</si>
  <si>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</si>
  <si>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</si>
  <si>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</si>
  <si>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</si>
  <si>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</si>
  <si>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</si>
  <si>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</si>
  <si>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</si>
  <si>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</si>
  <si>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</si>
  <si>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</si>
  <si>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</si>
  <si>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</si>
  <si>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</si>
  <si>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</si>
  <si>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</si>
  <si>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</si>
  <si>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</si>
  <si>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</si>
  <si>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</si>
  <si>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</si>
  <si>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</si>
  <si>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</si>
  <si>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</si>
  <si>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</si>
  <si>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</si>
  <si>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</si>
  <si>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</si>
  <si>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</si>
  <si>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</si>
  <si>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</si>
  <si>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</si>
  <si>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</si>
  <si>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</si>
  <si>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</si>
  <si>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</si>
  <si>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</si>
  <si>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</si>
  <si>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</si>
  <si>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</si>
  <si>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</si>
  <si>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</si>
  <si>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</si>
  <si>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</si>
  <si>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</si>
  <si>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</si>
  <si>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</si>
  <si>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</si>
  <si>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</si>
  <si>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</si>
  <si>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</si>
  <si>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</si>
  <si>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</si>
  <si>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</si>
  <si>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</si>
  <si>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</si>
  <si>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</si>
  <si>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</si>
  <si>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</si>
  <si>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</si>
  <si>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</si>
  <si>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</si>
  <si>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</si>
  <si>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</si>
  <si>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</si>
  <si>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</si>
  <si>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</si>
  <si>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</si>
  <si>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</si>
  <si>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</si>
  <si>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</si>
  <si>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</si>
  <si>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</si>
  <si>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</si>
  <si>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</si>
  <si>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</si>
  <si>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</si>
  <si>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</si>
  <si>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</si>
  <si>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</si>
  <si>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</si>
  <si>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</si>
  <si>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</si>
  <si>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</si>
  <si>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</si>
  <si>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</si>
  <si>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</si>
  <si>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</si>
  <si>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</si>
  <si>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</si>
  <si>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</si>
  <si>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</si>
  <si>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</si>
  <si>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</si>
  <si>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</si>
  <si>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</si>
  <si>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</si>
  <si>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</si>
  <si>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</si>
  <si>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</si>
  <si>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</si>
  <si>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</si>
  <si>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</si>
  <si>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</si>
  <si>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</si>
  <si>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</si>
  <si>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</si>
  <si>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</si>
  <si>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</si>
  <si>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</si>
  <si>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</si>
  <si>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</si>
  <si>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</si>
  <si>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</si>
  <si>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</si>
  <si>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</si>
  <si>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</si>
  <si>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</si>
  <si>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</si>
  <si>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</si>
  <si>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</si>
  <si>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</si>
  <si>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</si>
  <si>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</si>
  <si>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</si>
  <si>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</si>
  <si>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</si>
  <si>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</si>
  <si>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</si>
  <si>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</si>
  <si>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</si>
  <si>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</si>
  <si>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</si>
  <si>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</si>
  <si>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</si>
  <si>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</si>
  <si>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</si>
  <si>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</si>
  <si>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</si>
  <si>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</si>
  <si>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</si>
  <si>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</si>
  <si>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</si>
  <si>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</si>
  <si>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</si>
  <si>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</si>
  <si>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</si>
  <si>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</si>
  <si>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</si>
  <si>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</si>
  <si>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</si>
  <si>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</si>
  <si>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</si>
  <si>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</si>
  <si>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</si>
  <si>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</si>
  <si>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</si>
  <si>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</si>
  <si>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</si>
  <si>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</si>
  <si>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</si>
  <si>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</si>
  <si>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</si>
  <si>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</si>
  <si>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</si>
  <si>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</si>
  <si>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</si>
  <si>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</si>
  <si>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</si>
  <si>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</si>
  <si>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</si>
  <si>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</si>
  <si>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</si>
  <si>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</si>
  <si>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</si>
  <si>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</si>
  <si>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</si>
  <si>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</si>
  <si>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</si>
  <si>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</si>
  <si>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</si>
  <si>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</si>
  <si>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</si>
  <si>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</si>
  <si>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</si>
  <si>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</si>
  <si>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</si>
  <si>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</si>
  <si>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</si>
  <si>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</si>
  <si>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</si>
  <si>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</si>
  <si>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</si>
  <si>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</si>
  <si>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</si>
  <si>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</si>
  <si>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</si>
  <si>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</si>
  <si>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</si>
  <si>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</si>
  <si>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</si>
  <si>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</si>
  <si>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</si>
  <si>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</si>
  <si>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</si>
  <si>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</si>
  <si>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</si>
  <si>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</si>
  <si>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</si>
  <si>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</si>
  <si>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</si>
  <si>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</si>
  <si>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</si>
  <si>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</si>
  <si>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</si>
  <si>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</si>
  <si>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</si>
  <si>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</si>
  <si>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</si>
  <si>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</si>
  <si>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</si>
  <si>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</si>
  <si>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</si>
  <si>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</si>
  <si>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</si>
  <si>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</si>
  <si>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</si>
  <si>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</si>
  <si>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</si>
  <si>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</si>
  <si>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</si>
  <si>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</si>
  <si>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</si>
  <si>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</si>
  <si>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</si>
  <si>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</si>
  <si>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</si>
  <si>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</si>
  <si>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</si>
  <si>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</si>
  <si>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</si>
  <si>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</si>
  <si>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</si>
  <si>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</si>
  <si>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</si>
  <si>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</si>
  <si>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</si>
  <si>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</si>
  <si>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</si>
  <si>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</si>
  <si>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</si>
  <si>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</si>
  <si>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</si>
  <si>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</si>
  <si>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</si>
  <si>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</si>
  <si>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</si>
  <si>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</si>
  <si>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</si>
  <si>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</si>
  <si>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</si>
  <si>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</si>
  <si>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</si>
  <si>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</si>
  <si>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</si>
  <si>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</si>
  <si>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</si>
  <si>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</si>
  <si>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</si>
  <si>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</si>
  <si>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</si>
  <si>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</si>
  <si>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</si>
  <si>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</si>
  <si>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</si>
  <si>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</si>
  <si>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</si>
  <si>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</si>
  <si>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</si>
  <si>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</si>
  <si>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</si>
  <si>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</si>
  <si>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</si>
  <si>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</si>
  <si>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</si>
  <si>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</si>
  <si>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</si>
  <si>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</si>
  <si>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</si>
  <si>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</si>
  <si>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</si>
  <si>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</si>
  <si>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</si>
  <si>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</si>
  <si>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</si>
  <si>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</si>
  <si>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</si>
  <si>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</si>
  <si>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</si>
  <si>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</si>
  <si>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</si>
  <si>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</si>
  <si>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</si>
  <si>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</si>
  <si>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</si>
  <si>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</si>
  <si>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Unnamed: 1</t>
  </si>
  <si>
    <t>Unnamed: 2</t>
  </si>
  <si>
    <t>Unnamed: 3</t>
  </si>
  <si>
    <t>Unnamed: 4</t>
  </si>
  <si>
    <t>Unnamed: 5</t>
  </si>
  <si>
    <t>Unnamed: 6</t>
  </si>
  <si>
    <t>Unnamed: 7</t>
  </si>
  <si>
    <t>Unnamed: 8</t>
  </si>
  <si>
    <t>Unnamed: 9</t>
  </si>
  <si>
    <t>Unnamed: 10</t>
  </si>
  <si>
    <t>Unnamed: 11</t>
  </si>
  <si>
    <t>The Estimated Costs of Crop Production publication has more information on the cost and returns for growing a corn crop after a previous crop of soybeans.</t>
  </si>
  <si>
    <t>500 Acres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</si>
</sst>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5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
      <u/>
      <sz val="12"/>
      <color rgb="FF002060"/>
      <name val="Calibri"/>
      <family val="2"/>
      <scheme val="minor"/>
    </font>
    <font>
      <sz val="12"/>
      <color rgb="FF00206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
      <patternFill patternType="solid">
        <fgColor rgb="FF7030A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9">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49" fillId="0" borderId="0" xfId="2" applyFont="1"/>
    <xf numFmtId="0" fontId="50" fillId="0" borderId="0" xfId="0" applyFont="1"/>
    <xf numFmtId="8" fontId="50" fillId="0" borderId="0" xfId="0" applyNumberFormat="1"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0" fontId="0" fillId="0" borderId="15" xfId="0" applyBorder="1" applyAlignment="1">
      <alignment horizontal="left"/>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0" fillId="0" borderId="4" xfId="0" applyBorder="1" applyAlignment="1">
      <alignment horizontal="center" wrapText="1"/>
    </xf>
    <xf numFmtId="0" fontId="3" fillId="18" borderId="0" xfId="2" applyFill="1"/>
    <xf numFmtId="0" fontId="0" fillId="18" borderId="0" xfId="0" applyFill="1"/>
    <xf numFmtId="8" fontId="0" fillId="18" borderId="0" xfId="0" applyNumberFormat="1" applyFill="1"/>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abSelected="1" topLeftCell="A7" zoomScale="140" zoomScaleNormal="140" workbookViewId="0">
      <selection activeCell="D23" sqref="D23"/>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528</v>
      </c>
    </row>
    <row r="3" spans="2:13">
      <c r="B3" s="347"/>
    </row>
    <row r="4" spans="2:13" ht="87.95" customHeight="1">
      <c r="B4" s="453" t="s">
        <v>454</v>
      </c>
      <c r="C4" s="454" t="s">
        <v>481</v>
      </c>
      <c r="D4" s="454" t="s">
        <v>531</v>
      </c>
      <c r="E4" s="454" t="s">
        <v>485</v>
      </c>
      <c r="F4" s="484" t="s">
        <v>480</v>
      </c>
      <c r="G4" s="484"/>
      <c r="H4" s="454" t="s">
        <v>545</v>
      </c>
      <c r="I4" s="485" t="s">
        <v>77</v>
      </c>
      <c r="J4" s="485"/>
      <c r="K4" s="485"/>
      <c r="L4" s="485"/>
      <c r="M4" s="485"/>
    </row>
    <row r="5" spans="2:13">
      <c r="B5" t="s">
        <v>455</v>
      </c>
      <c r="F5" s="195" t="s">
        <v>503</v>
      </c>
      <c r="G5" s="455" t="s">
        <v>546</v>
      </c>
    </row>
    <row r="6" spans="2:13">
      <c r="B6" s="478" t="s">
        <v>523</v>
      </c>
      <c r="C6" t="s">
        <v>486</v>
      </c>
      <c r="D6" s="139">
        <v>4.3499999999999996</v>
      </c>
      <c r="E6" t="s">
        <v>487</v>
      </c>
      <c r="F6" t="s">
        <v>497</v>
      </c>
      <c r="G6" t="s">
        <v>498</v>
      </c>
      <c r="H6" t="s">
        <v>499</v>
      </c>
      <c r="I6" t="s">
        <v>504</v>
      </c>
    </row>
    <row r="7" spans="2:13">
      <c r="B7" s="478" t="s">
        <v>524</v>
      </c>
      <c r="C7" t="s">
        <v>486</v>
      </c>
      <c r="D7" s="139">
        <v>4.3499999999999996</v>
      </c>
      <c r="E7" t="s">
        <v>487</v>
      </c>
      <c r="F7" t="s">
        <v>497</v>
      </c>
      <c r="G7" t="s">
        <v>498</v>
      </c>
      <c r="H7" t="s">
        <v>499</v>
      </c>
      <c r="I7" t="s">
        <v>504</v>
      </c>
    </row>
    <row r="8" spans="2:13">
      <c r="B8" t="s">
        <v>457</v>
      </c>
    </row>
    <row r="9" spans="2:13">
      <c r="B9" s="478" t="s">
        <v>525</v>
      </c>
      <c r="C9" t="s">
        <v>483</v>
      </c>
      <c r="D9" s="139">
        <v>10.37</v>
      </c>
      <c r="E9" t="s">
        <v>487</v>
      </c>
      <c r="F9" t="s">
        <v>497</v>
      </c>
      <c r="G9" t="s">
        <v>498</v>
      </c>
      <c r="H9" t="s">
        <v>499</v>
      </c>
      <c r="I9" t="s">
        <v>504</v>
      </c>
    </row>
    <row r="10" spans="2:13">
      <c r="B10" s="478" t="s">
        <v>456</v>
      </c>
      <c r="C10" t="s">
        <v>482</v>
      </c>
      <c r="D10" s="139">
        <v>4.3499999999999996</v>
      </c>
      <c r="E10" t="s">
        <v>487</v>
      </c>
      <c r="F10" t="s">
        <v>497</v>
      </c>
      <c r="G10" t="s">
        <v>498</v>
      </c>
      <c r="H10" t="s">
        <v>499</v>
      </c>
      <c r="I10" t="s">
        <v>504</v>
      </c>
    </row>
    <row r="11" spans="2:13">
      <c r="B11" s="478" t="s">
        <v>458</v>
      </c>
      <c r="C11" t="s">
        <v>483</v>
      </c>
      <c r="D11" s="139">
        <v>13.1</v>
      </c>
      <c r="E11" t="s">
        <v>487</v>
      </c>
      <c r="F11" t="s">
        <v>497</v>
      </c>
      <c r="G11" t="s">
        <v>498</v>
      </c>
      <c r="H11" t="s">
        <v>499</v>
      </c>
      <c r="I11" t="s">
        <v>504</v>
      </c>
    </row>
    <row r="12" spans="2:13">
      <c r="B12" s="142" t="s">
        <v>459</v>
      </c>
      <c r="C12" t="s">
        <v>484</v>
      </c>
      <c r="D12" s="139">
        <v>253</v>
      </c>
      <c r="E12" t="s">
        <v>488</v>
      </c>
      <c r="F12" t="s">
        <v>510</v>
      </c>
      <c r="G12" t="s">
        <v>498</v>
      </c>
      <c r="H12" t="s">
        <v>499</v>
      </c>
      <c r="I12" t="s">
        <v>526</v>
      </c>
    </row>
    <row r="13" spans="2:13">
      <c r="B13" s="142" t="s">
        <v>460</v>
      </c>
      <c r="C13" t="s">
        <v>489</v>
      </c>
      <c r="D13" s="139">
        <v>180</v>
      </c>
      <c r="E13" t="s">
        <v>488</v>
      </c>
      <c r="F13" t="s">
        <v>510</v>
      </c>
      <c r="G13" t="s">
        <v>498</v>
      </c>
      <c r="H13" t="s">
        <v>499</v>
      </c>
      <c r="I13" t="s">
        <v>526</v>
      </c>
    </row>
    <row r="14" spans="2:13">
      <c r="B14" s="142" t="s">
        <v>461</v>
      </c>
      <c r="C14" t="s">
        <v>490</v>
      </c>
      <c r="D14" s="139">
        <v>60</v>
      </c>
      <c r="E14" t="s">
        <v>488</v>
      </c>
      <c r="F14" t="s">
        <v>522</v>
      </c>
      <c r="G14" t="s">
        <v>498</v>
      </c>
      <c r="H14" t="s">
        <v>508</v>
      </c>
      <c r="I14" t="s">
        <v>526</v>
      </c>
    </row>
    <row r="15" spans="2:13" s="517" customFormat="1">
      <c r="B15" s="516" t="s">
        <v>462</v>
      </c>
      <c r="C15" s="517" t="s">
        <v>491</v>
      </c>
      <c r="D15" s="518">
        <v>60</v>
      </c>
      <c r="E15" s="517" t="s">
        <v>488</v>
      </c>
      <c r="F15" s="517" t="s">
        <v>502</v>
      </c>
      <c r="H15" s="517" t="s">
        <v>508</v>
      </c>
      <c r="I15" s="517" t="s">
        <v>526</v>
      </c>
    </row>
    <row r="16" spans="2:13" s="482" customFormat="1">
      <c r="B16" s="481" t="s">
        <v>463</v>
      </c>
      <c r="C16" s="482" t="s">
        <v>492</v>
      </c>
      <c r="D16" s="483">
        <v>5.65</v>
      </c>
      <c r="E16" s="482" t="s">
        <v>529</v>
      </c>
      <c r="F16" s="482" t="s">
        <v>500</v>
      </c>
      <c r="H16" s="482" t="s">
        <v>499</v>
      </c>
      <c r="I16" s="482" t="s">
        <v>527</v>
      </c>
    </row>
    <row r="17" spans="2:9" s="482" customFormat="1">
      <c r="B17" s="481" t="s">
        <v>464</v>
      </c>
      <c r="C17" s="482" t="s">
        <v>492</v>
      </c>
      <c r="D17" s="483">
        <v>5.65</v>
      </c>
      <c r="E17" s="482" t="s">
        <v>529</v>
      </c>
      <c r="F17" s="482" t="s">
        <v>500</v>
      </c>
      <c r="H17" s="482" t="s">
        <v>499</v>
      </c>
      <c r="I17" s="482" t="s">
        <v>527</v>
      </c>
    </row>
    <row r="18" spans="2:9">
      <c r="B18" s="142" t="s">
        <v>469</v>
      </c>
      <c r="C18" t="s">
        <v>494</v>
      </c>
      <c r="D18" s="139">
        <v>0.79</v>
      </c>
      <c r="E18" t="s">
        <v>495</v>
      </c>
      <c r="F18" t="s">
        <v>501</v>
      </c>
      <c r="H18" t="s">
        <v>508</v>
      </c>
      <c r="I18" t="s">
        <v>505</v>
      </c>
    </row>
    <row r="19" spans="2:9">
      <c r="B19" s="142" t="s">
        <v>470</v>
      </c>
      <c r="C19" t="s">
        <v>494</v>
      </c>
      <c r="D19" s="139">
        <v>0.79</v>
      </c>
      <c r="E19" t="s">
        <v>495</v>
      </c>
      <c r="F19" t="s">
        <v>501</v>
      </c>
      <c r="H19" t="s">
        <v>508</v>
      </c>
      <c r="I19" t="s">
        <v>505</v>
      </c>
    </row>
    <row r="20" spans="2:9">
      <c r="B20" s="142" t="s">
        <v>540</v>
      </c>
      <c r="C20" t="s">
        <v>541</v>
      </c>
      <c r="D20" s="139">
        <v>40.82</v>
      </c>
      <c r="E20" t="s">
        <v>488</v>
      </c>
      <c r="F20" t="s">
        <v>542</v>
      </c>
      <c r="H20" t="s">
        <v>543</v>
      </c>
      <c r="I20" t="s">
        <v>544</v>
      </c>
    </row>
    <row r="21" spans="2:9">
      <c r="B21" s="142" t="s">
        <v>467</v>
      </c>
      <c r="C21" t="s">
        <v>493</v>
      </c>
      <c r="D21" s="476">
        <v>205</v>
      </c>
      <c r="E21" t="s">
        <v>496</v>
      </c>
      <c r="F21" t="s">
        <v>502</v>
      </c>
      <c r="H21" t="s">
        <v>507</v>
      </c>
      <c r="I21" t="s">
        <v>506</v>
      </c>
    </row>
    <row r="22" spans="2:9">
      <c r="B22" s="479" t="s">
        <v>468</v>
      </c>
      <c r="C22" s="198" t="s">
        <v>493</v>
      </c>
      <c r="D22" s="280">
        <v>312.08999999999997</v>
      </c>
      <c r="E22" s="198" t="s">
        <v>496</v>
      </c>
      <c r="F22" s="198" t="s">
        <v>502</v>
      </c>
      <c r="G22" s="198"/>
      <c r="H22" s="198" t="s">
        <v>507</v>
      </c>
      <c r="I22" t="s">
        <v>506</v>
      </c>
    </row>
    <row r="23" spans="2:9" ht="18.75">
      <c r="B23" t="s">
        <v>530</v>
      </c>
    </row>
    <row r="25" spans="2:9">
      <c r="B25" t="s">
        <v>509</v>
      </c>
    </row>
    <row r="26" spans="2:9">
      <c r="B26" s="456"/>
      <c r="C26" t="s">
        <v>513</v>
      </c>
    </row>
    <row r="27" spans="2:9">
      <c r="B27" s="467"/>
      <c r="C27" t="s">
        <v>511</v>
      </c>
    </row>
    <row r="28" spans="2:9">
      <c r="B28" s="468"/>
      <c r="C28" t="s">
        <v>514</v>
      </c>
    </row>
    <row r="29" spans="2:9" ht="16.5" thickBot="1">
      <c r="B29" s="469"/>
      <c r="C29" t="s">
        <v>515</v>
      </c>
    </row>
    <row r="30" spans="2:9" ht="16.5" thickBot="1">
      <c r="B30" s="466"/>
      <c r="C30" t="s">
        <v>512</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8" t="s">
        <v>549</v>
      </c>
      <c r="N2" s="488"/>
    </row>
    <row r="3" spans="1:24" ht="16.5" thickBot="1">
      <c r="M3" s="489"/>
      <c r="N3" s="489"/>
    </row>
    <row r="4" spans="1:24" ht="16.5" thickBot="1">
      <c r="A4" s="347" t="s">
        <v>550</v>
      </c>
      <c r="E4" s="164" t="s">
        <v>385</v>
      </c>
      <c r="F4" s="164"/>
      <c r="G4"/>
      <c r="R4" s="175">
        <f>((E5*(1+$E$5)^P5)/((1+$E$5)^P5-1))</f>
        <v>0.1295045749654567</v>
      </c>
      <c r="S4" t="s">
        <v>413</v>
      </c>
    </row>
    <row r="5" spans="1:24" ht="16.5" thickBot="1">
      <c r="A5" t="s">
        <v>388</v>
      </c>
      <c r="D5" s="164"/>
      <c r="E5" s="252">
        <v>0.05</v>
      </c>
      <c r="F5" s="164"/>
      <c r="G5">
        <v>1</v>
      </c>
      <c r="H5" s="88">
        <v>2</v>
      </c>
      <c r="I5" s="88">
        <v>3</v>
      </c>
      <c r="J5">
        <v>4</v>
      </c>
      <c r="K5" s="88">
        <v>5</v>
      </c>
      <c r="L5" s="88">
        <v>6</v>
      </c>
      <c r="M5">
        <v>7</v>
      </c>
      <c r="N5" s="88">
        <v>8</v>
      </c>
      <c r="O5" s="88">
        <v>9</v>
      </c>
      <c r="P5">
        <v>10</v>
      </c>
    </row>
    <row r="6" spans="1:24" ht="47.25">
      <c r="C6" t="s">
        <v>182</v>
      </c>
      <c r="D6" t="s">
        <v>183</v>
      </c>
      <c r="E6" t="s">
        <v>389</v>
      </c>
      <c r="F6" s="88" t="s">
        <v>327</v>
      </c>
      <c r="G6" s="322" t="s">
        <v>328</v>
      </c>
      <c r="H6" s="322" t="s">
        <v>329</v>
      </c>
      <c r="I6" s="322" t="s">
        <v>330</v>
      </c>
      <c r="J6" s="322" t="s">
        <v>331</v>
      </c>
      <c r="K6" s="322" t="s">
        <v>332</v>
      </c>
      <c r="L6" s="322" t="s">
        <v>333</v>
      </c>
      <c r="M6" s="322" t="s">
        <v>334</v>
      </c>
      <c r="N6" s="322" t="s">
        <v>335</v>
      </c>
      <c r="O6" s="322" t="s">
        <v>336</v>
      </c>
      <c r="P6" s="322" t="s">
        <v>337</v>
      </c>
      <c r="Q6" s="323" t="s">
        <v>338</v>
      </c>
      <c r="R6" s="323" t="s">
        <v>390</v>
      </c>
    </row>
    <row r="7" spans="1:24">
      <c r="A7" s="277" t="s">
        <v>391</v>
      </c>
      <c r="B7" s="277"/>
      <c r="C7" s="324"/>
      <c r="D7" s="277"/>
      <c r="E7" s="277"/>
      <c r="F7" s="277"/>
      <c r="G7" s="325"/>
      <c r="H7" s="325"/>
      <c r="I7" s="325"/>
      <c r="J7" s="325"/>
      <c r="K7" s="325"/>
      <c r="L7" s="325"/>
      <c r="M7" s="325"/>
      <c r="N7" s="325"/>
      <c r="O7" s="325"/>
      <c r="P7" s="325"/>
      <c r="Q7" s="325"/>
      <c r="R7" s="326"/>
    </row>
    <row r="8" spans="1:24">
      <c r="B8" t="s">
        <v>392</v>
      </c>
      <c r="C8" s="333">
        <v>9.9</v>
      </c>
      <c r="D8" t="s">
        <v>393</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394</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395</v>
      </c>
      <c r="B10" s="198"/>
      <c r="C10" s="329"/>
      <c r="D10" s="198"/>
      <c r="E10" s="268"/>
      <c r="F10" s="268"/>
      <c r="G10" s="330"/>
      <c r="H10" s="330"/>
      <c r="I10" s="330"/>
      <c r="J10" s="330"/>
      <c r="K10" s="330"/>
      <c r="L10" s="330"/>
      <c r="M10" s="330"/>
      <c r="N10" s="330"/>
      <c r="O10" s="330"/>
      <c r="P10" s="330"/>
      <c r="Q10" s="328"/>
      <c r="R10" s="414"/>
    </row>
    <row r="11" spans="1:24" ht="31.5">
      <c r="A11" s="143" t="s">
        <v>411</v>
      </c>
      <c r="C11" s="327"/>
      <c r="E11" s="169"/>
      <c r="F11" s="169"/>
      <c r="G11" s="328"/>
      <c r="H11" s="328"/>
      <c r="I11" s="328"/>
      <c r="J11" s="328"/>
      <c r="K11" s="328"/>
      <c r="L11" s="328"/>
      <c r="M11" s="328"/>
      <c r="N11" s="328"/>
      <c r="O11" s="328"/>
      <c r="P11" s="328"/>
      <c r="Q11" s="328"/>
      <c r="R11" s="414"/>
      <c r="V11" s="139"/>
      <c r="W11" s="139"/>
      <c r="X11" s="139"/>
    </row>
    <row r="12" spans="1:24">
      <c r="B12" t="s">
        <v>163</v>
      </c>
      <c r="C12" s="395">
        <v>1100</v>
      </c>
      <c r="D12" t="s">
        <v>396</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116</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397</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398</v>
      </c>
      <c r="C16" s="395">
        <v>0</v>
      </c>
      <c r="D16" t="s">
        <v>397</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399</v>
      </c>
      <c r="C17" s="395">
        <v>0</v>
      </c>
      <c r="D17" t="s">
        <v>397</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516</v>
      </c>
      <c r="C18" s="395">
        <v>5</v>
      </c>
      <c r="D18" t="s">
        <v>517</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187</v>
      </c>
      <c r="C20" s="327"/>
      <c r="E20" s="139"/>
      <c r="F20" s="398"/>
      <c r="G20" s="405"/>
      <c r="H20" s="399"/>
      <c r="I20" s="399"/>
      <c r="J20" s="399"/>
      <c r="K20" s="399"/>
      <c r="L20" s="399"/>
      <c r="M20" s="399"/>
      <c r="N20" s="399"/>
      <c r="O20" s="399"/>
      <c r="P20" s="399"/>
      <c r="Q20" s="399"/>
      <c r="R20" s="415"/>
    </row>
    <row r="21" spans="1:18">
      <c r="A21" t="s">
        <v>188</v>
      </c>
      <c r="B21" t="s">
        <v>189</v>
      </c>
      <c r="C21" s="395">
        <v>1</v>
      </c>
      <c r="D21" t="s">
        <v>185</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190</v>
      </c>
      <c r="B22" t="s">
        <v>400</v>
      </c>
      <c r="C22" s="395">
        <v>1</v>
      </c>
      <c r="D22" t="s">
        <v>185</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191</v>
      </c>
      <c r="B23" s="143" t="s">
        <v>192</v>
      </c>
      <c r="C23" s="395">
        <v>1</v>
      </c>
      <c r="D23" t="s">
        <v>185</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357</v>
      </c>
      <c r="C26" s="327"/>
      <c r="E26" s="139"/>
      <c r="F26" s="398"/>
      <c r="G26" s="405"/>
      <c r="H26" s="399"/>
      <c r="I26" s="399"/>
      <c r="J26" s="399"/>
      <c r="K26" s="399"/>
      <c r="L26" s="399"/>
      <c r="M26" s="399"/>
      <c r="N26" s="399"/>
      <c r="O26" s="399"/>
      <c r="P26" s="399"/>
      <c r="Q26" s="399"/>
      <c r="R26" s="415"/>
    </row>
    <row r="27" spans="1:18">
      <c r="B27" t="s">
        <v>401</v>
      </c>
      <c r="C27" s="395">
        <v>1</v>
      </c>
      <c r="D27" t="s">
        <v>402</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359</v>
      </c>
      <c r="C28" s="395">
        <v>1</v>
      </c>
      <c r="D28" t="s">
        <v>185</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412</v>
      </c>
      <c r="C29" s="395">
        <v>1</v>
      </c>
      <c r="D29" t="s">
        <v>185</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403</v>
      </c>
      <c r="C30" s="395">
        <v>3</v>
      </c>
      <c r="D30" t="s">
        <v>185</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404</v>
      </c>
      <c r="C32" s="140"/>
      <c r="E32" s="139"/>
      <c r="F32" s="398"/>
      <c r="G32" s="405"/>
      <c r="H32" s="405"/>
      <c r="I32" s="405"/>
      <c r="J32" s="405"/>
      <c r="K32" s="405"/>
      <c r="L32" s="405"/>
      <c r="M32" s="405"/>
      <c r="N32" s="405"/>
      <c r="O32" s="405"/>
      <c r="P32" s="405"/>
      <c r="Q32" s="405"/>
      <c r="R32" s="415"/>
    </row>
    <row r="33" spans="1:20">
      <c r="B33" t="s">
        <v>405</v>
      </c>
      <c r="C33" s="395">
        <v>1</v>
      </c>
      <c r="D33" s="139" t="s">
        <v>406</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407</v>
      </c>
      <c r="C34" s="395">
        <v>1</v>
      </c>
      <c r="D34" s="139" t="s">
        <v>406</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408</v>
      </c>
      <c r="C35" s="395">
        <v>1</v>
      </c>
      <c r="D35" s="139" t="s">
        <v>406</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369</v>
      </c>
      <c r="B37" s="282" t="s">
        <v>415</v>
      </c>
      <c r="C37" s="397">
        <v>1</v>
      </c>
      <c r="D37" t="s">
        <v>371</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372</v>
      </c>
      <c r="B38" s="284" t="s">
        <v>373</v>
      </c>
      <c r="C38" s="396">
        <v>1</v>
      </c>
      <c r="D38" s="253" t="s">
        <v>185</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374</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375</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518</v>
      </c>
    </row>
    <row r="43" spans="1:20" ht="16.5" thickBot="1">
      <c r="G43" s="287"/>
      <c r="R43" s="471"/>
      <c r="S43" t="s">
        <v>553</v>
      </c>
    </row>
    <row r="44" spans="1:20" ht="16.5" thickBot="1">
      <c r="A44" t="s">
        <v>53</v>
      </c>
      <c r="D44" t="s">
        <v>409</v>
      </c>
      <c r="G44" s="88">
        <v>18.21</v>
      </c>
      <c r="H44" s="88">
        <v>0.23</v>
      </c>
      <c r="I44" s="88">
        <v>0</v>
      </c>
      <c r="J44" s="88">
        <v>0</v>
      </c>
      <c r="K44" s="88">
        <v>0</v>
      </c>
      <c r="L44" s="88">
        <v>0</v>
      </c>
      <c r="M44" s="88">
        <v>0</v>
      </c>
      <c r="N44" s="88">
        <v>0</v>
      </c>
      <c r="O44" s="88">
        <v>0</v>
      </c>
      <c r="P44" s="88">
        <v>0.54</v>
      </c>
      <c r="Q44" s="286">
        <f>SUM(Q12:Q38)</f>
        <v>-3135.3751215851867</v>
      </c>
      <c r="R44" s="416">
        <f>R42*R43</f>
        <v>0</v>
      </c>
      <c r="S44" t="s">
        <v>520</v>
      </c>
    </row>
    <row r="46" spans="1:20">
      <c r="A46" t="s">
        <v>410</v>
      </c>
    </row>
    <row r="49" spans="1:12">
      <c r="A49" s="347" t="s">
        <v>452</v>
      </c>
      <c r="C49" s="288"/>
    </row>
    <row r="50" spans="1:12">
      <c r="A50" s="142" t="s">
        <v>448</v>
      </c>
    </row>
    <row r="51" spans="1:12">
      <c r="C51" s="183"/>
      <c r="L51" s="174"/>
    </row>
    <row r="52" spans="1:12">
      <c r="A52" s="347" t="s">
        <v>537</v>
      </c>
      <c r="C52" s="183"/>
      <c r="L52" s="174"/>
    </row>
    <row r="53" spans="1:12">
      <c r="A53" t="s">
        <v>539</v>
      </c>
    </row>
    <row r="55" spans="1:12">
      <c r="K55" s="348"/>
    </row>
    <row r="56" spans="1:12">
      <c r="A56" t="s">
        <v>552</v>
      </c>
    </row>
    <row r="57" spans="1:12">
      <c r="A57" s="497" t="s">
        <v>551</v>
      </c>
      <c r="B57" s="497"/>
      <c r="C57" s="497"/>
      <c r="D57" s="497"/>
      <c r="E57" s="497"/>
      <c r="F57" s="497"/>
      <c r="G57" s="497"/>
      <c r="H57" s="497"/>
      <c r="I57" s="497"/>
      <c r="J57" s="497"/>
      <c r="K57" s="497"/>
    </row>
    <row r="58" spans="1:12">
      <c r="A58" s="497"/>
      <c r="B58" s="497"/>
      <c r="C58" s="497"/>
      <c r="D58" s="497"/>
      <c r="E58" s="497"/>
      <c r="F58" s="497"/>
      <c r="G58" s="497"/>
      <c r="H58" s="497"/>
      <c r="I58" s="497"/>
      <c r="J58" s="497"/>
      <c r="K58" s="497"/>
    </row>
    <row r="59" spans="1:12" ht="6.95" customHeight="1">
      <c r="A59" s="497"/>
      <c r="B59" s="497"/>
      <c r="C59" s="497"/>
      <c r="D59" s="497"/>
      <c r="E59" s="497"/>
      <c r="F59" s="497"/>
      <c r="G59" s="497"/>
      <c r="H59" s="497"/>
      <c r="I59" s="497"/>
      <c r="J59" s="497"/>
      <c r="K59" s="497"/>
    </row>
    <row r="60" spans="1:12" ht="8.1" customHeight="1">
      <c r="A60" s="497"/>
      <c r="B60" s="497"/>
      <c r="C60" s="497"/>
      <c r="D60" s="497"/>
      <c r="E60" s="497"/>
      <c r="F60" s="497"/>
      <c r="G60" s="497"/>
      <c r="H60" s="497"/>
      <c r="I60" s="497"/>
      <c r="J60" s="497"/>
      <c r="K60" s="497"/>
    </row>
    <row r="61" spans="1:12" ht="6.95" customHeight="1">
      <c r="A61" s="497"/>
      <c r="B61" s="497"/>
      <c r="C61" s="497"/>
      <c r="D61" s="497"/>
      <c r="E61" s="497"/>
      <c r="F61" s="497"/>
      <c r="G61" s="497"/>
      <c r="H61" s="497"/>
      <c r="I61" s="497"/>
      <c r="J61" s="497"/>
      <c r="K61" s="497"/>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88" t="s">
        <v>549</v>
      </c>
      <c r="L2" s="488"/>
    </row>
    <row r="3" spans="2:12" ht="21.75" thickBot="1">
      <c r="B3" s="144" t="s">
        <v>416</v>
      </c>
      <c r="K3" s="489"/>
      <c r="L3" s="489"/>
    </row>
    <row r="4" spans="2:12" ht="33.75">
      <c r="B4" s="503" t="s">
        <v>194</v>
      </c>
      <c r="C4" s="504"/>
      <c r="D4" s="504"/>
      <c r="E4" s="504"/>
      <c r="F4" s="504"/>
      <c r="G4" s="504"/>
      <c r="H4" s="504"/>
      <c r="I4" s="505"/>
    </row>
    <row r="5" spans="2:12" ht="16.5" thickBot="1">
      <c r="B5" s="145" t="s">
        <v>195</v>
      </c>
      <c r="C5" s="146" t="s">
        <v>196</v>
      </c>
      <c r="D5" s="146" t="s">
        <v>197</v>
      </c>
      <c r="E5" s="146" t="s">
        <v>198</v>
      </c>
      <c r="F5" s="146" t="s">
        <v>199</v>
      </c>
      <c r="G5" s="146" t="s">
        <v>200</v>
      </c>
      <c r="H5" s="506" t="s">
        <v>201</v>
      </c>
      <c r="I5" s="507"/>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8" t="s">
        <v>212</v>
      </c>
      <c r="I9" s="509"/>
    </row>
    <row r="10" spans="2:12">
      <c r="B10" s="151" t="s">
        <v>213</v>
      </c>
      <c r="C10" s="152" t="s">
        <v>214</v>
      </c>
      <c r="D10" s="177">
        <v>32</v>
      </c>
      <c r="E10" s="154">
        <f>5*C6</f>
        <v>100</v>
      </c>
      <c r="F10" s="155">
        <f>D10*E10</f>
        <v>3200</v>
      </c>
      <c r="G10" s="155">
        <f>F10/C6</f>
        <v>160</v>
      </c>
      <c r="H10" s="500">
        <f>G10/$I$7</f>
        <v>290.90909090909088</v>
      </c>
      <c r="I10" s="501"/>
    </row>
    <row r="11" spans="2:12" ht="17.25">
      <c r="B11" s="157" t="s">
        <v>215</v>
      </c>
      <c r="C11" s="158" t="s">
        <v>216</v>
      </c>
      <c r="D11" s="159">
        <v>0</v>
      </c>
      <c r="E11" s="160">
        <f>5*C6</f>
        <v>100</v>
      </c>
      <c r="F11" s="159">
        <f>D11*E11</f>
        <v>0</v>
      </c>
      <c r="G11" s="159">
        <f>F11/20</f>
        <v>0</v>
      </c>
      <c r="H11" s="510">
        <f>G11/$I$7</f>
        <v>0</v>
      </c>
      <c r="I11" s="511"/>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F15/20</f>
        <v>25</v>
      </c>
      <c r="H15" s="498">
        <f>G15/$I$8</f>
        <v>3.787878787878788E-2</v>
      </c>
      <c r="I15" s="499"/>
    </row>
    <row r="16" spans="2:12">
      <c r="B16" s="147" t="s">
        <v>221</v>
      </c>
      <c r="C16" t="s">
        <v>222</v>
      </c>
      <c r="D16" s="422">
        <v>15</v>
      </c>
      <c r="E16" s="421">
        <f>C6</f>
        <v>20</v>
      </c>
      <c r="F16" s="422">
        <f>D16*E16</f>
        <v>300</v>
      </c>
      <c r="G16" s="422">
        <f>F16/20</f>
        <v>15</v>
      </c>
      <c r="H16" s="498">
        <f t="shared" ref="H16:H31" si="0">G16/$I$8</f>
        <v>2.2727272727272728E-2</v>
      </c>
      <c r="I16" s="499"/>
    </row>
    <row r="17" spans="2:10">
      <c r="B17" s="147" t="s">
        <v>223</v>
      </c>
      <c r="C17" t="s">
        <v>224</v>
      </c>
      <c r="D17" s="422" t="s">
        <v>224</v>
      </c>
      <c r="E17" s="421">
        <f>F6*0.02</f>
        <v>550</v>
      </c>
      <c r="F17" s="422">
        <f>F6*0.02</f>
        <v>550</v>
      </c>
      <c r="G17" s="425">
        <f>F17/20</f>
        <v>27.5</v>
      </c>
      <c r="H17" s="498">
        <f t="shared" si="0"/>
        <v>4.1666666666666664E-2</v>
      </c>
      <c r="I17" s="499"/>
    </row>
    <row r="18" spans="2:10">
      <c r="B18" s="147" t="s">
        <v>225</v>
      </c>
      <c r="C18" t="s">
        <v>222</v>
      </c>
      <c r="D18" s="422">
        <f>G18</f>
        <v>1.25</v>
      </c>
      <c r="E18" s="421">
        <f>C6</f>
        <v>20</v>
      </c>
      <c r="F18" s="422">
        <f>D18*E18</f>
        <v>25</v>
      </c>
      <c r="G18" s="422">
        <v>1.25</v>
      </c>
      <c r="H18" s="498">
        <f t="shared" si="0"/>
        <v>1.893939393939394E-3</v>
      </c>
      <c r="I18" s="499"/>
    </row>
    <row r="19" spans="2:10">
      <c r="B19" s="147" t="s">
        <v>226</v>
      </c>
      <c r="C19" t="s">
        <v>222</v>
      </c>
      <c r="D19" s="422">
        <v>2</v>
      </c>
      <c r="E19" s="421">
        <f>C6</f>
        <v>20</v>
      </c>
      <c r="F19" s="422">
        <f>D19*E19</f>
        <v>40</v>
      </c>
      <c r="G19" s="422">
        <v>1</v>
      </c>
      <c r="H19" s="498">
        <f t="shared" si="0"/>
        <v>1.5151515151515152E-3</v>
      </c>
      <c r="I19" s="499"/>
    </row>
    <row r="20" spans="2:10">
      <c r="B20" s="147" t="s">
        <v>227</v>
      </c>
      <c r="C20" t="s">
        <v>228</v>
      </c>
      <c r="D20" s="422">
        <v>100</v>
      </c>
      <c r="E20" s="421">
        <f>C6</f>
        <v>20</v>
      </c>
      <c r="F20" s="424">
        <f>D20*E20</f>
        <v>2000</v>
      </c>
      <c r="G20" s="422">
        <f>F20/20</f>
        <v>100</v>
      </c>
      <c r="H20" s="498">
        <f t="shared" si="0"/>
        <v>0.15151515151515152</v>
      </c>
      <c r="I20" s="499"/>
    </row>
    <row r="21" spans="2:10">
      <c r="B21" s="147" t="s">
        <v>229</v>
      </c>
      <c r="C21" t="s">
        <v>230</v>
      </c>
      <c r="D21" s="422">
        <v>2.2000000000000002</v>
      </c>
      <c r="E21" s="421">
        <f>I8</f>
        <v>660</v>
      </c>
      <c r="F21" s="422">
        <f>E21*D21*C6</f>
        <v>29040.000000000004</v>
      </c>
      <c r="G21" s="422">
        <f>F21/20</f>
        <v>1452.0000000000002</v>
      </c>
      <c r="H21" s="498">
        <f t="shared" si="0"/>
        <v>2.2000000000000002</v>
      </c>
      <c r="I21" s="499"/>
    </row>
    <row r="22" spans="2:10">
      <c r="B22" s="147" t="s">
        <v>231</v>
      </c>
      <c r="C22" t="s">
        <v>222</v>
      </c>
      <c r="D22" s="422">
        <v>35</v>
      </c>
      <c r="E22" s="421">
        <f>C6</f>
        <v>20</v>
      </c>
      <c r="F22" s="422">
        <f>D22*E22</f>
        <v>700</v>
      </c>
      <c r="G22" s="422">
        <f>F22/20</f>
        <v>35</v>
      </c>
      <c r="H22" s="498">
        <f t="shared" si="0"/>
        <v>5.3030303030303032E-2</v>
      </c>
      <c r="I22" s="499"/>
    </row>
    <row r="23" spans="2:10">
      <c r="B23" s="147" t="s">
        <v>232</v>
      </c>
      <c r="C23" t="s">
        <v>233</v>
      </c>
      <c r="D23" s="422">
        <v>0.2</v>
      </c>
      <c r="E23" s="421">
        <f>480/0.2</f>
        <v>2400</v>
      </c>
      <c r="F23" s="422">
        <f>D23*E23</f>
        <v>480</v>
      </c>
      <c r="G23" s="422">
        <v>24</v>
      </c>
      <c r="H23" s="498">
        <f t="shared" si="0"/>
        <v>3.6363636363636362E-2</v>
      </c>
      <c r="I23" s="499"/>
    </row>
    <row r="24" spans="2:10">
      <c r="B24" s="147" t="s">
        <v>234</v>
      </c>
      <c r="C24" t="s">
        <v>233</v>
      </c>
      <c r="D24" s="422">
        <v>0.57999999999999996</v>
      </c>
      <c r="E24" s="423">
        <f>6400</f>
        <v>6400</v>
      </c>
      <c r="F24" s="422">
        <f>D24*E24</f>
        <v>3711.9999999999995</v>
      </c>
      <c r="G24" s="422">
        <v>185.40983606557376</v>
      </c>
      <c r="H24" s="498">
        <f t="shared" si="0"/>
        <v>0.28092399403874813</v>
      </c>
      <c r="I24" s="499"/>
    </row>
    <row r="25" spans="2:10">
      <c r="B25" s="147" t="s">
        <v>235</v>
      </c>
      <c r="C25" t="s">
        <v>233</v>
      </c>
      <c r="D25" s="422">
        <v>0.35</v>
      </c>
      <c r="E25" s="421">
        <f>273/0.35</f>
        <v>780</v>
      </c>
      <c r="F25" s="422">
        <f>D25*E25</f>
        <v>273</v>
      </c>
      <c r="G25" s="422">
        <v>13.65</v>
      </c>
      <c r="H25" s="498">
        <f t="shared" si="0"/>
        <v>2.0681818181818183E-2</v>
      </c>
      <c r="I25" s="499"/>
    </row>
    <row r="26" spans="2:10">
      <c r="B26" s="170" t="s">
        <v>236</v>
      </c>
      <c r="C26" s="171"/>
      <c r="D26" s="171"/>
      <c r="E26" s="171"/>
      <c r="F26" s="422">
        <f>SUM(F10:F25)</f>
        <v>40820</v>
      </c>
      <c r="G26" s="422">
        <f>SUM(G10:G25)</f>
        <v>2039.809836065574</v>
      </c>
      <c r="H26" s="498">
        <f t="shared" si="0"/>
        <v>3.0906209637357183</v>
      </c>
      <c r="I26" s="499"/>
    </row>
    <row r="27" spans="2:10">
      <c r="B27" s="172" t="s">
        <v>237</v>
      </c>
      <c r="F27" s="422"/>
      <c r="G27" s="426"/>
      <c r="H27" s="498">
        <f t="shared" si="0"/>
        <v>0</v>
      </c>
      <c r="I27" s="499"/>
    </row>
    <row r="28" spans="2:10">
      <c r="B28" s="147" t="s">
        <v>238</v>
      </c>
      <c r="F28" s="422">
        <v>1200</v>
      </c>
      <c r="G28" s="422">
        <f>F28/20</f>
        <v>60</v>
      </c>
      <c r="H28" s="498">
        <f t="shared" si="0"/>
        <v>9.0909090909090912E-2</v>
      </c>
      <c r="I28" s="499"/>
    </row>
    <row r="29" spans="2:10">
      <c r="B29" s="147" t="s">
        <v>239</v>
      </c>
      <c r="F29" s="422">
        <v>440</v>
      </c>
      <c r="G29" s="422">
        <f>F29/20</f>
        <v>22</v>
      </c>
      <c r="H29" s="498">
        <f t="shared" si="0"/>
        <v>3.3333333333333333E-2</v>
      </c>
      <c r="I29" s="499"/>
    </row>
    <row r="30" spans="2:10">
      <c r="B30" s="172" t="s">
        <v>240</v>
      </c>
      <c r="F30" s="427">
        <f>F28+F29</f>
        <v>1640</v>
      </c>
      <c r="G30" s="427">
        <f>G28+G29</f>
        <v>82</v>
      </c>
      <c r="H30" s="498">
        <f t="shared" si="0"/>
        <v>0.12424242424242424</v>
      </c>
      <c r="I30" s="499"/>
    </row>
    <row r="31" spans="2:10" ht="16.5" thickBot="1">
      <c r="B31" s="432" t="s">
        <v>241</v>
      </c>
      <c r="C31" s="433"/>
      <c r="D31" s="433"/>
      <c r="E31" s="433"/>
      <c r="F31" s="434">
        <f>F30+F26+F6</f>
        <v>69960</v>
      </c>
      <c r="G31" s="429">
        <f>G26+G6+G30</f>
        <v>3496.809836065574</v>
      </c>
      <c r="H31" s="500">
        <f t="shared" si="0"/>
        <v>5.2981967213114753</v>
      </c>
      <c r="I31" s="501"/>
      <c r="J31" t="s">
        <v>242</v>
      </c>
    </row>
    <row r="32" spans="2:10" ht="16.5" thickBot="1">
      <c r="B32" s="152"/>
      <c r="C32" s="152"/>
      <c r="D32" s="152"/>
      <c r="E32" s="152" t="s">
        <v>243</v>
      </c>
      <c r="F32" s="434">
        <f>(K8*I8)*C6</f>
        <v>74580.000000000015</v>
      </c>
      <c r="G32" s="430">
        <f>(I8*K8)</f>
        <v>3729.0000000000005</v>
      </c>
      <c r="H32" s="168"/>
      <c r="I32" s="168"/>
    </row>
    <row r="33" spans="1:12" ht="16.5" thickBot="1">
      <c r="B33" s="152"/>
      <c r="C33" s="152"/>
      <c r="D33" s="152"/>
      <c r="E33" s="152" t="s">
        <v>244</v>
      </c>
      <c r="F33" s="435">
        <f>F32-F31</f>
        <v>4620.0000000000146</v>
      </c>
      <c r="G33" s="431">
        <f>G32-G31</f>
        <v>232.19016393442644</v>
      </c>
      <c r="H33" s="168"/>
      <c r="I33" s="168"/>
    </row>
    <row r="34" spans="1:12" ht="17.25">
      <c r="B34" s="502" t="s">
        <v>245</v>
      </c>
      <c r="C34" s="502"/>
      <c r="D34" s="502"/>
      <c r="L34">
        <f>50/H38</f>
        <v>2.1917808219178081</v>
      </c>
    </row>
    <row r="35" spans="1:12" ht="17.25">
      <c r="B35" s="174" t="s">
        <v>246</v>
      </c>
      <c r="C35" s="174"/>
      <c r="D35" s="174"/>
    </row>
    <row r="38" spans="1:12">
      <c r="B38" t="s">
        <v>249</v>
      </c>
      <c r="F38" t="s">
        <v>250</v>
      </c>
      <c r="H38">
        <f>365/16</f>
        <v>22.8125</v>
      </c>
    </row>
    <row r="43" spans="1:12">
      <c r="A43" s="347" t="s">
        <v>465</v>
      </c>
    </row>
    <row r="44" spans="1:12">
      <c r="A44" s="142" t="s">
        <v>466</v>
      </c>
    </row>
  </sheetData>
  <mergeCells count="24">
    <mergeCell ref="K2:L3"/>
    <mergeCell ref="H15:I15"/>
    <mergeCell ref="B4:I4"/>
    <mergeCell ref="H5:I5"/>
    <mergeCell ref="H9:I9"/>
    <mergeCell ref="H10:I10"/>
    <mergeCell ref="H11:I11"/>
    <mergeCell ref="H27:I27"/>
    <mergeCell ref="H16:I16"/>
    <mergeCell ref="H17:I17"/>
    <mergeCell ref="H18:I18"/>
    <mergeCell ref="H19:I19"/>
    <mergeCell ref="H20:I20"/>
    <mergeCell ref="H21:I21"/>
    <mergeCell ref="H22:I22"/>
    <mergeCell ref="H23:I23"/>
    <mergeCell ref="H24:I24"/>
    <mergeCell ref="H25:I25"/>
    <mergeCell ref="H26:I26"/>
    <mergeCell ref="H28:I28"/>
    <mergeCell ref="H29:I29"/>
    <mergeCell ref="H30:I30"/>
    <mergeCell ref="H31:I31"/>
    <mergeCell ref="B34:D34"/>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8" t="s">
        <v>549</v>
      </c>
      <c r="L2" s="488"/>
    </row>
    <row r="3" spans="2:12" ht="21.75" thickBot="1">
      <c r="B3" s="144" t="s">
        <v>247</v>
      </c>
      <c r="K3" s="489"/>
      <c r="L3" s="489"/>
    </row>
    <row r="4" spans="2:12" ht="33.75">
      <c r="B4" s="503" t="s">
        <v>194</v>
      </c>
      <c r="C4" s="504"/>
      <c r="D4" s="504"/>
      <c r="E4" s="504"/>
      <c r="F4" s="504"/>
      <c r="G4" s="504"/>
      <c r="H4" s="504"/>
      <c r="I4" s="505"/>
    </row>
    <row r="5" spans="2:12" ht="16.5" thickBot="1">
      <c r="B5" s="145" t="s">
        <v>195</v>
      </c>
      <c r="C5" s="146" t="s">
        <v>196</v>
      </c>
      <c r="D5" s="146" t="s">
        <v>197</v>
      </c>
      <c r="E5" s="146" t="s">
        <v>198</v>
      </c>
      <c r="F5" s="146" t="s">
        <v>199</v>
      </c>
      <c r="G5" s="146" t="s">
        <v>200</v>
      </c>
      <c r="H5" s="506" t="s">
        <v>201</v>
      </c>
      <c r="I5" s="507"/>
    </row>
    <row r="6" spans="2:12" ht="16.5" thickBot="1">
      <c r="B6" s="147"/>
      <c r="C6" s="176">
        <v>20</v>
      </c>
      <c r="D6">
        <v>550</v>
      </c>
      <c r="E6">
        <v>2.5</v>
      </c>
      <c r="F6">
        <f>C6*D6*E6</f>
        <v>27500</v>
      </c>
      <c r="G6">
        <f>F6/C6</f>
        <v>1375</v>
      </c>
      <c r="H6" t="s">
        <v>202</v>
      </c>
      <c r="I6" s="428">
        <v>1200</v>
      </c>
      <c r="K6" t="s">
        <v>203</v>
      </c>
    </row>
    <row r="7" spans="2:12" ht="16.5" thickBot="1">
      <c r="B7" s="147"/>
      <c r="H7" t="s">
        <v>204</v>
      </c>
      <c r="I7" s="428">
        <v>0.55000000000000004</v>
      </c>
      <c r="K7" s="88" t="s">
        <v>205</v>
      </c>
    </row>
    <row r="8" spans="2:12" ht="16.5" thickBot="1">
      <c r="B8" s="147"/>
      <c r="H8" t="s">
        <v>206</v>
      </c>
      <c r="I8" s="428">
        <f>I6*I7</f>
        <v>660</v>
      </c>
      <c r="K8" s="463">
        <v>5.65</v>
      </c>
      <c r="L8" s="142" t="s">
        <v>207</v>
      </c>
    </row>
    <row r="9" spans="2:12">
      <c r="B9" s="148" t="s">
        <v>208</v>
      </c>
      <c r="C9" s="149" t="s">
        <v>27</v>
      </c>
      <c r="D9" s="149" t="s">
        <v>209</v>
      </c>
      <c r="E9" s="149" t="s">
        <v>210</v>
      </c>
      <c r="F9" s="149" t="s">
        <v>211</v>
      </c>
      <c r="G9" s="150" t="s">
        <v>200</v>
      </c>
      <c r="H9" s="508" t="s">
        <v>212</v>
      </c>
      <c r="I9" s="509"/>
    </row>
    <row r="10" spans="2:12">
      <c r="B10" s="151" t="s">
        <v>213</v>
      </c>
      <c r="C10" s="152" t="s">
        <v>214</v>
      </c>
      <c r="D10" s="153">
        <v>32</v>
      </c>
      <c r="E10" s="154">
        <f>5*C6</f>
        <v>100</v>
      </c>
      <c r="F10" s="155">
        <f>D10*E10</f>
        <v>3200</v>
      </c>
      <c r="G10" s="155">
        <f>F10/C6</f>
        <v>160</v>
      </c>
      <c r="H10" s="500" t="e">
        <f>G10/$J$7</f>
        <v>#DIV/0!</v>
      </c>
      <c r="I10" s="501"/>
    </row>
    <row r="11" spans="2:12" ht="17.25">
      <c r="B11" s="157" t="s">
        <v>215</v>
      </c>
      <c r="C11" s="158" t="s">
        <v>216</v>
      </c>
      <c r="D11" s="159">
        <v>0</v>
      </c>
      <c r="E11" s="160">
        <f>5*C6</f>
        <v>100</v>
      </c>
      <c r="F11" s="159">
        <f>D11*E11</f>
        <v>0</v>
      </c>
      <c r="G11" s="159">
        <f>F11/20</f>
        <v>0</v>
      </c>
      <c r="H11" s="510" t="e">
        <f t="shared" ref="H11" si="0">G11/$J$7</f>
        <v>#DIV/0!</v>
      </c>
      <c r="I11" s="511"/>
    </row>
    <row r="12" spans="2:12" ht="17.25">
      <c r="B12" s="151" t="s">
        <v>217</v>
      </c>
      <c r="C12" s="152" t="s">
        <v>218</v>
      </c>
      <c r="D12" s="155">
        <v>0</v>
      </c>
      <c r="E12" s="154"/>
      <c r="F12" s="155"/>
      <c r="G12" s="155"/>
      <c r="H12" s="153"/>
      <c r="I12" s="156"/>
    </row>
    <row r="13" spans="2:12" ht="17.25">
      <c r="B13" s="157" t="s">
        <v>215</v>
      </c>
      <c r="C13" s="158" t="s">
        <v>218</v>
      </c>
      <c r="D13" s="159">
        <v>0</v>
      </c>
      <c r="E13" s="160"/>
      <c r="F13" s="159"/>
      <c r="G13" s="159"/>
      <c r="H13" s="161"/>
      <c r="I13" s="162"/>
    </row>
    <row r="14" spans="2:12">
      <c r="B14" s="147" t="s">
        <v>219</v>
      </c>
      <c r="D14" s="163"/>
      <c r="E14" s="164"/>
      <c r="F14" s="165"/>
      <c r="G14" s="165"/>
      <c r="H14" s="166"/>
      <c r="I14" s="167"/>
    </row>
    <row r="15" spans="2:12">
      <c r="B15" s="147" t="s">
        <v>220</v>
      </c>
      <c r="C15" t="s">
        <v>251</v>
      </c>
      <c r="D15" s="420">
        <v>25</v>
      </c>
      <c r="E15" s="421">
        <f>C6</f>
        <v>20</v>
      </c>
      <c r="F15" s="424">
        <f>D15*E15</f>
        <v>500</v>
      </c>
      <c r="G15" s="422">
        <f>F15/C6</f>
        <v>25</v>
      </c>
      <c r="H15" s="498">
        <f>G15/$I$8</f>
        <v>3.787878787878788E-2</v>
      </c>
      <c r="I15" s="499"/>
    </row>
    <row r="16" spans="2:12">
      <c r="B16" s="147" t="s">
        <v>221</v>
      </c>
      <c r="C16" t="s">
        <v>222</v>
      </c>
      <c r="D16" s="422">
        <v>15</v>
      </c>
      <c r="E16" s="421">
        <f>C6</f>
        <v>20</v>
      </c>
      <c r="F16" s="422">
        <f>D16*E16</f>
        <v>300</v>
      </c>
      <c r="G16" s="422">
        <f>F16/C6</f>
        <v>15</v>
      </c>
      <c r="H16" s="498">
        <f t="shared" ref="H16:H32" si="1">G16/$I$8</f>
        <v>2.2727272727272728E-2</v>
      </c>
      <c r="I16" s="499"/>
    </row>
    <row r="17" spans="2:10">
      <c r="B17" s="147" t="s">
        <v>223</v>
      </c>
      <c r="C17" t="s">
        <v>224</v>
      </c>
      <c r="D17" s="422" t="s">
        <v>224</v>
      </c>
      <c r="E17" s="421">
        <f>F6*0.02</f>
        <v>550</v>
      </c>
      <c r="F17" s="422">
        <f>F6*0.02</f>
        <v>550</v>
      </c>
      <c r="G17" s="425">
        <f>F17/C6</f>
        <v>27.5</v>
      </c>
      <c r="H17" s="498">
        <f t="shared" si="1"/>
        <v>4.1666666666666664E-2</v>
      </c>
      <c r="I17" s="499"/>
    </row>
    <row r="18" spans="2:10">
      <c r="B18" s="147" t="s">
        <v>225</v>
      </c>
      <c r="C18" t="s">
        <v>222</v>
      </c>
      <c r="D18" s="422">
        <f>G18</f>
        <v>1.25</v>
      </c>
      <c r="E18" s="421">
        <f>C6</f>
        <v>20</v>
      </c>
      <c r="F18" s="422">
        <f>D18*E18</f>
        <v>25</v>
      </c>
      <c r="G18" s="422">
        <v>1.25</v>
      </c>
      <c r="H18" s="498">
        <f t="shared" si="1"/>
        <v>1.893939393939394E-3</v>
      </c>
      <c r="I18" s="499"/>
    </row>
    <row r="19" spans="2:10">
      <c r="B19" s="147" t="s">
        <v>248</v>
      </c>
      <c r="C19" t="s">
        <v>222</v>
      </c>
      <c r="D19" s="436">
        <v>60</v>
      </c>
      <c r="E19" s="421">
        <f>C6</f>
        <v>20</v>
      </c>
      <c r="F19" s="422">
        <f>D19*E19</f>
        <v>1200</v>
      </c>
      <c r="G19" s="436">
        <f>D19</f>
        <v>60</v>
      </c>
      <c r="H19" s="498">
        <f t="shared" ref="H19" si="2">G19/$I$8</f>
        <v>9.0909090909090912E-2</v>
      </c>
      <c r="I19" s="499"/>
    </row>
    <row r="20" spans="2:10">
      <c r="B20" s="147"/>
      <c r="C20" t="s">
        <v>222</v>
      </c>
      <c r="D20" s="422">
        <v>2</v>
      </c>
      <c r="E20" s="421">
        <f>C6</f>
        <v>20</v>
      </c>
      <c r="F20" s="422">
        <f>D20*E20</f>
        <v>40</v>
      </c>
      <c r="G20" s="422">
        <v>1</v>
      </c>
      <c r="H20" s="498">
        <f t="shared" si="1"/>
        <v>1.5151515151515152E-3</v>
      </c>
      <c r="I20" s="499"/>
    </row>
    <row r="21" spans="2:10">
      <c r="B21" s="147" t="s">
        <v>227</v>
      </c>
      <c r="C21" t="s">
        <v>228</v>
      </c>
      <c r="D21" s="422">
        <v>100</v>
      </c>
      <c r="E21" s="421">
        <f>C6</f>
        <v>20</v>
      </c>
      <c r="F21" s="424">
        <f>D21*E21</f>
        <v>2000</v>
      </c>
      <c r="G21" s="422">
        <f>F21/20</f>
        <v>100</v>
      </c>
      <c r="H21" s="498">
        <f t="shared" si="1"/>
        <v>0.15151515151515152</v>
      </c>
      <c r="I21" s="499"/>
    </row>
    <row r="22" spans="2:10">
      <c r="B22" s="147" t="s">
        <v>229</v>
      </c>
      <c r="C22" t="s">
        <v>230</v>
      </c>
      <c r="D22" s="422">
        <v>2.2000000000000002</v>
      </c>
      <c r="E22" s="421">
        <f>I8</f>
        <v>660</v>
      </c>
      <c r="F22" s="422">
        <f>E22*D22*C6</f>
        <v>29040.000000000004</v>
      </c>
      <c r="G22" s="422">
        <f>F22/20</f>
        <v>1452.0000000000002</v>
      </c>
      <c r="H22" s="498">
        <f t="shared" si="1"/>
        <v>2.2000000000000002</v>
      </c>
      <c r="I22" s="499"/>
    </row>
    <row r="23" spans="2:10">
      <c r="B23" s="147" t="s">
        <v>231</v>
      </c>
      <c r="C23" t="s">
        <v>222</v>
      </c>
      <c r="D23" s="422">
        <v>35</v>
      </c>
      <c r="E23" s="421">
        <f>C6</f>
        <v>20</v>
      </c>
      <c r="F23" s="422">
        <f>D23*E23</f>
        <v>700</v>
      </c>
      <c r="G23" s="422">
        <f>F23/20</f>
        <v>35</v>
      </c>
      <c r="H23" s="498">
        <f t="shared" si="1"/>
        <v>5.3030303030303032E-2</v>
      </c>
      <c r="I23" s="499"/>
    </row>
    <row r="24" spans="2:10">
      <c r="B24" s="147" t="s">
        <v>232</v>
      </c>
      <c r="C24" t="s">
        <v>233</v>
      </c>
      <c r="D24" s="422">
        <v>0.2</v>
      </c>
      <c r="E24" s="421">
        <f>480/0.2</f>
        <v>2400</v>
      </c>
      <c r="F24" s="422">
        <f>D24*E24</f>
        <v>480</v>
      </c>
      <c r="G24" s="422">
        <v>24</v>
      </c>
      <c r="H24" s="498">
        <f t="shared" si="1"/>
        <v>3.6363636363636362E-2</v>
      </c>
      <c r="I24" s="499"/>
    </row>
    <row r="25" spans="2:10">
      <c r="B25" s="147" t="s">
        <v>234</v>
      </c>
      <c r="C25" t="s">
        <v>233</v>
      </c>
      <c r="D25" s="422">
        <v>0.57999999999999996</v>
      </c>
      <c r="E25" s="423">
        <f>6400</f>
        <v>6400</v>
      </c>
      <c r="F25" s="422">
        <f>D25*E25</f>
        <v>3711.9999999999995</v>
      </c>
      <c r="G25" s="422">
        <v>185.40983606557376</v>
      </c>
      <c r="H25" s="498">
        <f t="shared" si="1"/>
        <v>0.28092399403874813</v>
      </c>
      <c r="I25" s="499"/>
    </row>
    <row r="26" spans="2:10">
      <c r="B26" s="147" t="s">
        <v>235</v>
      </c>
      <c r="C26" t="s">
        <v>233</v>
      </c>
      <c r="D26" s="422">
        <v>0.35</v>
      </c>
      <c r="E26" s="421">
        <f>273/0.35</f>
        <v>780</v>
      </c>
      <c r="F26" s="422">
        <f>D26*E26</f>
        <v>273</v>
      </c>
      <c r="G26" s="422">
        <v>13.65</v>
      </c>
      <c r="H26" s="498">
        <f t="shared" si="1"/>
        <v>2.0681818181818183E-2</v>
      </c>
      <c r="I26" s="499"/>
    </row>
    <row r="27" spans="2:10">
      <c r="B27" s="170" t="s">
        <v>236</v>
      </c>
      <c r="C27" s="171"/>
      <c r="D27" s="171"/>
      <c r="E27" s="171"/>
      <c r="F27" s="422">
        <f>SUM(F10:F26)</f>
        <v>42020</v>
      </c>
      <c r="G27" s="422">
        <f>SUM(G10:G26)</f>
        <v>2099.809836065574</v>
      </c>
      <c r="H27" s="498">
        <f t="shared" si="1"/>
        <v>3.1815300546448091</v>
      </c>
      <c r="I27" s="499"/>
    </row>
    <row r="28" spans="2:10">
      <c r="B28" s="172" t="s">
        <v>237</v>
      </c>
      <c r="F28" s="422"/>
      <c r="G28" s="426"/>
      <c r="H28" s="498">
        <f t="shared" si="1"/>
        <v>0</v>
      </c>
      <c r="I28" s="499"/>
    </row>
    <row r="29" spans="2:10">
      <c r="B29" s="147" t="s">
        <v>238</v>
      </c>
      <c r="F29" s="422">
        <v>1200</v>
      </c>
      <c r="G29" s="422">
        <f>F29/20</f>
        <v>60</v>
      </c>
      <c r="H29" s="498">
        <f t="shared" si="1"/>
        <v>9.0909090909090912E-2</v>
      </c>
      <c r="I29" s="499"/>
    </row>
    <row r="30" spans="2:10">
      <c r="B30" s="147" t="s">
        <v>239</v>
      </c>
      <c r="F30" s="422">
        <v>440</v>
      </c>
      <c r="G30" s="422">
        <f>F30/20</f>
        <v>22</v>
      </c>
      <c r="H30" s="498">
        <f t="shared" si="1"/>
        <v>3.3333333333333333E-2</v>
      </c>
      <c r="I30" s="499"/>
    </row>
    <row r="31" spans="2:10">
      <c r="B31" s="172" t="s">
        <v>240</v>
      </c>
      <c r="F31" s="427">
        <f>F29+F30</f>
        <v>1640</v>
      </c>
      <c r="G31" s="427">
        <f>G29+G30</f>
        <v>82</v>
      </c>
      <c r="H31" s="498">
        <f t="shared" si="1"/>
        <v>0.12424242424242424</v>
      </c>
      <c r="I31" s="499"/>
    </row>
    <row r="32" spans="2:10" ht="16.5" thickBot="1">
      <c r="B32" s="432" t="s">
        <v>241</v>
      </c>
      <c r="C32" s="433"/>
      <c r="D32" s="433"/>
      <c r="E32" s="433"/>
      <c r="F32" s="434">
        <f>F31+F27+F6</f>
        <v>71160</v>
      </c>
      <c r="G32" s="429">
        <f>G27+G6+G31</f>
        <v>3556.809836065574</v>
      </c>
      <c r="H32" s="500">
        <f t="shared" si="1"/>
        <v>5.3891058122205671</v>
      </c>
      <c r="I32" s="501"/>
      <c r="J32" t="s">
        <v>242</v>
      </c>
    </row>
    <row r="33" spans="1:9" ht="16.5" thickBot="1">
      <c r="B33" s="152"/>
      <c r="C33" s="152"/>
      <c r="D33" s="152"/>
      <c r="E33" s="152" t="s">
        <v>243</v>
      </c>
      <c r="F33" s="434">
        <f>(K8*I8)*C6</f>
        <v>74580.000000000015</v>
      </c>
      <c r="G33" s="430">
        <f>(I8*K8)</f>
        <v>3729.0000000000005</v>
      </c>
      <c r="H33" s="168"/>
      <c r="I33" s="168"/>
    </row>
    <row r="34" spans="1:9" ht="16.5" thickBot="1">
      <c r="B34" s="152"/>
      <c r="C34" s="152"/>
      <c r="D34" s="152"/>
      <c r="E34" s="152" t="s">
        <v>244</v>
      </c>
      <c r="F34" s="435">
        <f>F33-F32</f>
        <v>3420.0000000000146</v>
      </c>
      <c r="G34" s="431">
        <f>G33-G32</f>
        <v>172.19016393442644</v>
      </c>
      <c r="H34" s="168"/>
      <c r="I34" s="168"/>
    </row>
    <row r="35" spans="1:9" ht="17.25">
      <c r="B35" s="502" t="s">
        <v>245</v>
      </c>
      <c r="C35" s="502"/>
      <c r="D35" s="502"/>
    </row>
    <row r="36" spans="1:9" ht="17.25">
      <c r="B36" s="174" t="s">
        <v>246</v>
      </c>
      <c r="C36" s="174"/>
      <c r="D36" s="174"/>
    </row>
    <row r="43" spans="1:9">
      <c r="A43" s="347" t="s">
        <v>465</v>
      </c>
    </row>
    <row r="44" spans="1:9">
      <c r="A44" s="142" t="s">
        <v>466</v>
      </c>
    </row>
  </sheetData>
  <mergeCells count="25">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 ref="H30:I30"/>
    <mergeCell ref="H31:I31"/>
    <mergeCell ref="H32:I32"/>
    <mergeCell ref="B35:D35"/>
    <mergeCell ref="H22:I22"/>
    <mergeCell ref="H23:I23"/>
    <mergeCell ref="H24:I24"/>
    <mergeCell ref="H25:I25"/>
    <mergeCell ref="H26:I26"/>
    <mergeCell ref="H27:I27"/>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88" t="s">
        <v>549</v>
      </c>
      <c r="P2" s="488"/>
    </row>
    <row r="3" spans="1:16" ht="16.5" thickBot="1">
      <c r="C3" s="178" t="s">
        <v>253</v>
      </c>
      <c r="O3" s="489"/>
      <c r="P3" s="489"/>
    </row>
    <row r="4" spans="1:16" ht="24" thickBot="1">
      <c r="B4" s="179" t="s">
        <v>254</v>
      </c>
      <c r="C4" s="180">
        <v>10</v>
      </c>
    </row>
    <row r="5" spans="1:16" ht="16.5" thickBot="1">
      <c r="B5" s="181" t="s">
        <v>255</v>
      </c>
      <c r="C5" s="180">
        <v>0.08</v>
      </c>
    </row>
    <row r="6" spans="1:16">
      <c r="C6" s="513" t="s">
        <v>256</v>
      </c>
      <c r="D6" s="513"/>
      <c r="H6" t="s">
        <v>257</v>
      </c>
      <c r="J6" s="182">
        <f>((C5*(1+C5)^C4)/((1+C5)^C4-1))</f>
        <v>0.14902948869707539</v>
      </c>
      <c r="K6" t="s">
        <v>258</v>
      </c>
    </row>
    <row r="7" spans="1:16">
      <c r="C7" t="s">
        <v>259</v>
      </c>
      <c r="H7" s="183"/>
      <c r="I7" s="173"/>
      <c r="J7" t="s">
        <v>260</v>
      </c>
    </row>
    <row r="8" spans="1:16" ht="47.25">
      <c r="C8" s="184" t="s">
        <v>261</v>
      </c>
      <c r="D8" s="184"/>
      <c r="E8" s="185" t="s">
        <v>262</v>
      </c>
      <c r="F8" s="186" t="s">
        <v>263</v>
      </c>
      <c r="G8" s="187" t="s">
        <v>264</v>
      </c>
      <c r="H8" s="186" t="s">
        <v>265</v>
      </c>
      <c r="I8" s="188" t="s">
        <v>266</v>
      </c>
      <c r="J8" s="187" t="s">
        <v>267</v>
      </c>
    </row>
    <row r="9" spans="1:16">
      <c r="C9" s="158" t="s">
        <v>268</v>
      </c>
      <c r="D9" s="158"/>
      <c r="E9" s="437">
        <v>0</v>
      </c>
      <c r="F9" s="439">
        <v>1</v>
      </c>
      <c r="G9" s="440">
        <f>F9*E9</f>
        <v>0</v>
      </c>
      <c r="H9" s="441">
        <v>0</v>
      </c>
      <c r="I9" s="440">
        <f>G9/(1+$C$5)^H9</f>
        <v>0</v>
      </c>
      <c r="J9" s="440">
        <f>I9*$J$6</f>
        <v>0</v>
      </c>
    </row>
    <row r="10" spans="1:16">
      <c r="C10" s="158" t="s">
        <v>269</v>
      </c>
      <c r="D10" s="158"/>
      <c r="E10" s="437">
        <v>17.399999999999999</v>
      </c>
      <c r="F10" s="439">
        <v>0</v>
      </c>
      <c r="G10" s="440">
        <f t="shared" ref="G10:G25" si="0">F10*E10</f>
        <v>0</v>
      </c>
      <c r="H10" s="441">
        <v>0</v>
      </c>
      <c r="I10" s="440">
        <f t="shared" ref="I10:I18" si="1">G10/(1+$C$5)^H10</f>
        <v>0</v>
      </c>
      <c r="J10" s="440">
        <f t="shared" ref="J10:J25" si="2">I10*$J$6</f>
        <v>0</v>
      </c>
    </row>
    <row r="11" spans="1:16">
      <c r="C11" s="158" t="s">
        <v>270</v>
      </c>
      <c r="D11" s="158"/>
      <c r="E11" s="437">
        <v>6</v>
      </c>
      <c r="F11" s="439">
        <v>1</v>
      </c>
      <c r="G11" s="440">
        <f>F11*E11</f>
        <v>6</v>
      </c>
      <c r="H11" s="441">
        <v>0</v>
      </c>
      <c r="I11" s="440">
        <f t="shared" si="1"/>
        <v>6</v>
      </c>
      <c r="J11" s="440">
        <f t="shared" si="2"/>
        <v>0.89417693218245231</v>
      </c>
    </row>
    <row r="12" spans="1:16">
      <c r="C12" s="158" t="s">
        <v>271</v>
      </c>
      <c r="D12" s="158"/>
      <c r="E12" s="437">
        <v>15</v>
      </c>
      <c r="F12" s="439">
        <v>1</v>
      </c>
      <c r="G12" s="440">
        <f>F12*E12</f>
        <v>15</v>
      </c>
      <c r="H12" s="441">
        <v>0</v>
      </c>
      <c r="I12" s="440">
        <f t="shared" si="1"/>
        <v>15</v>
      </c>
      <c r="J12" s="440">
        <f t="shared" si="2"/>
        <v>2.2354423304561308</v>
      </c>
    </row>
    <row r="13" spans="1:16">
      <c r="C13" s="158" t="s">
        <v>272</v>
      </c>
      <c r="D13" s="158"/>
      <c r="E13" s="437">
        <v>7</v>
      </c>
      <c r="F13" s="439">
        <v>1</v>
      </c>
      <c r="G13" s="440">
        <f t="shared" si="0"/>
        <v>7</v>
      </c>
      <c r="H13" s="441">
        <v>0</v>
      </c>
      <c r="I13" s="440">
        <f t="shared" si="1"/>
        <v>7</v>
      </c>
      <c r="J13" s="440">
        <f t="shared" si="2"/>
        <v>1.0432064208795278</v>
      </c>
    </row>
    <row r="14" spans="1:16">
      <c r="C14" s="158" t="s">
        <v>273</v>
      </c>
      <c r="D14" s="158"/>
      <c r="E14" s="437">
        <v>25</v>
      </c>
      <c r="F14" s="439">
        <v>1</v>
      </c>
      <c r="G14" s="440">
        <f t="shared" si="0"/>
        <v>25</v>
      </c>
      <c r="H14" s="441">
        <v>0</v>
      </c>
      <c r="I14" s="440">
        <f t="shared" si="1"/>
        <v>25</v>
      </c>
      <c r="J14" s="440">
        <f t="shared" si="2"/>
        <v>3.7257372174268846</v>
      </c>
    </row>
    <row r="15" spans="1:16">
      <c r="C15" s="158" t="s">
        <v>274</v>
      </c>
      <c r="D15" s="158"/>
      <c r="E15" s="437">
        <v>162</v>
      </c>
      <c r="F15" s="439">
        <v>1</v>
      </c>
      <c r="G15" s="440">
        <f t="shared" si="0"/>
        <v>162</v>
      </c>
      <c r="H15" s="441">
        <v>0</v>
      </c>
      <c r="I15" s="440">
        <f t="shared" si="1"/>
        <v>162</v>
      </c>
      <c r="J15" s="440">
        <f t="shared" si="2"/>
        <v>24.142777168926212</v>
      </c>
    </row>
    <row r="16" spans="1:16">
      <c r="A16" t="s">
        <v>275</v>
      </c>
      <c r="C16" s="158" t="s">
        <v>276</v>
      </c>
      <c r="D16" s="158"/>
      <c r="E16" s="437">
        <v>25</v>
      </c>
      <c r="F16" s="439">
        <v>1</v>
      </c>
      <c r="G16" s="440">
        <f t="shared" si="0"/>
        <v>25</v>
      </c>
      <c r="H16" s="441">
        <v>0</v>
      </c>
      <c r="I16" s="440">
        <f t="shared" si="1"/>
        <v>25</v>
      </c>
      <c r="J16" s="440">
        <f t="shared" si="2"/>
        <v>3.7257372174268846</v>
      </c>
    </row>
    <row r="17" spans="1:15">
      <c r="A17" s="189">
        <v>14</v>
      </c>
      <c r="B17" s="182" t="s">
        <v>185</v>
      </c>
      <c r="C17" s="158" t="s">
        <v>277</v>
      </c>
      <c r="D17" s="158"/>
      <c r="E17" s="437">
        <f>A17*3</f>
        <v>42</v>
      </c>
      <c r="F17" s="439">
        <v>1</v>
      </c>
      <c r="G17" s="440">
        <f t="shared" si="0"/>
        <v>42</v>
      </c>
      <c r="H17" s="441">
        <v>1</v>
      </c>
      <c r="I17" s="440">
        <f t="shared" si="1"/>
        <v>38.888888888888886</v>
      </c>
      <c r="J17" s="440">
        <f t="shared" si="2"/>
        <v>5.7955912271084866</v>
      </c>
    </row>
    <row r="18" spans="1:15">
      <c r="A18" s="189">
        <v>8</v>
      </c>
      <c r="B18" s="182" t="s">
        <v>185</v>
      </c>
      <c r="C18" s="158" t="s">
        <v>278</v>
      </c>
      <c r="D18" s="158"/>
      <c r="E18" s="437">
        <f>A17+A18+A19+A20</f>
        <v>43</v>
      </c>
      <c r="F18" s="439">
        <v>1</v>
      </c>
      <c r="G18" s="440">
        <f t="shared" si="0"/>
        <v>43</v>
      </c>
      <c r="H18" s="441">
        <v>2</v>
      </c>
      <c r="I18" s="440">
        <f t="shared" si="1"/>
        <v>36.865569272976678</v>
      </c>
      <c r="J18" s="440">
        <f t="shared" si="2"/>
        <v>5.4940569392783276</v>
      </c>
    </row>
    <row r="19" spans="1:15">
      <c r="A19" s="189">
        <v>16</v>
      </c>
      <c r="B19" s="182" t="s">
        <v>185</v>
      </c>
      <c r="C19" s="191" t="s">
        <v>279</v>
      </c>
      <c r="D19" s="191"/>
      <c r="E19" s="192"/>
      <c r="F19" s="193"/>
      <c r="G19" s="194"/>
      <c r="H19" s="195"/>
      <c r="I19" s="194"/>
      <c r="J19" s="173">
        <f>I19*$J$6</f>
        <v>0</v>
      </c>
    </row>
    <row r="20" spans="1:15">
      <c r="A20" s="189">
        <v>5</v>
      </c>
      <c r="B20" s="182" t="s">
        <v>280</v>
      </c>
      <c r="C20" s="158" t="s">
        <v>281</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282</v>
      </c>
      <c r="D21" s="158"/>
      <c r="E21" s="437">
        <v>29</v>
      </c>
      <c r="F21" s="442">
        <v>0</v>
      </c>
      <c r="G21" s="440">
        <f t="shared" si="0"/>
        <v>0</v>
      </c>
      <c r="H21" s="441" t="s">
        <v>283</v>
      </c>
      <c r="I21" s="443">
        <f>G21*(((1+$C$5)^$C$4-1)/(((1+$C$5)^3-1)*(1+$C$5)^$C$4))</f>
        <v>0</v>
      </c>
      <c r="J21" s="440">
        <f t="shared" si="2"/>
        <v>0</v>
      </c>
    </row>
    <row r="22" spans="1:15">
      <c r="C22" s="158" t="s">
        <v>284</v>
      </c>
      <c r="D22" s="197"/>
      <c r="E22" s="438">
        <v>32</v>
      </c>
      <c r="F22" s="444">
        <v>1</v>
      </c>
      <c r="G22" s="443">
        <f t="shared" si="0"/>
        <v>32</v>
      </c>
      <c r="H22" s="445" t="s">
        <v>285</v>
      </c>
      <c r="I22" s="443">
        <f>G22*(((1+$C$5)^$C$4-1)/(((1+$C$5)^3-1)*(1+$C$5)^$C$4))</f>
        <v>66.141758491290716</v>
      </c>
      <c r="J22" s="440">
        <f t="shared" si="2"/>
        <v>9.8570724494824997</v>
      </c>
    </row>
    <row r="23" spans="1:15">
      <c r="C23" s="184" t="s">
        <v>286</v>
      </c>
      <c r="D23" s="199"/>
      <c r="E23" s="192"/>
      <c r="F23" s="200"/>
      <c r="G23" s="194"/>
      <c r="H23" s="195"/>
      <c r="I23" s="194"/>
      <c r="J23" s="173">
        <f t="shared" si="2"/>
        <v>0</v>
      </c>
    </row>
    <row r="24" spans="1:15">
      <c r="C24" s="158" t="s">
        <v>287</v>
      </c>
      <c r="D24" s="158"/>
      <c r="E24" s="437">
        <v>139</v>
      </c>
      <c r="F24" s="442">
        <v>1</v>
      </c>
      <c r="G24" s="440">
        <f t="shared" si="0"/>
        <v>139</v>
      </c>
      <c r="H24" s="446" t="s">
        <v>184</v>
      </c>
      <c r="I24" s="440">
        <f>(E24*((((1+$C$5)^C4)-1))/(($C$5)*(1+$C$5)^C4))</f>
        <v>932.70131445286108</v>
      </c>
      <c r="J24" s="440">
        <f t="shared" si="2"/>
        <v>139.00000000000003</v>
      </c>
      <c r="M24" s="173"/>
    </row>
    <row r="25" spans="1:15" ht="32.25" thickBot="1">
      <c r="C25" s="197" t="s">
        <v>288</v>
      </c>
      <c r="D25" s="197"/>
      <c r="E25" s="438">
        <f>(E13+E9+E14+E15+E17+E16+E18)*0.03</f>
        <v>9.1199999999999992</v>
      </c>
      <c r="F25" s="444">
        <v>1</v>
      </c>
      <c r="G25" s="443">
        <f t="shared" si="0"/>
        <v>9.1199999999999992</v>
      </c>
      <c r="H25" s="447" t="s">
        <v>184</v>
      </c>
      <c r="I25" s="440">
        <f>(E25*((((1+$C$5)^C4)-1))/(($C$5)*(1+$C$5)^C4))</f>
        <v>61.195942358345988</v>
      </c>
      <c r="J25" s="440">
        <f t="shared" si="2"/>
        <v>9.120000000000001</v>
      </c>
      <c r="K25" s="143" t="s">
        <v>474</v>
      </c>
      <c r="L25" t="s">
        <v>10</v>
      </c>
    </row>
    <row r="26" spans="1:15" ht="16.5" thickBot="1">
      <c r="H26" t="s">
        <v>289</v>
      </c>
      <c r="J26" s="448">
        <f>SUM(J9:J25)</f>
        <v>205.03379790316745</v>
      </c>
      <c r="K26" s="176"/>
      <c r="L26" s="242">
        <f>J26*K26</f>
        <v>0</v>
      </c>
    </row>
    <row r="27" spans="1:15" ht="16.5" thickBot="1">
      <c r="H27" t="s">
        <v>290</v>
      </c>
      <c r="J27" s="391">
        <f>J26*2.47</f>
        <v>506.43348082082366</v>
      </c>
      <c r="K27" s="449"/>
      <c r="L27" s="242">
        <f>J27*K27</f>
        <v>0</v>
      </c>
    </row>
    <row r="28" spans="1:15">
      <c r="J28" s="173"/>
    </row>
    <row r="29" spans="1:15">
      <c r="C29" t="s">
        <v>291</v>
      </c>
      <c r="J29" s="173"/>
    </row>
    <row r="30" spans="1:15">
      <c r="C30" t="s">
        <v>292</v>
      </c>
    </row>
    <row r="31" spans="1:15">
      <c r="C31" s="512" t="s">
        <v>293</v>
      </c>
      <c r="D31" s="512"/>
      <c r="E31" s="512"/>
      <c r="F31" s="512"/>
      <c r="G31" s="512"/>
      <c r="H31" s="512"/>
      <c r="I31" s="512"/>
      <c r="J31" s="512"/>
      <c r="K31" s="512"/>
      <c r="L31" s="512"/>
      <c r="M31" s="512"/>
      <c r="N31" s="512"/>
      <c r="O31" s="512"/>
    </row>
    <row r="32" spans="1:15">
      <c r="C32" s="512"/>
      <c r="D32" s="512"/>
      <c r="E32" s="512"/>
      <c r="F32" s="512"/>
      <c r="G32" s="512"/>
      <c r="H32" s="512"/>
      <c r="I32" s="512"/>
      <c r="J32" s="512"/>
      <c r="K32" s="512"/>
      <c r="L32" s="512"/>
      <c r="M32" s="512"/>
      <c r="N32" s="512"/>
      <c r="O32" s="512"/>
    </row>
    <row r="33" spans="3:18">
      <c r="C33" t="s">
        <v>386</v>
      </c>
    </row>
    <row r="34" spans="3:18">
      <c r="C34" s="512" t="s">
        <v>294</v>
      </c>
      <c r="D34" s="512"/>
      <c r="E34" s="512"/>
      <c r="F34" s="512"/>
      <c r="G34" s="512"/>
      <c r="H34" s="512"/>
      <c r="I34" s="512"/>
      <c r="J34" s="512"/>
      <c r="K34" s="512"/>
      <c r="L34" s="512"/>
      <c r="M34" s="512"/>
      <c r="N34" s="512"/>
      <c r="O34" s="512"/>
      <c r="P34" s="512"/>
      <c r="Q34" s="512"/>
      <c r="R34" s="512"/>
    </row>
    <row r="35" spans="3:18">
      <c r="C35" s="512"/>
      <c r="D35" s="512"/>
      <c r="E35" s="512"/>
      <c r="F35" s="512"/>
      <c r="G35" s="512"/>
      <c r="H35" s="512"/>
      <c r="I35" s="512"/>
      <c r="J35" s="512"/>
      <c r="K35" s="512"/>
      <c r="L35" s="512"/>
      <c r="M35" s="512"/>
      <c r="N35" s="512"/>
      <c r="O35" s="512"/>
      <c r="P35" s="512"/>
      <c r="Q35" s="512"/>
      <c r="R35" s="512"/>
    </row>
    <row r="36" spans="3:18">
      <c r="C36" s="512" t="s">
        <v>295</v>
      </c>
      <c r="D36" s="512"/>
      <c r="E36" s="512"/>
      <c r="F36" s="512"/>
      <c r="G36" s="512"/>
      <c r="H36" s="512"/>
      <c r="I36" s="512"/>
      <c r="J36" s="512"/>
      <c r="K36" s="512"/>
      <c r="L36" s="512"/>
      <c r="M36" s="512"/>
      <c r="N36" s="512"/>
      <c r="O36" s="512"/>
    </row>
    <row r="37" spans="3:18">
      <c r="C37" s="512"/>
      <c r="D37" s="512"/>
      <c r="E37" s="512"/>
      <c r="F37" s="512"/>
      <c r="G37" s="512"/>
      <c r="H37" s="512"/>
      <c r="I37" s="512"/>
      <c r="J37" s="512"/>
      <c r="K37" s="512"/>
      <c r="L37" s="512"/>
      <c r="M37" s="512"/>
      <c r="N37" s="512"/>
      <c r="O37" s="512"/>
    </row>
    <row r="38" spans="3:18">
      <c r="C38" s="512" t="s">
        <v>296</v>
      </c>
      <c r="D38" s="512"/>
      <c r="E38" s="512"/>
      <c r="F38" s="512"/>
      <c r="G38" s="512"/>
      <c r="H38" s="512"/>
      <c r="I38" s="512"/>
      <c r="J38" s="512"/>
      <c r="K38" s="512"/>
      <c r="L38" s="512"/>
      <c r="M38" s="512"/>
      <c r="N38" s="512"/>
      <c r="O38" s="512"/>
    </row>
    <row r="39" spans="3:18">
      <c r="C39" s="512"/>
      <c r="D39" s="512"/>
      <c r="E39" s="512"/>
      <c r="F39" s="512"/>
      <c r="G39" s="512"/>
      <c r="H39" s="512"/>
      <c r="I39" s="512"/>
      <c r="J39" s="512"/>
      <c r="K39" s="512"/>
      <c r="L39" s="512"/>
      <c r="M39" s="512"/>
      <c r="N39" s="512"/>
      <c r="O39" s="512"/>
    </row>
    <row r="40" spans="3:18">
      <c r="C40" s="512"/>
      <c r="D40" s="512"/>
      <c r="E40" s="512"/>
      <c r="F40" s="512"/>
      <c r="G40" s="512"/>
      <c r="H40" s="512"/>
      <c r="I40" s="512"/>
      <c r="J40" s="512"/>
      <c r="K40" s="512"/>
      <c r="L40" s="512"/>
      <c r="M40" s="512"/>
      <c r="N40" s="512"/>
      <c r="O40" s="512"/>
    </row>
    <row r="41" spans="3:18">
      <c r="C41" s="512"/>
      <c r="D41" s="512"/>
      <c r="E41" s="512"/>
      <c r="F41" s="512"/>
      <c r="G41" s="512"/>
      <c r="H41" s="512"/>
      <c r="I41" s="512"/>
      <c r="J41" s="512"/>
      <c r="K41" s="512"/>
      <c r="L41" s="512"/>
      <c r="M41" s="512"/>
      <c r="N41" s="512"/>
      <c r="O41" s="512"/>
    </row>
    <row r="42" spans="3:18">
      <c r="C42" s="512"/>
      <c r="D42" s="512"/>
      <c r="E42" s="512"/>
      <c r="F42" s="512"/>
      <c r="G42" s="512"/>
      <c r="H42" s="512"/>
      <c r="I42" s="512"/>
      <c r="J42" s="512"/>
      <c r="K42" s="512"/>
      <c r="L42" s="512"/>
      <c r="M42" s="512"/>
      <c r="N42" s="512"/>
      <c r="O42" s="512"/>
    </row>
    <row r="43" spans="3:18">
      <c r="C43" t="s">
        <v>297</v>
      </c>
      <c r="D43" t="s">
        <v>298</v>
      </c>
      <c r="E43" t="s">
        <v>299</v>
      </c>
    </row>
    <row r="46" spans="3:18">
      <c r="C46" t="s">
        <v>300</v>
      </c>
    </row>
    <row r="47" spans="3:18">
      <c r="C47" t="s">
        <v>301</v>
      </c>
    </row>
    <row r="50" spans="1:1">
      <c r="A50" s="347" t="s">
        <v>452</v>
      </c>
    </row>
    <row r="51" spans="1:1">
      <c r="A51" s="142" t="s">
        <v>453</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88" t="s">
        <v>549</v>
      </c>
      <c r="N3" s="488"/>
    </row>
    <row r="4" spans="2:14" ht="26.25">
      <c r="B4" s="338" t="s">
        <v>417</v>
      </c>
      <c r="M4" s="489"/>
      <c r="N4" s="489"/>
    </row>
    <row r="6" spans="2:14">
      <c r="B6" s="512" t="s">
        <v>418</v>
      </c>
      <c r="C6" s="514"/>
      <c r="D6" s="514"/>
      <c r="E6" s="514"/>
      <c r="F6" s="514"/>
      <c r="G6" s="514"/>
      <c r="H6" s="514"/>
      <c r="I6" s="514"/>
      <c r="J6" s="514"/>
      <c r="K6" s="514"/>
    </row>
    <row r="7" spans="2:14">
      <c r="B7" s="514"/>
      <c r="C7" s="514"/>
      <c r="D7" s="514"/>
      <c r="E7" s="514"/>
      <c r="F7" s="514"/>
      <c r="G7" s="514"/>
      <c r="H7" s="514"/>
      <c r="I7" s="514"/>
      <c r="J7" s="514"/>
      <c r="K7" s="514"/>
    </row>
    <row r="8" spans="2:14">
      <c r="B8" s="514"/>
      <c r="C8" s="514"/>
      <c r="D8" s="514"/>
      <c r="E8" s="514"/>
      <c r="F8" s="514"/>
      <c r="G8" s="514"/>
      <c r="H8" s="514"/>
      <c r="I8" s="514"/>
      <c r="J8" s="514"/>
      <c r="K8" s="514"/>
    </row>
    <row r="9" spans="2:14">
      <c r="B9" s="514"/>
      <c r="C9" s="514"/>
      <c r="D9" s="514"/>
      <c r="E9" s="514"/>
      <c r="F9" s="514"/>
      <c r="G9" s="514"/>
      <c r="H9" s="514"/>
      <c r="I9" s="514"/>
      <c r="J9" s="514"/>
      <c r="K9" s="514"/>
    </row>
    <row r="10" spans="2:14">
      <c r="B10" s="514"/>
      <c r="C10" s="514"/>
      <c r="D10" s="514"/>
      <c r="E10" s="514"/>
      <c r="F10" s="514"/>
      <c r="G10" s="514"/>
      <c r="H10" s="514"/>
      <c r="I10" s="514"/>
      <c r="J10" s="514"/>
      <c r="K10" s="514"/>
    </row>
    <row r="11" spans="2:14" ht="2.1" customHeight="1">
      <c r="B11" s="514"/>
      <c r="C11" s="514"/>
      <c r="D11" s="514"/>
      <c r="E11" s="514"/>
      <c r="F11" s="514"/>
      <c r="G11" s="514"/>
      <c r="H11" s="514"/>
      <c r="I11" s="514"/>
      <c r="J11" s="514"/>
      <c r="K11" s="514"/>
    </row>
    <row r="12" spans="2:14" hidden="1">
      <c r="B12" s="514"/>
      <c r="C12" s="514"/>
      <c r="D12" s="514"/>
      <c r="E12" s="514"/>
      <c r="F12" s="514"/>
      <c r="G12" s="514"/>
      <c r="H12" s="514"/>
      <c r="I12" s="514"/>
      <c r="J12" s="514"/>
      <c r="K12" s="514"/>
    </row>
    <row r="14" spans="2:14" ht="48" thickBot="1">
      <c r="C14" s="236" t="s">
        <v>420</v>
      </c>
      <c r="D14" s="164" t="s">
        <v>421</v>
      </c>
      <c r="E14" s="323" t="s">
        <v>425</v>
      </c>
      <c r="F14" s="143" t="s">
        <v>474</v>
      </c>
      <c r="G14" t="s">
        <v>10</v>
      </c>
    </row>
    <row r="15" spans="2:14" ht="16.5" thickBot="1">
      <c r="C15" s="317">
        <v>3014.35</v>
      </c>
      <c r="D15" s="336">
        <v>116</v>
      </c>
      <c r="E15" s="337">
        <f>(C15*D24)+D15</f>
        <v>312.08779333423172</v>
      </c>
      <c r="F15" s="176"/>
      <c r="G15" s="242">
        <f>E15*F15</f>
        <v>0</v>
      </c>
    </row>
    <row r="16" spans="2:14">
      <c r="B16" t="s">
        <v>424</v>
      </c>
      <c r="G16" s="173"/>
    </row>
    <row r="18" spans="2:4">
      <c r="B18" s="347" t="s">
        <v>426</v>
      </c>
    </row>
    <row r="19" spans="2:4">
      <c r="B19" s="142" t="s">
        <v>419</v>
      </c>
    </row>
    <row r="23" spans="2:4">
      <c r="D23" t="s">
        <v>422</v>
      </c>
    </row>
    <row r="24" spans="2:4">
      <c r="B24" t="s">
        <v>255</v>
      </c>
      <c r="C24" s="182">
        <v>0.05</v>
      </c>
      <c r="D24" s="182">
        <f>((C24*(1+C24)^C25)/((1+C24)^C25-1))</f>
        <v>6.5051435080276582E-2</v>
      </c>
    </row>
    <row r="25" spans="2:4">
      <c r="B25" t="s">
        <v>423</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heetViews>
  <sheetFormatPr defaultColWidth="11" defaultRowHeight="15.75"/>
  <cols>
    <col min="2" max="2" width="18.125" customWidth="1"/>
  </cols>
  <sheetData>
    <row r="2" spans="2:10" ht="23.25">
      <c r="B2" s="480" t="s">
        <v>252</v>
      </c>
      <c r="I2" s="488" t="s">
        <v>549</v>
      </c>
      <c r="J2" s="488"/>
    </row>
    <row r="3" spans="2:10">
      <c r="I3" s="489"/>
      <c r="J3" s="489"/>
    </row>
    <row r="4" spans="2:10">
      <c r="B4" s="142" t="s">
        <v>302</v>
      </c>
    </row>
    <row r="8" spans="2:10">
      <c r="C8" t="s">
        <v>475</v>
      </c>
    </row>
    <row r="10" spans="2:10">
      <c r="B10" t="s">
        <v>478</v>
      </c>
      <c r="C10" s="452">
        <v>40.82</v>
      </c>
      <c r="D10" t="s">
        <v>476</v>
      </c>
    </row>
    <row r="12" spans="2:10" ht="18" thickBot="1">
      <c r="C12" s="451">
        <v>0</v>
      </c>
      <c r="D12" t="s">
        <v>477</v>
      </c>
    </row>
    <row r="13" spans="2:10" ht="16.5" thickBot="1">
      <c r="C13" s="450">
        <f>C12*C10</f>
        <v>0</v>
      </c>
      <c r="D13" t="s">
        <v>479</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8" t="s">
        <v>549</v>
      </c>
      <c r="J2" s="488"/>
    </row>
    <row r="3" spans="2:10">
      <c r="I3" s="489"/>
      <c r="J3" s="489"/>
    </row>
    <row r="5" spans="2:10" ht="23.25">
      <c r="B5" s="480" t="s">
        <v>445</v>
      </c>
    </row>
    <row r="6" spans="2:10">
      <c r="B6" t="s">
        <v>547</v>
      </c>
    </row>
    <row r="8" spans="2:10">
      <c r="B8" t="s">
        <v>428</v>
      </c>
    </row>
    <row r="9" spans="2:10">
      <c r="B9" t="s">
        <v>427</v>
      </c>
    </row>
    <row r="12" spans="2:10">
      <c r="B12" s="515" t="s">
        <v>548</v>
      </c>
      <c r="C12" s="515"/>
      <c r="D12" s="515"/>
    </row>
    <row r="13" spans="2:10" ht="33.950000000000003" customHeight="1">
      <c r="B13" s="198" t="s">
        <v>439</v>
      </c>
      <c r="C13" s="198" t="s">
        <v>437</v>
      </c>
      <c r="D13" s="198" t="s">
        <v>438</v>
      </c>
      <c r="F13" s="236" t="s">
        <v>440</v>
      </c>
      <c r="G13" s="236" t="s">
        <v>441</v>
      </c>
      <c r="H13" s="236" t="s">
        <v>442</v>
      </c>
    </row>
    <row r="14" spans="2:10">
      <c r="B14" t="s">
        <v>429</v>
      </c>
      <c r="C14" s="340">
        <v>0.23</v>
      </c>
      <c r="D14" s="341">
        <v>0</v>
      </c>
      <c r="F14" s="343">
        <v>0.03</v>
      </c>
      <c r="G14" s="344">
        <v>1</v>
      </c>
      <c r="H14" s="344">
        <v>0</v>
      </c>
    </row>
    <row r="15" spans="2:10">
      <c r="B15" t="s">
        <v>430</v>
      </c>
      <c r="C15" s="342">
        <v>0.16</v>
      </c>
      <c r="D15" s="335">
        <v>0</v>
      </c>
      <c r="F15" s="343">
        <v>0.05</v>
      </c>
      <c r="G15" s="344">
        <v>1</v>
      </c>
      <c r="H15" s="344">
        <v>0</v>
      </c>
    </row>
    <row r="16" spans="2:10">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443</v>
      </c>
      <c r="F25" s="143" t="s">
        <v>444</v>
      </c>
      <c r="G25" s="143" t="s">
        <v>447</v>
      </c>
    </row>
    <row r="26" spans="2:9" ht="16.5" thickBot="1">
      <c r="E26" s="464">
        <f>(C14+F14)+(C15*F15)+(C16*F16)+(F17*I17)+(F18*I18)+(C19*F19)+(C20*F20)+(F21*I21)</f>
        <v>0.78716000000000019</v>
      </c>
      <c r="F26" s="176"/>
      <c r="G26" s="431">
        <f>F26*D32</f>
        <v>0</v>
      </c>
    </row>
    <row r="31" spans="2:9">
      <c r="D31" t="s">
        <v>422</v>
      </c>
    </row>
    <row r="32" spans="2:9">
      <c r="B32" t="s">
        <v>255</v>
      </c>
      <c r="C32" s="182">
        <v>0.05</v>
      </c>
      <c r="D32" s="182">
        <f>((C32*(1+C32)^C33)/((1+C32)^C33-1))</f>
        <v>5.4776735485736472E-2</v>
      </c>
    </row>
    <row r="33" spans="1:3">
      <c r="B33" t="s">
        <v>423</v>
      </c>
      <c r="C33" s="182">
        <v>50</v>
      </c>
    </row>
    <row r="37" spans="1:3">
      <c r="A37" s="347" t="s">
        <v>450</v>
      </c>
    </row>
    <row r="38" spans="1:3">
      <c r="A38" s="142" t="s">
        <v>451</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8" t="s">
        <v>549</v>
      </c>
      <c r="N3" s="488"/>
    </row>
    <row r="4" spans="2:14">
      <c r="M4" s="489"/>
      <c r="N4" s="489"/>
    </row>
    <row r="5" spans="2:14" ht="23.25">
      <c r="B5" s="480" t="s">
        <v>446</v>
      </c>
    </row>
    <row r="6" spans="2:14">
      <c r="B6" t="s">
        <v>547</v>
      </c>
    </row>
    <row r="8" spans="2:14">
      <c r="B8" t="s">
        <v>428</v>
      </c>
    </row>
    <row r="9" spans="2:14">
      <c r="B9" t="s">
        <v>427</v>
      </c>
    </row>
    <row r="12" spans="2:14">
      <c r="B12" s="515" t="s">
        <v>548</v>
      </c>
      <c r="C12" s="515"/>
      <c r="D12" s="515"/>
    </row>
    <row r="13" spans="2:14">
      <c r="B13" s="198" t="s">
        <v>439</v>
      </c>
      <c r="C13" s="198" t="s">
        <v>437</v>
      </c>
      <c r="D13" s="198" t="s">
        <v>438</v>
      </c>
      <c r="F13" s="236" t="s">
        <v>440</v>
      </c>
      <c r="G13" s="236" t="s">
        <v>441</v>
      </c>
      <c r="H13" s="236" t="s">
        <v>442</v>
      </c>
    </row>
    <row r="14" spans="2:14">
      <c r="B14" t="s">
        <v>429</v>
      </c>
      <c r="C14" s="340">
        <v>0.23</v>
      </c>
      <c r="D14" s="341">
        <v>0</v>
      </c>
      <c r="F14" s="343">
        <v>0.03</v>
      </c>
      <c r="G14" s="344">
        <v>1</v>
      </c>
      <c r="H14" s="344">
        <v>0</v>
      </c>
    </row>
    <row r="15" spans="2:14">
      <c r="B15" t="s">
        <v>430</v>
      </c>
      <c r="C15" s="342">
        <v>0.16</v>
      </c>
      <c r="D15" s="335">
        <v>0</v>
      </c>
      <c r="F15" s="343">
        <v>0.05</v>
      </c>
      <c r="G15" s="344">
        <v>1</v>
      </c>
      <c r="H15" s="344">
        <v>0</v>
      </c>
    </row>
    <row r="16" spans="2:14">
      <c r="B16" t="s">
        <v>431</v>
      </c>
      <c r="C16" s="342">
        <v>0.19</v>
      </c>
      <c r="D16" s="335">
        <v>0</v>
      </c>
      <c r="F16" s="343">
        <v>0.1</v>
      </c>
      <c r="G16" s="344">
        <v>1</v>
      </c>
      <c r="H16" s="344">
        <v>0</v>
      </c>
    </row>
    <row r="17" spans="2:9">
      <c r="B17" t="s">
        <v>433</v>
      </c>
      <c r="C17" s="335">
        <v>0.76</v>
      </c>
      <c r="D17" s="335">
        <v>1.54</v>
      </c>
      <c r="F17" s="343">
        <v>0.23</v>
      </c>
      <c r="G17" s="344">
        <v>0.66</v>
      </c>
      <c r="H17" s="344">
        <v>0.33</v>
      </c>
      <c r="I17" s="169">
        <f>(C17*G17)+(D17*H17)</f>
        <v>1.0098</v>
      </c>
    </row>
    <row r="18" spans="2:9">
      <c r="B18" t="s">
        <v>434</v>
      </c>
      <c r="C18" s="335">
        <v>0.25</v>
      </c>
      <c r="D18" s="335">
        <v>0.84</v>
      </c>
      <c r="F18" s="343">
        <v>0.23</v>
      </c>
      <c r="G18" s="344">
        <v>0.66</v>
      </c>
      <c r="H18" s="344">
        <v>0.33</v>
      </c>
      <c r="I18" s="169">
        <f>(C18*G18)+(D18*H18)</f>
        <v>0.44220000000000004</v>
      </c>
    </row>
    <row r="19" spans="2:9">
      <c r="B19" t="s">
        <v>435</v>
      </c>
      <c r="C19" s="335">
        <v>0.22</v>
      </c>
      <c r="D19" s="335"/>
      <c r="F19" s="343">
        <v>0.2</v>
      </c>
      <c r="G19" s="344">
        <v>1</v>
      </c>
      <c r="H19" s="344">
        <v>0</v>
      </c>
    </row>
    <row r="20" spans="2:9">
      <c r="B20" t="s">
        <v>436</v>
      </c>
      <c r="C20" s="335">
        <v>0.25</v>
      </c>
      <c r="D20" s="335"/>
      <c r="F20" s="343">
        <v>0.1</v>
      </c>
      <c r="G20" s="344">
        <v>1</v>
      </c>
      <c r="H20" s="344">
        <v>0</v>
      </c>
    </row>
    <row r="21" spans="2:9">
      <c r="B21" s="198" t="s">
        <v>432</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443</v>
      </c>
      <c r="F25" s="323" t="s">
        <v>444</v>
      </c>
      <c r="G25" s="143" t="s">
        <v>447</v>
      </c>
    </row>
    <row r="26" spans="2:9" ht="16.5" thickBot="1">
      <c r="E26" s="189">
        <f>(C14+F14)+(C15*F15)+(C16*F16)+(F17*I17)+(F18*I18)+(C19*F19)+(C20*F20)+(F21*I21)</f>
        <v>0.78716000000000019</v>
      </c>
      <c r="F26" s="345">
        <v>0</v>
      </c>
      <c r="G26" s="346">
        <f>F26*E33</f>
        <v>0</v>
      </c>
    </row>
    <row r="32" spans="2:9">
      <c r="E32" t="s">
        <v>422</v>
      </c>
    </row>
    <row r="33" spans="1:5">
      <c r="C33" t="s">
        <v>255</v>
      </c>
      <c r="D33" s="182">
        <v>0.05</v>
      </c>
      <c r="E33" s="182">
        <f>((D33*(1+D33)^D34)/((1+D33)^D34-1))</f>
        <v>5.4776735485736472E-2</v>
      </c>
    </row>
    <row r="34" spans="1:5">
      <c r="C34" t="s">
        <v>423</v>
      </c>
      <c r="D34" s="182">
        <v>50</v>
      </c>
    </row>
    <row r="38" spans="1:5">
      <c r="A38" s="347" t="s">
        <v>450</v>
      </c>
    </row>
    <row r="39" spans="1:5">
      <c r="A39" s="142" t="s">
        <v>451</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8" t="s">
        <v>549</v>
      </c>
      <c r="P2" s="488"/>
    </row>
    <row r="3" spans="15:16">
      <c r="O3" s="489"/>
      <c r="P3" s="489"/>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387</v>
      </c>
      <c r="E2" s="164" t="s">
        <v>385</v>
      </c>
      <c r="F2" s="164"/>
      <c r="G2"/>
      <c r="R2" s="175">
        <f>((E3*(1+$E$3)^P3)/((1+$E$3)^P3-1))</f>
        <v>0.1295045749654567</v>
      </c>
      <c r="S2" t="s">
        <v>413</v>
      </c>
    </row>
    <row r="3" spans="1:24" ht="16.5" thickBot="1">
      <c r="A3" t="s">
        <v>388</v>
      </c>
      <c r="D3" s="164"/>
      <c r="E3" s="252">
        <v>0.05</v>
      </c>
      <c r="F3" s="164"/>
      <c r="G3">
        <v>1</v>
      </c>
      <c r="H3" s="88">
        <v>2</v>
      </c>
      <c r="I3" s="88">
        <v>3</v>
      </c>
      <c r="J3">
        <v>4</v>
      </c>
      <c r="K3" s="88">
        <v>5</v>
      </c>
      <c r="L3" s="88">
        <v>6</v>
      </c>
      <c r="M3">
        <v>7</v>
      </c>
      <c r="N3" s="88">
        <v>8</v>
      </c>
      <c r="O3" s="88">
        <v>9</v>
      </c>
      <c r="P3">
        <v>10</v>
      </c>
    </row>
    <row r="4" spans="1:24" ht="47.25">
      <c r="C4" t="s">
        <v>182</v>
      </c>
      <c r="D4" t="s">
        <v>183</v>
      </c>
      <c r="E4" t="s">
        <v>389</v>
      </c>
      <c r="F4" s="88" t="s">
        <v>327</v>
      </c>
      <c r="G4" s="322" t="s">
        <v>328</v>
      </c>
      <c r="H4" s="322" t="s">
        <v>329</v>
      </c>
      <c r="I4" s="322" t="s">
        <v>330</v>
      </c>
      <c r="J4" s="322" t="s">
        <v>331</v>
      </c>
      <c r="K4" s="322" t="s">
        <v>332</v>
      </c>
      <c r="L4" s="322" t="s">
        <v>333</v>
      </c>
      <c r="M4" s="322" t="s">
        <v>334</v>
      </c>
      <c r="N4" s="322" t="s">
        <v>335</v>
      </c>
      <c r="O4" s="322" t="s">
        <v>336</v>
      </c>
      <c r="P4" s="322" t="s">
        <v>337</v>
      </c>
      <c r="Q4" s="323" t="s">
        <v>338</v>
      </c>
      <c r="R4" s="323" t="s">
        <v>390</v>
      </c>
    </row>
    <row r="5" spans="1:24">
      <c r="A5" s="277" t="s">
        <v>391</v>
      </c>
      <c r="B5" s="277"/>
      <c r="C5" s="324"/>
      <c r="D5" s="277"/>
      <c r="E5" s="277"/>
      <c r="F5" s="277"/>
      <c r="G5" s="325"/>
      <c r="H5" s="325"/>
      <c r="I5" s="325"/>
      <c r="J5" s="325"/>
      <c r="K5" s="325"/>
      <c r="L5" s="325"/>
      <c r="M5" s="325"/>
      <c r="N5" s="325"/>
      <c r="O5" s="325"/>
      <c r="P5" s="325"/>
      <c r="Q5" s="325"/>
      <c r="R5" s="326"/>
    </row>
    <row r="6" spans="1:24">
      <c r="B6" t="s">
        <v>392</v>
      </c>
      <c r="C6" s="333">
        <v>9.9</v>
      </c>
      <c r="D6" t="s">
        <v>393</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394</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395</v>
      </c>
      <c r="B8" s="198"/>
      <c r="C8" s="329"/>
      <c r="D8" s="198"/>
      <c r="E8" s="268"/>
      <c r="F8" s="268"/>
      <c r="G8" s="330"/>
      <c r="H8" s="330"/>
      <c r="I8" s="330"/>
      <c r="J8" s="330"/>
      <c r="K8" s="330"/>
      <c r="L8" s="330"/>
      <c r="M8" s="330"/>
      <c r="N8" s="330"/>
      <c r="O8" s="330"/>
      <c r="P8" s="330"/>
      <c r="Q8" s="328"/>
      <c r="R8" s="414"/>
    </row>
    <row r="9" spans="1:24" ht="31.5">
      <c r="A9" s="143" t="s">
        <v>411</v>
      </c>
      <c r="C9" s="327"/>
      <c r="E9" s="169"/>
      <c r="F9" s="169"/>
      <c r="G9" s="328"/>
      <c r="H9" s="328"/>
      <c r="I9" s="328"/>
      <c r="J9" s="328"/>
      <c r="K9" s="328"/>
      <c r="L9" s="328"/>
      <c r="M9" s="328"/>
      <c r="N9" s="328"/>
      <c r="O9" s="328"/>
      <c r="P9" s="328"/>
      <c r="Q9" s="328"/>
      <c r="R9" s="414"/>
      <c r="V9" s="139"/>
      <c r="W9" s="139"/>
      <c r="X9" s="139"/>
    </row>
    <row r="10" spans="1:24">
      <c r="B10" t="s">
        <v>163</v>
      </c>
      <c r="C10" s="395">
        <v>1100</v>
      </c>
      <c r="D10" t="s">
        <v>396</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116</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397</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398</v>
      </c>
      <c r="C14" s="395">
        <v>0</v>
      </c>
      <c r="D14" t="s">
        <v>397</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399</v>
      </c>
      <c r="C15" s="395">
        <v>0</v>
      </c>
      <c r="D15" t="s">
        <v>397</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187</v>
      </c>
      <c r="C17" s="327"/>
      <c r="E17" s="139"/>
      <c r="F17" s="398"/>
      <c r="G17" s="405"/>
      <c r="H17" s="399"/>
      <c r="I17" s="399"/>
      <c r="J17" s="399"/>
      <c r="K17" s="399"/>
      <c r="L17" s="399"/>
      <c r="M17" s="399"/>
      <c r="N17" s="399"/>
      <c r="O17" s="399"/>
      <c r="P17" s="399"/>
      <c r="Q17" s="399"/>
      <c r="R17" s="415"/>
    </row>
    <row r="18" spans="1:18">
      <c r="A18" t="s">
        <v>188</v>
      </c>
      <c r="B18" t="s">
        <v>189</v>
      </c>
      <c r="C18" s="395">
        <v>1</v>
      </c>
      <c r="D18" t="s">
        <v>185</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190</v>
      </c>
      <c r="B19" t="s">
        <v>400</v>
      </c>
      <c r="C19" s="395">
        <v>1</v>
      </c>
      <c r="D19" t="s">
        <v>185</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191</v>
      </c>
      <c r="B20" s="143" t="s">
        <v>192</v>
      </c>
      <c r="C20" s="395">
        <v>1</v>
      </c>
      <c r="D20" t="s">
        <v>185</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357</v>
      </c>
      <c r="C23" s="327"/>
      <c r="E23" s="139"/>
      <c r="F23" s="398"/>
      <c r="G23" s="405"/>
      <c r="H23" s="399"/>
      <c r="I23" s="399"/>
      <c r="J23" s="399"/>
      <c r="K23" s="399"/>
      <c r="L23" s="399"/>
      <c r="M23" s="399"/>
      <c r="N23" s="399"/>
      <c r="O23" s="399"/>
      <c r="P23" s="399"/>
      <c r="Q23" s="399"/>
      <c r="R23" s="415"/>
    </row>
    <row r="24" spans="1:18">
      <c r="B24" t="s">
        <v>401</v>
      </c>
      <c r="C24" s="395">
        <v>1</v>
      </c>
      <c r="D24" t="s">
        <v>402</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359</v>
      </c>
      <c r="C25" s="395">
        <v>1</v>
      </c>
      <c r="D25" t="s">
        <v>185</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412</v>
      </c>
      <c r="C26" s="395">
        <v>1</v>
      </c>
      <c r="D26" t="s">
        <v>185</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403</v>
      </c>
      <c r="C27" s="395">
        <v>3</v>
      </c>
      <c r="D27" t="s">
        <v>185</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404</v>
      </c>
      <c r="C29" s="140"/>
      <c r="E29" s="139"/>
      <c r="F29" s="398"/>
      <c r="G29" s="405"/>
      <c r="H29" s="405"/>
      <c r="I29" s="405"/>
      <c r="J29" s="405"/>
      <c r="K29" s="405"/>
      <c r="L29" s="405"/>
      <c r="M29" s="405"/>
      <c r="N29" s="405"/>
      <c r="O29" s="405"/>
      <c r="P29" s="405"/>
      <c r="Q29" s="405"/>
      <c r="R29" s="415"/>
    </row>
    <row r="30" spans="1:18">
      <c r="B30" t="s">
        <v>405</v>
      </c>
      <c r="C30" s="395">
        <v>0</v>
      </c>
      <c r="D30" s="139" t="s">
        <v>406</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407</v>
      </c>
      <c r="C31" s="395">
        <v>0</v>
      </c>
      <c r="D31" s="139" t="s">
        <v>406</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408</v>
      </c>
      <c r="C32" s="395">
        <v>0</v>
      </c>
      <c r="D32" s="139" t="s">
        <v>406</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369</v>
      </c>
      <c r="B34" s="282" t="s">
        <v>415</v>
      </c>
      <c r="C34" s="397">
        <v>1</v>
      </c>
      <c r="D34" t="s">
        <v>371</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372</v>
      </c>
      <c r="B35" s="284" t="s">
        <v>373</v>
      </c>
      <c r="C35" s="396">
        <v>1</v>
      </c>
      <c r="D35" s="253" t="s">
        <v>185</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374</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375</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414</v>
      </c>
    </row>
    <row r="40" spans="1:20">
      <c r="G40" s="287"/>
    </row>
    <row r="41" spans="1:20">
      <c r="A41" t="s">
        <v>53</v>
      </c>
      <c r="D41" t="s">
        <v>409</v>
      </c>
      <c r="G41" s="88">
        <v>18.21</v>
      </c>
      <c r="H41" s="88">
        <v>0.23</v>
      </c>
      <c r="I41" s="88">
        <v>0</v>
      </c>
      <c r="J41" s="88">
        <v>0</v>
      </c>
      <c r="K41" s="88">
        <v>0</v>
      </c>
      <c r="L41" s="88">
        <v>0</v>
      </c>
      <c r="M41" s="88">
        <v>0</v>
      </c>
      <c r="N41" s="88">
        <v>0</v>
      </c>
      <c r="O41" s="88">
        <v>0</v>
      </c>
      <c r="P41" s="88">
        <v>0.54</v>
      </c>
      <c r="Q41" s="286">
        <f>SUM(Q10:Q35)</f>
        <v>-1156.1276607283723</v>
      </c>
    </row>
    <row r="43" spans="1:20">
      <c r="A43" t="s">
        <v>410</v>
      </c>
    </row>
    <row r="46" spans="1:20">
      <c r="A46" s="347" t="s">
        <v>452</v>
      </c>
      <c r="C46" s="288"/>
    </row>
    <row r="47" spans="1:20">
      <c r="A47" s="142" t="s">
        <v>448</v>
      </c>
    </row>
    <row r="48" spans="1:20">
      <c r="C48" s="183"/>
      <c r="L48" s="174"/>
    </row>
    <row r="49" spans="3:12">
      <c r="C49" s="183"/>
      <c r="L49" s="174"/>
    </row>
    <row r="52" spans="3:12">
      <c r="K52" s="348" t="s">
        <v>452</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I21" sqref="I21"/>
    </sheetView>
  </sheetViews>
  <sheetFormatPr defaultColWidth="11" defaultRowHeight="15.75"/>
  <sheetData>
    <row r="1" spans="1:13" ht="21" thickBot="1">
      <c r="A1" s="87" t="s">
        <v>86</v>
      </c>
      <c r="B1" s="92" t="s">
        <v>554</v>
      </c>
      <c r="C1" s="92" t="s">
        <v>555</v>
      </c>
      <c r="D1" s="92" t="s">
        <v>556</v>
      </c>
      <c r="E1" s="92" t="s">
        <v>557</v>
      </c>
      <c r="F1" s="92" t="s">
        <v>558</v>
      </c>
      <c r="G1" s="92" t="s">
        <v>559</v>
      </c>
      <c r="H1" s="92" t="s">
        <v>560</v>
      </c>
      <c r="I1" s="92" t="s">
        <v>561</v>
      </c>
      <c r="J1" s="92" t="s">
        <v>562</v>
      </c>
      <c r="K1" t="s">
        <v>563</v>
      </c>
      <c r="L1" t="s">
        <v>564</v>
      </c>
    </row>
    <row r="2" spans="1:13" ht="16.5" thickTop="1">
      <c r="A2" s="1" t="s">
        <v>0</v>
      </c>
      <c r="B2" s="2"/>
      <c r="C2" s="3"/>
      <c r="D2" s="3"/>
      <c r="E2" s="3"/>
      <c r="F2" s="3"/>
      <c r="G2" s="3"/>
      <c r="H2" s="3"/>
      <c r="I2" s="3"/>
      <c r="J2" s="3"/>
    </row>
    <row r="3" spans="1:13">
      <c r="A3" s="4" t="s">
        <v>565</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8" t="s">
        <v>549</v>
      </c>
      <c r="M6" s="488"/>
    </row>
    <row r="7" spans="1:13" ht="24" customHeight="1">
      <c r="A7" s="9" t="s">
        <v>3</v>
      </c>
      <c r="B7" s="10"/>
      <c r="C7" s="10"/>
      <c r="D7" s="11" t="s">
        <v>4</v>
      </c>
      <c r="E7" s="12"/>
      <c r="F7" s="11" t="s">
        <v>5</v>
      </c>
      <c r="G7" s="10"/>
      <c r="H7" s="10"/>
      <c r="I7" s="10"/>
      <c r="J7" s="10"/>
      <c r="L7" s="489"/>
      <c r="M7" s="489"/>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
        <v>566</v>
      </c>
    </row>
    <row r="12" spans="1:13">
      <c r="A12" s="353" t="s">
        <v>16</v>
      </c>
      <c r="B12" s="354"/>
      <c r="C12" s="3"/>
      <c r="D12" s="3"/>
      <c r="E12" s="3"/>
      <c r="F12" s="3"/>
      <c r="G12" s="356">
        <v>8.1</v>
      </c>
      <c r="H12" s="356">
        <v>4.5</v>
      </c>
      <c r="I12" s="23">
        <v>12.6</v>
      </c>
      <c r="J12" s="24">
        <v>6300</v>
      </c>
    </row>
    <row r="13" spans="1:13">
      <c r="A13" s="353" t="s">
        <v>17</v>
      </c>
      <c r="B13" s="354"/>
      <c r="C13" s="3"/>
      <c r="D13" s="3"/>
      <c r="E13" s="3"/>
      <c r="F13" s="3"/>
      <c r="G13" s="357">
        <v>7.6</v>
      </c>
      <c r="H13" s="357">
        <v>5.7</v>
      </c>
      <c r="I13" s="23">
        <v>13.3</v>
      </c>
      <c r="J13" s="24">
        <v>6650</v>
      </c>
    </row>
    <row r="14" spans="1:13">
      <c r="A14" s="353" t="s">
        <v>18</v>
      </c>
      <c r="B14" s="354"/>
      <c r="C14" s="3"/>
      <c r="D14" s="3"/>
      <c r="E14" s="3"/>
      <c r="F14" s="3"/>
      <c r="G14" s="357">
        <v>4.7</v>
      </c>
      <c r="H14" s="357">
        <v>3.5</v>
      </c>
      <c r="I14" s="23">
        <v>8.1999999999999993</v>
      </c>
      <c r="J14" s="24">
        <v>4100</v>
      </c>
    </row>
    <row r="15" spans="1:13">
      <c r="A15" s="353" t="s">
        <v>19</v>
      </c>
      <c r="B15" s="354"/>
      <c r="C15" s="3"/>
      <c r="D15" s="3"/>
      <c r="E15" s="3"/>
      <c r="F15" s="3"/>
      <c r="G15" s="357">
        <v>10.4</v>
      </c>
      <c r="H15" s="357">
        <v>6.2</v>
      </c>
      <c r="I15" s="23">
        <v>16.600000000000001</v>
      </c>
      <c r="J15" s="24">
        <v>8300</v>
      </c>
    </row>
    <row r="16" spans="1:13">
      <c r="A16" s="353" t="s">
        <v>20</v>
      </c>
      <c r="B16" s="354"/>
      <c r="C16" s="3"/>
      <c r="D16" s="3"/>
      <c r="E16" s="3"/>
      <c r="F16" s="3"/>
      <c r="G16" s="357">
        <v>4</v>
      </c>
      <c r="H16" s="357">
        <v>2.5</v>
      </c>
      <c r="I16" s="23">
        <v>6.5</v>
      </c>
      <c r="J16" s="24">
        <v>3250</v>
      </c>
    </row>
    <row r="17" spans="1:10">
      <c r="A17" s="353" t="s">
        <v>21</v>
      </c>
      <c r="B17" s="354"/>
      <c r="C17" s="3"/>
      <c r="D17" s="3"/>
      <c r="E17" s="3"/>
      <c r="F17" s="3"/>
      <c r="G17" s="357">
        <v>0</v>
      </c>
      <c r="H17" s="357">
        <v>0</v>
      </c>
      <c r="I17" s="23">
        <v>0</v>
      </c>
      <c r="J17" s="24">
        <v>0</v>
      </c>
    </row>
    <row r="18" spans="1:10">
      <c r="A18" s="353" t="s">
        <v>22</v>
      </c>
      <c r="B18" s="354"/>
      <c r="C18" s="3"/>
      <c r="D18" s="3"/>
      <c r="E18" s="3"/>
      <c r="F18" s="3"/>
      <c r="G18" s="357">
        <v>0</v>
      </c>
      <c r="H18" s="357">
        <v>0</v>
      </c>
      <c r="I18" s="23">
        <v>0</v>
      </c>
      <c r="J18" s="24">
        <v>0</v>
      </c>
    </row>
    <row r="19" spans="1:10">
      <c r="A19" s="353" t="s">
        <v>22</v>
      </c>
      <c r="B19" s="354"/>
      <c r="C19" s="3"/>
      <c r="D19" s="3"/>
      <c r="E19" s="3"/>
      <c r="F19" s="3"/>
      <c r="G19" s="357">
        <v>0</v>
      </c>
      <c r="H19" s="357">
        <v>0</v>
      </c>
      <c r="I19" s="23">
        <v>0</v>
      </c>
      <c r="J19" s="24">
        <v>0</v>
      </c>
    </row>
    <row r="20" spans="1:10">
      <c r="A20" s="353" t="s">
        <v>22</v>
      </c>
      <c r="B20" s="355"/>
      <c r="C20" s="25"/>
      <c r="D20" s="25"/>
      <c r="E20" s="25"/>
      <c r="F20" s="25"/>
      <c r="G20" s="357">
        <v>0</v>
      </c>
      <c r="H20" s="357">
        <v>0</v>
      </c>
      <c r="I20" s="26">
        <v>0</v>
      </c>
      <c r="J20" s="27">
        <v>0</v>
      </c>
    </row>
    <row r="21" spans="1:10">
      <c r="A21" s="28" t="s">
        <v>23</v>
      </c>
      <c r="B21" s="2"/>
      <c r="C21" s="3"/>
      <c r="D21" s="3"/>
      <c r="E21" s="3"/>
      <c r="F21" s="3"/>
      <c r="G21" s="23">
        <v>34.799999999999997</v>
      </c>
      <c r="H21" s="23">
        <v>22.4</v>
      </c>
      <c r="I21" s="29">
        <v>57.199999999999996</v>
      </c>
      <c r="J21" s="30">
        <v>28599.999999999996</v>
      </c>
    </row>
    <row r="22" spans="1:10">
      <c r="A22" s="28" t="s">
        <v>24</v>
      </c>
      <c r="B22" s="2"/>
      <c r="C22" s="3"/>
      <c r="D22" s="3"/>
      <c r="E22" s="3"/>
      <c r="F22" s="3"/>
      <c r="G22" s="24">
        <v>17400</v>
      </c>
      <c r="H22" s="24">
        <v>11200</v>
      </c>
      <c r="I22" s="30">
        <v>28599.999999999996</v>
      </c>
      <c r="J22" s="31" t="s">
        <v>87</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
        <v>566</v>
      </c>
    </row>
    <row r="26" spans="1:10">
      <c r="A26" s="8" t="s">
        <v>88</v>
      </c>
      <c r="B26" s="3"/>
      <c r="C26" s="360">
        <v>3.81</v>
      </c>
      <c r="D26" s="35" t="s">
        <v>29</v>
      </c>
      <c r="E26" s="362">
        <v>30000</v>
      </c>
      <c r="F26" s="36" t="s">
        <v>30</v>
      </c>
      <c r="G26" s="31"/>
      <c r="H26" s="23">
        <v>114.3</v>
      </c>
      <c r="I26" s="23">
        <v>114.3</v>
      </c>
      <c r="J26" s="24">
        <v>57150</v>
      </c>
    </row>
    <row r="27" spans="1:10">
      <c r="A27" s="8" t="s">
        <v>89</v>
      </c>
      <c r="B27" s="3"/>
      <c r="C27" s="361">
        <v>0.5</v>
      </c>
      <c r="D27" s="35" t="s">
        <v>32</v>
      </c>
      <c r="E27" s="363">
        <v>138</v>
      </c>
      <c r="F27" s="36" t="s">
        <v>33</v>
      </c>
      <c r="G27" s="31"/>
      <c r="H27" s="23">
        <v>69</v>
      </c>
      <c r="I27" s="23">
        <v>69</v>
      </c>
      <c r="J27" s="24">
        <v>34500</v>
      </c>
    </row>
    <row r="28" spans="1:10">
      <c r="A28" s="8" t="s">
        <v>90</v>
      </c>
      <c r="B28" s="3"/>
      <c r="C28" s="361">
        <v>0.57999999999999996</v>
      </c>
      <c r="D28" s="35" t="s">
        <v>32</v>
      </c>
      <c r="E28" s="364">
        <v>78</v>
      </c>
      <c r="F28" s="36" t="s">
        <v>33</v>
      </c>
      <c r="G28" s="31"/>
      <c r="H28" s="23">
        <v>45.239999999999995</v>
      </c>
      <c r="I28" s="23">
        <v>45.239999999999995</v>
      </c>
      <c r="J28" s="24">
        <v>22619.999999999996</v>
      </c>
    </row>
    <row r="29" spans="1:10">
      <c r="A29" s="8" t="s">
        <v>91</v>
      </c>
      <c r="B29" s="3"/>
      <c r="C29" s="361">
        <v>0.36</v>
      </c>
      <c r="D29" s="35" t="s">
        <v>32</v>
      </c>
      <c r="E29" s="364">
        <v>63</v>
      </c>
      <c r="F29" s="36" t="s">
        <v>33</v>
      </c>
      <c r="G29" s="31"/>
      <c r="H29" s="23">
        <v>22.68</v>
      </c>
      <c r="I29" s="23">
        <v>22.68</v>
      </c>
      <c r="J29" s="24">
        <v>11340</v>
      </c>
    </row>
    <row r="30" spans="1:10">
      <c r="A30" s="8" t="s">
        <v>92</v>
      </c>
      <c r="B30" s="3"/>
      <c r="C30" s="3"/>
      <c r="D30" s="35"/>
      <c r="E30" s="3"/>
      <c r="F30" s="36"/>
      <c r="G30" s="31"/>
      <c r="H30" s="357">
        <v>6.41</v>
      </c>
      <c r="I30" s="23">
        <v>6.41</v>
      </c>
      <c r="J30" s="24">
        <v>3205</v>
      </c>
    </row>
    <row r="31" spans="1:10">
      <c r="A31" s="8" t="s">
        <v>93</v>
      </c>
      <c r="B31" s="3"/>
      <c r="C31" s="3"/>
      <c r="D31" s="35"/>
      <c r="E31" s="3"/>
      <c r="F31" s="36"/>
      <c r="G31" s="31"/>
      <c r="H31" s="357">
        <v>47</v>
      </c>
      <c r="I31" s="23">
        <v>47</v>
      </c>
      <c r="J31" s="24">
        <v>23500</v>
      </c>
    </row>
    <row r="32" spans="1:10">
      <c r="A32" s="8" t="s">
        <v>94</v>
      </c>
      <c r="B32" s="3"/>
      <c r="C32" s="3"/>
      <c r="D32" s="35"/>
      <c r="E32" s="3"/>
      <c r="F32" s="36"/>
      <c r="G32" s="31"/>
      <c r="H32" s="357">
        <v>16.2</v>
      </c>
      <c r="I32" s="23">
        <v>16.2</v>
      </c>
      <c r="J32" s="24">
        <v>8100</v>
      </c>
    </row>
    <row r="33" spans="1:10">
      <c r="A33" s="8" t="s">
        <v>95</v>
      </c>
      <c r="B33" s="3"/>
      <c r="C33" s="3"/>
      <c r="D33" s="35"/>
      <c r="E33" s="3"/>
      <c r="F33" s="36"/>
      <c r="G33" s="31"/>
      <c r="H33" s="357">
        <v>12.9</v>
      </c>
      <c r="I33" s="23">
        <v>12.9</v>
      </c>
      <c r="J33" s="24">
        <v>6450</v>
      </c>
    </row>
    <row r="34" spans="1:10">
      <c r="A34" s="46" t="s">
        <v>96</v>
      </c>
      <c r="B34" s="25"/>
      <c r="C34" s="365">
        <v>8</v>
      </c>
      <c r="D34" s="38" t="s">
        <v>42</v>
      </c>
      <c r="E34" s="366">
        <v>8.1199999999999994E-2</v>
      </c>
      <c r="F34" s="39" t="s">
        <v>43</v>
      </c>
      <c r="G34" s="40"/>
      <c r="H34" s="41">
        <v>19.278503999999998</v>
      </c>
      <c r="I34" s="26">
        <v>19.278503999999998</v>
      </c>
      <c r="J34" s="27">
        <v>9639.2519999999986</v>
      </c>
    </row>
    <row r="35" spans="1:10">
      <c r="A35" s="28" t="s">
        <v>58</v>
      </c>
      <c r="B35" s="2"/>
      <c r="C35" s="3"/>
      <c r="D35" s="3"/>
      <c r="E35" s="3"/>
      <c r="F35" s="3"/>
      <c r="G35" s="31"/>
      <c r="H35" s="23">
        <v>353.00850400000002</v>
      </c>
      <c r="I35" s="29">
        <v>353.00850400000002</v>
      </c>
      <c r="J35" s="30">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v>31.7</v>
      </c>
      <c r="J38" s="24">
        <v>15850</v>
      </c>
    </row>
    <row r="39" spans="1:10">
      <c r="A39" s="368" t="s">
        <v>47</v>
      </c>
      <c r="B39" s="3"/>
      <c r="C39" s="3"/>
      <c r="D39" s="3"/>
      <c r="E39" s="3"/>
      <c r="F39" s="3"/>
      <c r="G39" s="357">
        <v>11.1</v>
      </c>
      <c r="H39" s="357">
        <v>3.8</v>
      </c>
      <c r="I39" s="23">
        <v>14.899999999999999</v>
      </c>
      <c r="J39" s="24">
        <v>7449.9999999999991</v>
      </c>
    </row>
    <row r="40" spans="1:10">
      <c r="A40" s="43" t="s">
        <v>48</v>
      </c>
      <c r="B40" s="3"/>
      <c r="C40" s="361">
        <v>7.6999999999999999E-2</v>
      </c>
      <c r="D40" s="36" t="s">
        <v>49</v>
      </c>
      <c r="E40" s="361">
        <v>4.8000000000000001E-2</v>
      </c>
      <c r="F40" s="36" t="s">
        <v>50</v>
      </c>
      <c r="G40" s="23">
        <v>16.093</v>
      </c>
      <c r="H40" s="23">
        <v>10.032</v>
      </c>
      <c r="I40" s="23">
        <v>26.125</v>
      </c>
      <c r="J40" s="24">
        <v>13062.5</v>
      </c>
    </row>
    <row r="41" spans="1:10">
      <c r="A41" s="43" t="s">
        <v>51</v>
      </c>
      <c r="B41" s="3"/>
      <c r="C41" s="361">
        <v>0.05</v>
      </c>
      <c r="D41" s="36" t="s">
        <v>49</v>
      </c>
      <c r="E41" s="361">
        <v>0.18360000000000001</v>
      </c>
      <c r="F41" s="36" t="s">
        <v>50</v>
      </c>
      <c r="G41" s="23">
        <v>10.450000000000001</v>
      </c>
      <c r="H41" s="23">
        <v>38.372400000000006</v>
      </c>
      <c r="I41" s="23">
        <v>48.822400000000009</v>
      </c>
      <c r="J41" s="24">
        <v>24411.200000000004</v>
      </c>
    </row>
    <row r="42" spans="1:10">
      <c r="A42" s="43" t="s">
        <v>52</v>
      </c>
      <c r="B42" s="3"/>
      <c r="C42" s="361">
        <v>3.1600000000000003E-2</v>
      </c>
      <c r="D42" s="36" t="s">
        <v>49</v>
      </c>
      <c r="E42" s="361">
        <v>2.53E-2</v>
      </c>
      <c r="F42" s="36" t="s">
        <v>50</v>
      </c>
      <c r="G42" s="23">
        <v>6.6044000000000009</v>
      </c>
      <c r="H42" s="23">
        <v>5.2877000000000001</v>
      </c>
      <c r="I42" s="23">
        <v>11.892100000000001</v>
      </c>
      <c r="J42" s="24">
        <v>5946.05</v>
      </c>
    </row>
    <row r="43" spans="1:10">
      <c r="A43" s="371" t="s">
        <v>21</v>
      </c>
      <c r="B43" s="25"/>
      <c r="C43" s="25"/>
      <c r="D43" s="25"/>
      <c r="E43" s="25"/>
      <c r="F43" s="25"/>
      <c r="G43" s="357">
        <v>0</v>
      </c>
      <c r="H43" s="357">
        <v>0</v>
      </c>
      <c r="I43" s="26">
        <v>0</v>
      </c>
      <c r="J43" s="27">
        <v>0</v>
      </c>
    </row>
    <row r="44" spans="1:10">
      <c r="A44" s="28" t="s">
        <v>23</v>
      </c>
      <c r="B44" s="2"/>
      <c r="C44" s="3"/>
      <c r="D44" s="3"/>
      <c r="E44" s="3"/>
      <c r="F44" s="3"/>
      <c r="G44" s="23">
        <v>67.247399999999999</v>
      </c>
      <c r="H44" s="23">
        <v>66.192100000000011</v>
      </c>
      <c r="I44" s="29">
        <v>133.43950000000001</v>
      </c>
      <c r="J44" s="3"/>
    </row>
    <row r="45" spans="1:10">
      <c r="A45" s="28" t="s">
        <v>24</v>
      </c>
      <c r="B45" s="2"/>
      <c r="C45" s="3"/>
      <c r="D45" s="3"/>
      <c r="E45" s="3"/>
      <c r="F45" s="3"/>
      <c r="G45" s="24">
        <v>33623.699999999997</v>
      </c>
      <c r="H45" s="24">
        <v>33096.050000000003</v>
      </c>
      <c r="I45" s="30"/>
      <c r="J45" s="30">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v>51.382499999999993</v>
      </c>
      <c r="H48" s="31"/>
      <c r="I48" s="23">
        <v>51.382499999999993</v>
      </c>
      <c r="J48" s="24">
        <v>25691.249999999996</v>
      </c>
    </row>
    <row r="49" spans="1:10">
      <c r="A49" s="46" t="s">
        <v>57</v>
      </c>
      <c r="B49" s="47"/>
      <c r="C49" s="361">
        <v>0</v>
      </c>
      <c r="D49" s="25"/>
      <c r="E49" s="365">
        <v>0</v>
      </c>
      <c r="F49" s="47"/>
      <c r="G49" s="40"/>
      <c r="H49" s="26">
        <v>0</v>
      </c>
      <c r="I49" s="26">
        <v>0</v>
      </c>
      <c r="J49" s="27">
        <v>0</v>
      </c>
    </row>
    <row r="50" spans="1:10">
      <c r="A50" s="28" t="s">
        <v>58</v>
      </c>
      <c r="B50" s="44"/>
      <c r="C50" s="48"/>
      <c r="D50" s="48"/>
      <c r="E50" s="48"/>
      <c r="F50" s="48"/>
      <c r="G50" s="23">
        <v>51.382499999999993</v>
      </c>
      <c r="H50" s="23">
        <v>0</v>
      </c>
      <c r="I50" s="29">
        <v>51.382499999999993</v>
      </c>
      <c r="J50" s="30">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6" t="s">
        <v>471</v>
      </c>
      <c r="F53" s="486"/>
      <c r="G53" s="372">
        <v>143</v>
      </c>
      <c r="H53" s="31"/>
      <c r="I53" s="29">
        <v>143</v>
      </c>
      <c r="J53" s="30">
        <v>71500</v>
      </c>
    </row>
    <row r="54" spans="1:10">
      <c r="A54" s="8"/>
      <c r="B54" s="3"/>
      <c r="C54" s="3"/>
      <c r="D54" s="3"/>
      <c r="E54" s="487"/>
      <c r="F54" s="487"/>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
        <v>566</v>
      </c>
    </row>
    <row r="57" spans="1:10">
      <c r="A57" s="8" t="s">
        <v>62</v>
      </c>
      <c r="B57" s="3"/>
      <c r="C57" s="3"/>
      <c r="D57" s="3"/>
      <c r="E57" s="3"/>
      <c r="F57" s="3"/>
      <c r="G57" s="23">
        <v>296.42989999999998</v>
      </c>
      <c r="H57" s="23">
        <v>441.60060399999998</v>
      </c>
      <c r="I57" s="29">
        <v>738.03050400000006</v>
      </c>
      <c r="J57" s="3"/>
    </row>
    <row r="58" spans="1:10" ht="16.5" thickBot="1">
      <c r="A58" s="50" t="s">
        <v>63</v>
      </c>
      <c r="B58" s="51"/>
      <c r="C58" s="51"/>
      <c r="D58" s="51"/>
      <c r="E58" s="51"/>
      <c r="F58" s="51"/>
      <c r="G58" s="52">
        <v>1.418324880382775</v>
      </c>
      <c r="H58" s="52">
        <v>2.1129215502392342</v>
      </c>
      <c r="I58" s="52">
        <v>3.5312464306220099</v>
      </c>
      <c r="J58" s="53"/>
    </row>
    <row r="59" spans="1:10" ht="16.5" thickTop="1">
      <c r="A59" s="54" t="s">
        <v>64</v>
      </c>
      <c r="B59" s="55"/>
      <c r="C59" s="55"/>
      <c r="D59" s="55"/>
      <c r="E59" s="55"/>
      <c r="F59" s="55"/>
      <c r="G59" s="56">
        <v>148214.94999999998</v>
      </c>
      <c r="H59" s="56">
        <v>220800.302</v>
      </c>
      <c r="I59" s="56"/>
      <c r="J59" s="56">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v>0</v>
      </c>
      <c r="J63" s="65">
        <v>0</v>
      </c>
    </row>
    <row r="64" spans="1:10">
      <c r="A64" s="8" t="s">
        <v>73</v>
      </c>
      <c r="B64" s="64"/>
      <c r="C64" s="3"/>
      <c r="D64" s="3"/>
      <c r="E64" s="3"/>
      <c r="F64" s="3"/>
      <c r="G64" s="24"/>
      <c r="H64" s="31"/>
      <c r="I64" s="370">
        <v>0</v>
      </c>
      <c r="J64" s="65">
        <v>0</v>
      </c>
    </row>
    <row r="65" spans="1:10">
      <c r="A65" s="66" t="s">
        <v>74</v>
      </c>
      <c r="B65" s="67"/>
      <c r="C65" s="369">
        <v>0</v>
      </c>
      <c r="D65" s="3"/>
      <c r="E65" s="3"/>
      <c r="F65" s="3"/>
      <c r="G65" s="68"/>
      <c r="H65" s="69"/>
      <c r="I65" s="70">
        <v>0</v>
      </c>
      <c r="J65" s="71">
        <v>0</v>
      </c>
    </row>
    <row r="66" spans="1:10" ht="16.5" thickBot="1">
      <c r="A66" s="72" t="s">
        <v>75</v>
      </c>
      <c r="B66" s="73"/>
      <c r="C66" s="51"/>
      <c r="D66" s="51"/>
      <c r="E66" s="51"/>
      <c r="F66" s="51"/>
      <c r="G66" s="74"/>
      <c r="H66" s="53"/>
      <c r="I66" s="29">
        <v>0</v>
      </c>
      <c r="J66" s="30">
        <v>0</v>
      </c>
    </row>
    <row r="67" spans="1:10" ht="17.25" thickTop="1" thickBot="1">
      <c r="A67" s="54" t="s">
        <v>76</v>
      </c>
      <c r="B67" s="77"/>
      <c r="C67" s="78"/>
      <c r="D67" s="78"/>
      <c r="E67" s="78"/>
      <c r="F67" s="78"/>
      <c r="G67" s="79"/>
      <c r="H67" s="80">
        <v>-441.60060399999998</v>
      </c>
      <c r="I67" s="388">
        <v>-738.03050400000006</v>
      </c>
      <c r="J67" s="390">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v>45702</v>
      </c>
      <c r="B76" s="3"/>
      <c r="C76" s="3"/>
      <c r="D76" s="3"/>
      <c r="E76" s="3"/>
      <c r="F76" s="3"/>
      <c r="G76" s="3"/>
      <c r="H76" s="3"/>
      <c r="I76" s="3"/>
      <c r="J76" s="3"/>
    </row>
    <row r="79" spans="1:10">
      <c r="A79" s="347" t="s">
        <v>532</v>
      </c>
    </row>
    <row r="80" spans="1:10">
      <c r="A80" s="142" t="s">
        <v>533</v>
      </c>
    </row>
    <row r="82" spans="1:1">
      <c r="A82" s="477" t="s">
        <v>534</v>
      </c>
    </row>
    <row r="83" spans="1:1">
      <c r="A83" s="233" t="s">
        <v>303</v>
      </c>
    </row>
  </sheetData>
  <mergeCells count="2">
    <mergeCell ref="E53:F54"/>
    <mergeCell ref="L6: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A27" sqref="A27"/>
    </sheetView>
  </sheetViews>
  <sheetFormatPr defaultColWidth="11" defaultRowHeight="15.75"/>
  <cols>
    <col min="13" max="13" width="16.5" customWidth="1"/>
  </cols>
  <sheetData>
    <row r="1" spans="1:13" ht="20.25">
      <c r="A1" s="490" t="s">
        <v>85</v>
      </c>
      <c r="B1" s="490"/>
      <c r="C1" s="490"/>
      <c r="D1" s="490"/>
      <c r="E1" s="490"/>
      <c r="F1" s="490"/>
      <c r="G1" s="490"/>
      <c r="H1" s="490"/>
      <c r="I1" s="490"/>
      <c r="J1" s="490"/>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8" t="s">
        <v>549</v>
      </c>
      <c r="M6" s="488"/>
    </row>
    <row r="7" spans="1:13" ht="15.95" customHeight="1">
      <c r="A7" s="9" t="s">
        <v>3</v>
      </c>
      <c r="B7" s="10"/>
      <c r="C7" s="10"/>
      <c r="D7" s="11" t="s">
        <v>4</v>
      </c>
      <c r="E7" s="12"/>
      <c r="F7" s="11" t="s">
        <v>5</v>
      </c>
      <c r="G7" s="10"/>
      <c r="H7" s="10"/>
      <c r="I7" s="10"/>
      <c r="J7" s="10"/>
      <c r="L7" s="489"/>
      <c r="M7" s="489"/>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6" t="s">
        <v>472</v>
      </c>
      <c r="F54" s="486"/>
      <c r="G54" s="375">
        <v>143</v>
      </c>
      <c r="H54" s="31"/>
      <c r="I54" s="29">
        <f>G54</f>
        <v>143</v>
      </c>
      <c r="J54" s="30">
        <f>G54*$F$8</f>
        <v>841984</v>
      </c>
      <c r="K54" s="173"/>
    </row>
    <row r="55" spans="1:11">
      <c r="A55" s="8"/>
      <c r="B55" s="3"/>
      <c r="C55" s="3"/>
      <c r="D55" s="3"/>
      <c r="E55" s="487"/>
      <c r="F55" s="487"/>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45706</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532</v>
      </c>
      <c r="B85" s="207"/>
      <c r="C85" s="207"/>
      <c r="D85" s="207"/>
      <c r="E85" s="207"/>
      <c r="F85" s="207"/>
      <c r="G85" s="207"/>
      <c r="H85" s="207"/>
      <c r="I85" s="207"/>
      <c r="J85" s="207"/>
    </row>
    <row r="86" spans="1:10">
      <c r="A86" s="142" t="s">
        <v>533</v>
      </c>
      <c r="B86" s="2"/>
      <c r="C86" s="3"/>
      <c r="D86" s="3"/>
      <c r="E86" s="3"/>
      <c r="F86" s="3"/>
      <c r="G86" s="211"/>
      <c r="H86" s="212"/>
      <c r="I86" s="212"/>
      <c r="J86" s="213"/>
    </row>
    <row r="87" spans="1:10">
      <c r="B87" s="3"/>
      <c r="C87" s="3"/>
      <c r="D87" s="3"/>
      <c r="E87" s="3"/>
      <c r="F87" s="3"/>
      <c r="G87" s="214"/>
      <c r="H87" s="214"/>
      <c r="I87" s="213"/>
      <c r="J87" s="213"/>
    </row>
    <row r="88" spans="1:10">
      <c r="A88" s="477" t="s">
        <v>534</v>
      </c>
      <c r="B88" s="3"/>
      <c r="C88" s="3"/>
      <c r="D88" s="3"/>
      <c r="E88" s="3"/>
      <c r="F88" s="3"/>
      <c r="G88" s="216"/>
      <c r="H88" s="216"/>
      <c r="I88" s="23"/>
      <c r="J88" s="24"/>
    </row>
    <row r="89" spans="1:10">
      <c r="A89" s="233" t="s">
        <v>303</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topLeftCell="A58"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8" t="s">
        <v>549</v>
      </c>
      <c r="M7" s="488"/>
    </row>
    <row r="8" spans="1:13">
      <c r="A8" s="358" t="s">
        <v>6</v>
      </c>
      <c r="B8" s="359"/>
      <c r="C8" s="352"/>
      <c r="D8" s="90">
        <v>209</v>
      </c>
      <c r="E8" s="13" t="s">
        <v>7</v>
      </c>
      <c r="F8" s="91">
        <v>5888</v>
      </c>
      <c r="G8" s="3"/>
      <c r="H8" s="3"/>
      <c r="I8" s="3"/>
      <c r="J8" s="3"/>
      <c r="K8" s="8"/>
      <c r="L8" s="489"/>
      <c r="M8" s="489"/>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88</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89</v>
      </c>
      <c r="B25" s="3"/>
      <c r="C25" s="361">
        <v>0.5</v>
      </c>
      <c r="D25" s="35" t="s">
        <v>32</v>
      </c>
      <c r="E25" s="363">
        <v>138</v>
      </c>
      <c r="F25" s="36" t="s">
        <v>33</v>
      </c>
      <c r="G25" s="31"/>
      <c r="H25" s="23">
        <f>C25*E25</f>
        <v>69</v>
      </c>
      <c r="I25" s="23">
        <f t="shared" si="2"/>
        <v>69</v>
      </c>
      <c r="J25" s="24">
        <f t="shared" si="3"/>
        <v>406272</v>
      </c>
      <c r="K25" s="8"/>
    </row>
    <row r="26" spans="1:11">
      <c r="A26" s="8" t="s">
        <v>90</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91</v>
      </c>
      <c r="B27" s="3"/>
      <c r="C27" s="361">
        <v>0.36</v>
      </c>
      <c r="D27" s="35" t="s">
        <v>32</v>
      </c>
      <c r="E27" s="364">
        <v>63</v>
      </c>
      <c r="F27" s="36" t="s">
        <v>33</v>
      </c>
      <c r="G27" s="31"/>
      <c r="H27" s="23">
        <f>C27*E27</f>
        <v>22.68</v>
      </c>
      <c r="I27" s="23">
        <f t="shared" si="2"/>
        <v>22.68</v>
      </c>
      <c r="J27" s="24">
        <f t="shared" si="3"/>
        <v>133539.84</v>
      </c>
      <c r="K27" s="8"/>
    </row>
    <row r="28" spans="1:11">
      <c r="A28" s="8" t="s">
        <v>92</v>
      </c>
      <c r="B28" s="3"/>
      <c r="C28" s="3"/>
      <c r="D28" s="35"/>
      <c r="E28" s="3"/>
      <c r="F28" s="36"/>
      <c r="G28" s="31"/>
      <c r="H28" s="357">
        <v>6.41</v>
      </c>
      <c r="I28" s="23">
        <f t="shared" si="2"/>
        <v>6.41</v>
      </c>
      <c r="J28" s="24">
        <f t="shared" si="3"/>
        <v>37742.080000000002</v>
      </c>
      <c r="K28" s="8"/>
    </row>
    <row r="29" spans="1:11">
      <c r="A29" s="8" t="s">
        <v>93</v>
      </c>
      <c r="B29" s="3"/>
      <c r="C29" s="3"/>
      <c r="D29" s="35"/>
      <c r="E29" s="3"/>
      <c r="F29" s="36"/>
      <c r="G29" s="31"/>
      <c r="H29" s="357">
        <v>70</v>
      </c>
      <c r="I29" s="23">
        <f t="shared" si="2"/>
        <v>70</v>
      </c>
      <c r="J29" s="24">
        <f t="shared" si="3"/>
        <v>412160</v>
      </c>
      <c r="K29" s="8"/>
    </row>
    <row r="30" spans="1:11">
      <c r="A30" s="8" t="s">
        <v>94</v>
      </c>
      <c r="B30" s="3"/>
      <c r="C30" s="3"/>
      <c r="D30" s="35"/>
      <c r="E30" s="3"/>
      <c r="F30" s="36"/>
      <c r="G30" s="31"/>
      <c r="H30" s="357">
        <v>16.2</v>
      </c>
      <c r="I30" s="23">
        <f t="shared" si="2"/>
        <v>16.2</v>
      </c>
      <c r="J30" s="24">
        <f t="shared" si="3"/>
        <v>95385.599999999991</v>
      </c>
      <c r="K30" s="8"/>
    </row>
    <row r="31" spans="1:11">
      <c r="A31" s="8" t="s">
        <v>95</v>
      </c>
      <c r="B31" s="3"/>
      <c r="C31" s="3"/>
      <c r="D31" s="35"/>
      <c r="E31" s="3"/>
      <c r="F31" s="36"/>
      <c r="G31" s="31"/>
      <c r="H31" s="357">
        <v>12.9</v>
      </c>
      <c r="I31" s="23">
        <f t="shared" si="2"/>
        <v>12.9</v>
      </c>
      <c r="J31" s="24">
        <f t="shared" si="3"/>
        <v>75955.199999999997</v>
      </c>
      <c r="K31" s="8"/>
    </row>
    <row r="32" spans="1:11">
      <c r="A32" s="46" t="s">
        <v>96</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6" t="s">
        <v>472</v>
      </c>
      <c r="F51" s="486"/>
      <c r="G51" s="375">
        <v>143</v>
      </c>
      <c r="H51" s="31"/>
      <c r="I51" s="29">
        <f>G51</f>
        <v>143</v>
      </c>
      <c r="J51" s="30">
        <f>$F$8*I51</f>
        <v>841984</v>
      </c>
      <c r="K51" s="8"/>
    </row>
    <row r="52" spans="1:11">
      <c r="A52" s="8"/>
      <c r="B52" s="3"/>
      <c r="C52" s="3"/>
      <c r="D52" s="3"/>
      <c r="E52" s="487"/>
      <c r="F52" s="487"/>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304</v>
      </c>
    </row>
    <row r="70" spans="1:11" ht="48" customHeight="1">
      <c r="A70" s="491" t="s">
        <v>311</v>
      </c>
      <c r="B70" s="491"/>
      <c r="C70" s="491"/>
      <c r="D70" s="240"/>
      <c r="E70" s="241"/>
      <c r="F70" s="241"/>
      <c r="G70" s="241"/>
    </row>
    <row r="71" spans="1:11" ht="48" customHeight="1">
      <c r="A71" s="244"/>
      <c r="B71" s="244"/>
      <c r="C71" s="244" t="s">
        <v>312</v>
      </c>
      <c r="D71" s="245" t="s">
        <v>313</v>
      </c>
      <c r="E71" s="246" t="s">
        <v>318</v>
      </c>
      <c r="F71" s="246" t="s">
        <v>27</v>
      </c>
      <c r="G71" s="492" t="s">
        <v>77</v>
      </c>
      <c r="H71" s="492"/>
      <c r="I71" s="492"/>
    </row>
    <row r="72" spans="1:11" ht="35.1" customHeight="1">
      <c r="A72" s="235" t="s">
        <v>28</v>
      </c>
      <c r="B72" s="236">
        <v>0</v>
      </c>
      <c r="C72" s="237">
        <v>0.31</v>
      </c>
      <c r="D72" s="238">
        <v>0.44</v>
      </c>
      <c r="E72" s="373">
        <f>0.36*120</f>
        <v>43.199999999999996</v>
      </c>
      <c r="F72" s="239" t="s">
        <v>305</v>
      </c>
      <c r="G72" s="494" t="s">
        <v>306</v>
      </c>
      <c r="H72" s="494"/>
      <c r="I72" s="494"/>
    </row>
    <row r="73" spans="1:11" ht="45" customHeight="1">
      <c r="A73" s="235" t="s">
        <v>307</v>
      </c>
      <c r="B73" s="236">
        <v>0</v>
      </c>
      <c r="C73" s="237">
        <v>11</v>
      </c>
      <c r="D73" s="238">
        <v>18</v>
      </c>
      <c r="E73" s="373">
        <v>14.3</v>
      </c>
      <c r="F73" s="239" t="s">
        <v>305</v>
      </c>
      <c r="G73" s="494" t="s">
        <v>308</v>
      </c>
      <c r="H73" s="494"/>
      <c r="I73" s="494"/>
    </row>
    <row r="74" spans="1:11" ht="74.099999999999994" customHeight="1">
      <c r="A74" s="247" t="s">
        <v>309</v>
      </c>
      <c r="B74" s="248">
        <v>0</v>
      </c>
      <c r="C74" s="249" t="s">
        <v>13</v>
      </c>
      <c r="D74" s="249"/>
      <c r="E74" s="374">
        <v>22.83</v>
      </c>
      <c r="F74" s="250" t="s">
        <v>305</v>
      </c>
      <c r="G74" s="493" t="s">
        <v>310</v>
      </c>
      <c r="H74" s="493"/>
      <c r="I74" s="493"/>
    </row>
    <row r="75" spans="1:11">
      <c r="E75" s="169">
        <f>SUM(E72:E74)</f>
        <v>80.33</v>
      </c>
      <c r="F75" s="239" t="s">
        <v>305</v>
      </c>
      <c r="G75" t="s">
        <v>314</v>
      </c>
      <c r="H75" s="169">
        <f>E75*F8</f>
        <v>472983.03999999998</v>
      </c>
    </row>
    <row r="76" spans="1:11" ht="16.5" thickBot="1"/>
    <row r="77" spans="1:11" ht="16.5" thickBot="1">
      <c r="H77" t="s">
        <v>315</v>
      </c>
      <c r="J77" s="242">
        <f>J65-H75</f>
        <v>-4850045.523285334</v>
      </c>
    </row>
    <row r="80" spans="1:11">
      <c r="A80" s="347" t="s">
        <v>532</v>
      </c>
    </row>
    <row r="81" spans="1:11">
      <c r="A81" s="142" t="s">
        <v>533</v>
      </c>
    </row>
    <row r="83" spans="1:11" ht="20.25">
      <c r="A83" s="234" t="s">
        <v>534</v>
      </c>
    </row>
    <row r="84" spans="1:11">
      <c r="A84" s="233" t="s">
        <v>303</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45706</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316</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317</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8" t="s">
        <v>549</v>
      </c>
      <c r="M6" s="488"/>
    </row>
    <row r="7" spans="1:13">
      <c r="A7" s="9" t="s">
        <v>3</v>
      </c>
      <c r="B7" s="10"/>
      <c r="C7" s="10"/>
      <c r="D7" s="11" t="s">
        <v>4</v>
      </c>
      <c r="E7" s="12"/>
      <c r="F7" s="11" t="s">
        <v>5</v>
      </c>
      <c r="G7" s="10"/>
      <c r="H7" s="10"/>
      <c r="I7" s="10"/>
      <c r="J7" s="10"/>
      <c r="K7" s="8"/>
      <c r="L7" s="489"/>
      <c r="M7" s="489"/>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87</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102</v>
      </c>
      <c r="E26" s="377">
        <v>1</v>
      </c>
      <c r="F26" s="36" t="s">
        <v>103</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104</v>
      </c>
      <c r="B46" s="2"/>
      <c r="C46" s="361">
        <v>20.149999999999999</v>
      </c>
      <c r="D46" s="3"/>
      <c r="E46" s="365">
        <v>2.2000000000000002</v>
      </c>
      <c r="F46" s="44"/>
      <c r="G46" s="45">
        <f>E46*C46</f>
        <v>44.33</v>
      </c>
      <c r="H46" s="31"/>
      <c r="I46" s="23">
        <f>G46</f>
        <v>44.33</v>
      </c>
      <c r="J46" s="24">
        <f>$F$8*I46</f>
        <v>22165</v>
      </c>
      <c r="K46" s="8"/>
    </row>
    <row r="47" spans="1:11">
      <c r="A47" s="37" t="s">
        <v>105</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106</v>
      </c>
      <c r="B51" s="3"/>
      <c r="C51" s="3"/>
      <c r="D51" s="3"/>
      <c r="E51" s="486" t="s">
        <v>472</v>
      </c>
      <c r="F51" s="486"/>
      <c r="G51" s="375">
        <v>143</v>
      </c>
      <c r="H51" s="31"/>
      <c r="I51" s="29">
        <f>G51</f>
        <v>143</v>
      </c>
      <c r="J51" s="30">
        <f>$F$8*I51</f>
        <v>71500</v>
      </c>
      <c r="K51" s="8"/>
    </row>
    <row r="52" spans="1:14">
      <c r="A52" s="8"/>
      <c r="B52" s="3"/>
      <c r="C52" s="3"/>
      <c r="D52" s="3"/>
      <c r="E52" s="487"/>
      <c r="F52" s="487"/>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107</v>
      </c>
      <c r="B55" s="3"/>
      <c r="C55" s="3"/>
      <c r="D55" s="3"/>
      <c r="E55" s="3"/>
      <c r="F55" s="3"/>
      <c r="G55" s="23">
        <f>G21+G42+G48+G51</f>
        <v>257.24599999999998</v>
      </c>
      <c r="H55" s="23">
        <f>H21+H34+H42+H48</f>
        <v>268.6509733333333</v>
      </c>
      <c r="I55" s="29">
        <f>I21+I34+I42+I48+I51</f>
        <v>525.89697333333334</v>
      </c>
      <c r="J55" s="3"/>
      <c r="K55" s="8"/>
    </row>
    <row r="56" spans="1:14" ht="16.5" thickBot="1">
      <c r="A56" s="96" t="s">
        <v>108</v>
      </c>
      <c r="B56" s="51"/>
      <c r="C56" s="51"/>
      <c r="D56" s="51"/>
      <c r="E56" s="51"/>
      <c r="F56" s="51"/>
      <c r="G56" s="52">
        <f>IF($D$8&gt;0,G55/$D$8,0)</f>
        <v>4.2874333333333334</v>
      </c>
      <c r="H56" s="52">
        <f>IF($D$8&gt;0,H55/$D$8,0)</f>
        <v>4.4775162222222216</v>
      </c>
      <c r="I56" s="52">
        <f>IF($D$8&gt;0,I55/$D$8,0)</f>
        <v>8.764949555555555</v>
      </c>
      <c r="J56" s="53"/>
      <c r="K56" s="8"/>
    </row>
    <row r="57" spans="1:14" ht="16.5" thickTop="1">
      <c r="A57" s="97" t="s">
        <v>109</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110</v>
      </c>
      <c r="B61" s="64"/>
      <c r="C61" s="459">
        <v>0</v>
      </c>
      <c r="D61" s="3"/>
      <c r="E61" s="3"/>
      <c r="F61" s="3"/>
      <c r="G61" s="24"/>
      <c r="H61" s="31"/>
      <c r="I61" s="23">
        <f>C61*D$8</f>
        <v>0</v>
      </c>
      <c r="J61" s="65">
        <f>I61*F$8</f>
        <v>0</v>
      </c>
      <c r="K61" s="8"/>
    </row>
    <row r="62" spans="1:14">
      <c r="A62" s="34" t="s">
        <v>111</v>
      </c>
      <c r="B62" s="64"/>
      <c r="C62" s="3"/>
      <c r="D62" s="3"/>
      <c r="E62" s="3"/>
      <c r="F62" s="3"/>
      <c r="G62" s="24"/>
      <c r="H62" s="31"/>
      <c r="I62" s="357">
        <v>0</v>
      </c>
      <c r="J62" s="65">
        <f>I62*F$8</f>
        <v>0</v>
      </c>
      <c r="K62" s="8"/>
    </row>
    <row r="63" spans="1:14">
      <c r="A63" s="98" t="s">
        <v>112</v>
      </c>
      <c r="B63" s="67"/>
      <c r="C63" s="369">
        <v>0</v>
      </c>
      <c r="D63" s="3"/>
      <c r="E63" s="3"/>
      <c r="F63" s="3"/>
      <c r="G63" s="68"/>
      <c r="H63" s="69"/>
      <c r="I63" s="70">
        <f>C63*D$8</f>
        <v>0</v>
      </c>
      <c r="J63" s="71">
        <f>I63*F$8</f>
        <v>0</v>
      </c>
      <c r="K63" s="95"/>
    </row>
    <row r="64" spans="1:14" ht="16.5" thickBot="1">
      <c r="A64" s="99" t="s">
        <v>113</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45706</v>
      </c>
      <c r="B73" s="3"/>
      <c r="C73" s="3"/>
      <c r="D73" s="3"/>
      <c r="E73" s="3"/>
      <c r="F73" s="3"/>
      <c r="G73" s="3"/>
      <c r="H73" s="3"/>
      <c r="I73" s="3"/>
      <c r="J73" s="3"/>
      <c r="K73" s="8"/>
    </row>
    <row r="74" spans="1:11">
      <c r="A74" s="100"/>
      <c r="B74" s="3"/>
      <c r="C74" s="3"/>
      <c r="D74" s="3"/>
      <c r="E74" s="3"/>
      <c r="F74" s="3"/>
      <c r="G74" s="3"/>
      <c r="H74" s="3"/>
      <c r="I74" s="3"/>
      <c r="J74" s="3"/>
      <c r="K74" s="8"/>
    </row>
    <row r="75" spans="1:11">
      <c r="A75" s="83" t="s">
        <v>114</v>
      </c>
      <c r="B75" s="3"/>
      <c r="C75" s="3"/>
      <c r="D75" s="3"/>
      <c r="E75" s="3"/>
      <c r="F75" s="3"/>
      <c r="G75" s="3"/>
      <c r="H75" s="3"/>
      <c r="I75" s="3"/>
      <c r="J75" s="3"/>
      <c r="K75" s="8"/>
    </row>
    <row r="76" spans="1:11">
      <c r="A76" s="8"/>
      <c r="B76" s="3"/>
      <c r="C76" s="3"/>
      <c r="D76" s="3"/>
      <c r="E76" s="3"/>
      <c r="F76" s="3"/>
      <c r="G76" s="3"/>
      <c r="H76" s="3"/>
      <c r="I76" s="3"/>
      <c r="J76" s="3"/>
      <c r="K76" s="8"/>
    </row>
    <row r="79" spans="1:11">
      <c r="A79" s="347" t="s">
        <v>536</v>
      </c>
    </row>
    <row r="80" spans="1:11">
      <c r="A80" s="142" t="s">
        <v>535</v>
      </c>
    </row>
    <row r="82" spans="1:1" ht="20.25">
      <c r="A82" s="234" t="s">
        <v>534</v>
      </c>
    </row>
    <row r="83" spans="1:1">
      <c r="A83" s="233" t="s">
        <v>303</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99</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100</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8" t="s">
        <v>549</v>
      </c>
      <c r="M6" s="488"/>
    </row>
    <row r="7" spans="1:13">
      <c r="A7" s="9" t="s">
        <v>3</v>
      </c>
      <c r="B7" s="10"/>
      <c r="C7" s="10"/>
      <c r="D7" s="11" t="s">
        <v>4</v>
      </c>
      <c r="E7" s="12"/>
      <c r="F7" s="11" t="s">
        <v>5</v>
      </c>
      <c r="G7" s="10"/>
      <c r="H7" s="10"/>
      <c r="I7" s="10"/>
      <c r="J7" s="10"/>
      <c r="K7" s="8"/>
      <c r="L7" s="489"/>
      <c r="M7" s="489"/>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101</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87</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102</v>
      </c>
      <c r="E24" s="377">
        <f>160000/140000</f>
        <v>1.1428571428571428</v>
      </c>
      <c r="F24" s="36" t="s">
        <v>103</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104</v>
      </c>
      <c r="B44" s="2"/>
      <c r="C44" s="361">
        <v>20.149999999999999</v>
      </c>
      <c r="D44" s="3"/>
      <c r="E44" s="365">
        <v>1.7</v>
      </c>
      <c r="F44" s="44"/>
      <c r="G44" s="45">
        <f>E44*C44</f>
        <v>34.254999999999995</v>
      </c>
      <c r="H44" s="31"/>
      <c r="I44" s="23">
        <f>G44</f>
        <v>34.254999999999995</v>
      </c>
      <c r="J44" s="24">
        <f>$F$8*I44</f>
        <v>17127.499999999996</v>
      </c>
      <c r="K44" s="8"/>
    </row>
    <row r="45" spans="1:15">
      <c r="A45" s="37" t="s">
        <v>105</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106</v>
      </c>
      <c r="B49" s="3"/>
      <c r="C49" s="3"/>
      <c r="D49" s="3"/>
      <c r="E49" s="486" t="s">
        <v>472</v>
      </c>
      <c r="F49" s="486"/>
      <c r="G49" s="375">
        <v>143</v>
      </c>
      <c r="H49" s="31"/>
      <c r="I49" s="29">
        <f>G49</f>
        <v>143</v>
      </c>
      <c r="J49" s="30">
        <f>$F$8*I49</f>
        <v>71500</v>
      </c>
      <c r="K49" s="8"/>
    </row>
    <row r="50" spans="1:11">
      <c r="A50" s="8"/>
      <c r="B50" s="3"/>
      <c r="C50" s="3"/>
      <c r="D50" s="3"/>
      <c r="E50" s="487"/>
      <c r="F50" s="487"/>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107</v>
      </c>
      <c r="B53" s="3"/>
      <c r="C53" s="3"/>
      <c r="D53" s="3"/>
      <c r="E53" s="3"/>
      <c r="F53" s="3"/>
      <c r="G53" s="23">
        <f>G19+G40+G46+G49</f>
        <v>233.67099999999999</v>
      </c>
      <c r="H53" s="23">
        <f>H19+H32+H40+H46</f>
        <v>280.75844761904762</v>
      </c>
      <c r="I53" s="29">
        <f>I19+I32+I40+I46+I49</f>
        <v>514.42944761904766</v>
      </c>
      <c r="J53" s="3"/>
      <c r="K53" s="8"/>
    </row>
    <row r="54" spans="1:11" ht="16.5" thickBot="1">
      <c r="A54" s="96" t="s">
        <v>108</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109</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110</v>
      </c>
      <c r="B59" s="64"/>
      <c r="C59" s="459">
        <v>0</v>
      </c>
      <c r="D59" s="3"/>
      <c r="E59" s="3"/>
      <c r="F59" s="3"/>
      <c r="G59" s="24"/>
      <c r="H59" s="31"/>
      <c r="I59" s="23">
        <f>C59*D$8</f>
        <v>0</v>
      </c>
      <c r="J59" s="65">
        <f>I59*F$8</f>
        <v>0</v>
      </c>
      <c r="K59" s="8"/>
    </row>
    <row r="60" spans="1:11">
      <c r="A60" s="34" t="s">
        <v>111</v>
      </c>
      <c r="B60" s="64"/>
      <c r="C60" s="3"/>
      <c r="D60" s="3"/>
      <c r="E60" s="3"/>
      <c r="F60" s="3"/>
      <c r="G60" s="24"/>
      <c r="H60" s="31"/>
      <c r="I60" s="357">
        <v>0</v>
      </c>
      <c r="J60" s="65">
        <f>I60*F$8</f>
        <v>0</v>
      </c>
      <c r="K60" s="8"/>
    </row>
    <row r="61" spans="1:11">
      <c r="A61" s="98" t="s">
        <v>112</v>
      </c>
      <c r="B61" s="67"/>
      <c r="C61" s="369">
        <v>0</v>
      </c>
      <c r="D61" s="3"/>
      <c r="E61" s="3"/>
      <c r="F61" s="3"/>
      <c r="G61" s="68"/>
      <c r="H61" s="69"/>
      <c r="I61" s="70">
        <f>C61*D$8</f>
        <v>0</v>
      </c>
      <c r="J61" s="71">
        <f>I61*F$8</f>
        <v>0</v>
      </c>
      <c r="K61" s="95"/>
    </row>
    <row r="62" spans="1:11" ht="16.5" thickBot="1">
      <c r="A62" s="99" t="s">
        <v>113</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5" t="s">
        <v>311</v>
      </c>
      <c r="B65" s="495"/>
      <c r="C65" s="495"/>
    </row>
    <row r="66" spans="1:11">
      <c r="A66" s="244"/>
      <c r="B66" s="244"/>
      <c r="C66" s="244" t="s">
        <v>312</v>
      </c>
      <c r="D66" s="245" t="s">
        <v>313</v>
      </c>
      <c r="E66" s="246" t="s">
        <v>318</v>
      </c>
      <c r="F66" s="246" t="s">
        <v>27</v>
      </c>
      <c r="G66" s="492" t="s">
        <v>77</v>
      </c>
      <c r="H66" s="492"/>
      <c r="I66" s="492"/>
    </row>
    <row r="67" spans="1:11">
      <c r="A67" s="235" t="s">
        <v>28</v>
      </c>
      <c r="B67" s="236">
        <v>0</v>
      </c>
      <c r="C67" s="237">
        <v>0.31</v>
      </c>
      <c r="D67" s="238">
        <v>0.44</v>
      </c>
      <c r="E67" s="373">
        <f>0.36*120</f>
        <v>43.199999999999996</v>
      </c>
      <c r="F67" s="239" t="s">
        <v>305</v>
      </c>
      <c r="G67" s="494" t="s">
        <v>306</v>
      </c>
      <c r="H67" s="494"/>
      <c r="I67" s="494"/>
    </row>
    <row r="68" spans="1:11" ht="41.1" customHeight="1">
      <c r="A68" s="235" t="s">
        <v>307</v>
      </c>
      <c r="B68" s="236">
        <v>0</v>
      </c>
      <c r="C68" s="237">
        <v>11</v>
      </c>
      <c r="D68" s="238">
        <v>18</v>
      </c>
      <c r="E68" s="373">
        <v>14.3</v>
      </c>
      <c r="F68" s="239" t="s">
        <v>305</v>
      </c>
      <c r="G68" s="494" t="s">
        <v>308</v>
      </c>
      <c r="H68" s="494"/>
      <c r="I68" s="494"/>
    </row>
    <row r="69" spans="1:11" ht="81" customHeight="1">
      <c r="A69" s="247" t="s">
        <v>309</v>
      </c>
      <c r="B69" s="248">
        <v>0</v>
      </c>
      <c r="C69" s="249" t="s">
        <v>13</v>
      </c>
      <c r="D69" s="249"/>
      <c r="E69" s="374">
        <v>22.83</v>
      </c>
      <c r="F69" s="250" t="s">
        <v>305</v>
      </c>
      <c r="G69" s="493" t="s">
        <v>310</v>
      </c>
      <c r="H69" s="493"/>
      <c r="I69" s="493"/>
    </row>
    <row r="70" spans="1:11">
      <c r="E70" s="169">
        <f>SUM(E67:E69)</f>
        <v>80.33</v>
      </c>
      <c r="F70" s="239" t="s">
        <v>305</v>
      </c>
      <c r="G70" t="s">
        <v>314</v>
      </c>
      <c r="H70" s="169">
        <f>E70*F8</f>
        <v>40165</v>
      </c>
    </row>
    <row r="73" spans="1:11" ht="16.5" thickBot="1"/>
    <row r="74" spans="1:11" ht="16.5" thickBot="1">
      <c r="I74" t="s">
        <v>315</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45706</v>
      </c>
      <c r="B88" s="3"/>
      <c r="C88" s="3"/>
      <c r="D88" s="3"/>
      <c r="E88" s="3"/>
      <c r="F88" s="3"/>
      <c r="G88" s="3"/>
      <c r="H88" s="3"/>
      <c r="I88" s="3"/>
      <c r="J88" s="3"/>
      <c r="K88" s="8"/>
    </row>
    <row r="89" spans="1:11">
      <c r="A89" s="100"/>
      <c r="B89" s="3"/>
      <c r="C89" s="3"/>
      <c r="D89" s="3"/>
      <c r="E89" s="3"/>
      <c r="F89" s="3"/>
      <c r="G89" s="3"/>
      <c r="H89" s="3"/>
      <c r="I89" s="3"/>
      <c r="J89" s="3"/>
      <c r="K89" s="8"/>
    </row>
    <row r="90" spans="1:11">
      <c r="A90" s="83" t="s">
        <v>114</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117</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118</v>
      </c>
      <c r="B3" s="5"/>
      <c r="C3" s="5"/>
      <c r="D3" s="5"/>
      <c r="E3" s="5"/>
      <c r="F3" s="5"/>
      <c r="G3" s="5"/>
      <c r="H3" s="5"/>
      <c r="I3" s="5"/>
      <c r="J3" s="5"/>
      <c r="K3" s="14"/>
    </row>
    <row r="4" spans="1:12">
      <c r="A4" s="6" t="s">
        <v>119</v>
      </c>
      <c r="B4" s="5"/>
      <c r="C4" s="5"/>
      <c r="D4" s="5"/>
      <c r="E4" s="5"/>
      <c r="F4" s="5"/>
      <c r="G4" s="5"/>
      <c r="H4" s="5"/>
      <c r="I4" s="5"/>
      <c r="J4" s="5"/>
      <c r="K4" s="14"/>
    </row>
    <row r="5" spans="1:12">
      <c r="A5" s="349" t="s">
        <v>2</v>
      </c>
      <c r="B5" s="350"/>
      <c r="C5" s="351"/>
      <c r="D5" s="7"/>
      <c r="E5" s="7"/>
      <c r="F5" s="7"/>
      <c r="G5" s="3"/>
      <c r="H5" s="3"/>
      <c r="I5" s="3"/>
      <c r="J5" s="3"/>
      <c r="K5" s="488" t="s">
        <v>549</v>
      </c>
      <c r="L5" s="488"/>
    </row>
    <row r="6" spans="1:12">
      <c r="A6" s="8"/>
      <c r="B6" s="3"/>
      <c r="C6" s="3"/>
      <c r="D6" s="7"/>
      <c r="E6" s="7"/>
      <c r="F6" s="7"/>
      <c r="G6" s="3"/>
      <c r="H6" s="3"/>
      <c r="I6" s="3"/>
      <c r="J6" s="3"/>
      <c r="K6" s="489"/>
      <c r="L6" s="489"/>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120</v>
      </c>
      <c r="B9" s="102"/>
      <c r="C9" s="102"/>
      <c r="D9" s="385">
        <v>2.5</v>
      </c>
      <c r="E9" s="3" t="s">
        <v>121</v>
      </c>
      <c r="F9" s="103"/>
      <c r="G9" s="379">
        <v>2</v>
      </c>
      <c r="H9" s="104" t="s">
        <v>122</v>
      </c>
      <c r="I9" s="13"/>
      <c r="J9" s="105" t="s">
        <v>123</v>
      </c>
      <c r="K9" s="8"/>
    </row>
    <row r="10" spans="1:12">
      <c r="A10" s="14"/>
      <c r="B10" s="7"/>
      <c r="C10" s="7"/>
      <c r="D10" s="7"/>
      <c r="E10" s="7"/>
      <c r="F10" s="7"/>
      <c r="G10" s="7"/>
      <c r="H10" s="7"/>
      <c r="I10" s="7"/>
      <c r="J10" s="7"/>
      <c r="K10" s="8"/>
    </row>
    <row r="11" spans="1:12">
      <c r="A11" s="106" t="s">
        <v>124</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125</v>
      </c>
      <c r="B13" s="3"/>
      <c r="C13" s="3"/>
      <c r="D13" s="3"/>
      <c r="E13" s="3"/>
      <c r="F13" s="3"/>
      <c r="G13" s="356">
        <v>4</v>
      </c>
      <c r="H13" s="356">
        <v>2.5</v>
      </c>
      <c r="I13" s="23">
        <f t="shared" ref="I13:I19" si="0">G13+H13</f>
        <v>6.5</v>
      </c>
      <c r="J13" s="24">
        <f t="shared" ref="J13:J20" si="1">$D$8*I13</f>
        <v>6500</v>
      </c>
      <c r="K13" s="8"/>
    </row>
    <row r="14" spans="1:12">
      <c r="A14" s="353" t="s">
        <v>126</v>
      </c>
      <c r="B14" s="3"/>
      <c r="C14" s="3"/>
      <c r="D14" s="3"/>
      <c r="E14" s="3"/>
      <c r="F14" s="3"/>
      <c r="G14" s="356">
        <v>16.2</v>
      </c>
      <c r="H14" s="356">
        <v>9</v>
      </c>
      <c r="I14" s="23">
        <f t="shared" si="0"/>
        <v>25.2</v>
      </c>
      <c r="J14" s="24">
        <f t="shared" si="1"/>
        <v>25200</v>
      </c>
      <c r="K14" s="8"/>
    </row>
    <row r="15" spans="1:12">
      <c r="A15" s="353" t="s">
        <v>127</v>
      </c>
      <c r="B15" s="3"/>
      <c r="C15" s="3"/>
      <c r="D15" s="3"/>
      <c r="E15" s="3"/>
      <c r="F15" s="3"/>
      <c r="G15" s="357">
        <v>3.5</v>
      </c>
      <c r="H15" s="357">
        <v>2</v>
      </c>
      <c r="I15" s="23">
        <f t="shared" si="0"/>
        <v>5.5</v>
      </c>
      <c r="J15" s="24">
        <f t="shared" si="1"/>
        <v>5500</v>
      </c>
      <c r="K15" s="8"/>
    </row>
    <row r="16" spans="1:12">
      <c r="A16" s="353" t="s">
        <v>128</v>
      </c>
      <c r="B16" s="3"/>
      <c r="C16" s="3"/>
      <c r="D16" s="3"/>
      <c r="E16" s="3"/>
      <c r="F16" s="3"/>
      <c r="G16" s="357">
        <v>3.6</v>
      </c>
      <c r="H16" s="357">
        <v>1.9</v>
      </c>
      <c r="I16" s="23">
        <f t="shared" si="0"/>
        <v>5.5</v>
      </c>
      <c r="J16" s="24">
        <f t="shared" si="1"/>
        <v>5500</v>
      </c>
      <c r="K16" s="8"/>
    </row>
    <row r="17" spans="1:11">
      <c r="A17" s="353" t="s">
        <v>129</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1000 Acres</v>
      </c>
      <c r="K24" s="8"/>
    </row>
    <row r="25" spans="1:11">
      <c r="A25" s="380" t="s">
        <v>131</v>
      </c>
      <c r="B25" s="3"/>
      <c r="C25" s="357">
        <v>4.18</v>
      </c>
      <c r="D25" s="35" t="s">
        <v>132</v>
      </c>
      <c r="E25" s="381">
        <v>15</v>
      </c>
      <c r="F25" s="36" t="s">
        <v>133</v>
      </c>
      <c r="G25" s="31"/>
      <c r="H25" s="23">
        <f>C25*E25</f>
        <v>62.699999999999996</v>
      </c>
      <c r="I25" s="23">
        <f t="shared" ref="I25:I30" si="2">H25</f>
        <v>62.699999999999996</v>
      </c>
      <c r="J25" s="24">
        <f t="shared" ref="J25:J30" si="3">$D$8*I25</f>
        <v>62699.999999999993</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20150</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15100</v>
      </c>
      <c r="K59" s="8"/>
    </row>
    <row r="60" spans="1:11">
      <c r="A60" s="368" t="s">
        <v>148</v>
      </c>
      <c r="B60" s="3"/>
      <c r="C60" s="3"/>
      <c r="D60" s="3"/>
      <c r="E60" s="3"/>
      <c r="F60" s="3"/>
      <c r="G60" s="357">
        <v>5.6</v>
      </c>
      <c r="H60" s="357">
        <v>2.5</v>
      </c>
      <c r="I60" s="23">
        <f>SUM(G60:H60)</f>
        <v>8.1</v>
      </c>
      <c r="J60" s="24">
        <f>$D$8*I60</f>
        <v>8100</v>
      </c>
      <c r="K60" s="8"/>
    </row>
    <row r="61" spans="1:11">
      <c r="A61" s="368" t="s">
        <v>149</v>
      </c>
      <c r="B61" s="3"/>
      <c r="C61" s="3"/>
      <c r="D61" s="3"/>
      <c r="E61" s="3"/>
      <c r="F61" s="3"/>
      <c r="G61" s="357">
        <v>14.3</v>
      </c>
      <c r="H61" s="357">
        <v>6.7</v>
      </c>
      <c r="I61" s="23">
        <f>SUM(G61:H61)</f>
        <v>21</v>
      </c>
      <c r="J61" s="24">
        <f>$D$8*I61</f>
        <v>21000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322</v>
      </c>
      <c r="B74" s="120"/>
      <c r="C74" s="465">
        <v>253</v>
      </c>
      <c r="D74" s="121" t="s">
        <v>159</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90">
        <v>4.3</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1000 Acres</v>
      </c>
      <c r="K85" s="8"/>
    </row>
    <row r="86" spans="1:11">
      <c r="A86" s="380" t="s">
        <v>167</v>
      </c>
      <c r="B86" s="3"/>
      <c r="C86" s="3"/>
      <c r="D86" s="3"/>
      <c r="E86" s="3"/>
      <c r="F86" s="3"/>
      <c r="G86" s="356">
        <v>7</v>
      </c>
      <c r="H86" s="356">
        <v>4</v>
      </c>
      <c r="I86" s="23">
        <f t="shared" ref="I86" si="6">H86</f>
        <v>4</v>
      </c>
      <c r="J86" s="24">
        <f>$D$8*I86</f>
        <v>4000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169</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15100</v>
      </c>
      <c r="K95" s="8"/>
    </row>
    <row r="96" spans="1:11">
      <c r="A96" s="368" t="s">
        <v>148</v>
      </c>
      <c r="B96" s="3"/>
      <c r="C96" s="3"/>
      <c r="D96" s="3"/>
      <c r="E96" s="3"/>
      <c r="F96" s="3"/>
      <c r="G96" s="357">
        <v>5.6</v>
      </c>
      <c r="H96" s="357">
        <v>2.5</v>
      </c>
      <c r="I96" s="23">
        <f>SUM(G96:H96)</f>
        <v>8.1</v>
      </c>
      <c r="J96" s="24">
        <f>$D$8*I96</f>
        <v>8100</v>
      </c>
      <c r="K96" s="8"/>
    </row>
    <row r="97" spans="1:11">
      <c r="A97" s="368" t="s">
        <v>149</v>
      </c>
      <c r="B97" s="3"/>
      <c r="C97" s="3"/>
      <c r="D97" s="3"/>
      <c r="E97" s="3"/>
      <c r="F97" s="3"/>
      <c r="G97" s="357">
        <v>14.3</v>
      </c>
      <c r="H97" s="357">
        <v>6.7</v>
      </c>
      <c r="I97" s="23">
        <f>SUM(G97:H97)</f>
        <v>21</v>
      </c>
      <c r="J97" s="24">
        <f>$D$8*I97</f>
        <v>21000</v>
      </c>
      <c r="K97" s="8"/>
    </row>
    <row r="98" spans="1:11">
      <c r="A98" s="43" t="s">
        <v>48</v>
      </c>
      <c r="B98" s="3"/>
      <c r="C98" s="357">
        <v>3.35</v>
      </c>
      <c r="D98" s="36" t="s">
        <v>150</v>
      </c>
      <c r="E98" s="357">
        <v>3.82</v>
      </c>
      <c r="F98" s="36" t="s">
        <v>151</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33.10125</v>
      </c>
      <c r="H100" s="131">
        <f>IF(C80&gt;0, H101/C80, 0)</f>
        <v>18.8065</v>
      </c>
      <c r="I100" s="23"/>
      <c r="J100" s="24"/>
      <c r="K100" s="8"/>
    </row>
    <row r="101" spans="1:11">
      <c r="A101" s="28" t="s">
        <v>153</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1000 Acres</v>
      </c>
      <c r="K112" s="8"/>
    </row>
    <row r="113" spans="1:11">
      <c r="A113" s="34" t="s">
        <v>174</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175</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178</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179</v>
      </c>
      <c r="B121" s="3"/>
      <c r="C121" s="3"/>
      <c r="D121" s="3"/>
      <c r="E121" s="3"/>
      <c r="F121" s="3"/>
      <c r="G121" s="23"/>
      <c r="H121" s="23"/>
      <c r="I121" s="29"/>
      <c r="J121" s="31"/>
      <c r="K121" s="8"/>
    </row>
    <row r="122" spans="1:11">
      <c r="A122" s="134" t="s">
        <v>158</v>
      </c>
      <c r="B122" s="120"/>
      <c r="C122" s="135"/>
      <c r="D122" s="460">
        <v>253</v>
      </c>
      <c r="E122" s="136" t="s">
        <v>159</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45706</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378" t="s">
        <v>320</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117</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118</v>
      </c>
      <c r="B3" s="5"/>
      <c r="C3" s="5"/>
      <c r="D3" s="5"/>
      <c r="E3" s="5"/>
      <c r="F3" s="5"/>
      <c r="G3" s="5"/>
      <c r="H3" s="5"/>
      <c r="I3" s="5"/>
      <c r="J3" s="5"/>
      <c r="K3" s="14"/>
    </row>
    <row r="4" spans="1:15">
      <c r="A4" s="6" t="s">
        <v>119</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8" t="s">
        <v>549</v>
      </c>
      <c r="M6" s="488"/>
    </row>
    <row r="7" spans="1:15">
      <c r="A7" s="9" t="s">
        <v>3</v>
      </c>
      <c r="B7" s="10"/>
      <c r="C7" s="10"/>
      <c r="D7" s="11" t="s">
        <v>5</v>
      </c>
      <c r="E7" s="10"/>
      <c r="F7" s="10"/>
      <c r="G7" s="10"/>
      <c r="H7" s="10"/>
      <c r="I7" s="10"/>
      <c r="J7" s="10"/>
      <c r="K7" s="8"/>
      <c r="L7" s="489"/>
      <c r="M7" s="489"/>
    </row>
    <row r="8" spans="1:15">
      <c r="A8" s="358" t="s">
        <v>6</v>
      </c>
      <c r="B8" s="359"/>
      <c r="C8" s="352"/>
      <c r="D8" s="91">
        <v>100</v>
      </c>
      <c r="E8" s="3"/>
      <c r="F8" s="3"/>
      <c r="G8" s="3"/>
      <c r="H8" s="3"/>
      <c r="I8" s="3"/>
      <c r="J8" s="3"/>
      <c r="K8" s="8"/>
    </row>
    <row r="9" spans="1:15">
      <c r="A9" s="101" t="s">
        <v>120</v>
      </c>
      <c r="B9" s="102"/>
      <c r="C9" s="102"/>
      <c r="D9" s="385">
        <v>2.5</v>
      </c>
      <c r="E9" s="3" t="s">
        <v>121</v>
      </c>
      <c r="F9" s="103"/>
      <c r="G9" s="379">
        <v>2</v>
      </c>
      <c r="H9" s="104" t="s">
        <v>122</v>
      </c>
      <c r="I9" s="13"/>
      <c r="J9" s="105" t="s">
        <v>123</v>
      </c>
      <c r="K9" s="8"/>
    </row>
    <row r="10" spans="1:15">
      <c r="A10" s="14"/>
      <c r="B10" s="7"/>
      <c r="C10" s="7"/>
      <c r="D10" s="7"/>
      <c r="E10" s="7"/>
      <c r="F10" s="7"/>
      <c r="G10" s="7"/>
      <c r="H10" s="7"/>
      <c r="I10" s="7"/>
      <c r="J10" s="7"/>
      <c r="K10" s="8"/>
    </row>
    <row r="11" spans="1:15">
      <c r="A11" s="106" t="s">
        <v>124</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125</v>
      </c>
      <c r="B13" s="3"/>
      <c r="C13" s="3"/>
      <c r="D13" s="3"/>
      <c r="E13" s="3"/>
      <c r="F13" s="3"/>
      <c r="G13" s="356">
        <v>4</v>
      </c>
      <c r="H13" s="356">
        <v>2.5</v>
      </c>
      <c r="I13" s="23">
        <f t="shared" ref="I13:I19" si="0">G13+H13</f>
        <v>6.5</v>
      </c>
      <c r="J13" s="24">
        <f t="shared" ref="J13:J20" si="1">$D$8*I13</f>
        <v>650</v>
      </c>
      <c r="K13" s="8"/>
    </row>
    <row r="14" spans="1:15">
      <c r="A14" s="353" t="s">
        <v>126</v>
      </c>
      <c r="B14" s="3"/>
      <c r="C14" s="3"/>
      <c r="D14" s="3"/>
      <c r="E14" s="3"/>
      <c r="F14" s="3"/>
      <c r="G14" s="356">
        <v>16.2</v>
      </c>
      <c r="H14" s="356">
        <v>9</v>
      </c>
      <c r="I14" s="23">
        <f t="shared" si="0"/>
        <v>25.2</v>
      </c>
      <c r="J14" s="24">
        <f t="shared" si="1"/>
        <v>2520</v>
      </c>
      <c r="K14" s="8"/>
      <c r="O14" s="376"/>
    </row>
    <row r="15" spans="1:15">
      <c r="A15" s="353" t="s">
        <v>127</v>
      </c>
      <c r="B15" s="3"/>
      <c r="C15" s="3"/>
      <c r="D15" s="3"/>
      <c r="E15" s="3"/>
      <c r="F15" s="3"/>
      <c r="G15" s="357">
        <v>3.5</v>
      </c>
      <c r="H15" s="357">
        <v>2</v>
      </c>
      <c r="I15" s="23">
        <f t="shared" si="0"/>
        <v>5.5</v>
      </c>
      <c r="J15" s="24">
        <f t="shared" si="1"/>
        <v>550</v>
      </c>
      <c r="K15" s="8"/>
    </row>
    <row r="16" spans="1:15">
      <c r="A16" s="353" t="s">
        <v>128</v>
      </c>
      <c r="B16" s="3"/>
      <c r="C16" s="3"/>
      <c r="D16" s="3"/>
      <c r="E16" s="3"/>
      <c r="F16" s="3"/>
      <c r="G16" s="357">
        <v>3.6</v>
      </c>
      <c r="H16" s="357">
        <v>1.9</v>
      </c>
      <c r="I16" s="23">
        <f t="shared" si="0"/>
        <v>5.5</v>
      </c>
      <c r="J16" s="24">
        <f t="shared" si="1"/>
        <v>550</v>
      </c>
      <c r="K16" s="8"/>
    </row>
    <row r="17" spans="1:11">
      <c r="A17" s="353" t="s">
        <v>129</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130</v>
      </c>
      <c r="B24" s="33"/>
      <c r="C24" s="11" t="s">
        <v>26</v>
      </c>
      <c r="D24" s="11"/>
      <c r="E24" s="11" t="s">
        <v>27</v>
      </c>
      <c r="F24" s="10"/>
      <c r="G24" s="21" t="s">
        <v>12</v>
      </c>
      <c r="H24" s="21" t="s">
        <v>13</v>
      </c>
      <c r="I24" s="22" t="s">
        <v>14</v>
      </c>
      <c r="J24" s="22" t="str">
        <f>D8&amp;" Acres"&amp;""</f>
        <v>100 Acres</v>
      </c>
      <c r="K24" s="8"/>
    </row>
    <row r="25" spans="1:11">
      <c r="A25" s="380" t="s">
        <v>473</v>
      </c>
      <c r="B25" s="3"/>
      <c r="C25" s="357">
        <v>4.18</v>
      </c>
      <c r="D25" s="35" t="s">
        <v>132</v>
      </c>
      <c r="E25" s="381">
        <v>15</v>
      </c>
      <c r="F25" s="36" t="s">
        <v>133</v>
      </c>
      <c r="G25" s="31"/>
      <c r="H25" s="23">
        <f>C25*E25</f>
        <v>62.699999999999996</v>
      </c>
      <c r="I25" s="23">
        <f t="shared" ref="I25:I30" si="2">H25</f>
        <v>62.699999999999996</v>
      </c>
      <c r="J25" s="24">
        <f t="shared" ref="J25:J30" si="3">$D$8*I25</f>
        <v>6270</v>
      </c>
      <c r="K25" s="8"/>
    </row>
    <row r="26" spans="1:11">
      <c r="A26" s="380"/>
      <c r="B26" s="3"/>
      <c r="C26" s="357"/>
      <c r="D26" s="35" t="s">
        <v>132</v>
      </c>
      <c r="E26" s="381"/>
      <c r="F26" s="36" t="s">
        <v>133</v>
      </c>
      <c r="G26" s="31"/>
      <c r="H26" s="23">
        <f>C26*E26</f>
        <v>0</v>
      </c>
      <c r="I26" s="23">
        <f t="shared" si="2"/>
        <v>0</v>
      </c>
      <c r="J26" s="24">
        <f t="shared" si="3"/>
        <v>0</v>
      </c>
      <c r="K26" s="8"/>
    </row>
    <row r="27" spans="1:11">
      <c r="A27" s="380"/>
      <c r="B27" s="3"/>
      <c r="C27" s="357"/>
      <c r="D27" s="35" t="s">
        <v>132</v>
      </c>
      <c r="E27" s="381"/>
      <c r="F27" s="36" t="s">
        <v>133</v>
      </c>
      <c r="G27" s="31"/>
      <c r="H27" s="23">
        <f>C27*E27</f>
        <v>0</v>
      </c>
      <c r="I27" s="23">
        <f t="shared" si="2"/>
        <v>0</v>
      </c>
      <c r="J27" s="24">
        <f t="shared" si="3"/>
        <v>0</v>
      </c>
      <c r="K27" s="8"/>
    </row>
    <row r="28" spans="1:11">
      <c r="A28" s="34" t="s">
        <v>134</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135</v>
      </c>
      <c r="B33" s="33"/>
      <c r="C33" s="11" t="s">
        <v>54</v>
      </c>
      <c r="D33" s="11"/>
      <c r="E33" s="11" t="s">
        <v>55</v>
      </c>
      <c r="F33" s="10"/>
      <c r="G33" s="21"/>
      <c r="H33" s="21"/>
      <c r="I33" s="22"/>
      <c r="J33" s="22"/>
      <c r="K33" s="8"/>
    </row>
    <row r="34" spans="1:11">
      <c r="A34" s="34" t="s">
        <v>136</v>
      </c>
      <c r="B34" s="2"/>
      <c r="C34" s="357">
        <v>20.149999999999999</v>
      </c>
      <c r="D34" s="3"/>
      <c r="E34" s="382">
        <v>1</v>
      </c>
      <c r="F34" s="36" t="s">
        <v>137</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137</v>
      </c>
      <c r="G35" s="26">
        <f>E35*C35</f>
        <v>0</v>
      </c>
      <c r="H35" s="40"/>
      <c r="I35" s="26">
        <f>G35</f>
        <v>0</v>
      </c>
      <c r="J35" s="27">
        <f>$D$8*I35</f>
        <v>0</v>
      </c>
      <c r="K35" s="8"/>
    </row>
    <row r="36" spans="1:11">
      <c r="A36" s="28" t="s">
        <v>138</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139</v>
      </c>
      <c r="B38" s="16"/>
      <c r="C38" s="17"/>
      <c r="D38" s="17"/>
      <c r="E38" s="17"/>
      <c r="F38" s="17"/>
      <c r="G38" s="109" t="s">
        <v>12</v>
      </c>
      <c r="H38" s="109" t="s">
        <v>13</v>
      </c>
      <c r="I38" s="19" t="s">
        <v>9</v>
      </c>
      <c r="J38" s="20" t="s">
        <v>10</v>
      </c>
      <c r="K38" s="8"/>
    </row>
    <row r="39" spans="1:11">
      <c r="A39" s="110" t="s">
        <v>140</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141</v>
      </c>
      <c r="B41" s="17"/>
      <c r="C41" s="17"/>
      <c r="D41" s="17"/>
      <c r="E41" s="17"/>
      <c r="F41" s="17"/>
      <c r="G41" s="18" t="s">
        <v>8</v>
      </c>
      <c r="H41" s="19"/>
      <c r="I41" s="19" t="s">
        <v>9</v>
      </c>
      <c r="J41" s="20" t="s">
        <v>10</v>
      </c>
      <c r="K41" s="8"/>
    </row>
    <row r="42" spans="1:11">
      <c r="A42" s="9" t="s">
        <v>142</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143</v>
      </c>
      <c r="B50" s="33"/>
      <c r="C50" s="11" t="s">
        <v>54</v>
      </c>
      <c r="D50" s="11"/>
      <c r="E50" s="11" t="s">
        <v>55</v>
      </c>
      <c r="F50" s="10"/>
      <c r="G50" s="11" t="s">
        <v>12</v>
      </c>
      <c r="H50" s="11" t="s">
        <v>13</v>
      </c>
      <c r="I50" s="116" t="s">
        <v>9</v>
      </c>
      <c r="J50" s="22" t="s">
        <v>10</v>
      </c>
      <c r="K50" s="8"/>
    </row>
    <row r="51" spans="1:11">
      <c r="A51" s="34" t="s">
        <v>144</v>
      </c>
      <c r="B51" s="2"/>
      <c r="C51" s="357">
        <v>20.149999999999999</v>
      </c>
      <c r="D51" s="3"/>
      <c r="E51" s="382">
        <v>3</v>
      </c>
      <c r="F51" s="117" t="s">
        <v>145</v>
      </c>
      <c r="G51" s="23">
        <f>E51*C51</f>
        <v>60.449999999999996</v>
      </c>
      <c r="H51" s="31"/>
      <c r="I51" s="23">
        <f>G51</f>
        <v>60.449999999999996</v>
      </c>
      <c r="J51" s="24">
        <f>$D$8*I51</f>
        <v>6045</v>
      </c>
      <c r="K51" s="8"/>
    </row>
    <row r="52" spans="1:11">
      <c r="A52" s="37" t="s">
        <v>21</v>
      </c>
      <c r="B52" s="47"/>
      <c r="C52" s="357">
        <v>20.149999999999999</v>
      </c>
      <c r="D52" s="25"/>
      <c r="E52" s="382">
        <v>0</v>
      </c>
      <c r="F52" s="108" t="s">
        <v>145</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146</v>
      </c>
      <c r="B58" s="16"/>
      <c r="C58" s="109"/>
      <c r="D58" s="109"/>
      <c r="E58" s="109"/>
      <c r="F58" s="17"/>
      <c r="G58" s="109" t="s">
        <v>12</v>
      </c>
      <c r="H58" s="109" t="s">
        <v>13</v>
      </c>
      <c r="I58" s="19" t="s">
        <v>9</v>
      </c>
      <c r="J58" s="20" t="s">
        <v>10</v>
      </c>
      <c r="K58" s="8"/>
    </row>
    <row r="59" spans="1:11">
      <c r="A59" s="367" t="s">
        <v>147</v>
      </c>
      <c r="B59" s="3"/>
      <c r="C59" s="3"/>
      <c r="D59" s="3"/>
      <c r="E59" s="3"/>
      <c r="F59" s="3"/>
      <c r="G59" s="356">
        <v>9.6</v>
      </c>
      <c r="H59" s="356">
        <v>5.5</v>
      </c>
      <c r="I59" s="23">
        <f t="shared" ref="I59:I63" si="5">SUM(G59:H59)</f>
        <v>15.1</v>
      </c>
      <c r="J59" s="24">
        <f>$D$8*I59</f>
        <v>1510</v>
      </c>
      <c r="K59" s="8"/>
    </row>
    <row r="60" spans="1:11">
      <c r="A60" s="368" t="s">
        <v>148</v>
      </c>
      <c r="B60" s="3"/>
      <c r="C60" s="3"/>
      <c r="D60" s="3"/>
      <c r="E60" s="3"/>
      <c r="F60" s="3"/>
      <c r="G60" s="357">
        <v>5.6</v>
      </c>
      <c r="H60" s="357">
        <v>2.5</v>
      </c>
      <c r="I60" s="23">
        <f>SUM(G60:H60)</f>
        <v>8.1</v>
      </c>
      <c r="J60" s="24">
        <f>$D$8*I60</f>
        <v>810</v>
      </c>
      <c r="K60" s="8"/>
    </row>
    <row r="61" spans="1:11">
      <c r="A61" s="368" t="s">
        <v>149</v>
      </c>
      <c r="B61" s="3"/>
      <c r="C61" s="3"/>
      <c r="D61" s="3"/>
      <c r="E61" s="3"/>
      <c r="F61" s="3"/>
      <c r="G61" s="357">
        <v>14.3</v>
      </c>
      <c r="H61" s="357">
        <v>6.7</v>
      </c>
      <c r="I61" s="23">
        <f>SUM(G61:H61)</f>
        <v>21</v>
      </c>
      <c r="J61" s="24">
        <f>$D$8*I61</f>
        <v>2100</v>
      </c>
      <c r="K61" s="8"/>
    </row>
    <row r="62" spans="1:11">
      <c r="A62" s="43" t="s">
        <v>48</v>
      </c>
      <c r="B62" s="3"/>
      <c r="C62" s="357">
        <v>3.35</v>
      </c>
      <c r="D62" s="36" t="s">
        <v>150</v>
      </c>
      <c r="E62" s="357">
        <v>3.82</v>
      </c>
      <c r="F62" s="36" t="s">
        <v>151</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152</v>
      </c>
      <c r="B64" s="2"/>
      <c r="C64" s="3"/>
      <c r="D64" s="3"/>
      <c r="E64" s="3"/>
      <c r="F64" s="3"/>
      <c r="G64" s="23">
        <f>((SUM(G59:G61)+G63)*G9)+G62</f>
        <v>67.375</v>
      </c>
      <c r="H64" s="23">
        <f>((SUM(H59:H61)+H63)*G9)+H62</f>
        <v>38.949999999999996</v>
      </c>
      <c r="I64" s="29">
        <f>SUM(I59:I63)</f>
        <v>62.125</v>
      </c>
      <c r="J64" s="3"/>
      <c r="K64" s="8"/>
    </row>
    <row r="65" spans="1:11">
      <c r="A65" s="28" t="s">
        <v>153</v>
      </c>
      <c r="B65" s="2"/>
      <c r="C65" s="3"/>
      <c r="D65" s="3"/>
      <c r="E65" s="3"/>
      <c r="F65" s="3"/>
      <c r="G65" s="23">
        <f>G64</f>
        <v>67.375</v>
      </c>
      <c r="H65" s="23">
        <f>H64</f>
        <v>38.949999999999996</v>
      </c>
      <c r="I65" s="30">
        <f>G65+H65</f>
        <v>106.32499999999999</v>
      </c>
      <c r="J65" s="3"/>
      <c r="K65" s="8"/>
    </row>
    <row r="66" spans="1:11">
      <c r="A66" s="28" t="s">
        <v>154</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155</v>
      </c>
      <c r="B69" s="33"/>
      <c r="C69" s="11"/>
      <c r="D69" s="11"/>
      <c r="E69" s="11"/>
      <c r="F69" s="10"/>
      <c r="G69" s="21" t="s">
        <v>12</v>
      </c>
      <c r="H69" s="21" t="s">
        <v>13</v>
      </c>
      <c r="I69" s="22" t="s">
        <v>14</v>
      </c>
      <c r="J69" s="22" t="str">
        <f>D8&amp;" Acres"&amp;""</f>
        <v>100 Acres</v>
      </c>
      <c r="K69" s="8"/>
    </row>
    <row r="70" spans="1:11">
      <c r="A70" s="34" t="s">
        <v>156</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157</v>
      </c>
      <c r="B73" s="10"/>
      <c r="C73" s="10"/>
      <c r="D73" s="10"/>
      <c r="E73" s="10"/>
      <c r="F73" s="10"/>
      <c r="G73" s="61"/>
      <c r="H73" s="62" t="s">
        <v>69</v>
      </c>
      <c r="I73" s="62" t="s">
        <v>70</v>
      </c>
      <c r="J73" s="63" t="s">
        <v>71</v>
      </c>
      <c r="K73" s="8"/>
    </row>
    <row r="74" spans="1:11">
      <c r="A74" s="37" t="s">
        <v>321</v>
      </c>
      <c r="B74" s="120"/>
      <c r="C74" s="465">
        <v>180</v>
      </c>
      <c r="D74" s="121" t="s">
        <v>159</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160</v>
      </c>
      <c r="B78" s="125"/>
      <c r="C78" s="125"/>
      <c r="D78" s="126"/>
      <c r="E78" s="125"/>
      <c r="F78" s="125"/>
      <c r="G78" s="125"/>
      <c r="H78" s="125"/>
      <c r="I78" s="125"/>
      <c r="J78" s="125"/>
      <c r="K78" s="8"/>
    </row>
    <row r="79" spans="1:11" ht="16.5" thickTop="1">
      <c r="A79" s="101" t="s">
        <v>161</v>
      </c>
      <c r="B79" s="102"/>
      <c r="C79" s="385">
        <v>6.5</v>
      </c>
      <c r="D79" s="3" t="s">
        <v>121</v>
      </c>
      <c r="E79" s="3"/>
      <c r="F79" s="103"/>
      <c r="G79" s="127" t="s">
        <v>162</v>
      </c>
      <c r="H79" s="384">
        <v>2</v>
      </c>
      <c r="I79" s="128" t="s">
        <v>115</v>
      </c>
      <c r="J79" s="105"/>
      <c r="K79" s="8"/>
    </row>
    <row r="80" spans="1:11">
      <c r="A80" s="101" t="s">
        <v>163</v>
      </c>
      <c r="B80" s="102"/>
      <c r="C80" s="385">
        <v>4</v>
      </c>
      <c r="D80" s="104" t="s">
        <v>164</v>
      </c>
      <c r="E80" s="3"/>
      <c r="F80" s="103"/>
      <c r="G80" s="127" t="s">
        <v>165</v>
      </c>
      <c r="H80" s="3"/>
      <c r="I80" s="13"/>
      <c r="J80" s="3"/>
      <c r="K80" s="8"/>
    </row>
    <row r="81" spans="1:11">
      <c r="A81" s="101"/>
      <c r="B81" s="101"/>
      <c r="C81" s="101"/>
      <c r="D81" s="101"/>
      <c r="E81" s="101"/>
      <c r="F81" s="101"/>
      <c r="G81" s="101"/>
      <c r="H81" s="101"/>
      <c r="I81" s="101"/>
      <c r="J81" s="101"/>
      <c r="K81" s="101"/>
    </row>
    <row r="82" spans="1:11">
      <c r="A82" s="129" t="s">
        <v>166</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116</v>
      </c>
      <c r="B85" s="10"/>
      <c r="C85" s="11" t="s">
        <v>26</v>
      </c>
      <c r="D85" s="11"/>
      <c r="E85" s="11" t="s">
        <v>27</v>
      </c>
      <c r="F85" s="10"/>
      <c r="G85" s="21" t="s">
        <v>12</v>
      </c>
      <c r="H85" s="21" t="s">
        <v>13</v>
      </c>
      <c r="I85" s="22" t="s">
        <v>14</v>
      </c>
      <c r="J85" s="22" t="str">
        <f>D8&amp;" Acres"&amp;""</f>
        <v>100 Acres</v>
      </c>
      <c r="K85" s="8"/>
    </row>
    <row r="86" spans="1:11">
      <c r="A86" s="380" t="s">
        <v>167</v>
      </c>
      <c r="B86" s="3"/>
      <c r="C86" s="3"/>
      <c r="D86" s="3"/>
      <c r="E86" s="3"/>
      <c r="F86" s="3"/>
      <c r="G86" s="356">
        <v>7</v>
      </c>
      <c r="H86" s="356">
        <v>4</v>
      </c>
      <c r="I86" s="23">
        <f t="shared" ref="I86" si="6">H86</f>
        <v>4</v>
      </c>
      <c r="J86" s="24">
        <f>$D$8*I86</f>
        <v>400</v>
      </c>
      <c r="K86" s="8"/>
    </row>
    <row r="87" spans="1:11">
      <c r="A87" s="8" t="s">
        <v>168</v>
      </c>
      <c r="B87" s="3"/>
      <c r="C87" s="3"/>
      <c r="D87" s="3"/>
      <c r="E87" s="3"/>
      <c r="F87" s="3"/>
      <c r="G87" s="3"/>
      <c r="H87" s="3"/>
      <c r="I87" s="3"/>
      <c r="J87" s="24" t="s">
        <v>44</v>
      </c>
      <c r="K87" s="8"/>
    </row>
    <row r="88" spans="1:11">
      <c r="A88" s="380" t="s">
        <v>34</v>
      </c>
      <c r="B88" s="3"/>
      <c r="C88" s="357">
        <v>0.57999999999999996</v>
      </c>
      <c r="D88" s="35" t="s">
        <v>32</v>
      </c>
      <c r="E88" s="383">
        <v>13</v>
      </c>
      <c r="F88" s="36" t="s">
        <v>169</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169</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170</v>
      </c>
      <c r="B94" s="16"/>
      <c r="C94" s="109"/>
      <c r="D94" s="109"/>
      <c r="E94" s="109"/>
      <c r="F94" s="17"/>
      <c r="G94" s="21"/>
      <c r="H94" s="21"/>
      <c r="I94" s="20"/>
      <c r="J94" s="20"/>
      <c r="K94" s="8"/>
    </row>
    <row r="95" spans="1:11">
      <c r="A95" s="367" t="s">
        <v>147</v>
      </c>
      <c r="B95" s="3"/>
      <c r="C95" s="3"/>
      <c r="D95" s="3"/>
      <c r="E95" s="3"/>
      <c r="F95" s="3"/>
      <c r="G95" s="356">
        <v>9.6</v>
      </c>
      <c r="H95" s="356">
        <v>5.5</v>
      </c>
      <c r="I95" s="23">
        <f t="shared" ref="I95" si="8">SUM(G95:H95)</f>
        <v>15.1</v>
      </c>
      <c r="J95" s="24">
        <f>$D$8*I95</f>
        <v>1510</v>
      </c>
      <c r="K95" s="8"/>
    </row>
    <row r="96" spans="1:11">
      <c r="A96" s="368" t="s">
        <v>148</v>
      </c>
      <c r="B96" s="3"/>
      <c r="C96" s="3"/>
      <c r="D96" s="3"/>
      <c r="E96" s="3"/>
      <c r="F96" s="3"/>
      <c r="G96" s="357">
        <v>5.6</v>
      </c>
      <c r="H96" s="357">
        <v>2.5</v>
      </c>
      <c r="I96" s="23">
        <f>SUM(G96:H96)</f>
        <v>8.1</v>
      </c>
      <c r="J96" s="24">
        <f>$D$8*I96</f>
        <v>810</v>
      </c>
      <c r="K96" s="8"/>
    </row>
    <row r="97" spans="1:11">
      <c r="A97" s="368" t="s">
        <v>149</v>
      </c>
      <c r="B97" s="3"/>
      <c r="C97" s="3"/>
      <c r="D97" s="3"/>
      <c r="E97" s="3"/>
      <c r="F97" s="3"/>
      <c r="G97" s="357">
        <v>14.3</v>
      </c>
      <c r="H97" s="357">
        <v>6.7</v>
      </c>
      <c r="I97" s="23">
        <f>SUM(G97:H97)</f>
        <v>21</v>
      </c>
      <c r="J97" s="24">
        <f>$D$8*I97</f>
        <v>2100</v>
      </c>
      <c r="K97" s="8"/>
    </row>
    <row r="98" spans="1:11">
      <c r="A98" s="43" t="s">
        <v>48</v>
      </c>
      <c r="B98" s="3"/>
      <c r="C98" s="357">
        <v>3.35</v>
      </c>
      <c r="D98" s="36" t="s">
        <v>150</v>
      </c>
      <c r="E98" s="357">
        <v>3.82</v>
      </c>
      <c r="F98" s="36" t="s">
        <v>151</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171</v>
      </c>
      <c r="B100" s="3"/>
      <c r="C100" s="3"/>
      <c r="D100" s="3"/>
      <c r="E100" s="3"/>
      <c r="F100" s="3"/>
      <c r="G100" s="131">
        <f>IF(C80&gt;0, G101/C80, 0)</f>
        <v>34.943750000000001</v>
      </c>
      <c r="H100" s="131">
        <f>IF(C80&gt;0, H101/C80, 0)</f>
        <v>20.907499999999999</v>
      </c>
      <c r="I100" s="23"/>
      <c r="J100" s="24"/>
      <c r="K100" s="8"/>
    </row>
    <row r="101" spans="1:11">
      <c r="A101" s="28" t="s">
        <v>153</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143</v>
      </c>
      <c r="B103" s="33"/>
      <c r="C103" s="11" t="s">
        <v>54</v>
      </c>
      <c r="D103" s="11"/>
      <c r="E103" s="11" t="s">
        <v>55</v>
      </c>
      <c r="F103" s="10"/>
      <c r="G103" s="21"/>
      <c r="H103" s="21"/>
      <c r="I103" s="22"/>
      <c r="J103" s="22"/>
      <c r="K103" s="8"/>
    </row>
    <row r="104" spans="1:11">
      <c r="A104" s="34" t="s">
        <v>144</v>
      </c>
      <c r="B104" s="2"/>
      <c r="C104" s="357">
        <v>20.149999999999999</v>
      </c>
      <c r="D104" s="3"/>
      <c r="E104" s="386">
        <v>1.3333299999999999</v>
      </c>
      <c r="F104" s="117" t="s">
        <v>145</v>
      </c>
      <c r="G104" s="107">
        <f>E104*C104*C80</f>
        <v>107.46639799999998</v>
      </c>
      <c r="H104" s="31"/>
      <c r="I104" s="23">
        <f>G104</f>
        <v>107.46639799999998</v>
      </c>
      <c r="J104" s="24">
        <f>$D$8*I104</f>
        <v>10746.639799999999</v>
      </c>
      <c r="K104" s="8"/>
    </row>
    <row r="105" spans="1:11">
      <c r="A105" s="37" t="s">
        <v>172</v>
      </c>
      <c r="B105" s="47"/>
      <c r="C105" s="357">
        <v>20.149999999999999</v>
      </c>
      <c r="D105" s="25"/>
      <c r="E105" s="386">
        <v>0</v>
      </c>
      <c r="F105" s="108" t="s">
        <v>145</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173</v>
      </c>
      <c r="B112" s="33"/>
      <c r="C112" s="11"/>
      <c r="D112" s="11"/>
      <c r="E112" s="11"/>
      <c r="F112" s="10"/>
      <c r="G112" s="21" t="s">
        <v>12</v>
      </c>
      <c r="H112" s="21" t="s">
        <v>13</v>
      </c>
      <c r="I112" s="22" t="s">
        <v>14</v>
      </c>
      <c r="J112" s="22" t="str">
        <f>D8&amp;" Acres"&amp;""</f>
        <v>100 Acres</v>
      </c>
      <c r="K112" s="8"/>
    </row>
    <row r="113" spans="1:11">
      <c r="A113" s="34" t="s">
        <v>174</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175</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176</v>
      </c>
      <c r="B118" s="33"/>
      <c r="C118" s="11"/>
      <c r="D118" s="11"/>
      <c r="E118" s="11"/>
      <c r="F118" s="10"/>
      <c r="G118" s="21" t="s">
        <v>12</v>
      </c>
      <c r="H118" s="21" t="s">
        <v>13</v>
      </c>
      <c r="I118" s="22" t="s">
        <v>14</v>
      </c>
      <c r="J118" s="22" t="str">
        <f>D13&amp;" Acres"&amp;""</f>
        <v xml:space="preserve"> Acres</v>
      </c>
      <c r="K118" s="8"/>
    </row>
    <row r="119" spans="1:11">
      <c r="A119" s="34" t="s">
        <v>177</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178</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179</v>
      </c>
      <c r="B121" s="3"/>
      <c r="C121" s="3"/>
      <c r="D121" s="3"/>
      <c r="E121" s="3"/>
      <c r="F121" s="3"/>
      <c r="G121" s="23"/>
      <c r="H121" s="23"/>
      <c r="I121" s="29"/>
      <c r="J121" s="31"/>
      <c r="K121" s="8"/>
    </row>
    <row r="122" spans="1:11">
      <c r="A122" s="134" t="s">
        <v>158</v>
      </c>
      <c r="B122" s="120"/>
      <c r="C122" s="135"/>
      <c r="D122" s="457">
        <v>180</v>
      </c>
      <c r="E122" s="136" t="s">
        <v>159</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180</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181</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45706</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319</v>
      </c>
    </row>
    <row r="138" spans="1:11">
      <c r="A138" s="142" t="s">
        <v>320</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385</v>
      </c>
      <c r="F2" s="236"/>
      <c r="N2" s="488" t="s">
        <v>549</v>
      </c>
      <c r="O2" s="488"/>
    </row>
    <row r="3" spans="1:18" ht="42" customHeight="1" thickBot="1">
      <c r="A3" s="251" t="s">
        <v>323</v>
      </c>
      <c r="C3" s="164"/>
      <c r="D3" s="252">
        <v>0.05</v>
      </c>
      <c r="F3" s="164"/>
      <c r="G3" s="88"/>
      <c r="H3" s="88"/>
      <c r="I3" s="88"/>
      <c r="J3" s="88"/>
      <c r="K3" s="88"/>
      <c r="L3" s="88"/>
      <c r="M3" s="88"/>
      <c r="N3" s="489"/>
      <c r="O3" s="489"/>
      <c r="P3" s="88"/>
    </row>
    <row r="4" spans="1:18">
      <c r="A4" t="s">
        <v>324</v>
      </c>
      <c r="F4" s="496" t="s">
        <v>325</v>
      </c>
      <c r="G4" s="496"/>
      <c r="H4" s="496"/>
      <c r="I4" s="496"/>
      <c r="J4" s="496"/>
      <c r="K4" s="496"/>
      <c r="L4" s="496"/>
      <c r="M4" s="496"/>
      <c r="N4" s="496"/>
      <c r="O4" s="496"/>
      <c r="P4" s="496"/>
    </row>
    <row r="5" spans="1:18" ht="32.25" thickBot="1">
      <c r="A5" s="253"/>
      <c r="B5" s="253"/>
      <c r="C5" s="253" t="s">
        <v>182</v>
      </c>
      <c r="D5" s="253" t="s">
        <v>183</v>
      </c>
      <c r="E5" s="253" t="s">
        <v>326</v>
      </c>
      <c r="F5" s="254" t="s">
        <v>327</v>
      </c>
      <c r="G5" s="255" t="s">
        <v>328</v>
      </c>
      <c r="H5" s="255" t="s">
        <v>329</v>
      </c>
      <c r="I5" s="255" t="s">
        <v>330</v>
      </c>
      <c r="J5" s="255" t="s">
        <v>331</v>
      </c>
      <c r="K5" s="255" t="s">
        <v>332</v>
      </c>
      <c r="L5" s="255" t="s">
        <v>333</v>
      </c>
      <c r="M5" s="255" t="s">
        <v>334</v>
      </c>
      <c r="N5" s="255" t="s">
        <v>335</v>
      </c>
      <c r="O5" s="255" t="s">
        <v>336</v>
      </c>
      <c r="P5" s="255" t="s">
        <v>337</v>
      </c>
      <c r="Q5" s="256" t="s">
        <v>338</v>
      </c>
      <c r="R5" s="256" t="s">
        <v>339</v>
      </c>
    </row>
    <row r="6" spans="1:18" ht="16.5" thickBot="1">
      <c r="A6" t="s">
        <v>340</v>
      </c>
      <c r="F6" s="257"/>
      <c r="G6" s="258"/>
      <c r="H6" s="258"/>
      <c r="I6" s="258"/>
      <c r="J6" s="258"/>
      <c r="K6" s="258"/>
      <c r="L6" s="258"/>
      <c r="M6" s="258"/>
      <c r="N6" s="258"/>
      <c r="O6" s="258"/>
      <c r="P6" s="258"/>
      <c r="Q6" s="259"/>
      <c r="R6" s="260"/>
    </row>
    <row r="7" spans="1:18" ht="18" thickBot="1">
      <c r="A7" t="s">
        <v>193</v>
      </c>
      <c r="B7" t="s">
        <v>341</v>
      </c>
      <c r="C7" s="176">
        <v>2.8</v>
      </c>
      <c r="D7" t="s">
        <v>342</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343</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344</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345</v>
      </c>
      <c r="B12" s="277"/>
      <c r="C12" s="277"/>
      <c r="D12" s="277"/>
      <c r="E12" s="278"/>
      <c r="F12" s="273"/>
      <c r="G12" s="274"/>
      <c r="H12" s="274"/>
      <c r="I12" s="274"/>
      <c r="J12" s="274"/>
      <c r="K12" s="274"/>
      <c r="L12" s="274"/>
      <c r="M12" s="274"/>
      <c r="N12" s="274"/>
      <c r="O12" s="274"/>
      <c r="P12" s="274"/>
      <c r="Q12" s="275"/>
      <c r="R12" s="276"/>
    </row>
    <row r="13" spans="1:18">
      <c r="B13" t="s">
        <v>346</v>
      </c>
      <c r="C13">
        <v>1</v>
      </c>
      <c r="D13" t="s">
        <v>185</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186</v>
      </c>
      <c r="B15" s="277"/>
      <c r="C15" s="277"/>
      <c r="D15" s="277"/>
      <c r="E15" s="316"/>
      <c r="F15" s="279"/>
      <c r="G15" s="293"/>
      <c r="H15" s="293"/>
      <c r="I15" s="293"/>
      <c r="J15" s="293"/>
      <c r="K15" s="293"/>
      <c r="L15" s="293"/>
      <c r="M15" s="293"/>
      <c r="N15" s="293"/>
      <c r="O15" s="293"/>
      <c r="P15" s="293"/>
      <c r="Q15" s="294"/>
      <c r="R15" s="295"/>
    </row>
    <row r="16" spans="1:18">
      <c r="B16" t="s">
        <v>383</v>
      </c>
      <c r="C16" s="140">
        <v>5</v>
      </c>
      <c r="D16" t="s">
        <v>347</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348</v>
      </c>
      <c r="B18" t="s">
        <v>349</v>
      </c>
      <c r="C18" s="313">
        <v>50</v>
      </c>
      <c r="D18" t="s">
        <v>350</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351</v>
      </c>
      <c r="C20" s="313">
        <v>10</v>
      </c>
      <c r="D20" t="s">
        <v>352</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353</v>
      </c>
      <c r="E22" s="139"/>
      <c r="F22" s="303"/>
      <c r="G22" s="300"/>
      <c r="H22" s="300"/>
      <c r="I22" s="300"/>
      <c r="J22" s="300"/>
      <c r="K22" s="300"/>
      <c r="L22" s="300"/>
      <c r="M22" s="300"/>
      <c r="N22" s="300"/>
      <c r="O22" s="300"/>
      <c r="P22" s="300"/>
      <c r="Q22" s="301"/>
      <c r="R22" s="302"/>
    </row>
    <row r="23" spans="1:19">
      <c r="B23" t="s">
        <v>188</v>
      </c>
      <c r="C23" s="314">
        <v>32</v>
      </c>
      <c r="D23" t="s">
        <v>354</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355</v>
      </c>
      <c r="C24" s="314">
        <v>4</v>
      </c>
      <c r="D24" t="s">
        <v>356</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357</v>
      </c>
      <c r="E26" s="139"/>
      <c r="F26" s="303"/>
      <c r="G26" s="300"/>
      <c r="H26" s="300"/>
      <c r="I26" s="300"/>
      <c r="J26" s="300"/>
      <c r="K26" s="300"/>
      <c r="L26" s="300"/>
      <c r="M26" s="300"/>
      <c r="N26" s="300"/>
      <c r="O26" s="300"/>
      <c r="P26" s="300"/>
      <c r="Q26" s="301"/>
      <c r="R26" s="302"/>
    </row>
    <row r="27" spans="1:19">
      <c r="B27" t="s">
        <v>358</v>
      </c>
      <c r="C27">
        <v>2</v>
      </c>
      <c r="D27" t="s">
        <v>185</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359</v>
      </c>
      <c r="C28">
        <v>2</v>
      </c>
      <c r="D28" t="s">
        <v>185</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360</v>
      </c>
      <c r="C29">
        <v>1</v>
      </c>
      <c r="D29" s="143" t="s">
        <v>185</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361</v>
      </c>
      <c r="C30">
        <v>1</v>
      </c>
      <c r="D30" t="s">
        <v>185</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362</v>
      </c>
      <c r="E32" s="169"/>
      <c r="F32" s="303"/>
      <c r="G32" s="300"/>
      <c r="H32" s="300"/>
      <c r="I32" s="300"/>
      <c r="J32" s="300"/>
      <c r="K32" s="300"/>
      <c r="L32" s="300"/>
      <c r="M32" s="300"/>
      <c r="N32" s="300"/>
      <c r="O32" s="300"/>
      <c r="P32" s="300"/>
      <c r="Q32" s="301"/>
      <c r="R32" s="302"/>
    </row>
    <row r="33" spans="1:19">
      <c r="A33" s="317">
        <v>-13.7</v>
      </c>
      <c r="B33" t="s">
        <v>363</v>
      </c>
      <c r="C33">
        <v>0</v>
      </c>
      <c r="D33" t="s">
        <v>185</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364</v>
      </c>
      <c r="C34">
        <v>0</v>
      </c>
      <c r="D34" t="s">
        <v>185</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365</v>
      </c>
      <c r="C35">
        <v>0</v>
      </c>
      <c r="D35" t="s">
        <v>185</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366</v>
      </c>
      <c r="C36" s="196">
        <v>0</v>
      </c>
      <c r="D36" t="s">
        <v>367</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368</v>
      </c>
      <c r="C37" s="196">
        <v>0</v>
      </c>
      <c r="D37" t="s">
        <v>367</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369</v>
      </c>
      <c r="B38" s="282" t="s">
        <v>370</v>
      </c>
      <c r="C38" s="283"/>
      <c r="D38" t="s">
        <v>371</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372</v>
      </c>
      <c r="B39" s="284" t="s">
        <v>373</v>
      </c>
      <c r="C39" s="285">
        <v>1</v>
      </c>
      <c r="D39" s="253" t="s">
        <v>185</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374</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375</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521</v>
      </c>
      <c r="R42" s="474">
        <f>SUM(R40:R41)</f>
        <v>137.41872799881185</v>
      </c>
    </row>
    <row r="43" spans="1:19" ht="16.5" thickBot="1">
      <c r="G43" s="88"/>
      <c r="H43" s="88"/>
      <c r="I43" s="88"/>
      <c r="J43" s="88"/>
      <c r="K43" s="88"/>
      <c r="L43" s="88"/>
      <c r="M43" s="88"/>
      <c r="O43" s="88"/>
      <c r="P43" s="88"/>
      <c r="R43" s="471"/>
      <c r="S43" t="s">
        <v>519</v>
      </c>
    </row>
    <row r="44" spans="1:19" ht="16.5" thickBot="1">
      <c r="A44" t="s">
        <v>376</v>
      </c>
      <c r="G44" s="88"/>
      <c r="H44" s="88"/>
      <c r="I44" s="88"/>
      <c r="J44" s="88"/>
      <c r="K44" s="88"/>
      <c r="L44" s="88"/>
      <c r="M44" s="88"/>
      <c r="O44" s="88"/>
      <c r="P44" s="88"/>
      <c r="R44" s="416">
        <f>R42*R43</f>
        <v>0</v>
      </c>
      <c r="S44" t="s">
        <v>520</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377</v>
      </c>
      <c r="B48" t="s">
        <v>378</v>
      </c>
      <c r="C48" s="288">
        <v>0.05</v>
      </c>
      <c r="D48" s="289">
        <f>D3</f>
        <v>0.05</v>
      </c>
      <c r="G48" s="88"/>
      <c r="H48" s="88"/>
      <c r="I48" s="88"/>
      <c r="J48" s="88"/>
      <c r="K48" s="88" t="s">
        <v>384</v>
      </c>
      <c r="L48" s="88"/>
      <c r="M48" s="88"/>
      <c r="N48" s="88"/>
      <c r="O48" s="88"/>
      <c r="P48" s="88"/>
    </row>
    <row r="49" spans="1:16">
      <c r="B49" t="s">
        <v>379</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380</v>
      </c>
      <c r="C51" s="290">
        <f>C48*((1+C48)^C49)</f>
        <v>8.1444731338872089E-2</v>
      </c>
      <c r="G51" s="88"/>
      <c r="H51" s="88"/>
      <c r="I51" s="88"/>
      <c r="J51" s="88"/>
      <c r="K51" s="88"/>
      <c r="L51" s="88"/>
      <c r="M51" s="88"/>
      <c r="N51" s="88"/>
      <c r="O51" s="88"/>
      <c r="P51" s="88"/>
    </row>
    <row r="52" spans="1:16">
      <c r="B52" t="s">
        <v>381</v>
      </c>
      <c r="C52" s="183">
        <f>((1+C48)^C49)-1</f>
        <v>0.62889462677744157</v>
      </c>
    </row>
    <row r="54" spans="1:16">
      <c r="B54" t="s">
        <v>382</v>
      </c>
    </row>
    <row r="61" spans="1:16">
      <c r="A61" s="347" t="s">
        <v>537</v>
      </c>
    </row>
    <row r="62" spans="1:16" ht="20.100000000000001" customHeight="1">
      <c r="A62" t="s">
        <v>538</v>
      </c>
    </row>
    <row r="63" spans="1:16" ht="20.45" customHeight="1">
      <c r="A63" s="347" t="s">
        <v>452</v>
      </c>
    </row>
    <row r="64" spans="1:16" ht="22.35" customHeight="1">
      <c r="A64" s="142" t="s">
        <v>449</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Magala, Richard [NREM]</cp:lastModifiedBy>
  <dcterms:created xsi:type="dcterms:W3CDTF">2025-02-12T16:19:17Z</dcterms:created>
  <dcterms:modified xsi:type="dcterms:W3CDTF">2025-02-19T03:59:13Z</dcterms:modified>
</cp:coreProperties>
</file>