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kai\Documents\pewi3.0\"/>
    </mc:Choice>
  </mc:AlternateContent>
  <bookViews>
    <workbookView xWindow="0" yWindow="0" windowWidth="11460" windowHeight="9330" firstSheet="3" activeTab="3"/>
  </bookViews>
  <sheets>
    <sheet name="To-Do-Tracker" sheetId="20" r:id="rId1"/>
    <sheet name="Conventional Corn-CC" sheetId="1" r:id="rId2"/>
    <sheet name="Conventional Corn-CS" sheetId="2" r:id="rId3"/>
    <sheet name="Conservation Corn-CC" sheetId="18" r:id="rId4"/>
    <sheet name="Conservation Corn-CS" sheetId="19" r:id="rId5"/>
    <sheet name="Conventional Soybeans" sheetId="3" r:id="rId6"/>
    <sheet name="Conservation Soybeans" sheetId="21" r:id="rId7"/>
    <sheet name="No-Till" sheetId="22" r:id="rId8"/>
    <sheet name="Cover Crops" sheetId="23" r:id="rId9"/>
    <sheet name="Grassed Waterways" sheetId="24" r:id="rId10"/>
    <sheet name="Contours" sheetId="25" r:id="rId11"/>
    <sheet name="Buffers" sheetId="26" r:id="rId12"/>
    <sheet name="Alfalfa" sheetId="4" r:id="rId13"/>
    <sheet name="Permanent Pasture" sheetId="5" r:id="rId14"/>
    <sheet name="Rotational Grazing" sheetId="6" r:id="rId15"/>
    <sheet name="Grass Hay" sheetId="7" r:id="rId16"/>
    <sheet name="Prairie" sheetId="8" r:id="rId17"/>
    <sheet name="Conservation Forest" sheetId="9" r:id="rId18"/>
    <sheet name="Conventional Forest" sheetId="10" r:id="rId19"/>
    <sheet name="Switchgrass" sheetId="11" r:id="rId20"/>
    <sheet name="Short-rotation Woody Bioenergy" sheetId="12" r:id="rId21"/>
    <sheet name="Wetland" sheetId="13" r:id="rId22"/>
    <sheet name="Mixed F&amp;V - Green Beans" sheetId="16" r:id="rId23"/>
    <sheet name="Mixed F&amp;V- Strawberries" sheetId="14" r:id="rId24"/>
    <sheet name="Mixed F&amp;V - Winter Squash" sheetId="17" r:id="rId25"/>
    <sheet name="Mixed F&amp;V - Grapes" sheetId="15" r:id="rId26"/>
  </sheets>
  <externalReferences>
    <externalReference r:id="rId27"/>
    <externalReference r:id="rId28"/>
    <externalReference r:id="rId29"/>
  </externalReferences>
  <definedNames>
    <definedName name="_xlnm._FilterDatabase" localSheetId="12" hidden="1">Alfalfa!$A$1:$X$80</definedName>
    <definedName name="_xlnm._FilterDatabase" localSheetId="11" hidden="1">Buffers!$A$1:$R$1</definedName>
    <definedName name="_xlnm._FilterDatabase" localSheetId="6" hidden="1">'Conservation Soybeans'!$A$1:$R$1</definedName>
    <definedName name="_xlnm._FilterDatabase" localSheetId="10" hidden="1">Contours!$A$1:$R$1</definedName>
    <definedName name="_xlnm._FilterDatabase" localSheetId="1" hidden="1">'Conventional Corn-CC'!$A$1:$S$63</definedName>
    <definedName name="_xlnm._FilterDatabase" localSheetId="2" hidden="1">'Conventional Corn-CS'!$A$1:$S$61</definedName>
    <definedName name="_xlnm._FilterDatabase" localSheetId="5" hidden="1">'Conventional Soybeans'!$A$1:$S$60</definedName>
    <definedName name="_xlnm._FilterDatabase" localSheetId="8" hidden="1">'Cover Crops'!$A$1:$R$1</definedName>
    <definedName name="_xlnm._FilterDatabase" localSheetId="15" hidden="1">'Grass Hay'!$A$1:$X$80</definedName>
    <definedName name="_xlnm._FilterDatabase" localSheetId="9" hidden="1">'Grassed Waterways'!$A$1:$R$1</definedName>
    <definedName name="_xlnm._FilterDatabase" localSheetId="25" hidden="1">'Mixed F&amp;V - Grapes'!$A$1:$R$1942</definedName>
    <definedName name="_xlnm._FilterDatabase" localSheetId="22" hidden="1">'Mixed F&amp;V - Green Beans'!$A$1:$Y$28</definedName>
    <definedName name="_xlnm._FilterDatabase" localSheetId="24" hidden="1">'Mixed F&amp;V - Winter Squash'!$A$1:$X$30</definedName>
    <definedName name="_xlnm._FilterDatabase" localSheetId="23" hidden="1">'Mixed F&amp;V- Strawberries'!$A$1:$Y$86</definedName>
    <definedName name="_xlnm._FilterDatabase" localSheetId="7" hidden="1">'No-Till'!$D$1:$R$1</definedName>
    <definedName name="_xlnm._FilterDatabase" localSheetId="13" hidden="1">'Permanent Pasture'!$A$1:$R$37</definedName>
    <definedName name="_xlnm._FilterDatabase" localSheetId="14" hidden="1">'Rotational Grazing'!$A$1:$R$14</definedName>
    <definedName name="_xlnm._FilterDatabase" localSheetId="20" hidden="1">'Short-rotation Woody Bioenergy'!$A$1:$R$73</definedName>
    <definedName name="_xlnm._FilterDatabase" localSheetId="19" hidden="1">Switchgrass!$A$1:$R$174</definedName>
    <definedName name="_xlnm._FilterDatabase" localSheetId="21" hidden="1">Wetland!$A$1:$R$59</definedName>
    <definedName name="Hired_Labor">'[1]Directions &amp; Variables'!$D$21</definedName>
    <definedName name="Interest_Pct">'[1]Directions &amp; Variables'!$D$24</definedName>
    <definedName name="Marketing_Pct">'[1]Directions &amp; Variables'!$D$23</definedName>
    <definedName name="Operator_Labor">'[1]Directions &amp; Variables'!$D$22</definedName>
    <definedName name="Winter_Squash_Large_Scale">'[2]Directions &amp; Variables'!$D$21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6" l="1"/>
  <c r="O14" i="26"/>
  <c r="O8" i="26"/>
  <c r="O7" i="26"/>
  <c r="C83" i="21" l="1"/>
  <c r="D80" i="21" s="1"/>
  <c r="D82" i="21"/>
  <c r="O52" i="21" s="1"/>
  <c r="D81" i="21"/>
  <c r="O51" i="21" s="1"/>
  <c r="D74" i="21"/>
  <c r="O44" i="21" s="1"/>
  <c r="D73" i="21"/>
  <c r="O43" i="21" s="1"/>
  <c r="D66" i="21"/>
  <c r="O36" i="21" s="1"/>
  <c r="D65" i="21"/>
  <c r="N35" i="21" s="1"/>
  <c r="D58" i="21"/>
  <c r="X74" i="21"/>
  <c r="Y74" i="21" s="1"/>
  <c r="Y73" i="21"/>
  <c r="X72" i="21"/>
  <c r="X75" i="21" s="1"/>
  <c r="X66" i="21"/>
  <c r="W66" i="21"/>
  <c r="V66" i="21"/>
  <c r="X62" i="21"/>
  <c r="Y62" i="21" s="1"/>
  <c r="W59" i="21"/>
  <c r="O28" i="21"/>
  <c r="X56" i="21"/>
  <c r="Y56" i="21" s="1"/>
  <c r="W56" i="21"/>
  <c r="V53" i="21"/>
  <c r="V59" i="21" s="1"/>
  <c r="O53" i="21"/>
  <c r="N51" i="21"/>
  <c r="X48" i="21"/>
  <c r="Y48" i="21" s="1"/>
  <c r="W45" i="21"/>
  <c r="X45" i="21" s="1"/>
  <c r="Y45" i="21" s="1"/>
  <c r="V45" i="21"/>
  <c r="N43" i="21"/>
  <c r="W42" i="21"/>
  <c r="W49" i="21" s="1"/>
  <c r="W50" i="21" s="1"/>
  <c r="V42" i="21"/>
  <c r="X42" i="21" s="1"/>
  <c r="Y42" i="21" s="1"/>
  <c r="X41" i="21"/>
  <c r="Y41" i="21" s="1"/>
  <c r="Y49" i="21" s="1"/>
  <c r="Y40" i="21"/>
  <c r="X40" i="21"/>
  <c r="N36" i="21"/>
  <c r="O35" i="21"/>
  <c r="Y32" i="21"/>
  <c r="X32" i="21"/>
  <c r="X31" i="21"/>
  <c r="Y31" i="21" s="1"/>
  <c r="Y30" i="21"/>
  <c r="X30" i="21"/>
  <c r="X29" i="21"/>
  <c r="Y29" i="21" s="1"/>
  <c r="O27" i="21"/>
  <c r="W26" i="21"/>
  <c r="X26" i="21" s="1"/>
  <c r="Y26" i="21" s="1"/>
  <c r="O26" i="21"/>
  <c r="O25" i="21"/>
  <c r="O24" i="21"/>
  <c r="W23" i="21"/>
  <c r="X23" i="21" s="1"/>
  <c r="O23" i="21"/>
  <c r="O22" i="21"/>
  <c r="O21" i="21"/>
  <c r="X20" i="21"/>
  <c r="Y20" i="21" s="1"/>
  <c r="W20" i="21"/>
  <c r="O20" i="21"/>
  <c r="O18" i="21"/>
  <c r="W17" i="21"/>
  <c r="O17" i="21"/>
  <c r="W16" i="21"/>
  <c r="V16" i="21"/>
  <c r="V17" i="21" s="1"/>
  <c r="O16" i="21"/>
  <c r="Y15" i="21"/>
  <c r="X15" i="21"/>
  <c r="O15" i="21"/>
  <c r="Y14" i="21"/>
  <c r="X14" i="21"/>
  <c r="O14" i="21"/>
  <c r="X13" i="21"/>
  <c r="Y13" i="21" s="1"/>
  <c r="O13" i="21"/>
  <c r="X12" i="21"/>
  <c r="Y12" i="21" s="1"/>
  <c r="O12" i="21"/>
  <c r="X11" i="21"/>
  <c r="Y11" i="21" s="1"/>
  <c r="O11" i="21"/>
  <c r="X10" i="21"/>
  <c r="Y10" i="21" s="1"/>
  <c r="O10" i="21"/>
  <c r="Y9" i="21"/>
  <c r="X9" i="21"/>
  <c r="O9" i="21"/>
  <c r="X8" i="21"/>
  <c r="Y8" i="21" s="1"/>
  <c r="O8" i="21"/>
  <c r="O7" i="21"/>
  <c r="O6" i="21"/>
  <c r="O5" i="21"/>
  <c r="O4" i="21"/>
  <c r="O3" i="21"/>
  <c r="O2" i="21"/>
  <c r="J89" i="19"/>
  <c r="K86" i="19" s="1"/>
  <c r="K88" i="19"/>
  <c r="O53" i="19" s="1"/>
  <c r="K87" i="19"/>
  <c r="N52" i="19" s="1"/>
  <c r="K80" i="19"/>
  <c r="K79" i="19"/>
  <c r="K72" i="19"/>
  <c r="K71" i="19"/>
  <c r="O42" i="19"/>
  <c r="N41" i="19"/>
  <c r="N31" i="19"/>
  <c r="O30" i="19"/>
  <c r="O37" i="19"/>
  <c r="J89" i="18"/>
  <c r="K86" i="18" s="1"/>
  <c r="K88" i="18"/>
  <c r="N57" i="18" s="1"/>
  <c r="K87" i="18"/>
  <c r="O56" i="18" s="1"/>
  <c r="K84" i="18"/>
  <c r="K83" i="18"/>
  <c r="K82" i="18"/>
  <c r="O47" i="18" s="1"/>
  <c r="K81" i="18"/>
  <c r="K80" i="18"/>
  <c r="K79" i="18"/>
  <c r="K78" i="18"/>
  <c r="K77" i="18"/>
  <c r="K76" i="18"/>
  <c r="K75" i="18"/>
  <c r="K74" i="18"/>
  <c r="O36" i="18" s="1"/>
  <c r="K73" i="18"/>
  <c r="K72" i="18"/>
  <c r="K71" i="18"/>
  <c r="O55" i="18" s="1"/>
  <c r="K70" i="18"/>
  <c r="K69" i="18"/>
  <c r="K68" i="18"/>
  <c r="K67" i="18"/>
  <c r="K66" i="18"/>
  <c r="O42" i="18" s="1"/>
  <c r="K65" i="18"/>
  <c r="X78" i="19"/>
  <c r="Y78" i="19" s="1"/>
  <c r="X70" i="19"/>
  <c r="W70" i="19"/>
  <c r="V70" i="19"/>
  <c r="X66" i="19"/>
  <c r="Y66" i="19" s="1"/>
  <c r="W63" i="19"/>
  <c r="V63" i="19"/>
  <c r="X60" i="19"/>
  <c r="Y60" i="19" s="1"/>
  <c r="W60" i="19"/>
  <c r="V57" i="19"/>
  <c r="X57" i="19" s="1"/>
  <c r="O54" i="19"/>
  <c r="X52" i="19"/>
  <c r="Y52" i="19" s="1"/>
  <c r="O52" i="19"/>
  <c r="X49" i="19"/>
  <c r="Y49" i="19" s="1"/>
  <c r="W49" i="19"/>
  <c r="V49" i="19"/>
  <c r="U48" i="19"/>
  <c r="W46" i="19" s="1"/>
  <c r="V46" i="19"/>
  <c r="W43" i="19"/>
  <c r="X43" i="19" s="1"/>
  <c r="Y43" i="19" s="1"/>
  <c r="V43" i="19"/>
  <c r="X42" i="19"/>
  <c r="Y42" i="19" s="1"/>
  <c r="Y41" i="19"/>
  <c r="X41" i="19"/>
  <c r="N37" i="19"/>
  <c r="X34" i="19"/>
  <c r="Y34" i="19" s="1"/>
  <c r="Y33" i="19"/>
  <c r="X33" i="19"/>
  <c r="X32" i="19"/>
  <c r="Y32" i="19" s="1"/>
  <c r="Y31" i="19"/>
  <c r="X31" i="19"/>
  <c r="O29" i="19"/>
  <c r="X28" i="19"/>
  <c r="Y28" i="19" s="1"/>
  <c r="W28" i="19"/>
  <c r="O28" i="19"/>
  <c r="O26" i="19"/>
  <c r="X25" i="19"/>
  <c r="Y25" i="19" s="1"/>
  <c r="W25" i="19"/>
  <c r="O25" i="19"/>
  <c r="O24" i="19"/>
  <c r="O23" i="19"/>
  <c r="W22" i="19"/>
  <c r="X22" i="19" s="1"/>
  <c r="Y22" i="19" s="1"/>
  <c r="O22" i="19"/>
  <c r="O21" i="19"/>
  <c r="U20" i="19"/>
  <c r="O12" i="19" s="1"/>
  <c r="O20" i="19"/>
  <c r="W19" i="19"/>
  <c r="O19" i="19"/>
  <c r="O18" i="19"/>
  <c r="O17" i="19"/>
  <c r="O16" i="19"/>
  <c r="W15" i="19"/>
  <c r="W35" i="19" s="1"/>
  <c r="X35" i="19" s="1"/>
  <c r="Y35" i="19" s="1"/>
  <c r="V15" i="19"/>
  <c r="V16" i="19" s="1"/>
  <c r="O15" i="19"/>
  <c r="X14" i="19"/>
  <c r="Y14" i="19" s="1"/>
  <c r="O14" i="19"/>
  <c r="X13" i="19"/>
  <c r="Y13" i="19" s="1"/>
  <c r="O13" i="19"/>
  <c r="X12" i="19"/>
  <c r="Y12" i="19" s="1"/>
  <c r="X11" i="19"/>
  <c r="Y11" i="19" s="1"/>
  <c r="O11" i="19"/>
  <c r="X10" i="19"/>
  <c r="X15" i="19" s="1"/>
  <c r="O10" i="19"/>
  <c r="Y9" i="19"/>
  <c r="X9" i="19"/>
  <c r="O9" i="19"/>
  <c r="X8" i="19"/>
  <c r="Y77" i="19" s="1"/>
  <c r="O8" i="19"/>
  <c r="Y7" i="19"/>
  <c r="X7" i="19"/>
  <c r="X76" i="19" s="1"/>
  <c r="O7" i="19"/>
  <c r="O6" i="19"/>
  <c r="O5" i="19"/>
  <c r="O4" i="19"/>
  <c r="O3" i="19"/>
  <c r="O2" i="19"/>
  <c r="X80" i="18"/>
  <c r="Y80" i="18" s="1"/>
  <c r="X78" i="18"/>
  <c r="Y78" i="18" s="1"/>
  <c r="X72" i="18"/>
  <c r="W72" i="18"/>
  <c r="V72" i="18"/>
  <c r="Y68" i="18"/>
  <c r="X68" i="18"/>
  <c r="V65" i="18"/>
  <c r="W62" i="18"/>
  <c r="W65" i="18" s="1"/>
  <c r="V59" i="18"/>
  <c r="X59" i="18" s="1"/>
  <c r="X58" i="18"/>
  <c r="X54" i="18"/>
  <c r="Y54" i="18" s="1"/>
  <c r="W51" i="18"/>
  <c r="V51" i="18"/>
  <c r="X51" i="18" s="1"/>
  <c r="Y51" i="18" s="1"/>
  <c r="U50" i="18"/>
  <c r="W48" i="18"/>
  <c r="V48" i="18"/>
  <c r="X48" i="18" s="1"/>
  <c r="Y48" i="18" s="1"/>
  <c r="X45" i="18"/>
  <c r="Y45" i="18" s="1"/>
  <c r="W45" i="18"/>
  <c r="W55" i="18" s="1"/>
  <c r="W56" i="18" s="1"/>
  <c r="V45" i="18"/>
  <c r="V55" i="18" s="1"/>
  <c r="X44" i="18"/>
  <c r="Y44" i="18" s="1"/>
  <c r="X43" i="18"/>
  <c r="Y43" i="18" s="1"/>
  <c r="X36" i="18"/>
  <c r="Y36" i="18" s="1"/>
  <c r="X35" i="18"/>
  <c r="Y35" i="18" s="1"/>
  <c r="X34" i="18"/>
  <c r="Y34" i="18" s="1"/>
  <c r="X33" i="18"/>
  <c r="Y33" i="18" s="1"/>
  <c r="X32" i="18"/>
  <c r="Y32" i="18" s="1"/>
  <c r="X29" i="18"/>
  <c r="Y29" i="18" s="1"/>
  <c r="W29" i="18"/>
  <c r="W26" i="18"/>
  <c r="X26" i="18" s="1"/>
  <c r="Y26" i="18" s="1"/>
  <c r="X23" i="18"/>
  <c r="Y23" i="18" s="1"/>
  <c r="W23" i="18"/>
  <c r="U21" i="18"/>
  <c r="W20" i="18" s="1"/>
  <c r="W17" i="18"/>
  <c r="V17" i="18"/>
  <c r="W16" i="18"/>
  <c r="V16" i="18"/>
  <c r="V71" i="18" s="1"/>
  <c r="V73" i="18" s="1"/>
  <c r="X15" i="18"/>
  <c r="Y15" i="18" s="1"/>
  <c r="X14" i="18"/>
  <c r="Y14" i="18" s="1"/>
  <c r="X13" i="18"/>
  <c r="Y13" i="18" s="1"/>
  <c r="X12" i="18"/>
  <c r="Y12" i="18" s="1"/>
  <c r="X11" i="18"/>
  <c r="Y11" i="18" s="1"/>
  <c r="X10" i="18"/>
  <c r="Y10" i="18" s="1"/>
  <c r="X9" i="18"/>
  <c r="Y9" i="18" s="1"/>
  <c r="X8" i="18"/>
  <c r="Y8" i="18" s="1"/>
  <c r="X7" i="18"/>
  <c r="X16" i="18" s="1"/>
  <c r="O58" i="18"/>
  <c r="O57" i="18"/>
  <c r="N55" i="18"/>
  <c r="O54" i="18"/>
  <c r="N54" i="18"/>
  <c r="O53" i="18"/>
  <c r="N53" i="18"/>
  <c r="O52" i="18"/>
  <c r="N52" i="18"/>
  <c r="O49" i="18"/>
  <c r="N49" i="18"/>
  <c r="O48" i="18"/>
  <c r="N48" i="18"/>
  <c r="N47" i="18"/>
  <c r="O46" i="18"/>
  <c r="N46" i="18"/>
  <c r="O45" i="18"/>
  <c r="N45" i="18"/>
  <c r="O44" i="18"/>
  <c r="N44" i="18"/>
  <c r="O43" i="18"/>
  <c r="N43" i="18"/>
  <c r="O41" i="18"/>
  <c r="N41" i="18"/>
  <c r="O40" i="18"/>
  <c r="N40" i="18"/>
  <c r="O39" i="18"/>
  <c r="N39" i="18"/>
  <c r="O38" i="18"/>
  <c r="N38" i="18"/>
  <c r="O37" i="18"/>
  <c r="N37" i="18"/>
  <c r="O35" i="18"/>
  <c r="N35" i="18"/>
  <c r="O34" i="18"/>
  <c r="N34" i="18"/>
  <c r="O33" i="18"/>
  <c r="O32" i="18"/>
  <c r="O31" i="18"/>
  <c r="O30" i="18"/>
  <c r="O29" i="18"/>
  <c r="O28" i="18"/>
  <c r="O27" i="18"/>
  <c r="O26" i="18"/>
  <c r="O25" i="18"/>
  <c r="O24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50" i="21" l="1"/>
  <c r="N50" i="21"/>
  <c r="N44" i="21"/>
  <c r="N52" i="21"/>
  <c r="D59" i="21"/>
  <c r="D67" i="21"/>
  <c r="O37" i="21" s="1"/>
  <c r="D76" i="21"/>
  <c r="D61" i="21"/>
  <c r="D69" i="21"/>
  <c r="D77" i="21"/>
  <c r="D75" i="21"/>
  <c r="O45" i="21" s="1"/>
  <c r="D60" i="21"/>
  <c r="N30" i="21" s="1"/>
  <c r="D68" i="21"/>
  <c r="D62" i="21"/>
  <c r="N32" i="21" s="1"/>
  <c r="D70" i="21"/>
  <c r="D78" i="21"/>
  <c r="D63" i="21"/>
  <c r="D71" i="21"/>
  <c r="D79" i="21"/>
  <c r="D64" i="21"/>
  <c r="D72" i="21"/>
  <c r="N42" i="21" s="1"/>
  <c r="X33" i="21"/>
  <c r="X36" i="21" s="1"/>
  <c r="Y23" i="21"/>
  <c r="Y33" i="21" s="1"/>
  <c r="Y36" i="21" s="1"/>
  <c r="X49" i="21"/>
  <c r="X50" i="21" s="1"/>
  <c r="Y16" i="21"/>
  <c r="Y72" i="21"/>
  <c r="Y75" i="21" s="1"/>
  <c r="X16" i="21"/>
  <c r="O30" i="21"/>
  <c r="O32" i="21"/>
  <c r="X53" i="21"/>
  <c r="N28" i="21"/>
  <c r="N37" i="21"/>
  <c r="V49" i="21"/>
  <c r="W33" i="21"/>
  <c r="O19" i="21" s="1"/>
  <c r="O47" i="19"/>
  <c r="N47" i="19"/>
  <c r="N53" i="19"/>
  <c r="O38" i="19"/>
  <c r="K65" i="19"/>
  <c r="K73" i="19"/>
  <c r="K81" i="19"/>
  <c r="O41" i="19"/>
  <c r="N33" i="19"/>
  <c r="K82" i="19"/>
  <c r="K67" i="19"/>
  <c r="K75" i="19"/>
  <c r="K83" i="19"/>
  <c r="N39" i="19"/>
  <c r="K66" i="19"/>
  <c r="K74" i="19"/>
  <c r="N35" i="19"/>
  <c r="K68" i="19"/>
  <c r="K76" i="19"/>
  <c r="K84" i="19"/>
  <c r="N30" i="19"/>
  <c r="N42" i="19"/>
  <c r="K69" i="19"/>
  <c r="K77" i="19"/>
  <c r="K85" i="19"/>
  <c r="K70" i="19"/>
  <c r="K78" i="19"/>
  <c r="N38" i="19"/>
  <c r="N51" i="18"/>
  <c r="O51" i="18"/>
  <c r="N36" i="18"/>
  <c r="N56" i="18"/>
  <c r="K85" i="18"/>
  <c r="N42" i="18"/>
  <c r="X63" i="19"/>
  <c r="Y57" i="19"/>
  <c r="Y63" i="19" s="1"/>
  <c r="W38" i="19"/>
  <c r="W69" i="19" s="1"/>
  <c r="W71" i="19" s="1"/>
  <c r="X46" i="19"/>
  <c r="Y46" i="19" s="1"/>
  <c r="Y76" i="19"/>
  <c r="Y79" i="19" s="1"/>
  <c r="X79" i="19"/>
  <c r="X16" i="19"/>
  <c r="Y15" i="19"/>
  <c r="X53" i="19"/>
  <c r="X54" i="19" s="1"/>
  <c r="Y53" i="19"/>
  <c r="V53" i="19"/>
  <c r="Y8" i="19"/>
  <c r="X19" i="19"/>
  <c r="O27" i="19"/>
  <c r="W53" i="19"/>
  <c r="W54" i="19" s="1"/>
  <c r="O31" i="19"/>
  <c r="Y10" i="19"/>
  <c r="W16" i="19"/>
  <c r="W40" i="18"/>
  <c r="X20" i="18"/>
  <c r="Y20" i="18" s="1"/>
  <c r="W37" i="18"/>
  <c r="Y59" i="18"/>
  <c r="X17" i="18"/>
  <c r="Y16" i="18"/>
  <c r="V56" i="18"/>
  <c r="X55" i="18"/>
  <c r="Y7" i="18"/>
  <c r="Y79" i="18"/>
  <c r="X81" i="18"/>
  <c r="X62" i="18"/>
  <c r="Y62" i="18" s="1"/>
  <c r="N45" i="21" l="1"/>
  <c r="N47" i="21"/>
  <c r="O47" i="21"/>
  <c r="O31" i="21"/>
  <c r="N31" i="21"/>
  <c r="N40" i="21"/>
  <c r="O40" i="21"/>
  <c r="O46" i="21"/>
  <c r="N46" i="21"/>
  <c r="O33" i="21"/>
  <c r="N33" i="21"/>
  <c r="O48" i="21"/>
  <c r="N48" i="21"/>
  <c r="O42" i="21"/>
  <c r="O49" i="21"/>
  <c r="N49" i="21"/>
  <c r="O41" i="21"/>
  <c r="N41" i="21"/>
  <c r="O39" i="21"/>
  <c r="N39" i="21"/>
  <c r="N38" i="21"/>
  <c r="O38" i="21"/>
  <c r="N29" i="21"/>
  <c r="N56" i="21" s="1"/>
  <c r="O29" i="21"/>
  <c r="O34" i="21"/>
  <c r="N34" i="21"/>
  <c r="X59" i="21"/>
  <c r="Y53" i="21"/>
  <c r="Y59" i="21" s="1"/>
  <c r="Y65" i="21" s="1"/>
  <c r="Y77" i="21" s="1"/>
  <c r="V50" i="21"/>
  <c r="V65" i="21"/>
  <c r="V67" i="21" s="1"/>
  <c r="X65" i="21"/>
  <c r="X17" i="21"/>
  <c r="W36" i="21"/>
  <c r="W65" i="21" s="1"/>
  <c r="O35" i="19"/>
  <c r="N40" i="19"/>
  <c r="O40" i="19"/>
  <c r="O51" i="19"/>
  <c r="N51" i="19"/>
  <c r="O45" i="19"/>
  <c r="N45" i="19"/>
  <c r="O44" i="19"/>
  <c r="N44" i="19"/>
  <c r="N46" i="19"/>
  <c r="O46" i="19"/>
  <c r="O32" i="19"/>
  <c r="N32" i="19"/>
  <c r="O33" i="19"/>
  <c r="N36" i="19"/>
  <c r="O36" i="19"/>
  <c r="N49" i="19"/>
  <c r="O49" i="19"/>
  <c r="O48" i="19"/>
  <c r="N48" i="19"/>
  <c r="O39" i="19"/>
  <c r="O34" i="19"/>
  <c r="N34" i="19"/>
  <c r="O50" i="19"/>
  <c r="N50" i="19"/>
  <c r="O43" i="19"/>
  <c r="N43" i="19"/>
  <c r="O50" i="18"/>
  <c r="N50" i="18"/>
  <c r="Y69" i="19"/>
  <c r="Y81" i="19" s="1"/>
  <c r="X38" i="19"/>
  <c r="X69" i="19" s="1"/>
  <c r="X71" i="19" s="1"/>
  <c r="Y19" i="19"/>
  <c r="Y38" i="19" s="1"/>
  <c r="X81" i="19"/>
  <c r="W81" i="19"/>
  <c r="V54" i="19"/>
  <c r="V69" i="19"/>
  <c r="V71" i="19" s="1"/>
  <c r="W71" i="18"/>
  <c r="W73" i="18" s="1"/>
  <c r="X40" i="18"/>
  <c r="W83" i="18"/>
  <c r="Y81" i="18"/>
  <c r="X65" i="18"/>
  <c r="Y65" i="18" s="1"/>
  <c r="X37" i="18"/>
  <c r="Y37" i="18" s="1"/>
  <c r="O23" i="18"/>
  <c r="Y55" i="18"/>
  <c r="X56" i="18"/>
  <c r="W67" i="21" l="1"/>
  <c r="W77" i="21"/>
  <c r="X67" i="21"/>
  <c r="X77" i="21"/>
  <c r="Y40" i="18"/>
  <c r="X71" i="18"/>
  <c r="Y71" i="18" l="1"/>
  <c r="Y83" i="18" s="1"/>
  <c r="X73" i="18"/>
  <c r="X83" i="18"/>
  <c r="D77" i="3" l="1"/>
  <c r="O47" i="3" s="1"/>
  <c r="C83" i="3"/>
  <c r="D72" i="3" s="1"/>
  <c r="O34" i="5"/>
  <c r="O33" i="5"/>
  <c r="O32" i="5"/>
  <c r="O26" i="5"/>
  <c r="O21" i="5"/>
  <c r="O20" i="5"/>
  <c r="O12" i="5"/>
  <c r="O13" i="5"/>
  <c r="O14" i="5"/>
  <c r="O15" i="5"/>
  <c r="O16" i="5"/>
  <c r="O17" i="5"/>
  <c r="O18" i="5"/>
  <c r="O19" i="5"/>
  <c r="O11" i="5"/>
  <c r="N34" i="5"/>
  <c r="N32" i="5"/>
  <c r="N33" i="5"/>
  <c r="N26" i="5"/>
  <c r="N21" i="5"/>
  <c r="N20" i="5"/>
  <c r="N12" i="5"/>
  <c r="N13" i="5"/>
  <c r="N14" i="5"/>
  <c r="N15" i="5"/>
  <c r="N16" i="5"/>
  <c r="N17" i="5"/>
  <c r="N18" i="5"/>
  <c r="N19" i="5"/>
  <c r="N11" i="5"/>
  <c r="L70" i="5"/>
  <c r="N53" i="2"/>
  <c r="J89" i="2"/>
  <c r="K88" i="2" s="1"/>
  <c r="O53" i="2" s="1"/>
  <c r="J89" i="1"/>
  <c r="K67" i="1" s="1"/>
  <c r="O43" i="1" s="1"/>
  <c r="O3" i="6"/>
  <c r="O7" i="6"/>
  <c r="D81" i="3" l="1"/>
  <c r="N51" i="3" s="1"/>
  <c r="D73" i="3"/>
  <c r="N43" i="3" s="1"/>
  <c r="D69" i="3"/>
  <c r="N39" i="3" s="1"/>
  <c r="D65" i="3"/>
  <c r="O35" i="3" s="1"/>
  <c r="D61" i="3"/>
  <c r="N31" i="3" s="1"/>
  <c r="N42" i="3"/>
  <c r="O42" i="3"/>
  <c r="D80" i="3"/>
  <c r="D76" i="3"/>
  <c r="D68" i="3"/>
  <c r="D64" i="3"/>
  <c r="D60" i="3"/>
  <c r="O51" i="3"/>
  <c r="O43" i="3"/>
  <c r="O39" i="3"/>
  <c r="O31" i="3"/>
  <c r="D58" i="3"/>
  <c r="D79" i="3"/>
  <c r="D75" i="3"/>
  <c r="D71" i="3"/>
  <c r="D67" i="3"/>
  <c r="D63" i="3"/>
  <c r="D59" i="3"/>
  <c r="N47" i="3"/>
  <c r="D82" i="3"/>
  <c r="D78" i="3"/>
  <c r="D74" i="3"/>
  <c r="D70" i="3"/>
  <c r="D66" i="3"/>
  <c r="D62" i="3"/>
  <c r="K67" i="2"/>
  <c r="K75" i="2"/>
  <c r="K83" i="2"/>
  <c r="K68" i="2"/>
  <c r="K72" i="2"/>
  <c r="K76" i="2"/>
  <c r="K80" i="2"/>
  <c r="K84" i="2"/>
  <c r="K65" i="2"/>
  <c r="K69" i="2"/>
  <c r="K73" i="2"/>
  <c r="K77" i="2"/>
  <c r="K81" i="2"/>
  <c r="K85" i="2"/>
  <c r="K71" i="2"/>
  <c r="K79" i="2"/>
  <c r="K66" i="2"/>
  <c r="K70" i="2"/>
  <c r="K74" i="2"/>
  <c r="K78" i="2"/>
  <c r="K82" i="2"/>
  <c r="K86" i="2"/>
  <c r="N43" i="1"/>
  <c r="K86" i="1"/>
  <c r="K82" i="1"/>
  <c r="K78" i="1"/>
  <c r="K74" i="1"/>
  <c r="K70" i="1"/>
  <c r="K66" i="1"/>
  <c r="K65" i="1"/>
  <c r="K85" i="1"/>
  <c r="K81" i="1"/>
  <c r="K77" i="1"/>
  <c r="K73" i="1"/>
  <c r="K69" i="1"/>
  <c r="K88" i="1"/>
  <c r="K84" i="1"/>
  <c r="K80" i="1"/>
  <c r="K76" i="1"/>
  <c r="K72" i="1"/>
  <c r="K68" i="1"/>
  <c r="K87" i="1"/>
  <c r="K83" i="1"/>
  <c r="K79" i="1"/>
  <c r="K75" i="1"/>
  <c r="K71" i="1"/>
  <c r="K87" i="2"/>
  <c r="O37" i="2" l="1"/>
  <c r="N37" i="2"/>
  <c r="O45" i="2"/>
  <c r="N45" i="2"/>
  <c r="O51" i="2"/>
  <c r="N51" i="2"/>
  <c r="O41" i="2"/>
  <c r="N41" i="2"/>
  <c r="O46" i="2"/>
  <c r="N46" i="2"/>
  <c r="N43" i="2"/>
  <c r="O43" i="2"/>
  <c r="N40" i="2"/>
  <c r="O40" i="2"/>
  <c r="N52" i="2"/>
  <c r="O52" i="2"/>
  <c r="N48" i="2"/>
  <c r="O48" i="2"/>
  <c r="O39" i="2"/>
  <c r="N39" i="2"/>
  <c r="N42" i="2"/>
  <c r="O42" i="2"/>
  <c r="O44" i="2"/>
  <c r="N44" i="2"/>
  <c r="O38" i="2"/>
  <c r="N38" i="2"/>
  <c r="N47" i="2"/>
  <c r="O47" i="2"/>
  <c r="N50" i="2"/>
  <c r="O50" i="2"/>
  <c r="O49" i="2"/>
  <c r="N49" i="2"/>
  <c r="N35" i="3"/>
  <c r="N32" i="3"/>
  <c r="O32" i="3"/>
  <c r="N29" i="3"/>
  <c r="O29" i="3"/>
  <c r="N45" i="3"/>
  <c r="O45" i="3"/>
  <c r="N36" i="3"/>
  <c r="O36" i="3"/>
  <c r="N52" i="3"/>
  <c r="O52" i="3"/>
  <c r="N33" i="3"/>
  <c r="O33" i="3"/>
  <c r="N49" i="3"/>
  <c r="O49" i="3"/>
  <c r="N38" i="3"/>
  <c r="O38" i="3"/>
  <c r="N40" i="3"/>
  <c r="O40" i="3"/>
  <c r="N37" i="3"/>
  <c r="O37" i="3"/>
  <c r="N28" i="3"/>
  <c r="O28" i="3"/>
  <c r="N46" i="3"/>
  <c r="O46" i="3"/>
  <c r="N44" i="3"/>
  <c r="O44" i="3"/>
  <c r="N41" i="3"/>
  <c r="O41" i="3"/>
  <c r="N30" i="3"/>
  <c r="O30" i="3"/>
  <c r="N50" i="3"/>
  <c r="O50" i="3"/>
  <c r="N48" i="3"/>
  <c r="O48" i="3"/>
  <c r="N34" i="3"/>
  <c r="O34" i="3"/>
  <c r="N32" i="2"/>
  <c r="O32" i="2"/>
  <c r="N31" i="2"/>
  <c r="O31" i="2"/>
  <c r="N34" i="2"/>
  <c r="O34" i="2"/>
  <c r="N33" i="2"/>
  <c r="O33" i="2"/>
  <c r="O30" i="2"/>
  <c r="N30" i="2"/>
  <c r="N36" i="2"/>
  <c r="O36" i="2"/>
  <c r="N35" i="2"/>
  <c r="O35" i="2"/>
  <c r="O55" i="1"/>
  <c r="N55" i="1"/>
  <c r="O56" i="1"/>
  <c r="N56" i="1"/>
  <c r="O45" i="1"/>
  <c r="N45" i="1"/>
  <c r="N35" i="1"/>
  <c r="O35" i="1"/>
  <c r="O41" i="1"/>
  <c r="N41" i="1"/>
  <c r="N40" i="1"/>
  <c r="O40" i="1"/>
  <c r="O37" i="1"/>
  <c r="N37" i="1"/>
  <c r="O52" i="1"/>
  <c r="N52" i="1"/>
  <c r="O49" i="1"/>
  <c r="N49" i="1"/>
  <c r="O39" i="1"/>
  <c r="N39" i="1"/>
  <c r="N42" i="1"/>
  <c r="O42" i="1"/>
  <c r="O47" i="1"/>
  <c r="N47" i="1"/>
  <c r="O44" i="1"/>
  <c r="N44" i="1"/>
  <c r="O34" i="1"/>
  <c r="N34" i="1"/>
  <c r="O57" i="1"/>
  <c r="N57" i="1"/>
  <c r="O46" i="1"/>
  <c r="N46" i="1"/>
  <c r="O54" i="1"/>
  <c r="N54" i="1"/>
  <c r="O51" i="1"/>
  <c r="N51" i="1"/>
  <c r="O48" i="1"/>
  <c r="N48" i="1"/>
  <c r="N38" i="1"/>
  <c r="O38" i="1"/>
  <c r="O53" i="1"/>
  <c r="N53" i="1"/>
  <c r="O50" i="1"/>
  <c r="N50" i="1"/>
  <c r="N36" i="1"/>
  <c r="O36" i="1"/>
  <c r="O14" i="6"/>
  <c r="O13" i="6"/>
  <c r="N11" i="6"/>
  <c r="O11" i="6"/>
  <c r="O10" i="6"/>
  <c r="O9" i="6"/>
  <c r="O8" i="6"/>
  <c r="N56" i="3" l="1"/>
  <c r="N60" i="1"/>
  <c r="O6" i="6"/>
  <c r="O5" i="6"/>
  <c r="O4" i="6"/>
  <c r="O9" i="11" l="1"/>
  <c r="O8" i="11"/>
  <c r="O7" i="11"/>
  <c r="O6" i="11"/>
  <c r="O5" i="11"/>
  <c r="O4" i="11"/>
  <c r="O3" i="11"/>
  <c r="O2" i="11"/>
  <c r="O6" i="13" l="1"/>
  <c r="O4" i="13"/>
  <c r="O73" i="12"/>
  <c r="O72" i="12"/>
  <c r="O71" i="12"/>
  <c r="N66" i="12"/>
  <c r="N67" i="12"/>
  <c r="N68" i="12"/>
  <c r="N69" i="12"/>
  <c r="N70" i="12"/>
  <c r="N65" i="12"/>
  <c r="N54" i="12"/>
  <c r="N55" i="12"/>
  <c r="N56" i="12"/>
  <c r="N57" i="12"/>
  <c r="N58" i="12"/>
  <c r="N53" i="12"/>
  <c r="N22" i="12"/>
  <c r="N23" i="12"/>
  <c r="N24" i="12"/>
  <c r="N25" i="12"/>
  <c r="N26" i="12"/>
  <c r="N27" i="12"/>
  <c r="N21" i="12"/>
  <c r="N6" i="12"/>
  <c r="O6" i="12"/>
  <c r="O5" i="12"/>
  <c r="N5" i="12"/>
  <c r="O79" i="4"/>
  <c r="O78" i="4"/>
  <c r="O77" i="4"/>
  <c r="O76" i="4"/>
  <c r="O75" i="4"/>
  <c r="O74" i="4"/>
  <c r="N12" i="14"/>
  <c r="N11" i="14"/>
  <c r="N10" i="14"/>
  <c r="N9" i="14"/>
  <c r="N8" i="14"/>
  <c r="O12" i="14"/>
  <c r="O11" i="14"/>
  <c r="O10" i="14"/>
  <c r="O9" i="14"/>
  <c r="O8" i="14"/>
  <c r="O15" i="14"/>
  <c r="O14" i="14"/>
  <c r="N15" i="14"/>
  <c r="N14" i="14"/>
  <c r="O19" i="14"/>
  <c r="O18" i="14"/>
  <c r="O17" i="14"/>
  <c r="O16" i="14"/>
  <c r="N19" i="14"/>
  <c r="N18" i="14"/>
  <c r="N17" i="14"/>
  <c r="N16" i="14"/>
  <c r="O21" i="14"/>
  <c r="O20" i="14"/>
  <c r="N21" i="14"/>
  <c r="N20" i="14"/>
  <c r="O23" i="14"/>
  <c r="O22" i="14"/>
  <c r="N23" i="14"/>
  <c r="N22" i="14"/>
  <c r="O41" i="14"/>
  <c r="O40" i="14"/>
  <c r="O39" i="14"/>
  <c r="O38" i="14"/>
  <c r="O37" i="14"/>
  <c r="O36" i="14"/>
  <c r="O35" i="14"/>
  <c r="O34" i="14"/>
  <c r="O33" i="14"/>
  <c r="N41" i="14"/>
  <c r="N40" i="14"/>
  <c r="N39" i="14"/>
  <c r="N38" i="14"/>
  <c r="N37" i="14"/>
  <c r="N36" i="14"/>
  <c r="N35" i="14"/>
  <c r="N34" i="14"/>
  <c r="N33" i="14"/>
  <c r="O47" i="14"/>
  <c r="O46" i="14"/>
  <c r="O45" i="14"/>
  <c r="O44" i="14"/>
  <c r="O43" i="14"/>
  <c r="O42" i="14"/>
  <c r="N47" i="14"/>
  <c r="N46" i="14"/>
  <c r="N45" i="14"/>
  <c r="N44" i="14"/>
  <c r="N43" i="14"/>
  <c r="N42" i="14"/>
  <c r="O56" i="14"/>
  <c r="O55" i="14"/>
  <c r="O54" i="14"/>
  <c r="O53" i="14"/>
  <c r="O52" i="14"/>
  <c r="O51" i="14"/>
  <c r="N56" i="14"/>
  <c r="N55" i="14"/>
  <c r="N54" i="14"/>
  <c r="N53" i="14"/>
  <c r="N52" i="14"/>
  <c r="N51" i="14"/>
  <c r="O62" i="14"/>
  <c r="O61" i="14"/>
  <c r="O60" i="14"/>
  <c r="O59" i="14"/>
  <c r="O58" i="14"/>
  <c r="O57" i="14"/>
  <c r="N62" i="14"/>
  <c r="N61" i="14"/>
  <c r="N60" i="14"/>
  <c r="N59" i="14"/>
  <c r="N58" i="14"/>
  <c r="N57" i="14"/>
  <c r="O68" i="14"/>
  <c r="O67" i="14"/>
  <c r="O66" i="14"/>
  <c r="O65" i="14"/>
  <c r="O64" i="14"/>
  <c r="O63" i="14"/>
  <c r="N68" i="14"/>
  <c r="N67" i="14"/>
  <c r="N66" i="14"/>
  <c r="N65" i="14"/>
  <c r="N64" i="14"/>
  <c r="N63" i="14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19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7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5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35" i="11"/>
  <c r="O52" i="7"/>
  <c r="O51" i="7"/>
  <c r="O50" i="7"/>
  <c r="O49" i="7"/>
  <c r="O48" i="7"/>
  <c r="O47" i="7"/>
  <c r="O46" i="7"/>
  <c r="O45" i="7"/>
  <c r="O44" i="7"/>
  <c r="N52" i="7"/>
  <c r="N51" i="7"/>
  <c r="N50" i="7"/>
  <c r="N49" i="7"/>
  <c r="N48" i="7"/>
  <c r="N47" i="7"/>
  <c r="N46" i="7"/>
  <c r="N45" i="7"/>
  <c r="N44" i="7"/>
  <c r="O19" i="7"/>
  <c r="O18" i="7"/>
  <c r="N19" i="7"/>
  <c r="N18" i="7"/>
  <c r="N52" i="4"/>
  <c r="N51" i="4"/>
  <c r="N50" i="4"/>
  <c r="N49" i="4"/>
  <c r="N48" i="4"/>
  <c r="N47" i="4"/>
  <c r="N46" i="4"/>
  <c r="N45" i="4"/>
  <c r="N44" i="4"/>
  <c r="O52" i="4"/>
  <c r="O51" i="4"/>
  <c r="O50" i="4"/>
  <c r="O49" i="4"/>
  <c r="O48" i="4"/>
  <c r="O47" i="4"/>
  <c r="O46" i="4"/>
  <c r="O45" i="4"/>
  <c r="O44" i="4"/>
  <c r="O19" i="4" l="1"/>
  <c r="N19" i="4"/>
  <c r="N18" i="4"/>
  <c r="O18" i="4"/>
  <c r="O384" i="15" l="1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383" i="15"/>
  <c r="O1904" i="15"/>
  <c r="O1905" i="15"/>
  <c r="O1906" i="15"/>
  <c r="O1907" i="15"/>
  <c r="O1908" i="15"/>
  <c r="O1909" i="15"/>
  <c r="O1910" i="15"/>
  <c r="O1911" i="15"/>
  <c r="O1912" i="15"/>
  <c r="O1913" i="15"/>
  <c r="O1914" i="15"/>
  <c r="O1915" i="15"/>
  <c r="O1916" i="15"/>
  <c r="O1917" i="15"/>
  <c r="O1918" i="15"/>
  <c r="O1919" i="15"/>
  <c r="O1920" i="15"/>
  <c r="O1921" i="15"/>
  <c r="O1903" i="15"/>
  <c r="O1809" i="15"/>
  <c r="O1810" i="15"/>
  <c r="O1811" i="15"/>
  <c r="O1812" i="15"/>
  <c r="O1813" i="15"/>
  <c r="O1814" i="15"/>
  <c r="O1815" i="15"/>
  <c r="O1816" i="15"/>
  <c r="O1817" i="15"/>
  <c r="O1818" i="15"/>
  <c r="O1819" i="15"/>
  <c r="O1820" i="15"/>
  <c r="O1821" i="15"/>
  <c r="O1822" i="15"/>
  <c r="O1823" i="15"/>
  <c r="O1824" i="15"/>
  <c r="O1825" i="15"/>
  <c r="O1826" i="15"/>
  <c r="O1808" i="15"/>
  <c r="N1790" i="15"/>
  <c r="N1791" i="15"/>
  <c r="N1792" i="15"/>
  <c r="N1793" i="15"/>
  <c r="N1794" i="15"/>
  <c r="N1795" i="15"/>
  <c r="N1796" i="15"/>
  <c r="N1797" i="15"/>
  <c r="N1798" i="15"/>
  <c r="N1799" i="15"/>
  <c r="N1800" i="15"/>
  <c r="N1801" i="15"/>
  <c r="N1802" i="15"/>
  <c r="N1803" i="15"/>
  <c r="N1804" i="15"/>
  <c r="N1805" i="15"/>
  <c r="N1806" i="15"/>
  <c r="N1807" i="15"/>
  <c r="N1789" i="15"/>
  <c r="O1790" i="15"/>
  <c r="O1791" i="15"/>
  <c r="O1792" i="15"/>
  <c r="O1793" i="15"/>
  <c r="O1794" i="15"/>
  <c r="O1795" i="15"/>
  <c r="O1796" i="15"/>
  <c r="O1797" i="15"/>
  <c r="O1798" i="15"/>
  <c r="O1799" i="15"/>
  <c r="O1800" i="15"/>
  <c r="O1801" i="15"/>
  <c r="O1802" i="15"/>
  <c r="O1803" i="15"/>
  <c r="O1804" i="15"/>
  <c r="O1805" i="15"/>
  <c r="O1806" i="15"/>
  <c r="O1807" i="15"/>
  <c r="O1789" i="15"/>
  <c r="O1755" i="15"/>
  <c r="N1714" i="15"/>
  <c r="N1715" i="15"/>
  <c r="N1716" i="15"/>
  <c r="N1717" i="15"/>
  <c r="N1718" i="15"/>
  <c r="N1719" i="15"/>
  <c r="N1720" i="15"/>
  <c r="N1721" i="15"/>
  <c r="N1722" i="15"/>
  <c r="N1723" i="15"/>
  <c r="N1724" i="15"/>
  <c r="N1725" i="15"/>
  <c r="N1726" i="15"/>
  <c r="N1727" i="15"/>
  <c r="N1728" i="15"/>
  <c r="N1729" i="15"/>
  <c r="N1730" i="15"/>
  <c r="N1731" i="15"/>
  <c r="N1713" i="15"/>
  <c r="O1714" i="15"/>
  <c r="O1715" i="15"/>
  <c r="O1716" i="15"/>
  <c r="O1717" i="15"/>
  <c r="O1718" i="15"/>
  <c r="O1719" i="15"/>
  <c r="O1720" i="15"/>
  <c r="O1721" i="15"/>
  <c r="O1722" i="15"/>
  <c r="O1723" i="15"/>
  <c r="O1724" i="15"/>
  <c r="O1725" i="15"/>
  <c r="O1726" i="15"/>
  <c r="O1727" i="15"/>
  <c r="O1728" i="15"/>
  <c r="O1729" i="15"/>
  <c r="O1730" i="15"/>
  <c r="O1731" i="15"/>
  <c r="O1713" i="15"/>
  <c r="O1581" i="15"/>
  <c r="O1582" i="15"/>
  <c r="O1583" i="15"/>
  <c r="O1584" i="15"/>
  <c r="O1585" i="15"/>
  <c r="O1586" i="15"/>
  <c r="O1587" i="15"/>
  <c r="O1588" i="15"/>
  <c r="O1589" i="15"/>
  <c r="O1590" i="15"/>
  <c r="O1591" i="15"/>
  <c r="O1592" i="15"/>
  <c r="O1593" i="15"/>
  <c r="O1594" i="15"/>
  <c r="O1595" i="15"/>
  <c r="O1596" i="15"/>
  <c r="O1597" i="15"/>
  <c r="O1598" i="15"/>
  <c r="O1580" i="15"/>
  <c r="N1562" i="15"/>
  <c r="N1563" i="15"/>
  <c r="N1564" i="15"/>
  <c r="N1565" i="15"/>
  <c r="N1566" i="15"/>
  <c r="N1567" i="15"/>
  <c r="N1568" i="15"/>
  <c r="N1569" i="15"/>
  <c r="N1570" i="15"/>
  <c r="N1571" i="15"/>
  <c r="N1572" i="15"/>
  <c r="N1573" i="15"/>
  <c r="N1574" i="15"/>
  <c r="N1575" i="15"/>
  <c r="N1576" i="15"/>
  <c r="N1577" i="15"/>
  <c r="N1578" i="15"/>
  <c r="N1579" i="15"/>
  <c r="N1561" i="15"/>
  <c r="O1562" i="15"/>
  <c r="O1563" i="15"/>
  <c r="O1564" i="15"/>
  <c r="O1565" i="15"/>
  <c r="O1566" i="15"/>
  <c r="O1567" i="15"/>
  <c r="O1568" i="15"/>
  <c r="O1569" i="15"/>
  <c r="O1570" i="15"/>
  <c r="O1571" i="15"/>
  <c r="O1572" i="15"/>
  <c r="O1573" i="15"/>
  <c r="O1574" i="15"/>
  <c r="O1575" i="15"/>
  <c r="O1576" i="15"/>
  <c r="O1577" i="15"/>
  <c r="O1578" i="15"/>
  <c r="O1579" i="15"/>
  <c r="O1561" i="15"/>
  <c r="N1524" i="15"/>
  <c r="N1525" i="15"/>
  <c r="N1526" i="15"/>
  <c r="N1527" i="15"/>
  <c r="N1528" i="15"/>
  <c r="N1529" i="15"/>
  <c r="N1530" i="15"/>
  <c r="N1531" i="15"/>
  <c r="N1532" i="15"/>
  <c r="N1533" i="15"/>
  <c r="N1534" i="15"/>
  <c r="N1535" i="15"/>
  <c r="N1536" i="15"/>
  <c r="N1537" i="15"/>
  <c r="N1538" i="15"/>
  <c r="N1539" i="15"/>
  <c r="N1540" i="15"/>
  <c r="N1541" i="15"/>
  <c r="N1523" i="15"/>
  <c r="N1257" i="15"/>
  <c r="N630" i="15"/>
  <c r="N112" i="15"/>
  <c r="N110" i="15"/>
  <c r="N94" i="15"/>
  <c r="O73" i="15"/>
  <c r="N73" i="15"/>
  <c r="N63" i="15"/>
  <c r="O35" i="15"/>
  <c r="N35" i="15"/>
  <c r="O106" i="11"/>
  <c r="O107" i="11"/>
  <c r="O108" i="11"/>
  <c r="O109" i="11"/>
  <c r="O110" i="11"/>
  <c r="O111" i="11"/>
  <c r="O112" i="11"/>
  <c r="O113" i="11"/>
  <c r="O114" i="11"/>
  <c r="O46" i="11"/>
  <c r="O47" i="11"/>
  <c r="O48" i="11"/>
  <c r="O49" i="11"/>
  <c r="O50" i="11"/>
  <c r="O51" i="11"/>
  <c r="O52" i="11"/>
  <c r="O53" i="11"/>
  <c r="O54" i="11"/>
  <c r="O14" i="11"/>
  <c r="O45" i="11"/>
  <c r="O37" i="15"/>
  <c r="O2" i="3"/>
  <c r="O3" i="3"/>
  <c r="O7" i="15"/>
  <c r="Q16" i="15" s="1"/>
  <c r="O9" i="15"/>
  <c r="O11" i="15"/>
  <c r="O21" i="15"/>
  <c r="O24" i="15"/>
  <c r="O26" i="15"/>
  <c r="O27" i="15"/>
  <c r="O30" i="15"/>
  <c r="O33" i="15"/>
  <c r="O38" i="15"/>
  <c r="O39" i="15"/>
  <c r="O40" i="15"/>
  <c r="O41" i="15"/>
  <c r="O42" i="15"/>
  <c r="O46" i="15"/>
  <c r="O47" i="15"/>
  <c r="O49" i="15"/>
  <c r="O52" i="15"/>
  <c r="O55" i="15"/>
  <c r="O59" i="15"/>
  <c r="O58" i="15"/>
  <c r="O60" i="15"/>
  <c r="O62" i="15"/>
  <c r="O63" i="15"/>
  <c r="O66" i="15"/>
  <c r="O68" i="15"/>
  <c r="O69" i="15"/>
  <c r="O70" i="15"/>
  <c r="O71" i="15"/>
  <c r="O72" i="15"/>
  <c r="O75" i="15"/>
  <c r="O80" i="15"/>
  <c r="Q116" i="15" s="1"/>
  <c r="O82" i="15"/>
  <c r="O85" i="15"/>
  <c r="O89" i="15"/>
  <c r="O88" i="15"/>
  <c r="O90" i="15"/>
  <c r="O92" i="15"/>
  <c r="O93" i="15"/>
  <c r="O94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4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36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74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69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26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02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59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497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16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54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O590" i="15"/>
  <c r="O591" i="15"/>
  <c r="O573" i="15"/>
  <c r="O593" i="15"/>
  <c r="O594" i="15"/>
  <c r="O595" i="15"/>
  <c r="O596" i="15"/>
  <c r="O597" i="15"/>
  <c r="O598" i="15"/>
  <c r="O599" i="15"/>
  <c r="O600" i="15"/>
  <c r="O601" i="15"/>
  <c r="O602" i="15"/>
  <c r="O603" i="15"/>
  <c r="O604" i="15"/>
  <c r="O605" i="15"/>
  <c r="O606" i="15"/>
  <c r="O607" i="15"/>
  <c r="O608" i="15"/>
  <c r="O609" i="15"/>
  <c r="O610" i="15"/>
  <c r="O592" i="15"/>
  <c r="O612" i="15"/>
  <c r="O613" i="15"/>
  <c r="O614" i="15"/>
  <c r="O615" i="15"/>
  <c r="O616" i="15"/>
  <c r="O617" i="15"/>
  <c r="O618" i="15"/>
  <c r="O619" i="15"/>
  <c r="O620" i="15"/>
  <c r="O621" i="15"/>
  <c r="O622" i="15"/>
  <c r="O623" i="15"/>
  <c r="O624" i="15"/>
  <c r="O625" i="15"/>
  <c r="O626" i="15"/>
  <c r="O627" i="15"/>
  <c r="O628" i="15"/>
  <c r="O629" i="15"/>
  <c r="O611" i="15"/>
  <c r="O631" i="15"/>
  <c r="O632" i="15"/>
  <c r="O633" i="15"/>
  <c r="O634" i="15"/>
  <c r="O635" i="15"/>
  <c r="O636" i="15"/>
  <c r="O637" i="15"/>
  <c r="O638" i="15"/>
  <c r="O639" i="15"/>
  <c r="O640" i="15"/>
  <c r="O641" i="15"/>
  <c r="O642" i="15"/>
  <c r="O643" i="15"/>
  <c r="O644" i="15"/>
  <c r="O645" i="15"/>
  <c r="O646" i="15"/>
  <c r="O647" i="15"/>
  <c r="O648" i="15"/>
  <c r="O630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31" i="15"/>
  <c r="O650" i="15"/>
  <c r="O651" i="15"/>
  <c r="O652" i="15"/>
  <c r="O653" i="15"/>
  <c r="O654" i="15"/>
  <c r="O655" i="15"/>
  <c r="O656" i="15"/>
  <c r="O657" i="15"/>
  <c r="O658" i="15"/>
  <c r="O659" i="15"/>
  <c r="O660" i="15"/>
  <c r="O661" i="15"/>
  <c r="O662" i="15"/>
  <c r="O663" i="15"/>
  <c r="O664" i="15"/>
  <c r="O665" i="15"/>
  <c r="O666" i="15"/>
  <c r="O667" i="15"/>
  <c r="O649" i="15"/>
  <c r="O669" i="15"/>
  <c r="O670" i="15"/>
  <c r="O671" i="15"/>
  <c r="O672" i="15"/>
  <c r="O673" i="15"/>
  <c r="O674" i="15"/>
  <c r="O675" i="15"/>
  <c r="O676" i="15"/>
  <c r="O677" i="15"/>
  <c r="O678" i="15"/>
  <c r="O679" i="15"/>
  <c r="O680" i="15"/>
  <c r="O681" i="15"/>
  <c r="O682" i="15"/>
  <c r="O683" i="15"/>
  <c r="O684" i="15"/>
  <c r="O685" i="15"/>
  <c r="O686" i="15"/>
  <c r="O668" i="15"/>
  <c r="O688" i="15"/>
  <c r="O689" i="15"/>
  <c r="O690" i="15"/>
  <c r="O691" i="15"/>
  <c r="O692" i="15"/>
  <c r="O693" i="15"/>
  <c r="O694" i="15"/>
  <c r="O695" i="15"/>
  <c r="O696" i="15"/>
  <c r="O697" i="15"/>
  <c r="O698" i="15"/>
  <c r="O699" i="15"/>
  <c r="O700" i="15"/>
  <c r="O701" i="15"/>
  <c r="O702" i="15"/>
  <c r="O703" i="15"/>
  <c r="O704" i="15"/>
  <c r="O705" i="15"/>
  <c r="O687" i="15"/>
  <c r="O707" i="15"/>
  <c r="O708" i="15"/>
  <c r="O709" i="15"/>
  <c r="O710" i="15"/>
  <c r="O711" i="15"/>
  <c r="O712" i="15"/>
  <c r="O713" i="15"/>
  <c r="O714" i="15"/>
  <c r="O715" i="15"/>
  <c r="O716" i="15"/>
  <c r="O717" i="15"/>
  <c r="O718" i="15"/>
  <c r="O719" i="15"/>
  <c r="O720" i="15"/>
  <c r="O721" i="15"/>
  <c r="O722" i="15"/>
  <c r="O723" i="15"/>
  <c r="O724" i="15"/>
  <c r="O706" i="15"/>
  <c r="O726" i="15"/>
  <c r="O727" i="15"/>
  <c r="O728" i="15"/>
  <c r="O729" i="15"/>
  <c r="O730" i="15"/>
  <c r="O731" i="15"/>
  <c r="O732" i="15"/>
  <c r="O733" i="15"/>
  <c r="O734" i="15"/>
  <c r="O735" i="15"/>
  <c r="O736" i="15"/>
  <c r="O737" i="15"/>
  <c r="O738" i="15"/>
  <c r="O739" i="15"/>
  <c r="O740" i="15"/>
  <c r="O741" i="15"/>
  <c r="O742" i="15"/>
  <c r="O743" i="15"/>
  <c r="O725" i="15"/>
  <c r="O764" i="15"/>
  <c r="O765" i="15"/>
  <c r="O766" i="15"/>
  <c r="O767" i="15"/>
  <c r="O768" i="15"/>
  <c r="O769" i="15"/>
  <c r="O770" i="15"/>
  <c r="O771" i="15"/>
  <c r="O772" i="15"/>
  <c r="O773" i="15"/>
  <c r="O774" i="15"/>
  <c r="O775" i="15"/>
  <c r="O776" i="15"/>
  <c r="O777" i="15"/>
  <c r="O778" i="15"/>
  <c r="O779" i="15"/>
  <c r="O780" i="15"/>
  <c r="O781" i="15"/>
  <c r="O763" i="15"/>
  <c r="O783" i="15"/>
  <c r="O784" i="15"/>
  <c r="O785" i="15"/>
  <c r="O786" i="15"/>
  <c r="O787" i="15"/>
  <c r="O788" i="15"/>
  <c r="O789" i="15"/>
  <c r="O790" i="15"/>
  <c r="O791" i="15"/>
  <c r="O792" i="15"/>
  <c r="O793" i="15"/>
  <c r="O794" i="15"/>
  <c r="O795" i="15"/>
  <c r="O796" i="15"/>
  <c r="O797" i="15"/>
  <c r="O798" i="15"/>
  <c r="O799" i="15"/>
  <c r="O800" i="15"/>
  <c r="O782" i="15"/>
  <c r="O802" i="15"/>
  <c r="O803" i="15"/>
  <c r="O804" i="15"/>
  <c r="O805" i="15"/>
  <c r="O806" i="15"/>
  <c r="O807" i="15"/>
  <c r="O808" i="15"/>
  <c r="O809" i="15"/>
  <c r="O810" i="15"/>
  <c r="O811" i="15"/>
  <c r="O812" i="15"/>
  <c r="O813" i="15"/>
  <c r="O814" i="15"/>
  <c r="O815" i="15"/>
  <c r="O816" i="15"/>
  <c r="O817" i="15"/>
  <c r="O818" i="15"/>
  <c r="O819" i="15"/>
  <c r="O801" i="15"/>
  <c r="O821" i="15"/>
  <c r="O822" i="15"/>
  <c r="O823" i="15"/>
  <c r="O824" i="15"/>
  <c r="O825" i="15"/>
  <c r="O826" i="15"/>
  <c r="O827" i="15"/>
  <c r="O828" i="15"/>
  <c r="O829" i="15"/>
  <c r="O830" i="15"/>
  <c r="O831" i="15"/>
  <c r="O832" i="15"/>
  <c r="O833" i="15"/>
  <c r="O834" i="15"/>
  <c r="O835" i="15"/>
  <c r="O836" i="15"/>
  <c r="O837" i="15"/>
  <c r="O838" i="15"/>
  <c r="O820" i="15"/>
  <c r="O859" i="15"/>
  <c r="O860" i="15"/>
  <c r="O861" i="15"/>
  <c r="O862" i="15"/>
  <c r="O863" i="15"/>
  <c r="O864" i="15"/>
  <c r="O865" i="15"/>
  <c r="O866" i="15"/>
  <c r="O867" i="15"/>
  <c r="O868" i="15"/>
  <c r="O869" i="15"/>
  <c r="O870" i="15"/>
  <c r="O871" i="15"/>
  <c r="O872" i="15"/>
  <c r="O873" i="15"/>
  <c r="O874" i="15"/>
  <c r="O875" i="15"/>
  <c r="O876" i="15"/>
  <c r="O858" i="15"/>
  <c r="O878" i="15"/>
  <c r="O879" i="15"/>
  <c r="O880" i="15"/>
  <c r="O881" i="15"/>
  <c r="O882" i="15"/>
  <c r="O883" i="15"/>
  <c r="O884" i="15"/>
  <c r="O885" i="15"/>
  <c r="O886" i="15"/>
  <c r="O887" i="15"/>
  <c r="O888" i="15"/>
  <c r="O889" i="15"/>
  <c r="O890" i="15"/>
  <c r="O891" i="15"/>
  <c r="O892" i="15"/>
  <c r="O893" i="15"/>
  <c r="O894" i="15"/>
  <c r="O895" i="15"/>
  <c r="O877" i="15"/>
  <c r="O897" i="15"/>
  <c r="O898" i="15"/>
  <c r="O899" i="15"/>
  <c r="O900" i="15"/>
  <c r="O901" i="15"/>
  <c r="O902" i="15"/>
  <c r="O903" i="15"/>
  <c r="O904" i="15"/>
  <c r="O905" i="15"/>
  <c r="O906" i="15"/>
  <c r="O907" i="15"/>
  <c r="O908" i="15"/>
  <c r="O909" i="15"/>
  <c r="O910" i="15"/>
  <c r="O911" i="15"/>
  <c r="O912" i="15"/>
  <c r="O913" i="15"/>
  <c r="O914" i="15"/>
  <c r="O896" i="15"/>
  <c r="O935" i="15"/>
  <c r="O936" i="15"/>
  <c r="O937" i="15"/>
  <c r="O938" i="15"/>
  <c r="O939" i="15"/>
  <c r="O940" i="15"/>
  <c r="O941" i="15"/>
  <c r="O942" i="15"/>
  <c r="O943" i="15"/>
  <c r="O944" i="15"/>
  <c r="O945" i="15"/>
  <c r="O946" i="15"/>
  <c r="O947" i="15"/>
  <c r="O948" i="15"/>
  <c r="O949" i="15"/>
  <c r="O950" i="15"/>
  <c r="O951" i="15"/>
  <c r="O952" i="15"/>
  <c r="O934" i="15"/>
  <c r="O954" i="15"/>
  <c r="O955" i="15"/>
  <c r="O956" i="15"/>
  <c r="O957" i="15"/>
  <c r="O958" i="15"/>
  <c r="O959" i="15"/>
  <c r="O960" i="15"/>
  <c r="O961" i="15"/>
  <c r="O962" i="15"/>
  <c r="O963" i="15"/>
  <c r="O964" i="15"/>
  <c r="O965" i="15"/>
  <c r="O966" i="15"/>
  <c r="O967" i="15"/>
  <c r="O968" i="15"/>
  <c r="O969" i="15"/>
  <c r="O970" i="15"/>
  <c r="O971" i="15"/>
  <c r="O953" i="15"/>
  <c r="O973" i="15"/>
  <c r="O974" i="15"/>
  <c r="O975" i="15"/>
  <c r="O976" i="15"/>
  <c r="O977" i="15"/>
  <c r="O978" i="15"/>
  <c r="O979" i="15"/>
  <c r="O980" i="15"/>
  <c r="O981" i="15"/>
  <c r="O982" i="15"/>
  <c r="O983" i="15"/>
  <c r="O984" i="15"/>
  <c r="O985" i="15"/>
  <c r="O986" i="15"/>
  <c r="O987" i="15"/>
  <c r="O988" i="15"/>
  <c r="O989" i="15"/>
  <c r="O990" i="15"/>
  <c r="O972" i="15"/>
  <c r="O1011" i="15"/>
  <c r="O1012" i="15"/>
  <c r="O1013" i="15"/>
  <c r="O1014" i="15"/>
  <c r="O1015" i="15"/>
  <c r="O1016" i="15"/>
  <c r="O1017" i="15"/>
  <c r="O1018" i="15"/>
  <c r="O1019" i="15"/>
  <c r="O1020" i="15"/>
  <c r="O1021" i="15"/>
  <c r="O1022" i="15"/>
  <c r="O1023" i="15"/>
  <c r="O1024" i="15"/>
  <c r="O1025" i="15"/>
  <c r="O1026" i="15"/>
  <c r="O1027" i="15"/>
  <c r="O1028" i="15"/>
  <c r="O1010" i="15"/>
  <c r="O1030" i="15"/>
  <c r="O1031" i="15"/>
  <c r="O1032" i="15"/>
  <c r="O1033" i="15"/>
  <c r="O1034" i="15"/>
  <c r="O1035" i="15"/>
  <c r="O1036" i="15"/>
  <c r="O1037" i="15"/>
  <c r="O1038" i="15"/>
  <c r="O1039" i="15"/>
  <c r="O1040" i="15"/>
  <c r="O1041" i="15"/>
  <c r="O1042" i="15"/>
  <c r="O1043" i="15"/>
  <c r="O1044" i="15"/>
  <c r="O1045" i="15"/>
  <c r="O1046" i="15"/>
  <c r="O1047" i="15"/>
  <c r="O1029" i="15"/>
  <c r="O1066" i="15"/>
  <c r="O1049" i="15"/>
  <c r="O1050" i="15"/>
  <c r="O1051" i="15"/>
  <c r="O1052" i="15"/>
  <c r="O1053" i="15"/>
  <c r="O1054" i="15"/>
  <c r="O1055" i="15"/>
  <c r="O1056" i="15"/>
  <c r="O1057" i="15"/>
  <c r="O1058" i="15"/>
  <c r="O1059" i="15"/>
  <c r="O1060" i="15"/>
  <c r="O1061" i="15"/>
  <c r="O1062" i="15"/>
  <c r="O1063" i="15"/>
  <c r="O1064" i="15"/>
  <c r="O1065" i="15"/>
  <c r="O1048" i="15"/>
  <c r="O1068" i="15"/>
  <c r="O1069" i="15"/>
  <c r="O1070" i="15"/>
  <c r="O1071" i="15"/>
  <c r="O1072" i="15"/>
  <c r="O1073" i="15"/>
  <c r="O1074" i="15"/>
  <c r="O1075" i="15"/>
  <c r="O1076" i="15"/>
  <c r="O1077" i="15"/>
  <c r="O1078" i="15"/>
  <c r="O1079" i="15"/>
  <c r="O1080" i="15"/>
  <c r="O1081" i="15"/>
  <c r="O1082" i="15"/>
  <c r="O1083" i="15"/>
  <c r="O1084" i="15"/>
  <c r="O1085" i="15"/>
  <c r="O1067" i="15"/>
  <c r="O1106" i="15"/>
  <c r="O1107" i="15"/>
  <c r="O1108" i="15"/>
  <c r="O1109" i="15"/>
  <c r="O1110" i="15"/>
  <c r="O1111" i="15"/>
  <c r="O1112" i="15"/>
  <c r="O1113" i="15"/>
  <c r="O1114" i="15"/>
  <c r="O1115" i="15"/>
  <c r="O1116" i="15"/>
  <c r="O1117" i="15"/>
  <c r="O1118" i="15"/>
  <c r="O1119" i="15"/>
  <c r="O1120" i="15"/>
  <c r="O1121" i="15"/>
  <c r="O1122" i="15"/>
  <c r="O1123" i="15"/>
  <c r="O1105" i="15"/>
  <c r="O1125" i="15"/>
  <c r="O1126" i="15"/>
  <c r="O1127" i="15"/>
  <c r="O1128" i="15"/>
  <c r="O1129" i="15"/>
  <c r="O1130" i="15"/>
  <c r="O1131" i="15"/>
  <c r="O1132" i="15"/>
  <c r="O1133" i="15"/>
  <c r="O1134" i="15"/>
  <c r="O1135" i="15"/>
  <c r="O1136" i="15"/>
  <c r="O1137" i="15"/>
  <c r="O1138" i="15"/>
  <c r="O1139" i="15"/>
  <c r="O1140" i="15"/>
  <c r="O1141" i="15"/>
  <c r="O1142" i="15"/>
  <c r="O1124" i="15"/>
  <c r="O1144" i="15"/>
  <c r="O1145" i="15"/>
  <c r="O1146" i="15"/>
  <c r="O1147" i="15"/>
  <c r="O1148" i="15"/>
  <c r="O1149" i="15"/>
  <c r="O1150" i="15"/>
  <c r="O1151" i="15"/>
  <c r="O1152" i="15"/>
  <c r="O1153" i="15"/>
  <c r="O1154" i="15"/>
  <c r="O1155" i="15"/>
  <c r="O1156" i="15"/>
  <c r="O1157" i="15"/>
  <c r="O1158" i="15"/>
  <c r="O1159" i="15"/>
  <c r="O1160" i="15"/>
  <c r="O1161" i="15"/>
  <c r="O1143" i="15"/>
  <c r="O1163" i="15"/>
  <c r="O1164" i="15"/>
  <c r="O1165" i="15"/>
  <c r="O1166" i="15"/>
  <c r="O1167" i="15"/>
  <c r="O1168" i="15"/>
  <c r="O1169" i="15"/>
  <c r="O1170" i="15"/>
  <c r="O1171" i="15"/>
  <c r="O1172" i="15"/>
  <c r="O1173" i="15"/>
  <c r="O1174" i="15"/>
  <c r="O1175" i="15"/>
  <c r="O1176" i="15"/>
  <c r="O1177" i="15"/>
  <c r="O1178" i="15"/>
  <c r="O1179" i="15"/>
  <c r="O1180" i="15"/>
  <c r="O1162" i="15"/>
  <c r="O1201" i="15"/>
  <c r="O1202" i="15"/>
  <c r="O1203" i="15"/>
  <c r="O1204" i="15"/>
  <c r="O1205" i="15"/>
  <c r="O1206" i="15"/>
  <c r="O1207" i="15"/>
  <c r="O1208" i="15"/>
  <c r="O1209" i="15"/>
  <c r="O1210" i="15"/>
  <c r="O1211" i="15"/>
  <c r="O1212" i="15"/>
  <c r="O1213" i="15"/>
  <c r="O1214" i="15"/>
  <c r="O1215" i="15"/>
  <c r="O1216" i="15"/>
  <c r="O1217" i="15"/>
  <c r="O1218" i="15"/>
  <c r="O1200" i="15"/>
  <c r="O1220" i="15"/>
  <c r="O1221" i="15"/>
  <c r="O1222" i="15"/>
  <c r="O1223" i="15"/>
  <c r="O1224" i="15"/>
  <c r="O1225" i="15"/>
  <c r="O1226" i="15"/>
  <c r="O1227" i="15"/>
  <c r="O1228" i="15"/>
  <c r="O1229" i="15"/>
  <c r="O1230" i="15"/>
  <c r="O1231" i="15"/>
  <c r="O1232" i="15"/>
  <c r="O1233" i="15"/>
  <c r="O1234" i="15"/>
  <c r="O1235" i="15"/>
  <c r="O1236" i="15"/>
  <c r="O1237" i="15"/>
  <c r="O1219" i="15"/>
  <c r="O1239" i="15"/>
  <c r="O1240" i="15"/>
  <c r="O1241" i="15"/>
  <c r="O1242" i="15"/>
  <c r="O1243" i="15"/>
  <c r="O1244" i="15"/>
  <c r="O1245" i="15"/>
  <c r="O1246" i="15"/>
  <c r="O1247" i="15"/>
  <c r="O1248" i="15"/>
  <c r="O1249" i="15"/>
  <c r="O1250" i="15"/>
  <c r="O1251" i="15"/>
  <c r="O1252" i="15"/>
  <c r="O1253" i="15"/>
  <c r="O1254" i="15"/>
  <c r="O1255" i="15"/>
  <c r="O1256" i="15"/>
  <c r="O1238" i="15"/>
  <c r="O1258" i="15"/>
  <c r="O1259" i="15"/>
  <c r="O1260" i="15"/>
  <c r="O1261" i="15"/>
  <c r="O1262" i="15"/>
  <c r="O1263" i="15"/>
  <c r="O1264" i="15"/>
  <c r="O1265" i="15"/>
  <c r="O1266" i="15"/>
  <c r="O1267" i="15"/>
  <c r="O1268" i="15"/>
  <c r="O1269" i="15"/>
  <c r="O1270" i="15"/>
  <c r="O1271" i="15"/>
  <c r="O1272" i="15"/>
  <c r="O1273" i="15"/>
  <c r="O1274" i="15"/>
  <c r="O1275" i="15"/>
  <c r="O1257" i="15"/>
  <c r="O1277" i="15"/>
  <c r="O1278" i="15"/>
  <c r="O1279" i="15"/>
  <c r="O1280" i="15"/>
  <c r="O1281" i="15"/>
  <c r="O1282" i="15"/>
  <c r="O1283" i="15"/>
  <c r="O1284" i="15"/>
  <c r="O1285" i="15"/>
  <c r="O1286" i="15"/>
  <c r="O1287" i="15"/>
  <c r="O1288" i="15"/>
  <c r="O1289" i="15"/>
  <c r="O1290" i="15"/>
  <c r="O1291" i="15"/>
  <c r="O1292" i="15"/>
  <c r="O1293" i="15"/>
  <c r="O1294" i="15"/>
  <c r="O1276" i="15"/>
  <c r="O1296" i="15"/>
  <c r="O1297" i="15"/>
  <c r="O1298" i="15"/>
  <c r="O1299" i="15"/>
  <c r="O1300" i="15"/>
  <c r="O1301" i="15"/>
  <c r="O1302" i="15"/>
  <c r="O1303" i="15"/>
  <c r="O1304" i="15"/>
  <c r="O1305" i="15"/>
  <c r="O1306" i="15"/>
  <c r="O1307" i="15"/>
  <c r="O1308" i="15"/>
  <c r="O1309" i="15"/>
  <c r="O1310" i="15"/>
  <c r="O1311" i="15"/>
  <c r="O1312" i="15"/>
  <c r="O1313" i="15"/>
  <c r="O1295" i="15"/>
  <c r="O1315" i="15"/>
  <c r="O1316" i="15"/>
  <c r="O1317" i="15"/>
  <c r="O1318" i="15"/>
  <c r="O1319" i="15"/>
  <c r="O1320" i="15"/>
  <c r="O1321" i="15"/>
  <c r="O1322" i="15"/>
  <c r="O1323" i="15"/>
  <c r="O1324" i="15"/>
  <c r="O1325" i="15"/>
  <c r="O1326" i="15"/>
  <c r="O1327" i="15"/>
  <c r="O1328" i="15"/>
  <c r="O1329" i="15"/>
  <c r="O1330" i="15"/>
  <c r="O1331" i="15"/>
  <c r="O1332" i="15"/>
  <c r="O1314" i="15"/>
  <c r="O1334" i="15"/>
  <c r="O1335" i="15"/>
  <c r="O1336" i="15"/>
  <c r="O1337" i="15"/>
  <c r="O1338" i="15"/>
  <c r="O1339" i="15"/>
  <c r="O1340" i="15"/>
  <c r="O1341" i="15"/>
  <c r="O1342" i="15"/>
  <c r="O1343" i="15"/>
  <c r="O1344" i="15"/>
  <c r="O1345" i="15"/>
  <c r="O1346" i="15"/>
  <c r="O1347" i="15"/>
  <c r="O1348" i="15"/>
  <c r="O1349" i="15"/>
  <c r="O1350" i="15"/>
  <c r="O1351" i="15"/>
  <c r="O1333" i="15"/>
  <c r="O1353" i="15"/>
  <c r="O1354" i="15"/>
  <c r="O1355" i="15"/>
  <c r="O1356" i="15"/>
  <c r="O1357" i="15"/>
  <c r="O1358" i="15"/>
  <c r="O1359" i="15"/>
  <c r="O1360" i="15"/>
  <c r="O1361" i="15"/>
  <c r="O1362" i="15"/>
  <c r="O1363" i="15"/>
  <c r="O1364" i="15"/>
  <c r="O1365" i="15"/>
  <c r="O1366" i="15"/>
  <c r="O1367" i="15"/>
  <c r="O1368" i="15"/>
  <c r="O1369" i="15"/>
  <c r="O1370" i="15"/>
  <c r="O1352" i="15"/>
  <c r="O1372" i="15"/>
  <c r="O1373" i="15"/>
  <c r="O1374" i="15"/>
  <c r="O1375" i="15"/>
  <c r="O1376" i="15"/>
  <c r="O1377" i="15"/>
  <c r="O1378" i="15"/>
  <c r="O1379" i="15"/>
  <c r="O1380" i="15"/>
  <c r="O1381" i="15"/>
  <c r="O1382" i="15"/>
  <c r="O1383" i="15"/>
  <c r="O1384" i="15"/>
  <c r="O1385" i="15"/>
  <c r="O1386" i="15"/>
  <c r="O1387" i="15"/>
  <c r="O1388" i="15"/>
  <c r="O1389" i="15"/>
  <c r="O1371" i="15"/>
  <c r="O1410" i="15"/>
  <c r="O1411" i="15"/>
  <c r="O1412" i="15"/>
  <c r="O1413" i="15"/>
  <c r="O1414" i="15"/>
  <c r="O1415" i="15"/>
  <c r="O1416" i="15"/>
  <c r="O1417" i="15"/>
  <c r="O1418" i="15"/>
  <c r="O1419" i="15"/>
  <c r="O1420" i="15"/>
  <c r="O1421" i="15"/>
  <c r="O1422" i="15"/>
  <c r="O1423" i="15"/>
  <c r="O1424" i="15"/>
  <c r="O1425" i="15"/>
  <c r="O1426" i="15"/>
  <c r="O1427" i="15"/>
  <c r="O1409" i="15"/>
  <c r="O1429" i="15"/>
  <c r="O1430" i="15"/>
  <c r="O1431" i="15"/>
  <c r="O1432" i="15"/>
  <c r="O1433" i="15"/>
  <c r="O1434" i="15"/>
  <c r="O1435" i="15"/>
  <c r="O1436" i="15"/>
  <c r="O1437" i="15"/>
  <c r="O1438" i="15"/>
  <c r="O1439" i="15"/>
  <c r="O1440" i="15"/>
  <c r="O1441" i="15"/>
  <c r="O1442" i="15"/>
  <c r="O1443" i="15"/>
  <c r="O1444" i="15"/>
  <c r="O1445" i="15"/>
  <c r="O1446" i="15"/>
  <c r="O1428" i="15"/>
  <c r="O1448" i="15"/>
  <c r="O1449" i="15"/>
  <c r="O1450" i="15"/>
  <c r="O1451" i="15"/>
  <c r="O1452" i="15"/>
  <c r="O1453" i="15"/>
  <c r="O1454" i="15"/>
  <c r="O1455" i="15"/>
  <c r="O1456" i="15"/>
  <c r="O1457" i="15"/>
  <c r="O1458" i="15"/>
  <c r="O1459" i="15"/>
  <c r="O1460" i="15"/>
  <c r="O1461" i="15"/>
  <c r="O1462" i="15"/>
  <c r="O1463" i="15"/>
  <c r="O1464" i="15"/>
  <c r="O1465" i="15"/>
  <c r="O1447" i="15"/>
  <c r="O1467" i="15"/>
  <c r="O1468" i="15"/>
  <c r="O1469" i="15"/>
  <c r="O1470" i="15"/>
  <c r="O1471" i="15"/>
  <c r="O1472" i="15"/>
  <c r="O1473" i="15"/>
  <c r="O1474" i="15"/>
  <c r="O1475" i="15"/>
  <c r="O1476" i="15"/>
  <c r="O1477" i="15"/>
  <c r="O1478" i="15"/>
  <c r="O1479" i="15"/>
  <c r="O1480" i="15"/>
  <c r="O1481" i="15"/>
  <c r="O1482" i="15"/>
  <c r="O1483" i="15"/>
  <c r="O1484" i="15"/>
  <c r="O1466" i="15"/>
  <c r="O1486" i="15"/>
  <c r="O1487" i="15"/>
  <c r="O1488" i="15"/>
  <c r="O1489" i="15"/>
  <c r="O1490" i="15"/>
  <c r="O1491" i="15"/>
  <c r="O1492" i="15"/>
  <c r="O1493" i="15"/>
  <c r="O1494" i="15"/>
  <c r="O1495" i="15"/>
  <c r="O1496" i="15"/>
  <c r="O1497" i="15"/>
  <c r="O1498" i="15"/>
  <c r="O1499" i="15"/>
  <c r="O1500" i="15"/>
  <c r="O1501" i="15"/>
  <c r="O1502" i="15"/>
  <c r="O1503" i="15"/>
  <c r="O1485" i="15"/>
  <c r="O1524" i="15"/>
  <c r="O1525" i="15"/>
  <c r="O1526" i="15"/>
  <c r="O1527" i="15"/>
  <c r="O1528" i="15"/>
  <c r="O1529" i="15"/>
  <c r="O1530" i="15"/>
  <c r="O1531" i="15"/>
  <c r="O1532" i="15"/>
  <c r="O1533" i="15"/>
  <c r="O1534" i="15"/>
  <c r="O1535" i="15"/>
  <c r="O1536" i="15"/>
  <c r="O1537" i="15"/>
  <c r="O1538" i="15"/>
  <c r="O1539" i="15"/>
  <c r="O1540" i="15"/>
  <c r="O1541" i="15"/>
  <c r="O1523" i="15"/>
  <c r="O1638" i="15"/>
  <c r="O1639" i="15"/>
  <c r="O1640" i="15"/>
  <c r="O1641" i="15"/>
  <c r="O1642" i="15"/>
  <c r="O1643" i="15"/>
  <c r="O1644" i="15"/>
  <c r="O1645" i="15"/>
  <c r="O1646" i="15"/>
  <c r="O1647" i="15"/>
  <c r="O1648" i="15"/>
  <c r="O1649" i="15"/>
  <c r="O1650" i="15"/>
  <c r="O1651" i="15"/>
  <c r="O1652" i="15"/>
  <c r="O1653" i="15"/>
  <c r="O1654" i="15"/>
  <c r="O1655" i="15"/>
  <c r="O1656" i="15"/>
  <c r="O1657" i="15"/>
  <c r="O1658" i="15"/>
  <c r="O1659" i="15"/>
  <c r="O1660" i="15"/>
  <c r="O1661" i="15"/>
  <c r="O1662" i="15"/>
  <c r="O1663" i="15"/>
  <c r="O1664" i="15"/>
  <c r="O1665" i="15"/>
  <c r="O1666" i="15"/>
  <c r="O1667" i="15"/>
  <c r="O1668" i="15"/>
  <c r="O1669" i="15"/>
  <c r="O1670" i="15"/>
  <c r="O1671" i="15"/>
  <c r="O1672" i="15"/>
  <c r="O1673" i="15"/>
  <c r="O1674" i="15"/>
  <c r="O1637" i="15"/>
  <c r="O1676" i="15"/>
  <c r="O1677" i="15"/>
  <c r="O1678" i="15"/>
  <c r="O1679" i="15"/>
  <c r="O1680" i="15"/>
  <c r="O1681" i="15"/>
  <c r="O1682" i="15"/>
  <c r="O1683" i="15"/>
  <c r="O1684" i="15"/>
  <c r="O1685" i="15"/>
  <c r="O1686" i="15"/>
  <c r="O1687" i="15"/>
  <c r="O1688" i="15"/>
  <c r="O1689" i="15"/>
  <c r="O1690" i="15"/>
  <c r="O1691" i="15"/>
  <c r="O1692" i="15"/>
  <c r="O1693" i="15"/>
  <c r="O1675" i="15"/>
  <c r="O1752" i="15"/>
  <c r="O1753" i="15"/>
  <c r="O1754" i="15"/>
  <c r="O1756" i="15"/>
  <c r="O1757" i="15"/>
  <c r="O1758" i="15"/>
  <c r="O1759" i="15"/>
  <c r="O1760" i="15"/>
  <c r="O1761" i="15"/>
  <c r="O1762" i="15"/>
  <c r="O1763" i="15"/>
  <c r="O1764" i="15"/>
  <c r="O1765" i="15"/>
  <c r="O1766" i="15"/>
  <c r="O1767" i="15"/>
  <c r="O1768" i="15"/>
  <c r="O1769" i="15"/>
  <c r="O1751" i="15"/>
  <c r="O1866" i="15"/>
  <c r="O1867" i="15"/>
  <c r="O1868" i="15"/>
  <c r="O1869" i="15"/>
  <c r="O1870" i="15"/>
  <c r="O1871" i="15"/>
  <c r="O1872" i="15"/>
  <c r="O1873" i="15"/>
  <c r="O1874" i="15"/>
  <c r="O1875" i="15"/>
  <c r="O1876" i="15"/>
  <c r="O1877" i="15"/>
  <c r="O1878" i="15"/>
  <c r="O1879" i="15"/>
  <c r="O1880" i="15"/>
  <c r="O1881" i="15"/>
  <c r="O1882" i="15"/>
  <c r="O1883" i="15"/>
  <c r="O1828" i="15"/>
  <c r="O1829" i="15"/>
  <c r="O1830" i="15"/>
  <c r="O1831" i="15"/>
  <c r="O1832" i="15"/>
  <c r="O1833" i="15"/>
  <c r="O1834" i="15"/>
  <c r="O1835" i="15"/>
  <c r="O1836" i="15"/>
  <c r="O1837" i="15"/>
  <c r="O1838" i="15"/>
  <c r="O1839" i="15"/>
  <c r="O1840" i="15"/>
  <c r="O1841" i="15"/>
  <c r="O1842" i="15"/>
  <c r="O1843" i="15"/>
  <c r="O1844" i="15"/>
  <c r="O1845" i="15"/>
  <c r="O1827" i="15"/>
  <c r="O1865" i="15"/>
  <c r="N71" i="15"/>
  <c r="N41" i="15"/>
  <c r="Q1940" i="15" l="1"/>
  <c r="Q1941" i="15" s="1"/>
  <c r="N1752" i="15" l="1"/>
  <c r="N1753" i="15"/>
  <c r="N1754" i="15"/>
  <c r="N1755" i="15"/>
  <c r="N1756" i="15"/>
  <c r="N1757" i="15"/>
  <c r="N1758" i="15"/>
  <c r="N1759" i="15"/>
  <c r="N1760" i="15"/>
  <c r="N1761" i="15"/>
  <c r="N1762" i="15"/>
  <c r="N1763" i="15"/>
  <c r="N1764" i="15"/>
  <c r="N1765" i="15"/>
  <c r="N1766" i="15"/>
  <c r="N1767" i="15"/>
  <c r="N1768" i="15"/>
  <c r="N1769" i="15"/>
  <c r="N1751" i="15"/>
  <c r="N1258" i="15"/>
  <c r="N1259" i="15"/>
  <c r="N1260" i="15"/>
  <c r="N1261" i="15"/>
  <c r="N1262" i="15"/>
  <c r="N1263" i="15"/>
  <c r="N1264" i="15"/>
  <c r="N1265" i="15"/>
  <c r="N1266" i="15"/>
  <c r="N1267" i="15"/>
  <c r="N1268" i="15"/>
  <c r="N1269" i="15"/>
  <c r="N1270" i="15"/>
  <c r="N1271" i="15"/>
  <c r="N1272" i="15"/>
  <c r="N1273" i="15"/>
  <c r="N1274" i="15"/>
  <c r="N1275" i="15"/>
  <c r="N105" i="15"/>
  <c r="N100" i="15"/>
  <c r="O66" i="12" l="1"/>
  <c r="O67" i="12"/>
  <c r="O68" i="12"/>
  <c r="O69" i="12"/>
  <c r="O70" i="12"/>
  <c r="O65" i="12"/>
  <c r="O54" i="12"/>
  <c r="O55" i="12"/>
  <c r="O56" i="12"/>
  <c r="O57" i="12"/>
  <c r="O58" i="12"/>
  <c r="O53" i="12"/>
  <c r="O22" i="12"/>
  <c r="O23" i="12"/>
  <c r="O24" i="12"/>
  <c r="O25" i="12"/>
  <c r="O26" i="12"/>
  <c r="O27" i="12"/>
  <c r="O21" i="12"/>
  <c r="O4" i="12"/>
  <c r="N28" i="17" l="1"/>
  <c r="O26" i="17"/>
  <c r="O25" i="17"/>
  <c r="O24" i="17"/>
  <c r="O23" i="17"/>
  <c r="N14" i="17"/>
  <c r="O12" i="17"/>
  <c r="O11" i="17"/>
  <c r="O10" i="17"/>
  <c r="O9" i="17"/>
  <c r="O8" i="17"/>
  <c r="O7" i="17"/>
  <c r="O5" i="17"/>
  <c r="O4" i="17"/>
  <c r="O3" i="17"/>
  <c r="V58" i="17"/>
  <c r="W58" i="17" s="1"/>
  <c r="W47" i="17"/>
  <c r="T34" i="17"/>
  <c r="W34" i="17" s="1"/>
  <c r="T33" i="17"/>
  <c r="T32" i="17"/>
  <c r="W32" i="17" s="1"/>
  <c r="V31" i="17"/>
  <c r="W31" i="17" s="1"/>
  <c r="T31" i="17"/>
  <c r="V29" i="17"/>
  <c r="W29" i="17" s="1"/>
  <c r="W24" i="17"/>
  <c r="V23" i="17"/>
  <c r="W23" i="17" s="1"/>
  <c r="W22" i="17"/>
  <c r="W21" i="17"/>
  <c r="W20" i="17"/>
  <c r="W19" i="17"/>
  <c r="W18" i="17"/>
  <c r="W17" i="17"/>
  <c r="W16" i="17"/>
  <c r="W15" i="17"/>
  <c r="W14" i="17"/>
  <c r="W13" i="17"/>
  <c r="W12" i="17"/>
  <c r="W7" i="17"/>
  <c r="W8" i="17" s="1"/>
  <c r="W6" i="17"/>
  <c r="N18" i="17" l="1"/>
  <c r="O20" i="17"/>
  <c r="O16" i="17"/>
  <c r="N21" i="17"/>
  <c r="N17" i="17"/>
  <c r="O19" i="17"/>
  <c r="O18" i="17"/>
  <c r="N19" i="17"/>
  <c r="O21" i="17"/>
  <c r="N20" i="17"/>
  <c r="N16" i="17"/>
  <c r="O17" i="17"/>
  <c r="O13" i="17"/>
  <c r="O14" i="17"/>
  <c r="O28" i="17"/>
  <c r="W25" i="17"/>
  <c r="W33" i="17"/>
  <c r="O22" i="17" s="1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50" i="14"/>
  <c r="O49" i="14"/>
  <c r="O48" i="14"/>
  <c r="O32" i="14"/>
  <c r="O31" i="14"/>
  <c r="O30" i="14"/>
  <c r="N50" i="14"/>
  <c r="N49" i="14"/>
  <c r="N48" i="14"/>
  <c r="N32" i="14"/>
  <c r="N31" i="14"/>
  <c r="N30" i="14"/>
  <c r="O29" i="14"/>
  <c r="O28" i="14"/>
  <c r="O27" i="14"/>
  <c r="O26" i="14"/>
  <c r="O25" i="14"/>
  <c r="O24" i="14"/>
  <c r="O13" i="14"/>
  <c r="O7" i="14"/>
  <c r="O6" i="14"/>
  <c r="N13" i="14"/>
  <c r="N7" i="14"/>
  <c r="N6" i="14"/>
  <c r="O5" i="14"/>
  <c r="O4" i="14"/>
  <c r="O3" i="14"/>
  <c r="O2" i="14"/>
  <c r="O36" i="11"/>
  <c r="O37" i="11"/>
  <c r="O38" i="11"/>
  <c r="O39" i="11"/>
  <c r="O40" i="11"/>
  <c r="O41" i="11"/>
  <c r="O42" i="11"/>
  <c r="O43" i="11"/>
  <c r="O44" i="11"/>
  <c r="O35" i="11"/>
  <c r="O26" i="11"/>
  <c r="O27" i="11"/>
  <c r="O28" i="11"/>
  <c r="O29" i="11"/>
  <c r="O30" i="11"/>
  <c r="O31" i="11"/>
  <c r="O32" i="11"/>
  <c r="O33" i="11"/>
  <c r="O34" i="11"/>
  <c r="O25" i="11"/>
  <c r="O79" i="7"/>
  <c r="O78" i="7"/>
  <c r="O76" i="7"/>
  <c r="O75" i="7"/>
  <c r="O74" i="7"/>
  <c r="O73" i="7"/>
  <c r="O72" i="7"/>
  <c r="O71" i="7"/>
  <c r="O70" i="7"/>
  <c r="O69" i="7"/>
  <c r="O68" i="7"/>
  <c r="O67" i="7"/>
  <c r="O66" i="7"/>
  <c r="O64" i="7"/>
  <c r="O63" i="7"/>
  <c r="O61" i="7"/>
  <c r="O60" i="7"/>
  <c r="O58" i="7"/>
  <c r="O57" i="7"/>
  <c r="O55" i="7"/>
  <c r="O54" i="7"/>
  <c r="O53" i="7"/>
  <c r="O43" i="7"/>
  <c r="O42" i="7"/>
  <c r="O41" i="7"/>
  <c r="O40" i="7"/>
  <c r="O56" i="7"/>
  <c r="O59" i="7"/>
  <c r="O62" i="7"/>
  <c r="O65" i="7"/>
  <c r="O77" i="7"/>
  <c r="O37" i="7"/>
  <c r="O36" i="7"/>
  <c r="O34" i="7"/>
  <c r="O33" i="7"/>
  <c r="O32" i="7"/>
  <c r="O31" i="7"/>
  <c r="O30" i="7"/>
  <c r="O29" i="7"/>
  <c r="O28" i="7"/>
  <c r="N17" i="7"/>
  <c r="O16" i="7"/>
  <c r="O15" i="7"/>
  <c r="O11" i="7"/>
  <c r="O10" i="7"/>
  <c r="O9" i="7"/>
  <c r="O8" i="7"/>
  <c r="O7" i="7"/>
  <c r="O6" i="7"/>
  <c r="O5" i="7"/>
  <c r="O4" i="7"/>
  <c r="O3" i="7"/>
  <c r="O2" i="7"/>
  <c r="W36" i="17" l="1"/>
  <c r="W38" i="17" s="1"/>
  <c r="W40" i="17" s="1"/>
  <c r="W50" i="17" l="1"/>
  <c r="W43" i="17"/>
  <c r="W52" i="17" l="1"/>
  <c r="W54" i="17" s="1"/>
  <c r="W56" i="17" s="1"/>
  <c r="W60" i="17" s="1"/>
  <c r="O27" i="17"/>
  <c r="N17" i="4"/>
  <c r="O73" i="4"/>
  <c r="O72" i="4"/>
  <c r="O71" i="4"/>
  <c r="O70" i="4"/>
  <c r="O69" i="4"/>
  <c r="O68" i="4"/>
  <c r="O67" i="4"/>
  <c r="O66" i="4"/>
  <c r="O65" i="4"/>
  <c r="O64" i="4"/>
  <c r="O63" i="4"/>
  <c r="O62" i="4"/>
  <c r="O56" i="4"/>
  <c r="O55" i="4"/>
  <c r="O54" i="4"/>
  <c r="O53" i="4"/>
  <c r="O43" i="4"/>
  <c r="O42" i="4"/>
  <c r="O41" i="4"/>
  <c r="O35" i="4"/>
  <c r="O34" i="4"/>
  <c r="O33" i="4"/>
  <c r="O32" i="4"/>
  <c r="O31" i="4"/>
  <c r="O30" i="4"/>
  <c r="O29" i="4"/>
  <c r="O16" i="4"/>
  <c r="O15" i="4"/>
  <c r="O11" i="4"/>
  <c r="O10" i="4"/>
  <c r="O9" i="4"/>
  <c r="O8" i="4"/>
  <c r="O7" i="4"/>
  <c r="O6" i="4"/>
  <c r="O5" i="4"/>
  <c r="O4" i="4"/>
  <c r="O3" i="4"/>
  <c r="O2" i="4"/>
  <c r="O53" i="3"/>
  <c r="O27" i="3"/>
  <c r="O26" i="3"/>
  <c r="O25" i="3"/>
  <c r="O24" i="3"/>
  <c r="O23" i="3"/>
  <c r="O22" i="3"/>
  <c r="O21" i="3"/>
  <c r="O20" i="3"/>
  <c r="O18" i="3" l="1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X74" i="3"/>
  <c r="Y73" i="3"/>
  <c r="X72" i="3"/>
  <c r="Y72" i="3" s="1"/>
  <c r="X66" i="3"/>
  <c r="W66" i="3"/>
  <c r="V66" i="3"/>
  <c r="X62" i="3"/>
  <c r="Y62" i="3" s="1"/>
  <c r="W56" i="3"/>
  <c r="W59" i="3" s="1"/>
  <c r="V53" i="3"/>
  <c r="X53" i="3" s="1"/>
  <c r="X48" i="3"/>
  <c r="Y48" i="3" s="1"/>
  <c r="W45" i="3"/>
  <c r="V45" i="3"/>
  <c r="W42" i="3"/>
  <c r="V42" i="3"/>
  <c r="X41" i="3"/>
  <c r="Y41" i="3" s="1"/>
  <c r="X40" i="3"/>
  <c r="Y40" i="3" s="1"/>
  <c r="X32" i="3"/>
  <c r="Y32" i="3" s="1"/>
  <c r="X31" i="3"/>
  <c r="Y31" i="3" s="1"/>
  <c r="X30" i="3"/>
  <c r="Y30" i="3" s="1"/>
  <c r="X29" i="3"/>
  <c r="Y29" i="3" s="1"/>
  <c r="W26" i="3"/>
  <c r="X26" i="3" s="1"/>
  <c r="Y26" i="3" s="1"/>
  <c r="W23" i="3"/>
  <c r="X23" i="3" s="1"/>
  <c r="Y23" i="3" s="1"/>
  <c r="W20" i="3"/>
  <c r="W16" i="3"/>
  <c r="V16" i="3"/>
  <c r="V17" i="3" s="1"/>
  <c r="X15" i="3"/>
  <c r="Y15" i="3" s="1"/>
  <c r="X14" i="3"/>
  <c r="Y14" i="3" s="1"/>
  <c r="X13" i="3"/>
  <c r="Y13" i="3" s="1"/>
  <c r="X12" i="3"/>
  <c r="Y12" i="3" s="1"/>
  <c r="X11" i="3"/>
  <c r="Y11" i="3" s="1"/>
  <c r="X10" i="3"/>
  <c r="Y10" i="3" s="1"/>
  <c r="X9" i="3"/>
  <c r="Y9" i="3" s="1"/>
  <c r="X8" i="3"/>
  <c r="W33" i="3" l="1"/>
  <c r="O19" i="3" s="1"/>
  <c r="W49" i="3"/>
  <c r="W50" i="3" s="1"/>
  <c r="X45" i="3"/>
  <c r="Y45" i="3" s="1"/>
  <c r="V49" i="3"/>
  <c r="V50" i="3" s="1"/>
  <c r="X56" i="3"/>
  <c r="Y56" i="3" s="1"/>
  <c r="X16" i="3"/>
  <c r="X17" i="3" s="1"/>
  <c r="X75" i="3"/>
  <c r="Y53" i="3"/>
  <c r="X59" i="3"/>
  <c r="X42" i="3"/>
  <c r="Y42" i="3" s="1"/>
  <c r="Y49" i="3" s="1"/>
  <c r="Y8" i="3"/>
  <c r="Y16" i="3" s="1"/>
  <c r="W17" i="3"/>
  <c r="V59" i="3"/>
  <c r="Y74" i="3"/>
  <c r="Y75" i="3" s="1"/>
  <c r="X20" i="3"/>
  <c r="X33" i="3" s="1"/>
  <c r="Y59" i="3" l="1"/>
  <c r="W36" i="3"/>
  <c r="W65" i="3" s="1"/>
  <c r="W67" i="3" s="1"/>
  <c r="V65" i="3"/>
  <c r="V67" i="3" s="1"/>
  <c r="Y20" i="3"/>
  <c r="Y33" i="3" s="1"/>
  <c r="X36" i="3"/>
  <c r="X49" i="3"/>
  <c r="X50" i="3" s="1"/>
  <c r="W77" i="3" l="1"/>
  <c r="Y36" i="3"/>
  <c r="Y65" i="3" s="1"/>
  <c r="Y77" i="3" s="1"/>
  <c r="X65" i="3"/>
  <c r="X67" i="3" l="1"/>
  <c r="X77" i="3"/>
  <c r="O23" i="2" l="1"/>
  <c r="O22" i="2"/>
  <c r="O21" i="2"/>
  <c r="O20" i="2"/>
  <c r="O19" i="2"/>
  <c r="O18" i="2"/>
  <c r="O17" i="2"/>
  <c r="O16" i="2"/>
  <c r="O11" i="2"/>
  <c r="O10" i="2"/>
  <c r="O9" i="2"/>
  <c r="O8" i="2"/>
  <c r="O7" i="2"/>
  <c r="O6" i="2"/>
  <c r="O5" i="2"/>
  <c r="O4" i="2"/>
  <c r="O3" i="2"/>
  <c r="O2" i="2"/>
  <c r="O27" i="1"/>
  <c r="O26" i="1"/>
  <c r="O25" i="1"/>
  <c r="O24" i="1"/>
  <c r="O22" i="1"/>
  <c r="O21" i="1"/>
  <c r="O20" i="1"/>
  <c r="O19" i="1"/>
  <c r="O18" i="1"/>
  <c r="O13" i="1"/>
  <c r="O12" i="1"/>
  <c r="O11" i="1"/>
  <c r="O10" i="1"/>
  <c r="O9" i="1"/>
  <c r="O8" i="1"/>
  <c r="O7" i="1"/>
  <c r="O6" i="1"/>
  <c r="O5" i="1"/>
  <c r="O4" i="1"/>
  <c r="O3" i="1"/>
  <c r="O2" i="1"/>
  <c r="Y111" i="14" l="1"/>
  <c r="Y99" i="14"/>
  <c r="Y98" i="14"/>
  <c r="Y96" i="14"/>
  <c r="Y95" i="14"/>
  <c r="W94" i="14"/>
  <c r="Y87" i="14"/>
  <c r="Y86" i="14"/>
  <c r="Y84" i="14"/>
  <c r="Y83" i="14"/>
  <c r="W82" i="14"/>
  <c r="Y75" i="14"/>
  <c r="Y74" i="14"/>
  <c r="Y72" i="14"/>
  <c r="Y71" i="14"/>
  <c r="W70" i="14"/>
  <c r="Y66" i="14"/>
  <c r="Y65" i="14"/>
  <c r="Y64" i="14"/>
  <c r="Y63" i="14"/>
  <c r="Y62" i="14"/>
  <c r="Y61" i="14"/>
  <c r="Y60" i="14"/>
  <c r="Y59" i="14"/>
  <c r="Y54" i="14"/>
  <c r="Y53" i="14"/>
  <c r="Y42" i="14"/>
  <c r="Y41" i="14"/>
  <c r="Y40" i="14"/>
  <c r="Y39" i="14"/>
  <c r="Y38" i="14"/>
  <c r="Y37" i="14"/>
  <c r="Y36" i="14"/>
  <c r="Y35" i="14"/>
  <c r="Y34" i="14"/>
  <c r="Y32" i="14"/>
  <c r="Y31" i="14"/>
  <c r="Y30" i="14"/>
  <c r="Y29" i="14"/>
  <c r="Y28" i="14"/>
  <c r="V24" i="14"/>
  <c r="Y23" i="14"/>
  <c r="Y21" i="14"/>
  <c r="Y16" i="14"/>
  <c r="O17" i="16"/>
  <c r="O16" i="16"/>
  <c r="O15" i="16"/>
  <c r="O14" i="16"/>
  <c r="O13" i="16"/>
  <c r="N14" i="16"/>
  <c r="N13" i="16"/>
  <c r="V31" i="16"/>
  <c r="O12" i="16" s="1"/>
  <c r="O11" i="16"/>
  <c r="O10" i="16"/>
  <c r="O9" i="16"/>
  <c r="O8" i="16"/>
  <c r="O7" i="16"/>
  <c r="O6" i="16"/>
  <c r="N11" i="16"/>
  <c r="N10" i="16"/>
  <c r="N9" i="16"/>
  <c r="N8" i="16"/>
  <c r="N7" i="16"/>
  <c r="N6" i="16"/>
  <c r="O5" i="16"/>
  <c r="O4" i="16"/>
  <c r="O3" i="16"/>
  <c r="S50" i="16"/>
  <c r="Y46" i="16"/>
  <c r="Y35" i="16"/>
  <c r="Y34" i="16"/>
  <c r="Y33" i="16"/>
  <c r="Y31" i="16"/>
  <c r="Y26" i="16"/>
  <c r="Y25" i="16"/>
  <c r="Y24" i="16"/>
  <c r="Y23" i="16"/>
  <c r="Y22" i="16"/>
  <c r="Y21" i="16"/>
  <c r="Y20" i="16"/>
  <c r="Y18" i="16"/>
  <c r="Y17" i="16"/>
  <c r="Y16" i="16"/>
  <c r="Y15" i="16"/>
  <c r="Y10" i="16"/>
  <c r="Y11" i="16" s="1"/>
  <c r="O116" i="11"/>
  <c r="O117" i="11"/>
  <c r="O118" i="11"/>
  <c r="O119" i="11"/>
  <c r="O120" i="11"/>
  <c r="O121" i="11"/>
  <c r="O122" i="11"/>
  <c r="O123" i="11"/>
  <c r="O124" i="11"/>
  <c r="O115" i="11"/>
  <c r="O105" i="11"/>
  <c r="O16" i="11"/>
  <c r="O17" i="11"/>
  <c r="O18" i="11"/>
  <c r="O19" i="11"/>
  <c r="O20" i="11"/>
  <c r="O21" i="11"/>
  <c r="O22" i="11"/>
  <c r="O23" i="11"/>
  <c r="O24" i="11"/>
  <c r="O15" i="11"/>
  <c r="Y36" i="16" l="1"/>
  <c r="V27" i="16"/>
  <c r="Y27" i="16" s="1"/>
  <c r="Y28" i="16" s="1"/>
  <c r="Y39" i="16" s="1"/>
  <c r="Y52" i="16" s="1"/>
  <c r="Y24" i="14"/>
  <c r="Y76" i="14"/>
  <c r="Y88" i="14"/>
  <c r="Y100" i="14"/>
  <c r="V43" i="14"/>
  <c r="Y43" i="14" s="1"/>
  <c r="Y47" i="14" s="1"/>
  <c r="O13" i="11"/>
  <c r="O12" i="11"/>
  <c r="O11" i="11"/>
  <c r="O37" i="5"/>
  <c r="O36" i="5"/>
  <c r="O35" i="5"/>
  <c r="O10" i="5"/>
  <c r="O9" i="5"/>
  <c r="O8" i="5"/>
  <c r="O6" i="5"/>
  <c r="O7" i="5"/>
  <c r="O5" i="5"/>
  <c r="O4" i="5"/>
  <c r="O35" i="7"/>
  <c r="O39" i="7"/>
  <c r="O38" i="7"/>
  <c r="O27" i="7"/>
  <c r="O26" i="7"/>
  <c r="O25" i="7"/>
  <c r="O24" i="7"/>
  <c r="O23" i="7"/>
  <c r="O22" i="7"/>
  <c r="O21" i="7"/>
  <c r="O20" i="7"/>
  <c r="O17" i="7"/>
  <c r="O14" i="7"/>
  <c r="O13" i="7"/>
  <c r="O12" i="7"/>
  <c r="T146" i="7"/>
  <c r="W145" i="7"/>
  <c r="W147" i="7" s="1"/>
  <c r="W135" i="7"/>
  <c r="S135" i="7" s="1"/>
  <c r="V135" i="7"/>
  <c r="W128" i="7"/>
  <c r="X128" i="7" s="1"/>
  <c r="V125" i="7"/>
  <c r="V130" i="7" s="1"/>
  <c r="U125" i="7"/>
  <c r="U130" i="7" s="1"/>
  <c r="W124" i="7"/>
  <c r="X124" i="7" s="1"/>
  <c r="W123" i="7"/>
  <c r="X123" i="7" s="1"/>
  <c r="W122" i="7"/>
  <c r="X122" i="7" s="1"/>
  <c r="W119" i="7"/>
  <c r="X119" i="7" s="1"/>
  <c r="U113" i="7"/>
  <c r="W113" i="7" s="1"/>
  <c r="X113" i="7" s="1"/>
  <c r="V111" i="7"/>
  <c r="W111" i="7" s="1"/>
  <c r="X111" i="7" s="1"/>
  <c r="V104" i="7"/>
  <c r="W101" i="7"/>
  <c r="X101" i="7" s="1"/>
  <c r="W83" i="7"/>
  <c r="W84" i="7" s="1"/>
  <c r="W72" i="7"/>
  <c r="X72" i="7" s="1"/>
  <c r="V69" i="7"/>
  <c r="U69" i="7"/>
  <c r="U74" i="7" s="1"/>
  <c r="U73" i="7" s="1"/>
  <c r="W68" i="7"/>
  <c r="X68" i="7" s="1"/>
  <c r="W67" i="7"/>
  <c r="X67" i="7" s="1"/>
  <c r="W66" i="7"/>
  <c r="X66" i="7" s="1"/>
  <c r="W63" i="7"/>
  <c r="X63" i="7" s="1"/>
  <c r="U58" i="7"/>
  <c r="W58" i="7" s="1"/>
  <c r="X58" i="7" s="1"/>
  <c r="X55" i="7"/>
  <c r="X54" i="7"/>
  <c r="V43" i="7"/>
  <c r="W43" i="7" s="1"/>
  <c r="X43" i="7" s="1"/>
  <c r="V40" i="7"/>
  <c r="W40" i="7" s="1"/>
  <c r="X40" i="7" s="1"/>
  <c r="V37" i="7"/>
  <c r="W37" i="7" s="1"/>
  <c r="X37" i="7" s="1"/>
  <c r="V32" i="7"/>
  <c r="W32" i="7" s="1"/>
  <c r="X32" i="7" s="1"/>
  <c r="V29" i="7"/>
  <c r="W29" i="7" s="1"/>
  <c r="X29" i="7" s="1"/>
  <c r="V26" i="7"/>
  <c r="V22" i="7"/>
  <c r="U22" i="7"/>
  <c r="W21" i="7"/>
  <c r="X21" i="7" s="1"/>
  <c r="W20" i="7"/>
  <c r="X20" i="7" s="1"/>
  <c r="W19" i="7"/>
  <c r="X19" i="7" s="1"/>
  <c r="W17" i="7"/>
  <c r="X17" i="7" s="1"/>
  <c r="W16" i="7"/>
  <c r="X16" i="7" s="1"/>
  <c r="W15" i="7"/>
  <c r="W22" i="7" l="1"/>
  <c r="X22" i="7" s="1"/>
  <c r="V35" i="7"/>
  <c r="W35" i="7" s="1"/>
  <c r="X35" i="7" s="1"/>
  <c r="W26" i="7"/>
  <c r="X26" i="7" s="1"/>
  <c r="W125" i="7"/>
  <c r="X125" i="7" s="1"/>
  <c r="V52" i="7"/>
  <c r="W52" i="7" s="1"/>
  <c r="X52" i="7" s="1"/>
  <c r="U80" i="7"/>
  <c r="W69" i="7"/>
  <c r="X69" i="7" s="1"/>
  <c r="V132" i="7"/>
  <c r="Y114" i="14"/>
  <c r="V67" i="14"/>
  <c r="Y67" i="14" s="1"/>
  <c r="Y68" i="14" s="1"/>
  <c r="Y49" i="16"/>
  <c r="Y40" i="16"/>
  <c r="U132" i="7"/>
  <c r="U129" i="7"/>
  <c r="X84" i="7"/>
  <c r="V129" i="7"/>
  <c r="W130" i="7"/>
  <c r="X130" i="7" s="1"/>
  <c r="X147" i="7"/>
  <c r="U23" i="7"/>
  <c r="X15" i="7"/>
  <c r="V23" i="7"/>
  <c r="V74" i="7"/>
  <c r="X83" i="7"/>
  <c r="X145" i="7"/>
  <c r="W104" i="7"/>
  <c r="X104" i="7" s="1"/>
  <c r="O61" i="4"/>
  <c r="O60" i="4"/>
  <c r="O59" i="4"/>
  <c r="O58" i="4"/>
  <c r="O57" i="4"/>
  <c r="O40" i="4"/>
  <c r="O39" i="4"/>
  <c r="O37" i="4"/>
  <c r="O36" i="4"/>
  <c r="O38" i="4"/>
  <c r="O27" i="4"/>
  <c r="O26" i="4"/>
  <c r="O25" i="4"/>
  <c r="O24" i="4"/>
  <c r="O23" i="4"/>
  <c r="O22" i="4"/>
  <c r="O21" i="4"/>
  <c r="O20" i="4"/>
  <c r="O28" i="4"/>
  <c r="O17" i="4"/>
  <c r="O14" i="4"/>
  <c r="O13" i="4"/>
  <c r="O12" i="4"/>
  <c r="T146" i="4"/>
  <c r="W145" i="4"/>
  <c r="X145" i="4" s="1"/>
  <c r="V135" i="4"/>
  <c r="W135" i="4" s="1"/>
  <c r="S135" i="4" s="1"/>
  <c r="W128" i="4"/>
  <c r="X128" i="4" s="1"/>
  <c r="V125" i="4"/>
  <c r="V130" i="4" s="1"/>
  <c r="U125" i="4"/>
  <c r="U130" i="4" s="1"/>
  <c r="W124" i="4"/>
  <c r="X124" i="4" s="1"/>
  <c r="W123" i="4"/>
  <c r="X123" i="4" s="1"/>
  <c r="W122" i="4"/>
  <c r="X122" i="4" s="1"/>
  <c r="W119" i="4"/>
  <c r="X119" i="4" s="1"/>
  <c r="U113" i="4"/>
  <c r="W113" i="4" s="1"/>
  <c r="X113" i="4" s="1"/>
  <c r="V111" i="4"/>
  <c r="W111" i="4" s="1"/>
  <c r="X111" i="4" s="1"/>
  <c r="V104" i="4"/>
  <c r="W104" i="4" s="1"/>
  <c r="X104" i="4" s="1"/>
  <c r="W101" i="4"/>
  <c r="X101" i="4" s="1"/>
  <c r="W83" i="4"/>
  <c r="X83" i="4" s="1"/>
  <c r="W72" i="4"/>
  <c r="X72" i="4" s="1"/>
  <c r="V69" i="4"/>
  <c r="W69" i="4" s="1"/>
  <c r="X69" i="4" s="1"/>
  <c r="U69" i="4"/>
  <c r="W68" i="4"/>
  <c r="X68" i="4" s="1"/>
  <c r="W67" i="4"/>
  <c r="X67" i="4" s="1"/>
  <c r="W66" i="4"/>
  <c r="X66" i="4" s="1"/>
  <c r="W63" i="4"/>
  <c r="X63" i="4" s="1"/>
  <c r="U58" i="4"/>
  <c r="W58" i="4" s="1"/>
  <c r="X58" i="4" s="1"/>
  <c r="X55" i="4"/>
  <c r="X54" i="4"/>
  <c r="V43" i="4"/>
  <c r="W43" i="4" s="1"/>
  <c r="X43" i="4" s="1"/>
  <c r="V40" i="4"/>
  <c r="W40" i="4" s="1"/>
  <c r="X40" i="4" s="1"/>
  <c r="V37" i="4"/>
  <c r="V32" i="4"/>
  <c r="W32" i="4" s="1"/>
  <c r="X32" i="4" s="1"/>
  <c r="V29" i="4"/>
  <c r="W29" i="4" s="1"/>
  <c r="X29" i="4" s="1"/>
  <c r="V26" i="4"/>
  <c r="V22" i="4"/>
  <c r="U22" i="4"/>
  <c r="W21" i="4"/>
  <c r="X21" i="4" s="1"/>
  <c r="W20" i="4"/>
  <c r="X20" i="4" s="1"/>
  <c r="W19" i="4"/>
  <c r="X19" i="4" s="1"/>
  <c r="W17" i="4"/>
  <c r="X17" i="4" s="1"/>
  <c r="W16" i="4"/>
  <c r="W15" i="4"/>
  <c r="X15" i="4" s="1"/>
  <c r="W23" i="7" l="1"/>
  <c r="U139" i="7"/>
  <c r="U140" i="7"/>
  <c r="V52" i="4"/>
  <c r="W52" i="4" s="1"/>
  <c r="X52" i="4" s="1"/>
  <c r="V35" i="4"/>
  <c r="W35" i="4" s="1"/>
  <c r="X35" i="4" s="1"/>
  <c r="W84" i="4"/>
  <c r="W147" i="4"/>
  <c r="X147" i="4" s="1"/>
  <c r="Y77" i="14"/>
  <c r="Y80" i="14"/>
  <c r="Y50" i="16"/>
  <c r="Y54" i="16"/>
  <c r="W132" i="7"/>
  <c r="X132" i="7" s="1"/>
  <c r="V73" i="7"/>
  <c r="W74" i="7"/>
  <c r="X74" i="7" s="1"/>
  <c r="V80" i="7"/>
  <c r="W22" i="4"/>
  <c r="V74" i="4"/>
  <c r="X16" i="4"/>
  <c r="U74" i="4"/>
  <c r="U80" i="4" s="1"/>
  <c r="U132" i="4"/>
  <c r="U129" i="4"/>
  <c r="V132" i="4"/>
  <c r="V129" i="4"/>
  <c r="W130" i="4"/>
  <c r="X130" i="4" s="1"/>
  <c r="V73" i="4"/>
  <c r="X84" i="4"/>
  <c r="U23" i="4"/>
  <c r="W26" i="4"/>
  <c r="X26" i="4" s="1"/>
  <c r="W37" i="4"/>
  <c r="X37" i="4" s="1"/>
  <c r="W125" i="4"/>
  <c r="X125" i="4" s="1"/>
  <c r="V23" i="4"/>
  <c r="V80" i="4" l="1"/>
  <c r="W74" i="4"/>
  <c r="X74" i="4" s="1"/>
  <c r="U73" i="4"/>
  <c r="W80" i="4"/>
  <c r="X80" i="4" s="1"/>
  <c r="X89" i="4" s="1"/>
  <c r="U140" i="4"/>
  <c r="Y89" i="14"/>
  <c r="Y92" i="14"/>
  <c r="Y101" i="14" s="1"/>
  <c r="V140" i="7"/>
  <c r="W140" i="7" s="1"/>
  <c r="V139" i="7"/>
  <c r="V89" i="7"/>
  <c r="W80" i="7"/>
  <c r="U139" i="4"/>
  <c r="W23" i="4"/>
  <c r="X22" i="4"/>
  <c r="V139" i="4"/>
  <c r="V152" i="4" s="1"/>
  <c r="V140" i="4"/>
  <c r="W140" i="4" s="1"/>
  <c r="V89" i="4"/>
  <c r="W132" i="4"/>
  <c r="X132" i="4" s="1"/>
  <c r="Y104" i="14" l="1"/>
  <c r="Y117" i="14" s="1"/>
  <c r="W89" i="4"/>
  <c r="X80" i="7"/>
  <c r="X89" i="7" s="1"/>
  <c r="W89" i="7"/>
  <c r="V152" i="7"/>
  <c r="W139" i="7"/>
  <c r="W139" i="4"/>
  <c r="X139" i="4" s="1"/>
  <c r="Y105" i="14" l="1"/>
  <c r="Y120" i="14"/>
  <c r="Y122" i="14"/>
  <c r="Y118" i="14"/>
  <c r="X139" i="7"/>
  <c r="X152" i="7" s="1"/>
  <c r="W152" i="7"/>
  <c r="X152" i="4"/>
  <c r="W152" i="4"/>
  <c r="O54" i="2" l="1"/>
  <c r="O29" i="2"/>
  <c r="O28" i="2"/>
  <c r="O26" i="2"/>
  <c r="O25" i="2"/>
  <c r="O24" i="2"/>
  <c r="O58" i="1"/>
  <c r="O33" i="1"/>
  <c r="O32" i="1"/>
  <c r="O30" i="1"/>
  <c r="O29" i="1"/>
  <c r="O28" i="1"/>
  <c r="O15" i="2"/>
  <c r="O14" i="2"/>
  <c r="O13" i="2"/>
  <c r="X70" i="2"/>
  <c r="W70" i="2"/>
  <c r="V70" i="2"/>
  <c r="X66" i="2"/>
  <c r="Y66" i="2" s="1"/>
  <c r="W60" i="2"/>
  <c r="W63" i="2" s="1"/>
  <c r="V57" i="2"/>
  <c r="X57" i="2" s="1"/>
  <c r="X52" i="2"/>
  <c r="Y52" i="2" s="1"/>
  <c r="W49" i="2"/>
  <c r="V49" i="2"/>
  <c r="X49" i="2" s="1"/>
  <c r="Y49" i="2" s="1"/>
  <c r="U48" i="2"/>
  <c r="W46" i="2" s="1"/>
  <c r="V46" i="2"/>
  <c r="W43" i="2"/>
  <c r="V43" i="2"/>
  <c r="X42" i="2"/>
  <c r="Y42" i="2" s="1"/>
  <c r="X41" i="2"/>
  <c r="X34" i="2"/>
  <c r="Y34" i="2" s="1"/>
  <c r="X33" i="2"/>
  <c r="Y33" i="2" s="1"/>
  <c r="X32" i="2"/>
  <c r="Y32" i="2" s="1"/>
  <c r="X31" i="2"/>
  <c r="Y31" i="2" s="1"/>
  <c r="W28" i="2"/>
  <c r="X28" i="2" s="1"/>
  <c r="Y28" i="2" s="1"/>
  <c r="W25" i="2"/>
  <c r="X25" i="2" s="1"/>
  <c r="Y25" i="2" s="1"/>
  <c r="W22" i="2"/>
  <c r="X22" i="2" s="1"/>
  <c r="Y22" i="2" s="1"/>
  <c r="U20" i="2"/>
  <c r="W19" i="2" s="1"/>
  <c r="W15" i="2"/>
  <c r="V15" i="2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X7" i="2"/>
  <c r="X78" i="2" s="1"/>
  <c r="Y78" i="2" s="1"/>
  <c r="W53" i="2" l="1"/>
  <c r="W54" i="2" s="1"/>
  <c r="V53" i="2"/>
  <c r="V54" i="2" s="1"/>
  <c r="O12" i="2"/>
  <c r="X15" i="2"/>
  <c r="X16" i="2" s="1"/>
  <c r="V63" i="2"/>
  <c r="X46" i="2"/>
  <c r="Y46" i="2" s="1"/>
  <c r="X76" i="2"/>
  <c r="X79" i="2" s="1"/>
  <c r="O27" i="2"/>
  <c r="W35" i="2"/>
  <c r="X35" i="2" s="1"/>
  <c r="Y35" i="2" s="1"/>
  <c r="X19" i="2"/>
  <c r="Y57" i="2"/>
  <c r="Y15" i="2"/>
  <c r="Y8" i="2"/>
  <c r="Y41" i="2"/>
  <c r="V16" i="2"/>
  <c r="X43" i="2"/>
  <c r="Y43" i="2" s="1"/>
  <c r="X60" i="2"/>
  <c r="Y60" i="2" s="1"/>
  <c r="Y77" i="2"/>
  <c r="Y7" i="2"/>
  <c r="W16" i="2"/>
  <c r="Y76" i="2" l="1"/>
  <c r="V69" i="2"/>
  <c r="V71" i="2" s="1"/>
  <c r="Y53" i="2"/>
  <c r="Y79" i="2"/>
  <c r="W38" i="2"/>
  <c r="W69" i="2" s="1"/>
  <c r="Y63" i="2"/>
  <c r="X53" i="2"/>
  <c r="X54" i="2" s="1"/>
  <c r="X63" i="2"/>
  <c r="Y19" i="2"/>
  <c r="Y38" i="2" s="1"/>
  <c r="X38" i="2"/>
  <c r="Y69" i="2" l="1"/>
  <c r="Y81" i="2" s="1"/>
  <c r="X69" i="2"/>
  <c r="W71" i="2"/>
  <c r="W81" i="2"/>
  <c r="X71" i="2" l="1"/>
  <c r="X81" i="2"/>
  <c r="O17" i="1" l="1"/>
  <c r="O16" i="1"/>
  <c r="O15" i="1"/>
  <c r="X80" i="1"/>
  <c r="X78" i="1"/>
  <c r="X72" i="1"/>
  <c r="W72" i="1"/>
  <c r="V72" i="1"/>
  <c r="X68" i="1"/>
  <c r="Y68" i="1" s="1"/>
  <c r="W62" i="1"/>
  <c r="W65" i="1" s="1"/>
  <c r="V59" i="1"/>
  <c r="V65" i="1" s="1"/>
  <c r="X58" i="1"/>
  <c r="X54" i="1"/>
  <c r="Y54" i="1" s="1"/>
  <c r="W51" i="1"/>
  <c r="V51" i="1"/>
  <c r="U50" i="1"/>
  <c r="V48" i="1"/>
  <c r="W45" i="1"/>
  <c r="V45" i="1"/>
  <c r="X44" i="1"/>
  <c r="Y44" i="1" s="1"/>
  <c r="X43" i="1"/>
  <c r="Y43" i="1" s="1"/>
  <c r="X36" i="1"/>
  <c r="Y36" i="1" s="1"/>
  <c r="X35" i="1"/>
  <c r="Y35" i="1" s="1"/>
  <c r="X34" i="1"/>
  <c r="Y34" i="1" s="1"/>
  <c r="X33" i="1"/>
  <c r="Y33" i="1" s="1"/>
  <c r="X32" i="1"/>
  <c r="Y32" i="1" s="1"/>
  <c r="W29" i="1"/>
  <c r="X29" i="1" s="1"/>
  <c r="Y29" i="1" s="1"/>
  <c r="W26" i="1"/>
  <c r="X26" i="1" s="1"/>
  <c r="Y26" i="1" s="1"/>
  <c r="W23" i="1"/>
  <c r="X23" i="1" s="1"/>
  <c r="Y23" i="1" s="1"/>
  <c r="U21" i="1"/>
  <c r="O14" i="1" s="1"/>
  <c r="W16" i="1"/>
  <c r="V16" i="1"/>
  <c r="V17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8" i="1" s="1"/>
  <c r="X59" i="1" l="1"/>
  <c r="Y59" i="1" s="1"/>
  <c r="W20" i="1"/>
  <c r="W48" i="1"/>
  <c r="X48" i="1" s="1"/>
  <c r="Y48" i="1" s="1"/>
  <c r="O31" i="1"/>
  <c r="Y7" i="1"/>
  <c r="X20" i="1"/>
  <c r="Y20" i="1" s="1"/>
  <c r="W55" i="1"/>
  <c r="W56" i="1" s="1"/>
  <c r="X62" i="1"/>
  <c r="Y62" i="1" s="1"/>
  <c r="X81" i="1"/>
  <c r="Y81" i="1" s="1"/>
  <c r="W37" i="1"/>
  <c r="X45" i="1"/>
  <c r="Y45" i="1" s="1"/>
  <c r="X51" i="1"/>
  <c r="Y51" i="1" s="1"/>
  <c r="V55" i="1"/>
  <c r="V71" i="1" s="1"/>
  <c r="V73" i="1" s="1"/>
  <c r="Y79" i="1"/>
  <c r="Y80" i="1"/>
  <c r="W17" i="1"/>
  <c r="X16" i="1"/>
  <c r="X65" i="1" l="1"/>
  <c r="Y65" i="1" s="1"/>
  <c r="X37" i="1"/>
  <c r="Y37" i="1" s="1"/>
  <c r="O23" i="1"/>
  <c r="W40" i="1"/>
  <c r="X17" i="1"/>
  <c r="Y16" i="1"/>
  <c r="X55" i="1"/>
  <c r="V56" i="1"/>
  <c r="X40" i="1" l="1"/>
  <c r="W71" i="1"/>
  <c r="Y55" i="1"/>
  <c r="X56" i="1"/>
  <c r="W73" i="1" l="1"/>
  <c r="W83" i="1"/>
  <c r="Y40" i="1"/>
  <c r="X71" i="1"/>
  <c r="X83" i="1" l="1"/>
  <c r="X73" i="1"/>
  <c r="Y71" i="1"/>
  <c r="Y83" i="1" s="1"/>
</calcChain>
</file>

<file path=xl/sharedStrings.xml><?xml version="1.0" encoding="utf-8"?>
<sst xmlns="http://schemas.openxmlformats.org/spreadsheetml/2006/main" count="30124" uniqueCount="1318">
  <si>
    <t>LU_ID</t>
  </si>
  <si>
    <t>Land-Use</t>
  </si>
  <si>
    <t>Sub Crop</t>
  </si>
  <si>
    <t>PerAcreORPerCell</t>
  </si>
  <si>
    <t>TopographySlopes</t>
  </si>
  <si>
    <t>StreamBorder</t>
  </si>
  <si>
    <t>Frequency</t>
  </si>
  <si>
    <t xml:space="preserve">Time - Cost Type </t>
  </si>
  <si>
    <t>Action - Cost Type</t>
  </si>
  <si>
    <t>Cost Name</t>
  </si>
  <si>
    <t>Description</t>
  </si>
  <si>
    <t>Year</t>
  </si>
  <si>
    <t>Fixed/Variable</t>
  </si>
  <si>
    <t xml:space="preserve"> Value </t>
  </si>
  <si>
    <t xml:space="preserve">Context and/ or Calculations </t>
  </si>
  <si>
    <t>Citation</t>
  </si>
  <si>
    <t>Time of Year</t>
  </si>
  <si>
    <t># Labor Hours</t>
  </si>
  <si>
    <t>Conventional Corn</t>
  </si>
  <si>
    <t>Corn after Soybean</t>
  </si>
  <si>
    <t>Acre</t>
  </si>
  <si>
    <t>Annual</t>
  </si>
  <si>
    <t>Preharvest</t>
  </si>
  <si>
    <t>Machinery</t>
  </si>
  <si>
    <t>Seed - Inputs</t>
  </si>
  <si>
    <t>Constant</t>
  </si>
  <si>
    <t>Other</t>
  </si>
  <si>
    <t>Crop Insurance</t>
  </si>
  <si>
    <t>Miscellaneous</t>
  </si>
  <si>
    <t>Harvest</t>
  </si>
  <si>
    <t>Labor</t>
  </si>
  <si>
    <t>Labor - Operator</t>
  </si>
  <si>
    <t>Fixed</t>
  </si>
  <si>
    <t>Variable</t>
  </si>
  <si>
    <t>Land</t>
  </si>
  <si>
    <t>Corn after Corn</t>
  </si>
  <si>
    <t>Insecticide</t>
  </si>
  <si>
    <t>Interest on preharvest variable costs</t>
  </si>
  <si>
    <t>Costs</t>
  </si>
  <si>
    <t>Conservation Corn</t>
  </si>
  <si>
    <t>https://www.extension.iastate.edu/agdm/crops/html/a1-20.html</t>
  </si>
  <si>
    <t xml:space="preserve">Variable </t>
  </si>
  <si>
    <t>$3.19/1000 kernels * 30,000 kernels/acre</t>
  </si>
  <si>
    <t>$0.38/lb * 131 lbs/acre</t>
  </si>
  <si>
    <t>$0.42/lb * 74 lbs/acre</t>
  </si>
  <si>
    <t>$0.31/lb * 59 lbs/acre</t>
  </si>
  <si>
    <t>$0.04/bushel * 198 bushels/acre</t>
  </si>
  <si>
    <t>$0.05/bushel * 198 bushels/acre</t>
  </si>
  <si>
    <t>$0.17/bushel * 198 bushels/acre</t>
  </si>
  <si>
    <t>$0.02/bushel * 198 bushels/acre</t>
  </si>
  <si>
    <t>$223/acre</t>
  </si>
  <si>
    <t>$0.38/lb * 186 lbs/acre</t>
  </si>
  <si>
    <t>$0.42/lb * 68 lbs/acre</t>
  </si>
  <si>
    <t>$0.31/lb * 55 lbs/acre</t>
  </si>
  <si>
    <t>6.0% for 8 months</t>
  </si>
  <si>
    <t>$0.04/bushel * 182 bushels/acre</t>
  </si>
  <si>
    <t>$0.05/bushel * 182 bushels/acre</t>
  </si>
  <si>
    <t>$0.17/bushel * 182 bushels/acre</t>
  </si>
  <si>
    <t>$0.02/bushel * 182 bushels/acre</t>
  </si>
  <si>
    <t>Alfalfa</t>
  </si>
  <si>
    <t>Year 1, Every 4 years</t>
  </si>
  <si>
    <t>Establishment</t>
  </si>
  <si>
    <t>Seed</t>
  </si>
  <si>
    <t>Fertilizer - P</t>
  </si>
  <si>
    <t>Fertilizer - Potash</t>
  </si>
  <si>
    <t>Herbicide</t>
  </si>
  <si>
    <t>Lime</t>
  </si>
  <si>
    <t>Labor - Pre-harvest</t>
  </si>
  <si>
    <t>Labor - harvest - cutting</t>
  </si>
  <si>
    <t>Land - Cash rent equivalent, before seeding</t>
  </si>
  <si>
    <t>Years 2, 3, 4 (4 yr cycle)</t>
  </si>
  <si>
    <t>Input</t>
  </si>
  <si>
    <t>Annual Fertilizer - P</t>
  </si>
  <si>
    <t>Annual Fertilizer - Potash</t>
  </si>
  <si>
    <t>Potash</t>
  </si>
  <si>
    <t>http://www.extension.iastate.edu/agdm/decisionaidsall.html</t>
  </si>
  <si>
    <t>2 times - Ag Decision Maker</t>
  </si>
  <si>
    <t>$2.00 FIXED</t>
  </si>
  <si>
    <t>$1.60 VARIABLE</t>
  </si>
  <si>
    <t>Field Name</t>
  </si>
  <si>
    <t xml:space="preserve">Expected Yield </t>
  </si>
  <si>
    <t xml:space="preserve"> bu./acre</t>
  </si>
  <si>
    <t>Example</t>
  </si>
  <si>
    <t xml:space="preserve">Acres </t>
  </si>
  <si>
    <t>Cost per Acre</t>
  </si>
  <si>
    <t>Total Cost</t>
  </si>
  <si>
    <t>Preharvest machinery</t>
  </si>
  <si>
    <t>Total</t>
  </si>
  <si>
    <t>All Acres</t>
  </si>
  <si>
    <t>Chisel plow</t>
  </si>
  <si>
    <t>Tandem disk</t>
  </si>
  <si>
    <t>Apply nitrogen</t>
  </si>
  <si>
    <t>Field cultivate</t>
  </si>
  <si>
    <t>Plant</t>
  </si>
  <si>
    <t>Spray</t>
  </si>
  <si>
    <t>Custom hire</t>
  </si>
  <si>
    <t xml:space="preserve">    Total per acre</t>
  </si>
  <si>
    <r>
      <t xml:space="preserve">    </t>
    </r>
    <r>
      <rPr>
        <b/>
        <sz val="10"/>
        <rFont val="Arial"/>
        <family val="2"/>
      </rPr>
      <t>Total all acres</t>
    </r>
  </si>
  <si>
    <t xml:space="preserve">----  </t>
  </si>
  <si>
    <t xml:space="preserve"> </t>
  </si>
  <si>
    <t>Seed, chemicals, etc.</t>
  </si>
  <si>
    <t xml:space="preserve">  Seed</t>
  </si>
  <si>
    <t xml:space="preserve">    cost per 1000 kernels</t>
  </si>
  <si>
    <t xml:space="preserve">    kernels per acre</t>
  </si>
  <si>
    <t xml:space="preserve">  Nitrogen</t>
  </si>
  <si>
    <t xml:space="preserve">    price per pound</t>
  </si>
  <si>
    <t xml:space="preserve">    pounds per acre</t>
  </si>
  <si>
    <t xml:space="preserve">  Phosphate</t>
  </si>
  <si>
    <t xml:space="preserve">  Potash</t>
  </si>
  <si>
    <t xml:space="preserve">  Lime (annual cost)</t>
  </si>
  <si>
    <t xml:space="preserve">  Herbicide</t>
  </si>
  <si>
    <t xml:space="preserve">  Insecticide</t>
  </si>
  <si>
    <t xml:space="preserve">  Crop insurance</t>
  </si>
  <si>
    <t xml:space="preserve">  Miscellaneous</t>
  </si>
  <si>
    <t xml:space="preserve">  Interest on preharvest variable costs</t>
  </si>
  <si>
    <t xml:space="preserve">    length of period (months)</t>
  </si>
  <si>
    <t xml:space="preserve">    interest rate</t>
  </si>
  <si>
    <t xml:space="preserve">             </t>
  </si>
  <si>
    <t xml:space="preserve">      Total</t>
  </si>
  <si>
    <t>Harvest machinery</t>
  </si>
  <si>
    <t>Combine</t>
  </si>
  <si>
    <t>Grain Cart</t>
  </si>
  <si>
    <t>Haul</t>
  </si>
  <si>
    <t xml:space="preserve">    Fixed- price per bushel</t>
  </si>
  <si>
    <t xml:space="preserve">    Variable- price per bushel</t>
  </si>
  <si>
    <t>Drying</t>
  </si>
  <si>
    <t>Handling</t>
  </si>
  <si>
    <t xml:space="preserve">  Operator</t>
  </si>
  <si>
    <t xml:space="preserve">    Hours</t>
  </si>
  <si>
    <t xml:space="preserve">    Rate per hour</t>
  </si>
  <si>
    <t xml:space="preserve">  Hired</t>
  </si>
  <si>
    <t xml:space="preserve">  Cash rent equivalent</t>
  </si>
  <si>
    <t>Total fixed, variable and all costs</t>
  </si>
  <si>
    <t xml:space="preserve">  Per acre</t>
  </si>
  <si>
    <t xml:space="preserve">  Per bushel</t>
  </si>
  <si>
    <t xml:space="preserve">  All acres</t>
  </si>
  <si>
    <t>Return per</t>
  </si>
  <si>
    <t>Acre Over</t>
  </si>
  <si>
    <t>Return</t>
  </si>
  <si>
    <t>Variable Costs</t>
  </si>
  <si>
    <t>All Costs</t>
  </si>
  <si>
    <t>Gross returns</t>
  </si>
  <si>
    <t xml:space="preserve">  Expected selling price</t>
  </si>
  <si>
    <t xml:space="preserve">  Government payments</t>
  </si>
  <si>
    <t xml:space="preserve">    Effective LDP rate</t>
  </si>
  <si>
    <t xml:space="preserve">      Total returns</t>
  </si>
  <si>
    <t>Net returns</t>
  </si>
  <si>
    <t>--</t>
  </si>
  <si>
    <t xml:space="preserve">Preharvest machinery </t>
  </si>
  <si>
    <t xml:space="preserve">    Total all acres</t>
  </si>
  <si>
    <t>----</t>
  </si>
  <si>
    <t xml:space="preserve">  Hired </t>
  </si>
  <si>
    <t>Establishment Year Production</t>
  </si>
  <si>
    <t>Hay Production Level - year 1</t>
  </si>
  <si>
    <t xml:space="preserve"> tons / acre / year</t>
  </si>
  <si>
    <t xml:space="preserve">This is for year 1 only. </t>
  </si>
  <si>
    <t>Cuttings - year 1</t>
  </si>
  <si>
    <t>Establishment Year Costs</t>
  </si>
  <si>
    <t xml:space="preserve">        Cost per Acre</t>
  </si>
  <si>
    <t>Preharvest  Machinery</t>
  </si>
  <si>
    <t>Spray herbicide</t>
  </si>
  <si>
    <t>Tandem disk (2 times)</t>
  </si>
  <si>
    <t>Spread fertilizer</t>
  </si>
  <si>
    <t>Harrow</t>
  </si>
  <si>
    <t>Seed (drill)</t>
  </si>
  <si>
    <t>Seed, fertilizer, etc.</t>
  </si>
  <si>
    <t xml:space="preserve">  Alfalfa</t>
  </si>
  <si>
    <t xml:space="preserve">  </t>
  </si>
  <si>
    <t xml:space="preserve">  Bromegrass </t>
  </si>
  <si>
    <t xml:space="preserve">  Orchardgrass </t>
  </si>
  <si>
    <t xml:space="preserve">  Total Seed Cost</t>
  </si>
  <si>
    <t xml:space="preserve">  Phosphorus</t>
  </si>
  <si>
    <t xml:space="preserve">  Total Fertilizer Costs</t>
  </si>
  <si>
    <t xml:space="preserve">  Lime (total cost for hay lifetime)</t>
  </si>
  <si>
    <t xml:space="preserve">Labor  </t>
  </si>
  <si>
    <t xml:space="preserve">    Hours per acre, preharvest</t>
  </si>
  <si>
    <t xml:space="preserve">    Hours per cutting, harvest</t>
  </si>
  <si>
    <t xml:space="preserve">  Cash rent equivalent, before seeding</t>
  </si>
  <si>
    <t>Harvesting Costs per Cutting</t>
  </si>
  <si>
    <t>Mower-Conditioner</t>
  </si>
  <si>
    <t>Rake</t>
  </si>
  <si>
    <t>Baling</t>
  </si>
  <si>
    <t>Hauling</t>
  </si>
  <si>
    <t>fixed cost per ton</t>
  </si>
  <si>
    <t>variable cost per ton</t>
  </si>
  <si>
    <t>Harvest costs per cutting</t>
  </si>
  <si>
    <t>Total Harvest</t>
  </si>
  <si>
    <t xml:space="preserve">Year 1 Costs and Returns </t>
  </si>
  <si>
    <t xml:space="preserve">      Cost per Acre</t>
  </si>
  <si>
    <t>Total Costs</t>
  </si>
  <si>
    <t>Establishing Hay</t>
  </si>
  <si>
    <t>Total Returns</t>
  </si>
  <si>
    <t>Expected Price</t>
  </si>
  <si>
    <t>ton</t>
  </si>
  <si>
    <t>Net Return per Acre Over</t>
  </si>
  <si>
    <t>Net Return</t>
  </si>
  <si>
    <t>Net returns - year 1</t>
  </si>
  <si>
    <t>Production Year Costs</t>
  </si>
  <si>
    <t>Hay Production Level</t>
  </si>
  <si>
    <t>Cuttings</t>
  </si>
  <si>
    <t xml:space="preserve">  Years hay will be in production 
  </t>
  </si>
  <si>
    <t>after establishment year</t>
  </si>
  <si>
    <t>years</t>
  </si>
  <si>
    <t>Fertilizer</t>
  </si>
  <si>
    <t>Fertilizer Spreader</t>
  </si>
  <si>
    <t>Annual Fertilizer</t>
  </si>
  <si>
    <t>Phosphorus</t>
  </si>
  <si>
    <t>removal rate per ton</t>
  </si>
  <si>
    <t>lb./acre</t>
  </si>
  <si>
    <t>price per pound</t>
  </si>
  <si>
    <t xml:space="preserve">  Hours per cutting</t>
  </si>
  <si>
    <t xml:space="preserve">  Hours - other labor</t>
  </si>
  <si>
    <t xml:space="preserve">  Rate per hour</t>
  </si>
  <si>
    <t>Mower-conditioner</t>
  </si>
  <si>
    <t>Total Harvest - Production Years</t>
  </si>
  <si>
    <t>Total Production Year Costs</t>
  </si>
  <si>
    <t>- Including Establishment Year</t>
  </si>
  <si>
    <t>Average</t>
  </si>
  <si>
    <t xml:space="preserve">    Average Cost per Acre</t>
  </si>
  <si>
    <t>Average Costs per Year</t>
  </si>
  <si>
    <t>Average costs per acre</t>
  </si>
  <si>
    <t xml:space="preserve">   Average cost per ton</t>
  </si>
  <si>
    <t>Average Gross Returns</t>
  </si>
  <si>
    <t>Per Acre</t>
  </si>
  <si>
    <t>Average Gross Returns per Year</t>
  </si>
  <si>
    <t>Expected Hay price</t>
  </si>
  <si>
    <t>/ton</t>
  </si>
  <si>
    <r>
      <t xml:space="preserve">Hay Yield - </t>
    </r>
    <r>
      <rPr>
        <i/>
        <sz val="9"/>
        <rFont val="Arial"/>
        <family val="2"/>
      </rPr>
      <t>Production Years</t>
    </r>
  </si>
  <si>
    <t xml:space="preserve">      Average total returns</t>
  </si>
  <si>
    <t>Average Net Return per Acre Over</t>
  </si>
  <si>
    <t>Average Net Returns per Year</t>
  </si>
  <si>
    <t>1.0 hours @ $14.25/hour</t>
  </si>
  <si>
    <t xml:space="preserve">Spray Herbicide </t>
  </si>
  <si>
    <t xml:space="preserve">Tandem disk </t>
  </si>
  <si>
    <t xml:space="preserve">Spread fertilizer </t>
  </si>
  <si>
    <t xml:space="preserve">Harrow </t>
  </si>
  <si>
    <t xml:space="preserve">Seed (drill) </t>
  </si>
  <si>
    <t xml:space="preserve">Harvesting - Mower-Conditioner </t>
  </si>
  <si>
    <t xml:space="preserve">Harvesting - Rake </t>
  </si>
  <si>
    <t xml:space="preserve">Harvesting - Baling </t>
  </si>
  <si>
    <t xml:space="preserve">Harvesting - Hauling </t>
  </si>
  <si>
    <t xml:space="preserve">Fertilizer Spreader </t>
  </si>
  <si>
    <t xml:space="preserve">Chisel plow </t>
  </si>
  <si>
    <t xml:space="preserve">Apply nitrogen </t>
  </si>
  <si>
    <t xml:space="preserve">Field cultivate </t>
  </si>
  <si>
    <t xml:space="preserve">Plant </t>
  </si>
  <si>
    <t xml:space="preserve">Spray </t>
  </si>
  <si>
    <t xml:space="preserve"> 15 lbs @ $3.81/lb</t>
  </si>
  <si>
    <t xml:space="preserve"> 35 lbs @ $0.42/lb</t>
  </si>
  <si>
    <t xml:space="preserve"> 125 lbs @ $0.31/lb</t>
  </si>
  <si>
    <t xml:space="preserve"> $5.50 PER CUT Assumes 2 cut Establishment Year </t>
  </si>
  <si>
    <t xml:space="preserve"> $2.00 PER CUT Assumes 2 cut Establishment Year </t>
  </si>
  <si>
    <t xml:space="preserve"> $8.20 PER CUT Assumes 2 cuts Establishment Year </t>
  </si>
  <si>
    <t xml:space="preserve"> $5.50 PER CUT Assumes 3 cuts per Year </t>
  </si>
  <si>
    <t>$118 per acre</t>
  </si>
  <si>
    <t xml:space="preserve"> $4.30 PER CUT Assumes 2 cut Establishment Year </t>
  </si>
  <si>
    <t xml:space="preserve"> $3.10 PER CUT Assumes 2 cut Establishment Year </t>
  </si>
  <si>
    <t xml:space="preserve"> $5.20 PER CUT Assumes 2 cuts Establishment Year </t>
  </si>
  <si>
    <t xml:space="preserve"> $1.87 per ton @ 2.5 tons/cutting * 2 cuttings </t>
  </si>
  <si>
    <t xml:space="preserve"> $2.87 per ton @ 2.5 tons/cutting * 2 cuttings </t>
  </si>
  <si>
    <t xml:space="preserve"> $2.00 PER CUT Assumes 3 cuts per Year </t>
  </si>
  <si>
    <t xml:space="preserve"> $8.20 PER CUTAssumes 3 cuts per Year </t>
  </si>
  <si>
    <t>(13 lbs/1 ton Alfalfa) @ ($0.42/lb) @ 4 tons Alfalfa</t>
  </si>
  <si>
    <t>(50 lbs/1 ton Alfalfa) @ ($0.31/lb) @ 4 tons Alfalfa</t>
  </si>
  <si>
    <t>$118 Cash rent equivalent</t>
  </si>
  <si>
    <t xml:space="preserve"> $4.30 PER CUT Assumes 3 cuts per Year </t>
  </si>
  <si>
    <t xml:space="preserve"> $3.10 PER CUT Assumes 3 cuts per Year </t>
  </si>
  <si>
    <t xml:space="preserve"> $5.20 PER CUT Assumes 3 cuts per Year </t>
  </si>
  <si>
    <t>Permanent Pasture</t>
  </si>
  <si>
    <t>Preharvest Labor</t>
  </si>
  <si>
    <t>Interest &amp; Insurance on Breeding Herd</t>
  </si>
  <si>
    <t>Bull Depreciation/Replacement</t>
  </si>
  <si>
    <t xml:space="preserve">Preharvest - Feed - Pasture </t>
  </si>
  <si>
    <t xml:space="preserve">Preharvest - Feed - Pasture Fertilizer &amp; Miscellaneous </t>
  </si>
  <si>
    <t xml:space="preserve">Preharvest - Feed - Corn </t>
  </si>
  <si>
    <t xml:space="preserve">Preharvest - Feed - Salt &amp; Minerals </t>
  </si>
  <si>
    <t xml:space="preserve">Preharvest - Feed - Alfalfa-Brome Hay </t>
  </si>
  <si>
    <t xml:space="preserve">Preharvest - Feed - Corn Stalks </t>
  </si>
  <si>
    <t xml:space="preserve">Veterinary &amp; Health </t>
  </si>
  <si>
    <t xml:space="preserve">Machinery, Equipment, Fuel, &amp; Repairs </t>
  </si>
  <si>
    <t xml:space="preserve">Marketing &amp; Miscellaneous </t>
  </si>
  <si>
    <t xml:space="preserve">Machinery, Equipment, Housing, &amp; Fences </t>
  </si>
  <si>
    <t>Assumed rent</t>
  </si>
  <si>
    <t>4 bu @ $ 3.40/bu     / 2.5 acres (bring it down to per acre amount)</t>
  </si>
  <si>
    <t>60 bu @ $ 0.09/bu     / 2.5 acres (bring it down to per acre amount)</t>
  </si>
  <si>
    <t>$25 per unit / 2.5 acres (bring it down to per acre amount)</t>
  </si>
  <si>
    <t>$15 per unit / 2.5 acres (bring it down to per acre amount)</t>
  </si>
  <si>
    <t>$20 per unit / 2.5 acres (bring it down to per acre amount)</t>
  </si>
  <si>
    <t>8 hours @ $14/hr     / 2.5 acres (bring it down to per acre amount)</t>
  </si>
  <si>
    <t>https://www.extension.iastate.edu/AGDM/livestock/pdf/b1-21.pdf</t>
  </si>
  <si>
    <t>Rotational Grazing</t>
  </si>
  <si>
    <t>Assumed, modified (55/35) for changed stocking density</t>
  </si>
  <si>
    <t>4 bu @ $ 3.40/bu     / 2.5 acres (bring it down to per acre amount) Modified (55/35) for increased stocking density</t>
  </si>
  <si>
    <t>60 bu @ $ 0.09/bu     / 2.5 acres (bring it down to per acre amount) Modified (55/35) for increased stocking density</t>
  </si>
  <si>
    <t>2.1 bu @ $ 95/bu     / 2.5 acres (bring it down to per acre amount) Modified (55/35) for increased stocking density</t>
  </si>
  <si>
    <t>$25 per unit / 2.5 acres (bring it down to per acre amount) Modified (55/35) for increased stocking density</t>
  </si>
  <si>
    <t>$20 per unit / 2.5 acres (bring it down to per acre amount) Modified (55/35) for increased stocking density</t>
  </si>
  <si>
    <t>Assumed / 2.5 acres (bring down to 1 acre) Modified (55/35) for increased stocking density</t>
  </si>
  <si>
    <t>Grass Hay</t>
  </si>
  <si>
    <t>Every 4 years</t>
  </si>
  <si>
    <t>Years 2, 3, 4</t>
  </si>
  <si>
    <t xml:space="preserve"> $5.50.PER CUT Assumes 2 cut Establishment Year </t>
  </si>
  <si>
    <t xml:space="preserve"> $5.50.PER CUT Assumes 3 cuts per Year </t>
  </si>
  <si>
    <t xml:space="preserve"> $2.00PER CUT Assumes 3 cuts per Year </t>
  </si>
  <si>
    <t xml:space="preserve">Tandem disk  </t>
  </si>
  <si>
    <t xml:space="preserve"> $8.20 PER CUT Assumes 3 cuts per Year </t>
  </si>
  <si>
    <t xml:space="preserve">Prairie </t>
  </si>
  <si>
    <t>Conservation Forest</t>
  </si>
  <si>
    <t>Conventional Forest</t>
  </si>
  <si>
    <t>Switchgrass</t>
  </si>
  <si>
    <t>Every 11 years</t>
  </si>
  <si>
    <t>Custom - Preharvest - Disk</t>
  </si>
  <si>
    <t>Custom - Preharvest - Harrow</t>
  </si>
  <si>
    <t>Custom - Preharvest - Airflow spreader (seed and fertilizers)</t>
  </si>
  <si>
    <t>Custom - Spraying chemicals</t>
  </si>
  <si>
    <t>Fertilizer - K</t>
  </si>
  <si>
    <t>Herbicides</t>
  </si>
  <si>
    <t>Annual after yr1</t>
  </si>
  <si>
    <t>Fertilizer - N</t>
  </si>
  <si>
    <t>Liquid N application</t>
  </si>
  <si>
    <t>Bulk fertilizer spreader</t>
  </si>
  <si>
    <t>Sprayer</t>
  </si>
  <si>
    <t>Mow/conditioning</t>
  </si>
  <si>
    <t>Baling: large square ($10.70 bale)</t>
  </si>
  <si>
    <t>Staging</t>
  </si>
  <si>
    <t>Storage</t>
  </si>
  <si>
    <t>Ag Decision Maker, based on 2007 Iowa Farm Custom Rate Survey no repeat if reseeding</t>
  </si>
  <si>
    <t>Ag Decision Maker, based on 2007 Iowa Farm Custom Rate Surveyno repeat if reseeding</t>
  </si>
  <si>
    <t>Ag Decision Maker, based on 2007 Iowa Farm Custom Rate Surveyrepeat if reseeding (25% chance)</t>
  </si>
  <si>
    <t>Ag Decision Maker, based on 2007 Iowa Farm Custom Rate Survey</t>
  </si>
  <si>
    <t>repeat if reseeding (25% chance)</t>
  </si>
  <si>
    <t>Ag Decision Maker, based on 2007 Iowa Farm Custom Rate Survey 30lb @ $0.37/lb repeat if reseeding (25% chance)</t>
  </si>
  <si>
    <t>Ag Decision Maker, based on 2007 Iowa Farm Custom Rate Survey 40lb @ $0.23/lb repeat if reseeding (25% chance)</t>
  </si>
  <si>
    <t>Ag Decision Maker, based on 2007 Iowa Farm Custom Rate Survey no repeat if reseeding 3 tons @ $21/ton</t>
  </si>
  <si>
    <t>Ag Decision Maker, based on 2007 Iowa Farm Custom Rate Survey Pursuit+ 3 oz @ $53/gal, MSO 32 oz @ $1.75/pt 2,4D 1.5 pts @ $16/gal repeat if reseeding (25% chance)</t>
  </si>
  <si>
    <t>Ag Decision Maker, based on 2007 Iowa Farm Custom Rate Survey 100lb @ $0.31/lb</t>
  </si>
  <si>
    <t>Ag Decision Maker, based on 2007 Iowa Farm Custom Rate SurveyPursuit+ 3 oz @ $53/gal, MSO 32 oz @ $1.75/pt2,4D 1.5 pts @ $16/gal</t>
  </si>
  <si>
    <t>http://www.extension.iastate.edu/agdm/crops/html/a1-22.html</t>
  </si>
  <si>
    <t>15 lbs @ $3.81/lb alfalfa seed</t>
  </si>
  <si>
    <t>35 lbs @ $0.42/lb</t>
  </si>
  <si>
    <t>125 lbs @ $0.31/lb</t>
  </si>
  <si>
    <t xml:space="preserve"> $4.30.PER CUT Assumes 2 cut Establishment Year </t>
  </si>
  <si>
    <t xml:space="preserve"> $8.2.PER CUT Assumes 2 cuts Establishment Year </t>
  </si>
  <si>
    <t xml:space="preserve"> $2.00.PER CUT Assumes 2 cut Establishment Year </t>
  </si>
  <si>
    <t xml:space="preserve"> $3.10.PER CUT Assumes 2 cut Establishment Year </t>
  </si>
  <si>
    <t xml:space="preserve"> $5.20.PER CUT Assumes 2 cuts Establishment Year </t>
  </si>
  <si>
    <t xml:space="preserve"> $1.97 per ton @ 2.5 tons/cutting * 2 cuttings/acre/year </t>
  </si>
  <si>
    <t xml:space="preserve"> $2.87 per ton @ 2.5 tons/acre/year * 2 cuttings/acre/year </t>
  </si>
  <si>
    <t xml:space="preserve"> $4.30.PER CUT Assumes 3 cuts per Year </t>
  </si>
  <si>
    <t xml:space="preserve"> $3.10PER CUT Assumes 3 cuts per Year </t>
  </si>
  <si>
    <t xml:space="preserve"> $5.20PER CUT Assumes 3 cuts per Year </t>
  </si>
  <si>
    <t xml:space="preserve"> $1.87 per ton @ 4 tons/cutting * 3 cuttings/year </t>
  </si>
  <si>
    <t xml:space="preserve"> $2.87 per ton @ 4 tons/cutting * 3 cuttings/year </t>
  </si>
  <si>
    <t>2.1 bu @ $ 120/bu     / 2.5 acres (bring it down to per acre amount)</t>
  </si>
  <si>
    <t>65.10 / 2.5 acres (bring down to per acre)</t>
  </si>
  <si>
    <t>12/ 2.5 acres (bring down to 1 acre)</t>
  </si>
  <si>
    <t>108.20 / 2.5 acres (bring down to 1 acre)</t>
  </si>
  <si>
    <t>Assumed rent of pasture per acre</t>
  </si>
  <si>
    <t>Assumed pasture fertilizer, miscellaneous</t>
  </si>
  <si>
    <t>Ag Decision Maker, based on 2007 Iowa Farm Custom Rate Survey $10.70/bale WITH 8.42 BALES PER ACRE</t>
  </si>
  <si>
    <t>Ag Decision Maker, based on 2007 Iowa Farm Custom Rate Survey $2.75/bale @8.42 bales per acre</t>
  </si>
  <si>
    <t>Short-rotation Woody Bioenergy</t>
  </si>
  <si>
    <t>Every 7 years</t>
  </si>
  <si>
    <t>Aspen bare root stock (seedlings)</t>
  </si>
  <si>
    <t>Tree planting</t>
  </si>
  <si>
    <t>Mowing - Machinery Only</t>
  </si>
  <si>
    <t>Mowing - Labor Only</t>
  </si>
  <si>
    <t>Bulk fertilizer spreader - N - Machinery Only</t>
  </si>
  <si>
    <t>Bulk fertilizer spreader - N - Labor Only</t>
  </si>
  <si>
    <t>Land Rent</t>
  </si>
  <si>
    <t>Annual years 2-7</t>
  </si>
  <si>
    <t>Fertilizer - Phosphorus</t>
  </si>
  <si>
    <t>Fertilizer - Potassium</t>
  </si>
  <si>
    <t>Bulk fertilizer spreader - Phosphorus - Machinery Only</t>
  </si>
  <si>
    <t>Bulk fertilizer spreader - Phosphorus - Labor Only</t>
  </si>
  <si>
    <t>Bulk fertilizer spreader - Potassium - Machinery Only</t>
  </si>
  <si>
    <t>Bulk fertilizer spreader - Potassium - Labor Only</t>
  </si>
  <si>
    <t>Feller buncher/forwarder</t>
  </si>
  <si>
    <t>Staging (gathering biomass for transport)</t>
  </si>
  <si>
    <t>Wood chipping</t>
  </si>
  <si>
    <t>890 seedlings/hectare =&gt; 360.17 seedlings/acre $0.37/seedling</t>
  </si>
  <si>
    <t>$481.85/hectare =&gt; $195.00/acre</t>
  </si>
  <si>
    <t>Based on mower-conditioner  - equipment component only x2 cuts</t>
  </si>
  <si>
    <t>34kg/hectare =&gt; 13.76kg/acre    @ $1.39/kg</t>
  </si>
  <si>
    <t>1 application @           $8.65/hectare  =&gt;  $3.5/acre</t>
  </si>
  <si>
    <t>Annual rent rate</t>
  </si>
  <si>
    <t>56kg/hectare =&gt; 22.66kg/acre    @ $1.39/kg</t>
  </si>
  <si>
    <t>112kg/hectare =&gt; 45.32kg/acre    @ $1.21/kg</t>
  </si>
  <si>
    <t>Wetland</t>
  </si>
  <si>
    <t>Every 50 years</t>
  </si>
  <si>
    <t>Design cost</t>
  </si>
  <si>
    <t>Contract fees</t>
  </si>
  <si>
    <t>Seeding buffer</t>
  </si>
  <si>
    <t>Seed cost</t>
  </si>
  <si>
    <t>Weir plate</t>
  </si>
  <si>
    <t>Control structure</t>
  </si>
  <si>
    <t>Land acquisition</t>
  </si>
  <si>
    <t>Time to manage</t>
  </si>
  <si>
    <t>Every 40 years</t>
  </si>
  <si>
    <t>Control structure and weir replacement</t>
  </si>
  <si>
    <t>medium cost, per range cited in source</t>
  </si>
  <si>
    <t>$30/sqft for 40ft x 5ft sheet pile plate Assumes 1 per 10 acre wetland/grass buffer block</t>
  </si>
  <si>
    <t>raw cost for 10 acres (assumes $13,426 per hectare  =&gt;  $5433.32/acre)</t>
  </si>
  <si>
    <t>Spot mowing 10% of buffer area @ 74.13/hectare treated</t>
  </si>
  <si>
    <t>True present value cost of weir replacement, new structure, and 16 hrs of earth work @ $40/hr</t>
  </si>
  <si>
    <t>Mixed Fruits &amp; Vegetables</t>
  </si>
  <si>
    <t>Green Beans</t>
  </si>
  <si>
    <t>Green Beans - Assumptions</t>
  </si>
  <si>
    <t>Equipment</t>
  </si>
  <si>
    <t>Ag Decision Maker, Specialty Green Beans 4' rows, 100' beds ==== assume 70 beds/acre</t>
  </si>
  <si>
    <t>0.6 lbs seed/bed * $0.75/lb seed * 70 beds</t>
  </si>
  <si>
    <t>2 lbs seed/bed * $10/lb seed * 70 beds</t>
  </si>
  <si>
    <t>6 lbs fertilizer/bed * $0.15/lb fert * 70 beds</t>
  </si>
  <si>
    <t>0.05 hrs/bed * $10/hr * 70 beds</t>
  </si>
  <si>
    <t>0.20 hrs/bed * $10/hrs * 70 beds</t>
  </si>
  <si>
    <t>0.10 hrs/bed * $10/hr * 70 beds</t>
  </si>
  <si>
    <t>0.15 hrs/bed * $10/hr * 70 beds</t>
  </si>
  <si>
    <t>0.25 hrs/bed * $10/hr * 70 beds</t>
  </si>
  <si>
    <t>2.00 hrs/bed * $10/hr * 70 beds</t>
  </si>
  <si>
    <t>120 lbs beans/bed * 1 bag/lb * $0.03/bag * 70 beds</t>
  </si>
  <si>
    <t>15 hrs/bed * $10/hr * 70 beds</t>
  </si>
  <si>
    <t>0.50 hrs/bed * @10/hr * 70 beds</t>
  </si>
  <si>
    <t>$1.14/bed * 70 beds</t>
  </si>
  <si>
    <t>$7.14/bed * 70 beds</t>
  </si>
  <si>
    <t>http://www.extension.iastate.edu/agdm/decisionaidscd.html</t>
  </si>
  <si>
    <t>Strawberries</t>
  </si>
  <si>
    <t>Every 3 Years</t>
  </si>
  <si>
    <t>Seed-cover crop</t>
  </si>
  <si>
    <t>Plants</t>
  </si>
  <si>
    <t>Fertilization</t>
  </si>
  <si>
    <t>Straw mulch</t>
  </si>
  <si>
    <t>Labor - Land preparation - trench</t>
  </si>
  <si>
    <t>Labor - Fertilizer spreading</t>
  </si>
  <si>
    <t>Labor - Transplanting</t>
  </si>
  <si>
    <t>Labor - Hand Hoeing</t>
  </si>
  <si>
    <t>Labor - Pull off blossoms</t>
  </si>
  <si>
    <t>Labor - Mulching</t>
  </si>
  <si>
    <t>Labor - Irrigation set up</t>
  </si>
  <si>
    <t>Straw Mulch</t>
  </si>
  <si>
    <t>Labor - Remove Mulch</t>
  </si>
  <si>
    <t>Fertilizer Spreading</t>
  </si>
  <si>
    <t>Hand Hoeing</t>
  </si>
  <si>
    <t>Mowing</t>
  </si>
  <si>
    <t>Renovation</t>
  </si>
  <si>
    <t>Mulching</t>
  </si>
  <si>
    <t>Irrigation Tear Down and Set Up</t>
  </si>
  <si>
    <t>Harvesting Containers</t>
  </si>
  <si>
    <t>Harvest Trays for U-Pick</t>
  </si>
  <si>
    <t>Harvest Labor - Pickers</t>
  </si>
  <si>
    <t>75 lbs/acre * $0.60/lb</t>
  </si>
  <si>
    <t>5000 plants * ($100/1000 plants)</t>
  </si>
  <si>
    <t>300 lbs/acre * $0.15/lb</t>
  </si>
  <si>
    <t>7 large round bales * $45/bale</t>
  </si>
  <si>
    <t>3 hrs/acre * $10/hr</t>
  </si>
  <si>
    <t>1 hrs/acre * $10/hr</t>
  </si>
  <si>
    <t>18 hrs/acre * $10/hr</t>
  </si>
  <si>
    <t>8 hrs/acre * $10/hr</t>
  </si>
  <si>
    <t>1000 containers/4000 qts * 4000 qts/acre * $0.15/container</t>
  </si>
  <si>
    <t>100 trays/4000 qts * 4000 qts/acre * $1.00/tray</t>
  </si>
  <si>
    <t>1000 qts * $0.75/qt</t>
  </si>
  <si>
    <t>$80/acre</t>
  </si>
  <si>
    <t>$500/acre</t>
  </si>
  <si>
    <t>$160/acre</t>
  </si>
  <si>
    <t>Winter Squash</t>
  </si>
  <si>
    <t>Black Plastic/Drip Lines</t>
  </si>
  <si>
    <t>Insecticides</t>
  </si>
  <si>
    <t>Fungicides</t>
  </si>
  <si>
    <t>Pollination</t>
  </si>
  <si>
    <t>Machinery Variable Costs</t>
  </si>
  <si>
    <t>Boxes</t>
  </si>
  <si>
    <t>Plastic Disposal</t>
  </si>
  <si>
    <t>Plastic Disposal Fee</t>
  </si>
  <si>
    <t>Hired Labor (Harvesting/ Hauling/ Handling)</t>
  </si>
  <si>
    <t>Marketing Costs</t>
  </si>
  <si>
    <t>Hauling Variable Costs</t>
  </si>
  <si>
    <t>Operator and Unpaid Family Labor</t>
  </si>
  <si>
    <t>0.5 ton/acre * $20/ton</t>
  </si>
  <si>
    <t>http://www.uky.edu/ccd/tools/budgets</t>
  </si>
  <si>
    <t>2 lbs/acre * $60/lb</t>
  </si>
  <si>
    <t>$75.00/hive * 1 hive/acre</t>
  </si>
  <si>
    <t>disposal fee assumed @ $10/acre</t>
  </si>
  <si>
    <t>assumed 10% gross</t>
  </si>
  <si>
    <t>calculations not provided</t>
  </si>
  <si>
    <t>Grapes (Conventional)</t>
  </si>
  <si>
    <t>Drainage Tile Installation - Custom</t>
  </si>
  <si>
    <t>Lime (2 tons/acre) - Material Costs</t>
  </si>
  <si>
    <t>Lime (2 tons/acre) - Custom</t>
  </si>
  <si>
    <t>Herbicide application - Equipment Cost</t>
  </si>
  <si>
    <t>Herbicide application - Material Cost</t>
  </si>
  <si>
    <t>Stone removal &amp; land maintenance - Unskilled Labor Costs</t>
  </si>
  <si>
    <t>Stone removal &amp; land maintenance - Equipment Costs</t>
  </si>
  <si>
    <t>Soil Sampling - Skilled Labor Costs</t>
  </si>
  <si>
    <t>Soil Sampling - Material Costs</t>
  </si>
  <si>
    <t>Fall fertilization - Skilled Labor Costs</t>
  </si>
  <si>
    <t>Fall fertilization - Equipment Costs</t>
  </si>
  <si>
    <t>Fall fertilization - Material Costs</t>
  </si>
  <si>
    <t>Plowing - Custom</t>
  </si>
  <si>
    <t>Discing (x2) - Custom</t>
  </si>
  <si>
    <t>Pickup truck (10,000 miles for 50 acre/year) - Equipment Costs</t>
  </si>
  <si>
    <t>Floating/dragging - Skilled Labor Costs</t>
  </si>
  <si>
    <t>Floating/dragging - Equipment Costs</t>
  </si>
  <si>
    <t>Laser Planting ($3.50/vine) - Custom</t>
  </si>
  <si>
    <t>Laser Planting ($3.50/vine) - Material Costs</t>
  </si>
  <si>
    <t>Fertilization (banded) - Skilled Labor Costs</t>
  </si>
  <si>
    <t>Fertilization (banded) - Equipment Costs</t>
  </si>
  <si>
    <t>Fertilization (banded) - Material Costs</t>
  </si>
  <si>
    <t>Hilling up - Skilled Labor Costs</t>
  </si>
  <si>
    <t>Hilling up - Equipment Costs</t>
  </si>
  <si>
    <t>Hilling up - Unskilled Labor Costs</t>
  </si>
  <si>
    <t>Chem. Weed control - trellis - Skilled Labor Costs</t>
  </si>
  <si>
    <t>Chem. Weed control - trellis - Equipment Costs</t>
  </si>
  <si>
    <t>Chem. Weed control - trellis - Material Costs</t>
  </si>
  <si>
    <t>Trellis construction - Skilled Labor Costs</t>
  </si>
  <si>
    <t>Trellis construction - Equipment Costs</t>
  </si>
  <si>
    <t>Trellis construction - Material Costs</t>
  </si>
  <si>
    <t>Spot herbicide - hand application - Skilled Labor Costs</t>
  </si>
  <si>
    <t>Spot herbicide - hand application - Material Costs</t>
  </si>
  <si>
    <t>Sprays 1-3 (all year 1 sprays) - Mancozeb 75DF</t>
  </si>
  <si>
    <t>Sprays 1-3 (all year 1 sprays) - Sulfur</t>
  </si>
  <si>
    <t>Sprays 1-3 (all year 1 sprays) - Spreader</t>
  </si>
  <si>
    <t>Sprays 1-3 (all year 1 sprays) - Equipment Costs</t>
  </si>
  <si>
    <t>Sprays 1-3 (all year 1 sprays) - Skilled Labor Costs</t>
  </si>
  <si>
    <t>Seed cover crop - Skilled Labor Costs</t>
  </si>
  <si>
    <t>Seed cover crop - Equipment Costs</t>
  </si>
  <si>
    <t>Seed cover crop - Material Costs</t>
  </si>
  <si>
    <t>Pruning &amp; brush removal - Skilled Labor Costs</t>
  </si>
  <si>
    <t>Tying &amp; renewal - Unskilled Labor Costs</t>
  </si>
  <si>
    <t>Tying &amp; renewal - Material Costs</t>
  </si>
  <si>
    <t>Vine Replacement - Skilled Labor Costs</t>
  </si>
  <si>
    <t>Vine Replacement - Equipment Costs</t>
  </si>
  <si>
    <t>Vine Replacement - Material Costs</t>
  </si>
  <si>
    <t>Spring Replacement - Skilled Labor Costs</t>
  </si>
  <si>
    <t>Spring Replacement - Equipment Costs</t>
  </si>
  <si>
    <t>Spring Replacement - Material Costs</t>
  </si>
  <si>
    <t>Chem. Weed control-trellis - Skilled Labor Costs</t>
  </si>
  <si>
    <t>Chem. Weed control-trellis - Equipment Costs</t>
  </si>
  <si>
    <t>Chem. Weed control-trellis - Material Costs</t>
  </si>
  <si>
    <t>Suckering - Unskilled Labor Costs</t>
  </si>
  <si>
    <t>Cluster removal - Unskilled Labor Costs</t>
  </si>
  <si>
    <t>Take away (de-hilling) - Skilled Labor Costs</t>
  </si>
  <si>
    <t>Take away (de-hilling) - Equipment Costs</t>
  </si>
  <si>
    <t>Hand Hoe - Unskilled Labor Costs</t>
  </si>
  <si>
    <t>Sprays 1-4 (all year 2 sprays) - Mancozeb 75DF</t>
  </si>
  <si>
    <t>Sprays 1-4 (all year 2 sprays) - Sulfur</t>
  </si>
  <si>
    <t>Sprays 1-4 (all year 2 sprays) - Spreader</t>
  </si>
  <si>
    <t>Sprays 1-4 (all year 2 sprays) - Skilled Labor Costs</t>
  </si>
  <si>
    <t>Sprays 1-4 (all year 2 sprays) - Equipment Costs</t>
  </si>
  <si>
    <t>Rogueing</t>
  </si>
  <si>
    <t>Pickup truck (10,000 miles for 50 acre/year)</t>
  </si>
  <si>
    <t>Pruning and brush pulling ($0.45/vine) - Custom</t>
  </si>
  <si>
    <t>Tying &amp; renewal ($0.23/vine) - Custom</t>
  </si>
  <si>
    <t>Tying &amp; renewal ($0.23/vine) - Material Costs</t>
  </si>
  <si>
    <t>Brush chopping (x1) - Skilled Labor Costs</t>
  </si>
  <si>
    <t>Brush chopping (x1) - Equipment Costs</t>
  </si>
  <si>
    <t>Bird control - Skilled Labor Costs</t>
  </si>
  <si>
    <t>Sprays 1-2 - Mancozeb 75DF</t>
  </si>
  <si>
    <t>Sprays 1-2 - Sulfur</t>
  </si>
  <si>
    <t>Sprays 1-2 - Spreader</t>
  </si>
  <si>
    <t>Sprays 1-2 - Skilled Labor Costs</t>
  </si>
  <si>
    <t>Sprays 1-2 - Equipment Costs</t>
  </si>
  <si>
    <t>Sprays 3-4 - Revus Top</t>
  </si>
  <si>
    <t>Sprays 3-4 - Sulfur</t>
  </si>
  <si>
    <t>Sprays 3-4 - Spreader</t>
  </si>
  <si>
    <t>Sprays 3-4 - Skilled Labor Costs</t>
  </si>
  <si>
    <t>Sprays 3-4 - Equipment Costs</t>
  </si>
  <si>
    <t>Sprays 5-8 - Captan 80WP</t>
  </si>
  <si>
    <t>Sprays 5-8 - Sulfur</t>
  </si>
  <si>
    <t>Sprays 5-8 - Spreader</t>
  </si>
  <si>
    <t>Sprays 5-8 - Skilled Labor Costs</t>
  </si>
  <si>
    <t>Sprays 5-8 - Equipment Costs</t>
  </si>
  <si>
    <t>Pruning+brush pulling ($0.45/vine) - Custom</t>
  </si>
  <si>
    <t>Brush chopping - Skilled Labor Costs</t>
  </si>
  <si>
    <t>Brush chopping - Equipment Costs</t>
  </si>
  <si>
    <t>Trellis maintenance - Skilled Labor Costs</t>
  </si>
  <si>
    <t>Trellis maintenance - Equipment Costs</t>
  </si>
  <si>
    <t>Trellis maintenance - Materials Costs</t>
  </si>
  <si>
    <t>Tying &amp; renewal ($0.23/vine) - Custom Labor</t>
  </si>
  <si>
    <t>Soil applic of Solubor (w/ herb. Spray) - Material Costs</t>
  </si>
  <si>
    <t>Spot herbicide - hand application - Equipment Cost</t>
  </si>
  <si>
    <t>Shoot thinning - Unskilled Labor Costs</t>
  </si>
  <si>
    <t>Take-away (de-hilling) - Skilled Labor Costs</t>
  </si>
  <si>
    <t>Take-away (de-hilling) - Equipment Costs</t>
  </si>
  <si>
    <t>Spray 3 - Mancozeb 75DF</t>
  </si>
  <si>
    <t>Spray 3 - Sulfur</t>
  </si>
  <si>
    <t>Spray 3 - Spreader</t>
  </si>
  <si>
    <t>Spray 3 - Skilled Labor Costs</t>
  </si>
  <si>
    <t>Spray 3 - Equipment Costs</t>
  </si>
  <si>
    <t>Spray 4 - Revus Top</t>
  </si>
  <si>
    <t>Spray 4 - Sulfur</t>
  </si>
  <si>
    <t>Spray 4 - Spreader</t>
  </si>
  <si>
    <t>Spray 4 - Skilled Labor Costs</t>
  </si>
  <si>
    <t>Spray 4 - Equipment Costs</t>
  </si>
  <si>
    <t>Spray 5 - Vivando</t>
  </si>
  <si>
    <t>Spray 5 - Mancozeb 75DF</t>
  </si>
  <si>
    <t>Spray 5 - Skilled Labor Costs</t>
  </si>
  <si>
    <t>Spray 5 - Equipment Costs</t>
  </si>
  <si>
    <t>Spray 6 - Pristine 38WG</t>
  </si>
  <si>
    <t>Spray 6 - Sulfur</t>
  </si>
  <si>
    <t>Spray 6 - Skilled Labor Costs</t>
  </si>
  <si>
    <t>Spray 6 - Equipment Costs</t>
  </si>
  <si>
    <t>Spray 7 - Revus Top</t>
  </si>
  <si>
    <t>Spray 7 - Carvaryl 4L</t>
  </si>
  <si>
    <t>Spray 7 - Spreader</t>
  </si>
  <si>
    <t>Spray 7 - Skilled Labor Costs</t>
  </si>
  <si>
    <t>Spray 7 - Equipment Costs</t>
  </si>
  <si>
    <t>Spray 8 - Pristine 38WG</t>
  </si>
  <si>
    <t>Spray 8 - Sulfur</t>
  </si>
  <si>
    <t>Spray 8 - ProPhyt</t>
  </si>
  <si>
    <t>Spray 8 - Skilled Labor Costs</t>
  </si>
  <si>
    <t>Spray 8 - Equipment Costs</t>
  </si>
  <si>
    <t>Spray 9-10 - Sulfur</t>
  </si>
  <si>
    <t>Spray 9-10 - ProPhyt</t>
  </si>
  <si>
    <t>Spray 9-10 - Spreader</t>
  </si>
  <si>
    <t>Sprays 9-10 - Skilled Labor Costs</t>
  </si>
  <si>
    <t>Sprays 9-10 - Equipment Costs</t>
  </si>
  <si>
    <t>Spray 11 - Captan 80 WP</t>
  </si>
  <si>
    <t>Spray 11 - Sulfur</t>
  </si>
  <si>
    <t>Spray 11 - Vanguard 75WP</t>
  </si>
  <si>
    <t>Spray 11 - Spreader</t>
  </si>
  <si>
    <t>Spray 11 - Skilled Labor Costs</t>
  </si>
  <si>
    <t>Spray 11 - Equipment Costs</t>
  </si>
  <si>
    <t>Spray 12 - Captan 80 WP</t>
  </si>
  <si>
    <t>Spray 12 - Sulfur</t>
  </si>
  <si>
    <t>Spray 12 - Elevate 50 WP</t>
  </si>
  <si>
    <t>Spray 12 - Spreader</t>
  </si>
  <si>
    <t>Spray 12 - Skilled Labor Costs</t>
  </si>
  <si>
    <t>Spray 12 - Equipment Costs</t>
  </si>
  <si>
    <t>Shoot positioning/move catch wires (first path) - Unskilled Labor Costs</t>
  </si>
  <si>
    <t>Shoot positioning/move catch wires (second path) - Unskilled Labor Costs</t>
  </si>
  <si>
    <t>Mechanical leaf removal - Skilled Labor Costs</t>
  </si>
  <si>
    <t>Mechanical leaf removal - Equipment Costs</t>
  </si>
  <si>
    <t>Hilling-up - Skilled Labor Costs</t>
  </si>
  <si>
    <t>Hilling-up - Equipment Costs</t>
  </si>
  <si>
    <t>Crop insurance - Other</t>
  </si>
  <si>
    <t>http://publications.dyson.cornell.edu/outreach/extensionpdf/2014/Cornell-Dyson-eb1401.pdf</t>
  </si>
  <si>
    <t>Mancozeb 75DF 3lbs/acre * $4.05/lb * 3 sprays</t>
  </si>
  <si>
    <t>Sulfur 4 lbs/acre * $0.50/lb * 3 sprays</t>
  </si>
  <si>
    <t>Spreader 4 oz./acre * $20/gal * 3 sprays</t>
  </si>
  <si>
    <t>0.4 hours * $20/hour * 3 sprays</t>
  </si>
  <si>
    <t>Mancozeb 75DF 3lbs/acre * $4.05/lb * 4 sprays</t>
  </si>
  <si>
    <t>Sulfur 4 lbs/acre * $0.50/lb * 4 sprays</t>
  </si>
  <si>
    <t>Spreader 4 oz./acre * $20/gal * 4 sprays</t>
  </si>
  <si>
    <t>0.4 hours * $20/hour * 4 sprays</t>
  </si>
  <si>
    <t>Mancozeb 75DF 3 lbs/acre * $4.05/lb * 2 sprays</t>
  </si>
  <si>
    <t>Sulfur 4 lbs/acre * $0.50/lb * 2 sprays</t>
  </si>
  <si>
    <t>Spreader 4 oz./acre * $20/gal * 2 sprays</t>
  </si>
  <si>
    <t>0.6 hours * $20/hour * 2 sprays</t>
  </si>
  <si>
    <t>Revus Top 7 oz/acre * $2.34/oz * 2 sprays</t>
  </si>
  <si>
    <t>Captan 80WP 2.5 lbs/acre * $6.60/lb * 4 sprays</t>
  </si>
  <si>
    <t>Sulfur 5 lbs/acre * $0.50/lb * 4 sprays</t>
  </si>
  <si>
    <t>0.6 hours * $20/hour * 4 sprays</t>
  </si>
  <si>
    <t>0.6 hours * $20/hour * 1 spray</t>
  </si>
  <si>
    <t>Revus Top 7 oz/acre * $2.34/oz * 1 spray</t>
  </si>
  <si>
    <t>Sulfur 5 lbs/acre * $0.50/lb * 1 spray</t>
  </si>
  <si>
    <t>Spreader 4 oz./acre * $20/gal * 1 spray</t>
  </si>
  <si>
    <t>Vivando 10 oz/acre * $1.88/oz * 1 spray</t>
  </si>
  <si>
    <t>Mancozeb 75DF 4 lbs/acre * $4.05/lb * 1 spray</t>
  </si>
  <si>
    <t>Carvaryl 4L 2 qt/acre * $45/gal * 1 spray</t>
  </si>
  <si>
    <t>ProPhyt 2.5 pt/acre * $3.16/pt * 1 spray</t>
  </si>
  <si>
    <t>Sulfur 8 lbs/acre * $0.50/lb * 2 spray</t>
  </si>
  <si>
    <t>ProPhyt 2.5 pt/acre * $3.16/pt * 2 spray</t>
  </si>
  <si>
    <t>Spreader 4 oz./acre * $20/gal * 2 spray</t>
  </si>
  <si>
    <t>Captan 80WP 2.5 lbs/acre * $6.60/lb * 1 spray</t>
  </si>
  <si>
    <t>Vanguard 75WP 10 oz/acre * $3.75/oz * 1 spray</t>
  </si>
  <si>
    <t>Enter your input values in shaded cells.</t>
  </si>
  <si>
    <t>Assumptions:</t>
  </si>
  <si>
    <t>100' x 4' bed</t>
  </si>
  <si>
    <t>Quantity</t>
  </si>
  <si>
    <t>Unit</t>
  </si>
  <si>
    <t>$/Unit</t>
  </si>
  <si>
    <t>Receipts</t>
  </si>
  <si>
    <t>Bean sales</t>
  </si>
  <si>
    <t>lbs</t>
  </si>
  <si>
    <t>Total Receipts</t>
  </si>
  <si>
    <t>Planting Year Costs</t>
  </si>
  <si>
    <t>Supplies</t>
  </si>
  <si>
    <t>Seed - cover crop</t>
  </si>
  <si>
    <t>Labor Costs</t>
  </si>
  <si>
    <t>Cover crop</t>
  </si>
  <si>
    <t>hrs</t>
  </si>
  <si>
    <t>Bed preparation</t>
  </si>
  <si>
    <t>Fertilizer spreading</t>
  </si>
  <si>
    <t>Planting</t>
  </si>
  <si>
    <t>Irrigation set up</t>
  </si>
  <si>
    <t>Weeding</t>
  </si>
  <si>
    <t>Interest on Preplant Costs</t>
  </si>
  <si>
    <t>dollars</t>
  </si>
  <si>
    <t>Total Pre-Harvest Costs</t>
  </si>
  <si>
    <t>Bags (1 lb)</t>
  </si>
  <si>
    <t>bags</t>
  </si>
  <si>
    <t>Harvest Labor</t>
  </si>
  <si>
    <t>Packaging</t>
  </si>
  <si>
    <t>Total Ownership Costs</t>
  </si>
  <si>
    <t>Total Variable Costs</t>
  </si>
  <si>
    <t xml:space="preserve">   Per bed</t>
  </si>
  <si>
    <t xml:space="preserve">   Per lb</t>
  </si>
  <si>
    <t>Ownership Costs (Annual)</t>
  </si>
  <si>
    <t>Irrigation System</t>
  </si>
  <si>
    <t>Total Costs (Annual)</t>
  </si>
  <si>
    <t>Annual Returns Over Variable Costs</t>
  </si>
  <si>
    <t>Annual Returns Over Total Costs</t>
  </si>
  <si>
    <t xml:space="preserve">Seed - Cover Crops </t>
  </si>
  <si>
    <t xml:space="preserve">Seed </t>
  </si>
  <si>
    <t xml:space="preserve">Fertilization </t>
  </si>
  <si>
    <t>Labor - Cover crop</t>
  </si>
  <si>
    <t xml:space="preserve">Labor - Bed preparation </t>
  </si>
  <si>
    <t xml:space="preserve">Labor - Planting </t>
  </si>
  <si>
    <t xml:space="preserve">Labor - Irrigation set up </t>
  </si>
  <si>
    <t xml:space="preserve">Labor - Weeding </t>
  </si>
  <si>
    <t>Harvest - 1 lb bags</t>
  </si>
  <si>
    <t xml:space="preserve">Packaging </t>
  </si>
  <si>
    <t xml:space="preserve">Ownership Costs - Irrigation System </t>
  </si>
  <si>
    <t xml:space="preserve">Ownership Costs - Machinery </t>
  </si>
  <si>
    <t>Ownership Costs - Land</t>
  </si>
  <si>
    <t>$2.29/bed * 70 beds</t>
  </si>
  <si>
    <t>Transplanting</t>
  </si>
  <si>
    <t>Remove Mulch</t>
  </si>
  <si>
    <t>Containers</t>
  </si>
  <si>
    <t>Pickers</t>
  </si>
  <si>
    <t xml:space="preserve">Labor - Cover crop </t>
  </si>
  <si>
    <t xml:space="preserve">Ownership Costs - Land </t>
  </si>
  <si>
    <t>1 Acre</t>
  </si>
  <si>
    <t>3 years of production</t>
  </si>
  <si>
    <t>Strawberry Sales</t>
  </si>
  <si>
    <t xml:space="preserve">   First Production Year</t>
  </si>
  <si>
    <t>qts</t>
  </si>
  <si>
    <t xml:space="preserve">   Second Production Year</t>
  </si>
  <si>
    <t xml:space="preserve">   Third Production Year</t>
  </si>
  <si>
    <t>Average Receipts</t>
  </si>
  <si>
    <t>Establishment Year</t>
  </si>
  <si>
    <t>Seed- cover crop</t>
  </si>
  <si>
    <t>1000 plants</t>
  </si>
  <si>
    <t>lg round bales</t>
  </si>
  <si>
    <t>Land preparation - trench</t>
  </si>
  <si>
    <t>Hand hoeing</t>
  </si>
  <si>
    <t>Pull off blossoms</t>
  </si>
  <si>
    <t>Interest on Establishment Yr Costs</t>
  </si>
  <si>
    <t>Total Establishment Year Costs</t>
  </si>
  <si>
    <t>First Year of Production</t>
  </si>
  <si>
    <t>Interest on Est and 1st Yr Costs</t>
  </si>
  <si>
    <t>Total Preharvest Costs</t>
  </si>
  <si>
    <t>Harvest (Production - qts)</t>
  </si>
  <si>
    <t>containers</t>
  </si>
  <si>
    <t>Trays for U-Pick</t>
  </si>
  <si>
    <t>tray</t>
  </si>
  <si>
    <t>qt</t>
  </si>
  <si>
    <t>Total Harvest Costs</t>
  </si>
  <si>
    <t>Total Preharvest and Harvest Costs - Year 1</t>
  </si>
  <si>
    <t>Second Year of Production</t>
  </si>
  <si>
    <t>Total Preharvest Costs (Same as First Year of Production)</t>
  </si>
  <si>
    <t>Total Preharvest and Harvest Costs - Year 2</t>
  </si>
  <si>
    <t>Third Year of Production</t>
  </si>
  <si>
    <t>Total Preharvest and Harvest Costs - Year 3</t>
  </si>
  <si>
    <t>Average Total Variable Costs</t>
  </si>
  <si>
    <t>Per qt</t>
  </si>
  <si>
    <t>Preproduction Costs</t>
  </si>
  <si>
    <t xml:space="preserve">   Amortized over 3 years</t>
  </si>
  <si>
    <t>70 Beds</t>
  </si>
  <si>
    <t>GROSS RETURNS</t>
  </si>
  <si>
    <t>Winter Squash (50-lb box)</t>
  </si>
  <si>
    <t>boxes</t>
  </si>
  <si>
    <r>
      <t xml:space="preserve">   </t>
    </r>
    <r>
      <rPr>
        <b/>
        <sz val="10"/>
        <rFont val="Arial"/>
        <family val="2"/>
      </rPr>
      <t>Total Returns</t>
    </r>
  </si>
  <si>
    <t>VARIABLE COSTS</t>
  </si>
  <si>
    <t>Production</t>
  </si>
  <si>
    <t xml:space="preserve">   Winter Squash Transplants</t>
  </si>
  <si>
    <t>plants</t>
  </si>
  <si>
    <t xml:space="preserve">   N Fertilizer: Urea</t>
  </si>
  <si>
    <t xml:space="preserve">   K Fertilizer: Potash (0-0-60)</t>
  </si>
  <si>
    <t xml:space="preserve">   N Fertilizer: Fertigation (Calcium Nitrate)</t>
  </si>
  <si>
    <t xml:space="preserve">   Plastic Mulch</t>
  </si>
  <si>
    <t xml:space="preserve">   Drip Lines &amp; Irrigation Fittings</t>
  </si>
  <si>
    <t xml:space="preserve">   Pollination</t>
  </si>
  <si>
    <t>hive</t>
  </si>
  <si>
    <t xml:space="preserve">   Irrigation</t>
  </si>
  <si>
    <t>acre</t>
  </si>
  <si>
    <t>hrs.</t>
  </si>
  <si>
    <t xml:space="preserve">   Machinery Variable Costs</t>
  </si>
  <si>
    <t>Total Preharvest Variable Costs</t>
  </si>
  <si>
    <t>HARVESTING AND MARKETING</t>
  </si>
  <si>
    <t xml:space="preserve"> Plastic Disposal</t>
  </si>
  <si>
    <t>hours</t>
  </si>
  <si>
    <t xml:space="preserve"> Hired Labor</t>
  </si>
  <si>
    <t xml:space="preserve">   Harvest &amp; Field Grading</t>
  </si>
  <si>
    <t xml:space="preserve"> Boxes</t>
  </si>
  <si>
    <t xml:space="preserve"> Marketing Costs (10% of Gross)</t>
  </si>
  <si>
    <t>gross</t>
  </si>
  <si>
    <t xml:space="preserve"> Hauling Variable Costs</t>
  </si>
  <si>
    <t>Total Harvesting and Marketing Cost</t>
  </si>
  <si>
    <t>Interest on Variable Costs</t>
  </si>
  <si>
    <t>TOTAL VARIABLE COST</t>
  </si>
  <si>
    <t>RETURN ABOVE VARIABLE COSTS</t>
  </si>
  <si>
    <t>FIXED COSTS</t>
  </si>
  <si>
    <t xml:space="preserve">   Machinery and Equipment</t>
  </si>
  <si>
    <t xml:space="preserve">   Irrigation System Capital Recovery</t>
  </si>
  <si>
    <t xml:space="preserve">   Taxes on Land</t>
  </si>
  <si>
    <t xml:space="preserve">   Insurance</t>
  </si>
  <si>
    <t>TOTAL FIXED COSTS</t>
  </si>
  <si>
    <t>TOTAL EXPENSES</t>
  </si>
  <si>
    <t>RETURN TO OPERATOR LABOR, LAND, CAPITAL, &amp; MGT.</t>
  </si>
  <si>
    <t>RETURN TO LAND, CAPITAL, AND MANAGEMENT</t>
  </si>
  <si>
    <t>a Yields based on prior UK budget yield assumption.</t>
  </si>
  <si>
    <t>d Pesticide costs based on recommended applications of various products using 2017 product costs.</t>
  </si>
  <si>
    <t>f  Based on state budgets with revisions by Kentucky vegetable experts.</t>
  </si>
  <si>
    <t>g Fertilizer assumption: 8.5 lbs calcium nitrate per week per 1,000 plants.</t>
  </si>
  <si>
    <t>Page</t>
  </si>
  <si>
    <t>Land-Use or Other Category</t>
  </si>
  <si>
    <t>Data Gathered</t>
  </si>
  <si>
    <t>Finalizing/Fit
to Modern Iowa</t>
  </si>
  <si>
    <t>Recheck values</t>
  </si>
  <si>
    <t>Categorize Dependent Variables</t>
  </si>
  <si>
    <t>Not Started</t>
  </si>
  <si>
    <t>Costs per Acre</t>
  </si>
  <si>
    <t>Complete</t>
  </si>
  <si>
    <t>categorized</t>
  </si>
  <si>
    <t>In Progress</t>
  </si>
  <si>
    <t>Conventional Soybean</t>
  </si>
  <si>
    <t>Unnecessary</t>
  </si>
  <si>
    <t>Conservation Soybean</t>
  </si>
  <si>
    <t>None</t>
  </si>
  <si>
    <t>Prairie</t>
  </si>
  <si>
    <t>recheck</t>
  </si>
  <si>
    <t>Revenues &amp; Variability per Acre</t>
  </si>
  <si>
    <t>CRP</t>
  </si>
  <si>
    <t>Completed</t>
  </si>
  <si>
    <t>Waiting for Robert</t>
  </si>
  <si>
    <t>Conservation Soybeans</t>
  </si>
  <si>
    <t>Conservation Forests</t>
  </si>
  <si>
    <t>Conventional Forests</t>
  </si>
  <si>
    <t>Short-Rotation Woody Bioenergy</t>
  </si>
  <si>
    <t>Mixed F&amp;V - Green Beans</t>
  </si>
  <si>
    <t>Mixed F&amp;V - Strawberries</t>
  </si>
  <si>
    <t>Mixed F&amp;V - Squash</t>
  </si>
  <si>
    <t>Mixed F&amp;V - Grapes</t>
  </si>
  <si>
    <t xml:space="preserve">    cost per unit</t>
  </si>
  <si>
    <t xml:space="preserve">    number of units</t>
  </si>
  <si>
    <t>Soybean after Corn</t>
  </si>
  <si>
    <t>$2.20/spray</t>
  </si>
  <si>
    <t>$2.00/spray</t>
  </si>
  <si>
    <t xml:space="preserve">Spray 1-2 </t>
  </si>
  <si>
    <t>$50.80/unit * 1 unit/acre</t>
  </si>
  <si>
    <t>$0.42/lb * 45 lbs/acre</t>
  </si>
  <si>
    <t>$0.31/lb * 84 lbs/acre</t>
  </si>
  <si>
    <t>$0.0436482781510935/bushel * 56 bushels/acre</t>
  </si>
  <si>
    <t>$0.0377398792438272/bushel * 56 bushels/acre</t>
  </si>
  <si>
    <t>$0.0176278512487621/bushel * 56 bushels/acre</t>
  </si>
  <si>
    <t>$0.0193228999583855/bushel * 56 bushels/acre</t>
  </si>
  <si>
    <t>Conventional Soybeans</t>
  </si>
  <si>
    <t>Conventinal Corn - CC</t>
  </si>
  <si>
    <t>Conventional Corn - CS</t>
  </si>
  <si>
    <t>$1.9/acre crop insurance premium</t>
  </si>
  <si>
    <t xml:space="preserve">   Herbicides  (Row Middles)</t>
  </si>
  <si>
    <t xml:space="preserve">   Insecticides</t>
  </si>
  <si>
    <t xml:space="preserve">   Fungicides</t>
  </si>
  <si>
    <t xml:space="preserve">   Hired Labor  (Planting)</t>
  </si>
  <si>
    <t>Operator Labor (machinery and irrigation)</t>
  </si>
  <si>
    <t>b Price based on terminal market and shipping point prices from IL, MO and NC, 2016; Ky. auction price trends, 2016.</t>
  </si>
  <si>
    <t>c Fuel and power for irrigation system. Assumes established well or water source. Depreciation fixed costs in capital recovery line.</t>
  </si>
  <si>
    <t>e Machinery costs generator (ISU, 2002) using updated fuel, purchase price and replacement cost estimates.</t>
  </si>
  <si>
    <t>* Farm has 5 or more acres total in trickle-irrigated crops</t>
  </si>
  <si>
    <t>$1.9/acre (assuming 3 cuts @ 4 tons/cut)</t>
  </si>
  <si>
    <t>Ag Decision Maker, based on 2007 Iowa Farm Custom Rate Survey 1.94lb @ $0.37/lb @4 tons per acre</t>
  </si>
  <si>
    <t>Ag Decision Maker, based on 2007 Iowa Farm Custom Rate Survey 22.8lb @ $0.23/lb @ 4 tons per acre</t>
  </si>
  <si>
    <t>Ag Decision Maker, based on 2007 Iowa Farm Custom Rate Survey Assumes used for ethanol, therefore MUST be storage indoors. Storage Cost Per Ton</t>
  </si>
  <si>
    <t>1000 containers/3000 qts * 3000 qts/acre * $0.15/container</t>
  </si>
  <si>
    <t>75 trays/3000 qts * 3000 qts/acre * $1.00/tray</t>
  </si>
  <si>
    <t>1000 containers/2000 qts * 2000 qts/acre * $0.15/container</t>
  </si>
  <si>
    <t>50 trays/2000 qts * 2000 qts/acre * $1.00/tray</t>
  </si>
  <si>
    <t xml:space="preserve">Fixed </t>
  </si>
  <si>
    <t xml:space="preserve">Machinery and Equipment </t>
  </si>
  <si>
    <t>Depreciation on Irrigation System</t>
  </si>
  <si>
    <t xml:space="preserve">Taxes on Land </t>
  </si>
  <si>
    <t xml:space="preserve">Insurance </t>
  </si>
  <si>
    <t>a,b</t>
  </si>
  <si>
    <t>Harvest, Handling, Hauling Labor</t>
  </si>
  <si>
    <t>boxes/hour</t>
  </si>
  <si>
    <t>g</t>
  </si>
  <si>
    <t>c</t>
  </si>
  <si>
    <t>d</t>
  </si>
  <si>
    <t>e</t>
  </si>
  <si>
    <t>f</t>
  </si>
  <si>
    <t>100lbs @ $0.40/lb</t>
  </si>
  <si>
    <t>80lbs @ $0.30/lb</t>
  </si>
  <si>
    <t>154lbs @ $0.45/lb</t>
  </si>
  <si>
    <t>N Fertilizer: Urea</t>
  </si>
  <si>
    <t>K Fertilizer: Potash (0-0-60)</t>
  </si>
  <si>
    <t>N Fertilizer: Fertigation (Calcium Nitrate)</t>
  </si>
  <si>
    <t>$373/acre</t>
  </si>
  <si>
    <t>$12.69/acre</t>
  </si>
  <si>
    <t>$29.85/acre</t>
  </si>
  <si>
    <t>$246.06/acre</t>
  </si>
  <si>
    <t>$43.61/acre</t>
  </si>
  <si>
    <t>375 boxes/acre * $1.40/box</t>
  </si>
  <si>
    <t>10 hrs/acre * $12.50/hr</t>
  </si>
  <si>
    <t>375 boxes/acre * $0.50/box for hauling</t>
  </si>
  <si>
    <t>15 hrs/acre * $15/hr</t>
  </si>
  <si>
    <t>Annual rent rate $568.33/ha =&gt; $230 acre (Was 158.9?0)</t>
  </si>
  <si>
    <t>1 application @           0.151 hr/hectare  =&gt;  0.0611 hr/acre @  $11.70/hr</t>
  </si>
  <si>
    <t>custom</t>
  </si>
  <si>
    <t>custom (piece rate)</t>
  </si>
  <si>
    <t>$20/hr * 0.30hr</t>
  </si>
  <si>
    <t>$20.00hr * 1.70hr</t>
  </si>
  <si>
    <t>$20.00hr * 3.20hr</t>
  </si>
  <si>
    <t>$13.50hr * 6.00hr</t>
  </si>
  <si>
    <t xml:space="preserve">$13.97 * 1 spray </t>
  </si>
  <si>
    <t>Elevate 50 WP 1 lbs/acre * $42.75/lb * 1 spray</t>
  </si>
  <si>
    <t xml:space="preserve">$13.97 * 2 sprays </t>
  </si>
  <si>
    <t xml:space="preserve"> $13.97 * 1 spray </t>
  </si>
  <si>
    <t>Pristine 38WG 12.5 oz/acre * $3.25/oz * 1 spray</t>
  </si>
  <si>
    <t>Pristine 38WG 10 oz/acre * $3.25/oz * 1 spray</t>
  </si>
  <si>
    <t>Mancozeb 75DF 3 lbs/acre * $4.05/lb * 1 spray</t>
  </si>
  <si>
    <t>$13.97 * 2 sprays</t>
  </si>
  <si>
    <t>$20.00hr * 3.00hr</t>
  </si>
  <si>
    <t>$13.50/hr * 6.00hr</t>
  </si>
  <si>
    <t>$13.50/hr * 4.00hr</t>
  </si>
  <si>
    <t>$13.50/hr * 10.00hr</t>
  </si>
  <si>
    <t xml:space="preserve">Cluster removal - Unskilled Labor Costs </t>
  </si>
  <si>
    <t>$20.00hr * 0.40hr</t>
  </si>
  <si>
    <t>$20.00/hr * 2.60hr</t>
  </si>
  <si>
    <t>$20.00/hr * 2.00hr</t>
  </si>
  <si>
    <t>$20.00/hr * 4.00hr</t>
  </si>
  <si>
    <t>$20.00/hr * 1.20hr</t>
  </si>
  <si>
    <t>$20.00/hr * 1.70hr</t>
  </si>
  <si>
    <t xml:space="preserve"> $13.97 * 4 sprays </t>
  </si>
  <si>
    <t xml:space="preserve"> $13.97 * 2 sprays </t>
  </si>
  <si>
    <t>$20.00/hr * 0.40hr * 2 applications</t>
  </si>
  <si>
    <t>$20.00/hr * 3.00hr</t>
  </si>
  <si>
    <t>$13.50/hr * 1.00hr</t>
  </si>
  <si>
    <t xml:space="preserve">$8.38 * 4 sprays </t>
  </si>
  <si>
    <t>$13.50/hr * 2.50hr</t>
  </si>
  <si>
    <t>$20.00/hr * 1.25hr</t>
  </si>
  <si>
    <t>$20.00/hr * 0.60hr</t>
  </si>
  <si>
    <t>$13.50/hr * 2.00hr</t>
  </si>
  <si>
    <t>8.38 * 3 sprays</t>
  </si>
  <si>
    <t>$20.00/hr * 1 application</t>
  </si>
  <si>
    <t>$20.00/hr * 60.00hr</t>
  </si>
  <si>
    <t>$13.50/hr * 1.50hr</t>
  </si>
  <si>
    <t>$20.00/hr * 1.50hr</t>
  </si>
  <si>
    <t>$20.00/hr * 0.20hr</t>
  </si>
  <si>
    <t>Site Prep</t>
  </si>
  <si>
    <t>total yr 3</t>
  </si>
  <si>
    <t>No harvest</t>
  </si>
  <si>
    <t>Total yr  4-22</t>
  </si>
  <si>
    <t xml:space="preserve">Annual </t>
  </si>
  <si>
    <t>Truck Costs, Field To Storage</t>
  </si>
  <si>
    <t>Truck Labor, Storage To Plant</t>
  </si>
  <si>
    <t>Loader Labor, Storage to plant</t>
  </si>
  <si>
    <t>Truck Labor, Field To Storage</t>
  </si>
  <si>
    <t>Loader Labor, Field To Storage</t>
  </si>
  <si>
    <t xml:space="preserve">1 application @           0.151 hr/hectare  =&gt;  0.0611 hr/acre @  $11.70/hr </t>
  </si>
  <si>
    <t>$20.00/hr * 0.60hr * 2 Passes</t>
  </si>
  <si>
    <t>Cultivation - Skilled Labor Costs</t>
  </si>
  <si>
    <t>Cultivation - Equipment Costs</t>
  </si>
  <si>
    <t>Spot herbicide - hand application - Equipment Costs</t>
  </si>
  <si>
    <t>$20.00/hr * 0.65hr *4 Mowings</t>
  </si>
  <si>
    <t>Mowing - Skilled Labor Costs</t>
  </si>
  <si>
    <t>Mowing - Equipment Costs</t>
  </si>
  <si>
    <t>$20.00hr * 0.65hr * 4 Mowings</t>
  </si>
  <si>
    <t>$20.00hr * 0.50hr /5 years       (Annualized for applications 1 in 5 years)</t>
  </si>
  <si>
    <t>$24.40 / 5years          (Annualized for applications 1 in 5 years)</t>
  </si>
  <si>
    <t>1ton * $45.00/ton /5 years      (Annualized for applications 1 in 5 years)</t>
  </si>
  <si>
    <t>Lime - Skilled Labor Costs</t>
  </si>
  <si>
    <t>Lime - Equipment Costs</t>
  </si>
  <si>
    <t>Lime - Material Costs</t>
  </si>
  <si>
    <t>10,000 miles for 50 acre/year</t>
  </si>
  <si>
    <t>Pickup truck - Equipment Costs</t>
  </si>
  <si>
    <t>$20.00hr * 1.30hr * 2 Prunings</t>
  </si>
  <si>
    <t>Summer pruning - Skilled Labor Costs</t>
  </si>
  <si>
    <t>Summer pruning - Equipment Costs</t>
  </si>
  <si>
    <t>Assumes 2 Prunings</t>
  </si>
  <si>
    <t>Petiole sampling  - Skilled Labor Costs</t>
  </si>
  <si>
    <t>Petiole sampling - Material Costs</t>
  </si>
  <si>
    <t>Assumes every 2 years</t>
  </si>
  <si>
    <t>$20.00hr * 0.1hr             (Assumes every 2 years)</t>
  </si>
  <si>
    <t>Soil sampling - Skilled Labor Costs</t>
  </si>
  <si>
    <t>Soil sampling  - Material Costs</t>
  </si>
  <si>
    <t>(every 5 years)</t>
  </si>
  <si>
    <t>$20.00hr * 0.50hr /5 years                   (every 5 years)</t>
  </si>
  <si>
    <t>$500ton *.15ton Potash / 3 years</t>
  </si>
  <si>
    <t>2.5lbs Solubor * $1.69/lb</t>
  </si>
  <si>
    <t>Loader costs (labor, tractor, and fuel)</t>
  </si>
  <si>
    <t>Truck Costs, Transportation to Storage</t>
  </si>
  <si>
    <t>Custom</t>
  </si>
  <si>
    <t>1 application @  $8.65/hectare  =&gt;  $3.5/acre</t>
  </si>
  <si>
    <t>Custom Labor</t>
  </si>
  <si>
    <t>Labor Hours/Time of Year</t>
  </si>
  <si>
    <t>In Progress/Check/Customize</t>
  </si>
  <si>
    <t>Research Context/Calc./Review</t>
  </si>
  <si>
    <t>https://crops.extension.iastate.edu/cropnews/2010/05/when-make-first-spring-cut-alfalfa-and-mixed-alfalfagrass</t>
  </si>
  <si>
    <t>https://www.thebalance.com/corn-planting-and-harvest-seasons-809309</t>
  </si>
  <si>
    <t>https://taber.public.iastate.edu/Extension/Green%20Beans.pdf</t>
  </si>
  <si>
    <t>http://sfp.ucdavis.edu/crops/coststudieshtml/BpStrawberrySJV2004comp/</t>
  </si>
  <si>
    <t>https://www.garden.eco/plant-winter-squash</t>
  </si>
  <si>
    <t>https://hortnews.extension.iastate.edu/1997/4-11-1997/plantgrapes.html</t>
  </si>
  <si>
    <t>file:///C:/Users/bhosting/Downloads/PM1707.pdf</t>
  </si>
  <si>
    <t>https://ag.umass.edu/sites/ag.umass.edu/files/fact-sheets/pdf/trellis_construction_to_grow_fruit.pdf</t>
  </si>
  <si>
    <t>https://hortnews.extension.iastate.edu/faq/when-best-time-prune-grapevines</t>
  </si>
  <si>
    <t>https://extension.umn.edu/fruit/growing-grapes-home-garden</t>
  </si>
  <si>
    <t>https://harvesttotable.com/how_to_grow_winter_squash/</t>
  </si>
  <si>
    <t>https://extension.illinois.edu/veggies/wsquash.cfm</t>
  </si>
  <si>
    <t>https://hortnews.extension.iastate.edu/2006/11-8/strawberries.html</t>
  </si>
  <si>
    <t>15?</t>
  </si>
  <si>
    <t>?</t>
  </si>
  <si>
    <t>before fertilizer</t>
  </si>
  <si>
    <t>Mow, then fertilize, then weeding (hand hoeing) and irrigation</t>
  </si>
  <si>
    <t>https://hortnews.extension.iastate.edu/1998/6-12-1998/newberries.html</t>
  </si>
  <si>
    <t>fall</t>
  </si>
  <si>
    <t xml:space="preserve"> late april (northern Iowa)</t>
  </si>
  <si>
    <t>4-5.</t>
  </si>
  <si>
    <t>aug-mid october harvest season</t>
  </si>
  <si>
    <t>harvest early aug - mid october</t>
  </si>
  <si>
    <t>hill late fall</t>
  </si>
  <si>
    <t>21-4</t>
  </si>
  <si>
    <t>7-10.</t>
  </si>
  <si>
    <t>4-6 times per yr.</t>
  </si>
  <si>
    <t>16-19</t>
  </si>
  <si>
    <t>spring</t>
  </si>
  <si>
    <t>april and may</t>
  </si>
  <si>
    <t>feb/march to early april</t>
  </si>
  <si>
    <t>4-7.</t>
  </si>
  <si>
    <t>https://s3.wp.wsu.edu/uploads/sites/2109/2014/11/GrapePruningBasics1.pdf</t>
  </si>
  <si>
    <t>6-8.</t>
  </si>
  <si>
    <t>spring or autumn. Preferred post harvest in autmn. Can be taken year round</t>
  </si>
  <si>
    <t>19-20</t>
  </si>
  <si>
    <t>early spring</t>
  </si>
  <si>
    <t>17-22</t>
  </si>
  <si>
    <t>5-6.</t>
  </si>
  <si>
    <t>20-22</t>
  </si>
  <si>
    <t>before sugar over 10% (Maturiy ~ 24%)</t>
  </si>
  <si>
    <t>7-9.</t>
  </si>
  <si>
    <t>8-15.</t>
  </si>
  <si>
    <t>plant late march (southern iowa) late april (northern iowa)</t>
  </si>
  <si>
    <t>late sept early nov</t>
  </si>
  <si>
    <t>18-21</t>
  </si>
  <si>
    <t>15-19</t>
  </si>
  <si>
    <t>13-19</t>
  </si>
  <si>
    <t>4 hrs/acre * $10/hr          /2</t>
  </si>
  <si>
    <t>16 hrs/acre * $10/hr        /2</t>
  </si>
  <si>
    <t>2 hrs/acre * $10/hr          /2</t>
  </si>
  <si>
    <t>30 hrs/acre * $10/hr       /2</t>
  </si>
  <si>
    <t>1 hrs/acre * $10/hr     /3</t>
  </si>
  <si>
    <t>1 hrs/acre * $10/hr    /2</t>
  </si>
  <si>
    <t>Ag Decision Maker, based on 2007 Iowa Farm Custom Rate Survey Truck costs - $86.33     /2</t>
  </si>
  <si>
    <t>Ag Decision Maker, based on 2007 Iowa Farm Custom Rate Survey Loader costs - $35.65   /2</t>
  </si>
  <si>
    <t>Ag Decision Maker, based on 2007 Iowa Farm Custom Rate Survey Truck costs - $151.67    /2</t>
  </si>
  <si>
    <t>Ag Decision Maker, based on 2007 Iowa Farm Custom Rate Survey Loader cost - 21.39   /2</t>
  </si>
  <si>
    <t>2 hrs/acre * $10/hr     /4</t>
  </si>
  <si>
    <t>90 hrs/acre * $10/hr    /2</t>
  </si>
  <si>
    <t>1 hrs/acre * $10/hr     /6</t>
  </si>
  <si>
    <t>2 hrs/acre * $10/hr     /3</t>
  </si>
  <si>
    <t xml:space="preserve"> $1.87 per ton @ 4 tons/acre/year * 3 cuttings</t>
  </si>
  <si>
    <t xml:space="preserve"> $2.87 per ton @ 4 tons/acre/year * 3 cuttings</t>
  </si>
  <si>
    <t>Based on mower-conditioner  - consider reevaluting for Iowa custom rates $11.7/hr, 0.148 hrs/acre, cut 2</t>
  </si>
  <si>
    <t>Based on mower-conditioner  - consider reevaluting for Iowa custom rates $11.7/hr, 0.148 hrs/acre, cut 1</t>
  </si>
  <si>
    <t>Splits</t>
  </si>
  <si>
    <t>Splits x3 cuts etc into cut 1, cut 2, cut 3 etc.</t>
  </si>
  <si>
    <t>https://iopscience.iop.org/article/10.1088/1748-9326/8/3/035037</t>
  </si>
  <si>
    <t>https://iopscience.iop.org/article/10.1088/1748-9326/8/3/035038</t>
  </si>
  <si>
    <t>https://iopscience.iop.org/article/10.1088/1748-9326/8/3/035039</t>
  </si>
  <si>
    <t>https://iopscience.iop.org/article/10.1088/1748-9326/8/3/035040</t>
  </si>
  <si>
    <t>https://iopscience.iop.org/article/10.1088/1748-9326/8/3/035041</t>
  </si>
  <si>
    <t>https://iopscience.iop.org/article/10.1088/1748-9326/8/3/035042</t>
  </si>
  <si>
    <t>https://iopscience.iop.org/article/10.1088/1748-9326/8/3/035043</t>
  </si>
  <si>
    <t>https://iopscience.iop.org/article/10.1088/1748-9326/8/3/035044</t>
  </si>
  <si>
    <t>https://iopscience.iop.org/article/10.1088/1748-9326/8/3/035045</t>
  </si>
  <si>
    <t>https://iopscience.iop.org/article/10.1088/1748-9326/8/3/035046</t>
  </si>
  <si>
    <t>https://iopscience.iop.org/article/10.1088/1748-9326/8/3/035047</t>
  </si>
  <si>
    <t>https://iopscience.iop.org/article/10.1088/1748-9326/8/3/035048</t>
  </si>
  <si>
    <t>https://iopscience.iop.org/article/10.1088/1748-9326/8/3/035049</t>
  </si>
  <si>
    <t>https://iopscience.iop.org/article/10.1088/1748-9326/8/3/035050</t>
  </si>
  <si>
    <t>https://iopscience.iop.org/article/10.1088/1748-9326/8/3/035051</t>
  </si>
  <si>
    <t>https://iopscience.iop.org/article/10.1088/1748-9326/8/3/035052</t>
  </si>
  <si>
    <t>https://iopscience.iop.org/article/10.1088/1748-9326/8/3/035053</t>
  </si>
  <si>
    <t>https://iopscience.iop.org/article/10.1088/1748-9326/8/3/035054</t>
  </si>
  <si>
    <t>https://iopscience.iop.org/article/10.1088/1748-9326/8/3/035055</t>
  </si>
  <si>
    <t>https://iopscience.iop.org/article/10.1088/1748-9326/8/3/035056</t>
  </si>
  <si>
    <t>https://iopscience.iop.org/article/10.1088/1748-9326/8/3/035057</t>
  </si>
  <si>
    <t>https://iopscience.iop.org/article/10.1088/1748-9326/8/3/035058</t>
  </si>
  <si>
    <t>https://iopscience.iop.org/article/10.1088/1748-9326/8/3/035059</t>
  </si>
  <si>
    <t>https://iopscience.iop.org/article/10.1088/1748-9326/8/3/035060</t>
  </si>
  <si>
    <t>https://iopscience.iop.org/article/10.1088/1748-9326/8/3/035061</t>
  </si>
  <si>
    <t>https://iopscience.iop.org/article/10.1088/1748-9326/8/3/035062</t>
  </si>
  <si>
    <t>https://iopscience.iop.org/article/10.1088/1748-9326/8/3/035063</t>
  </si>
  <si>
    <t>https://iopscience.iop.org/article/10.1088/1748-9326/8/3/035064</t>
  </si>
  <si>
    <t>https://iopscience.iop.org/article/10.1088/1748-9326/8/3/035065</t>
  </si>
  <si>
    <t>https://iopscience.iop.org/article/10.1088/1748-9326/8/3/035066</t>
  </si>
  <si>
    <t>https://iopscience.iop.org/article/10.1088/1748-9326/8/3/035067</t>
  </si>
  <si>
    <t>https://iopscience.iop.org/article/10.1088/1748-9326/8/3/035068</t>
  </si>
  <si>
    <t>https://iopscience.iop.org/article/10.1088/1748-9326/8/3/035069</t>
  </si>
  <si>
    <t>https://iopscience.iop.org/article/10.1088/1748-9326/8/3/035070</t>
  </si>
  <si>
    <t>https://iopscience.iop.org/article/10.1088/1748-9326/8/3/035071</t>
  </si>
  <si>
    <t>https://iopscience.iop.org/article/10.1088/1748-9326/8/3/035072</t>
  </si>
  <si>
    <t>https://iopscience.iop.org/article/10.1088/1748-9326/8/3/035073</t>
  </si>
  <si>
    <t>https://iopscience.iop.org/article/10.1088/1748-9326/8/3/035074</t>
  </si>
  <si>
    <t>https://iopscience.iop.org/article/10.1088/1748-9326/8/3/035075</t>
  </si>
  <si>
    <t>https://iopscience.iop.org/article/10.1088/1748-9326/8/3/035076</t>
  </si>
  <si>
    <t>https://iopscience.iop.org/article/10.1088/1748-9326/8/3/035077</t>
  </si>
  <si>
    <t>https://iopscience.iop.org/article/10.1088/1748-9326/8/3/035078</t>
  </si>
  <si>
    <t>https://iopscience.iop.org/article/10.1088/1748-9326/8/3/035079</t>
  </si>
  <si>
    <t>https://iopscience.iop.org/article/10.1088/1748-9326/8/3/035080</t>
  </si>
  <si>
    <t>https://iopscience.iop.org/article/10.1088/1748-9326/8/3/035081</t>
  </si>
  <si>
    <t>https://iopscience.iop.org/article/10.1088/1748-9326/8/3/035082</t>
  </si>
  <si>
    <t>https://iopscience.iop.org/article/10.1088/1748-9326/8/3/035083</t>
  </si>
  <si>
    <t>https://iopscience.iop.org/article/10.1088/1748-9326/8/3/035084</t>
  </si>
  <si>
    <t>https://iopscience.iop.org/article/10.1088/1748-9326/8/3/035085</t>
  </si>
  <si>
    <t>https://iopscience.iop.org/article/10.1088/1748-9326/8/3/035086</t>
  </si>
  <si>
    <t>https://iopscience.iop.org/article/10.1088/1748-9326/8/3/035087</t>
  </si>
  <si>
    <t>https://iopscience.iop.org/article/10.1088/1748-9326/8/3/035088</t>
  </si>
  <si>
    <t>https://iopscience.iop.org/article/10.1088/1748-9326/8/3/035089</t>
  </si>
  <si>
    <t>https://iopscience.iop.org/article/10.1088/1748-9326/8/3/035090</t>
  </si>
  <si>
    <t>https://iopscience.iop.org/article/10.1088/1748-9326/8/3/035091</t>
  </si>
  <si>
    <t>https://iopscience.iop.org/article/10.1088/1748-9326/8/3/035092</t>
  </si>
  <si>
    <t>https://iopscience.iop.org/article/10.1088/1748-9326/8/3/035093</t>
  </si>
  <si>
    <t>https://iopscience.iop.org/article/10.1088/1748-9326/8/3/035094</t>
  </si>
  <si>
    <t>https://iopscience.iop.org/article/10.1088/1748-9326/8/3/035095</t>
  </si>
  <si>
    <t>https://iopscience.iop.org/article/10.1088/1748-9326/8/3/035096</t>
  </si>
  <si>
    <t>https://iopscience.iop.org/article/10.1088/1748-9326/8/3/035097</t>
  </si>
  <si>
    <t>https://iopscience.iop.org/article/10.1088/1748-9326/8/3/035098</t>
  </si>
  <si>
    <t>https://iopscience.iop.org/article/10.1088/1748-9326/8/3/035099</t>
  </si>
  <si>
    <t>https://iopscience.iop.org/article/10.1088/1748-9326/8/3/035100</t>
  </si>
  <si>
    <t>https://iopscience.iop.org/article/10.1088/1748-9326/8/3/035101</t>
  </si>
  <si>
    <t>https://iopscience.iop.org/article/10.1088/1748-9326/8/3/035102</t>
  </si>
  <si>
    <t>https://iopscience.iop.org/article/10.1088/1748-9326/8/3/035103</t>
  </si>
  <si>
    <t>https://iopscience.iop.org/article/10.1088/1748-9326/8/3/035104</t>
  </si>
  <si>
    <t>https://iopscience.iop.org/article/10.1088/1748-9326/8/3/035105</t>
  </si>
  <si>
    <t>https://iopscience.iop.org/article/10.1088/1748-9326/8/3/035106</t>
  </si>
  <si>
    <t>https://iopscience.iop.org/article/10.1088/1748-9326/8/3/035107</t>
  </si>
  <si>
    <t>https://iopscience.iop.org/article/10.1088/1748-9326/8/3/035108</t>
  </si>
  <si>
    <t>1.5 hours @ $14.25/hour. Cut 1</t>
  </si>
  <si>
    <t>1.5 hours @ $14.25/hour. Cut 2</t>
  </si>
  <si>
    <t>1.33 hours @ $14.25/hour Cut 1</t>
  </si>
  <si>
    <t>1.33 hours @ $14.25/hour Cut 2</t>
  </si>
  <si>
    <t>1.33 hours @ $14.25/hour Cut 3</t>
  </si>
  <si>
    <t xml:space="preserve">1.0 hours @ $14.25/hour   </t>
  </si>
  <si>
    <t>1.5 hours @ $14/hour Cut 1</t>
  </si>
  <si>
    <t>1.5 hours @ $14/hour Cut 2</t>
  </si>
  <si>
    <t>$6.72/Mg @ 9.06 Mg/acre</t>
  </si>
  <si>
    <t>$13.23/Mg @ 9.06 dry Mg/acre</t>
  </si>
  <si>
    <t>$28.67/dry Mg @ 9.06 Mg/acre      ***Verify Dry vs Wet</t>
  </si>
  <si>
    <t xml:space="preserve">$22.61/hectare   =&gt;   $9.15/acre     $19.15per acre to seed </t>
  </si>
  <si>
    <t>60-110 days to reach harvest</t>
  </si>
  <si>
    <t>soil 60 degrees at least</t>
  </si>
  <si>
    <t>~ 3 weeks after last frost in spring plant</t>
  </si>
  <si>
    <t>harvest main crop in september or october</t>
  </si>
  <si>
    <t>fall vs spring plastic mulch</t>
  </si>
  <si>
    <t>file:///C:/Users/bhosting/Downloads/PM0569.pdf</t>
  </si>
  <si>
    <t>june/july</t>
  </si>
  <si>
    <t>60 hours/acre * $12.50/hr   /6</t>
  </si>
  <si>
    <t>August Seedings</t>
  </si>
  <si>
    <t>4 acre @ $ 3.00/acre     / 4 acres (bring it down to per acre amount)</t>
  </si>
  <si>
    <t>4 acre @ $ 3.00/acre     / 4 acres (bring it down to per acre amount) Modified (55/35) for increased stocking density</t>
  </si>
  <si>
    <t>Assumed / 2.5 acres (bring down to 1 acre) Scale for Extra Fencing Costs</t>
  </si>
  <si>
    <t>$15 per unit / 2.5 acres (bring it down to per acre amount) Scale for Paddock moving</t>
  </si>
  <si>
    <t>22-23 calving season</t>
  </si>
  <si>
    <t>10-11 sale of calves</t>
  </si>
  <si>
    <t>16 seeding</t>
  </si>
  <si>
    <t xml:space="preserve">10% each </t>
  </si>
  <si>
    <t>24-9</t>
  </si>
  <si>
    <t>10% each</t>
  </si>
  <si>
    <t>5% each month</t>
  </si>
  <si>
    <t>applications</t>
  </si>
  <si>
    <t>Weighting</t>
  </si>
  <si>
    <t>%</t>
  </si>
  <si>
    <t>2.8 hrs/acre * $14.25/hr * .026315789</t>
  </si>
  <si>
    <t>2.8 hrs/acre * $14.25/hr * .078947368</t>
  </si>
  <si>
    <t>Labor - Operator - Planting</t>
  </si>
  <si>
    <t>Labor - Operator - Application</t>
  </si>
  <si>
    <t>Labor - Operator - Harvest</t>
  </si>
  <si>
    <t>2.55 hrs/acre * $14.25/hr * .026315789</t>
  </si>
  <si>
    <t>2.55 hrs/acre * $14.25/hr * .078947368</t>
  </si>
  <si>
    <t>$14.25/hr * 2.2 hrs/acre * .023255814</t>
  </si>
  <si>
    <t>$14.25/hr * 2.2 hrs/acre * .069767442</t>
  </si>
  <si>
    <t>weight</t>
  </si>
  <si>
    <t>8 hours @ $14/hr     / 2.5 acres (bring it down to per acre amount) *.05</t>
  </si>
  <si>
    <t>9 hours @ $14/hr     / 2.5 acres (bring it down to per acre amount) *.05</t>
  </si>
  <si>
    <t>10 hours @ $14/hr     / 2.5 acres (bring it down to per acre amount) *.05</t>
  </si>
  <si>
    <t>11 hours @ $14/hr     / 2.5 acres (bring it down to per acre amount) *.05</t>
  </si>
  <si>
    <t>12 hours @ $14/hr     / 2.5 acres (bring it down to per acre amount) *.05</t>
  </si>
  <si>
    <t>13 hours @ $14/hr     / 2.5 acres (bring it down to per acre amount) *.05</t>
  </si>
  <si>
    <t>14 hours @ $14/hr     / 2.5 acres (bring it down to per acre amount) *.05</t>
  </si>
  <si>
    <t>15 hours @ $14/hr     / 2.5 acres (bring it down to per acre amount) *.05</t>
  </si>
  <si>
    <t>16 hours @ $14/hr     / 2.5 acres (bring it down to per acre amount) *.05</t>
  </si>
  <si>
    <t>8 hours @ $14/hr     / 2.5 acres (bring it down to per acre amount) *.1</t>
  </si>
  <si>
    <t>9 hours @ $14/hr     / 2.5 acres (bring it down to per acre amount) *.1</t>
  </si>
  <si>
    <t>8 hours @ $14/hr     / 2.5 acres (bring it down to per acre amount)*.1</t>
  </si>
  <si>
    <t>9 hours @ $14/hr     / 2.5 acres (bring it down to per acre amount)*.1</t>
  </si>
  <si>
    <t>8 hours @ $14/hr     / 2.5 acres (bring it down to per acre amount)*.05</t>
  </si>
  <si>
    <t>10?</t>
  </si>
  <si>
    <t>Harvest December through march</t>
  </si>
  <si>
    <t>plant willow from early april to mid june</t>
  </si>
  <si>
    <t xml:space="preserve">Nitrogen </t>
  </si>
  <si>
    <t>Phosphate</t>
  </si>
  <si>
    <t xml:space="preserve">Potash </t>
  </si>
  <si>
    <t xml:space="preserve">Lime </t>
  </si>
  <si>
    <t xml:space="preserve">Herbicide </t>
  </si>
  <si>
    <t xml:space="preserve">Haul </t>
  </si>
  <si>
    <t xml:space="preserve">Drying </t>
  </si>
  <si>
    <t xml:space="preserve">Cash Rent Equivalent </t>
  </si>
  <si>
    <t xml:space="preserve">Handling </t>
  </si>
  <si>
    <t xml:space="preserve">Grain Cart </t>
  </si>
  <si>
    <t xml:space="preserve">Combine </t>
  </si>
  <si>
    <t xml:space="preserve">Phosphate </t>
  </si>
  <si>
    <t>Nitrogen</t>
  </si>
  <si>
    <t>Tandem disk - FIXED</t>
  </si>
  <si>
    <t xml:space="preserve"> n/a </t>
  </si>
  <si>
    <t>None when no-till active.</t>
  </si>
  <si>
    <t>This product is below test test test test test.</t>
  </si>
  <si>
    <t>Tandem disk - VARIABLE</t>
  </si>
  <si>
    <t>a</t>
  </si>
  <si>
    <t>Apply nitrogen - FIXED</t>
  </si>
  <si>
    <t>//Kentucky comparison budgets show 28.79% increase in operator labor for no-till</t>
  </si>
  <si>
    <t>Apply nitrogen - VARIABLE</t>
  </si>
  <si>
    <t>Spray - FIXED</t>
  </si>
  <si>
    <t>//Kentucky comparison budgets show 66.67% increase in operator labor for no-till</t>
  </si>
  <si>
    <t>Spray - VARIABLE</t>
  </si>
  <si>
    <t>Inputs</t>
  </si>
  <si>
    <t>Nitrogen - Inputs</t>
  </si>
  <si>
    <t xml:space="preserve"> nitrogen price </t>
  </si>
  <si>
    <t>$0.30/lb * 131 lbs/acre
//Kentucky comparison budgets show 28.79% increase in operator labor for no-till</t>
  </si>
  <si>
    <t>Phosphate - Inputs</t>
  </si>
  <si>
    <t xml:space="preserve"> phosphate price </t>
  </si>
  <si>
    <t>$0.39/lb * 68 lbs/acre
//Kentucky comparison budgets show 10.00% reduction in operator labor for no-till</t>
  </si>
  <si>
    <t>Herbicide - Inputs</t>
  </si>
  <si>
    <t xml:space="preserve"> herbicide price </t>
  </si>
  <si>
    <t>Increased usage. //Kentucky comparison budgets show 66.67% increase in operator labor for no-till</t>
  </si>
  <si>
    <t xml:space="preserve"> labor wage </t>
  </si>
  <si>
    <t>2.25 hrs/acre * $14/hr * (1 - 0.1299)        //Kentucky comparison budgets show 12.99% reduction in operator labor for no-till</t>
  </si>
  <si>
    <t>//Kentucky comparison budgets show 28.79% increase in operator labor for no-till
Contouring and Terracing alone generate 5.46% cost savings from taking land out of production in this slope range.</t>
  </si>
  <si>
    <t>//Kentucky comparison budgets show 66.67% increase in operator labor for no-till
Contouring and Terracing alone generate 5.46% cost savings from taking land out of production in this slope range.</t>
  </si>
  <si>
    <t>$0.30/lb * 131 lbs/acre
//Kentucky comparison budgets show 28.79% increase in operator labor for no-till
Contouring and Terracing alone generate 5.46% cost savings from taking land out of production in this slope range.</t>
  </si>
  <si>
    <t>$0.39/lb * 68 lbs/acre
//Kentucky comparison budgets show 10.00% reduction in operator labor for no-till
Contouring and Terracing alone generate 5.46% cost savings from taking land out of production in this slope range.</t>
  </si>
  <si>
    <t>Increased usage. //Kentucky comparison budgets show 66.67% increase in operator labor for no-till
Contouring and Terracing alone generate 5.46% cost savings from taking land out of production in this slope range.</t>
  </si>
  <si>
    <t>2.25 hrs/acre * $14/hr * (1 - 0.1299)        //Kentucky comparison budgets show 12.99% reduction in operator labor for no-till
Contouring and Terracing alone generate 5.46% cost savings from taking land out of production in this slope range.</t>
  </si>
  <si>
    <t>//Kentucky comparison budgets show 28.79% increase in operator labor for no-till
Contouring and Terracing alone generate 6.58% cost savings from taking land out of production in this slope range.</t>
  </si>
  <si>
    <t>//Kentucky comparison budgets show 66.67% increase in operator labor for no-till
Contouring and Terracing alone generate 6.58% cost savings from taking land out of production in this slope range.</t>
  </si>
  <si>
    <t>$0.30/lb * 131 lbs/acre
//Kentucky comparison budgets show 28.79% increase in operator labor for no-till
Contouring and Terracing alone generate 6.58% cost savings from taking land out of production in this slope range.</t>
  </si>
  <si>
    <t>$0.39/lb * 68 lbs/acre
//Kentucky comparison budgets show 10.00% reduction in operator labor for no-till
Contouring and Terracing alone generate 6.58% cost savings from taking land out of production in this slope range.</t>
  </si>
  <si>
    <t>Increased usage. //Kentucky comparison budgets show 66.67% increase in operator labor for no-till
Contouring and Terracing alone generate 6.58% cost savings from taking land out of production in this slope range.</t>
  </si>
  <si>
    <t>2.25 hrs/acre * $14/hr * (1 - 0.1299)        //Kentucky comparison budgets show 12.99% reduction in operator labor for no-till
Contouring and Terracing alone generate 6.58% cost savings from taking land out of production in this slope range.</t>
  </si>
  <si>
    <t>//Kentucky comparison budgets show 28.79% increase in operator labor for no-till
Contouring and Terracing alone generate 8.20% cost savings from taking land out of production in this slope range.</t>
  </si>
  <si>
    <t>//Kentucky comparison budgets show 66.67% increase in operator labor for no-till
Contouring and Terracing alone generate 8.20% cost savings from taking land out of production in this slope range.</t>
  </si>
  <si>
    <t>$0.30/lb * 131 lbs/acre
//Kentucky comparison budgets show 28.79% increase in operator labor for no-till
Contouring and Terracing alone generate 8.20% cost savings from taking land out of production in this slope range.</t>
  </si>
  <si>
    <t>$0.39/lb * 68 lbs/acre
//Kentucky comparison budgets show 10.00% reduction in operator labor for no-till
Contouring and Terracing alone generate 8.20% cost savings from taking land out of production in this slope range.</t>
  </si>
  <si>
    <t>Increased usage. //Kentucky comparison budgets show 66.67% increase in operator labor for no-till
Contouring and Terracing alone generate 8.20% cost savings from taking land out of production in this slope range.</t>
  </si>
  <si>
    <t>2.25 hrs/acre * $14/hr * (1 - 0.1299)        //Kentucky comparison budgets show 12.99% reduction in operator labor for no-till
Contouring and Terracing alone generate 8.20% cost savings from taking land out of production in this slope range.</t>
  </si>
  <si>
    <t>//Kentucky comparison budgets show 28.79% increase in operator labor for no-till
Contouring and Terracing alone generate 9.38% cost savings from taking land out of production in this slope range.</t>
  </si>
  <si>
    <t>//Kentucky comparison budgets show 66.67% increase in operator labor for no-till
Contouring and Terracing alone generate 9.38% cost savings from taking land out of production in this slope range.</t>
  </si>
  <si>
    <t>$0.30/lb * 131 lbs/acre
//Kentucky comparison budgets show 28.79% increase in operator labor for no-till
Contouring and Terracing alone generate 9.38% cost savings from taking land out of production in this slope range.</t>
  </si>
  <si>
    <t>$0.39/lb * 68 lbs/acre
//Kentucky comparison budgets show 10.00% reduction in operator labor for no-till
Contouring and Terracing alone generate 9.38% cost savings from taking land out of production in this slope range.</t>
  </si>
  <si>
    <t>Increased usage. //Kentucky comparison budgets show 66.67% increase in operator labor for no-till
Contouring and Terracing alone generate 9.38% cost savings from taking land out of production in this slope range.</t>
  </si>
  <si>
    <t>2.25 hrs/acre * $14/hr * (1 - 0.1299)        //Kentucky comparison budgets show 12.99% reduction in operator labor for no-till
Contouring and Terracing alone generate 9.38% cost savings from taking land out of production in this slope range.</t>
  </si>
  <si>
    <t>Cell</t>
  </si>
  <si>
    <t>yes</t>
  </si>
  <si>
    <t>//Kentucky comparison budgets show 28.79% increase in operator labor for no-till
Stream Buffers removes 0.525 acres from production within the CELL</t>
  </si>
  <si>
    <t>//Kentucky comparison budgets show 66.67% increase in operator labor for no-till
Stream Buffers removes 0.525 acres from production within the CELL</t>
  </si>
  <si>
    <t>$0.30/lb * 131 lbs/acre
//Kentucky comparison budgets show 28.79% increase in operator labor for no-till
Stream Buffers removes 0.525 acres from production within the CELL</t>
  </si>
  <si>
    <t>$0.39/lb * 68 lbs/acre
//Kentucky comparison budgets show 10.00% reduction in operator labor for no-till
Stream Buffers removes 0.525 acres from production within the CELL</t>
  </si>
  <si>
    <t>Increased usage. //Kentucky comparison budgets show 66.67% increase in operator labor for no-till
Stream Buffers removes 0.525 acres from production within the CELL</t>
  </si>
  <si>
    <t>2.25 hrs/acre * $14/hr * (1 - 0.1299)        //Kentucky comparison budgets show 12.99% reduction in operator labor for no-till
Stream Buffers removes 0.525 acres from production within the CELL</t>
  </si>
  <si>
    <t>Seed - Rye</t>
  </si>
  <si>
    <t>$10/acre</t>
  </si>
  <si>
    <t>https://www.extension.iastate.edu/agdm/crops/html/a1-91.html</t>
  </si>
  <si>
    <t>Excel doc saved in folder</t>
  </si>
  <si>
    <t>Labor - seeding or drilling, custom rate</t>
  </si>
  <si>
    <t>Operator labor for seeding or drilling</t>
  </si>
  <si>
    <t>3 hours per 25 acres, $12/hr</t>
  </si>
  <si>
    <t>Additional herbicide to kill cereal rye cover crop</t>
  </si>
  <si>
    <t>Applying herbicide to rye cover crop - VARIABLE COST to operator</t>
  </si>
  <si>
    <t>Operator labor - applying herbicide</t>
  </si>
  <si>
    <t>2 hours * $12/hr</t>
  </si>
  <si>
    <t>Miscellanous other costs</t>
  </si>
  <si>
    <t>$5 miscellaneous costs for cover crops per acre</t>
  </si>
  <si>
    <t>Seed cost - Legume (alfalfa)</t>
  </si>
  <si>
    <t>Assume reseed every 30 years
18 lbs alfalfa seed</t>
  </si>
  <si>
    <t>https://www.nrcs.usda.gov/wps/portal/nrcs/detail/ks/newsroom/features/?cid=nrcs142p2_033553</t>
  </si>
  <si>
    <t>Area of grassed waterways AND terraces should not exceed 10%. Core grassed waterways budget assumes covers 10% of land area. Numbers adjusted here to 10% - 5.46% = 4.54%</t>
  </si>
  <si>
    <t>Seed cost - Grass mix</t>
  </si>
  <si>
    <t>Assume reseed every 30 years
Mix of 10 lbs alfalfa, 8 lbs brome, 3 lbs orchardgrass per acre</t>
  </si>
  <si>
    <t>Seed cost - oats</t>
  </si>
  <si>
    <t>Assume reseed every 30 years
2 lbs oats per acre</t>
  </si>
  <si>
    <t>Equipment - Drilling</t>
  </si>
  <si>
    <t>Assume reseed every 30 years</t>
  </si>
  <si>
    <t>Maintenance</t>
  </si>
  <si>
    <t>Farmer Labor</t>
  </si>
  <si>
    <t>Based on mower-conditioner  - equipment component only x1 cut</t>
  </si>
  <si>
    <t xml:space="preserve">Attached article Manatt et al. 2013 Environ.Res. Lett.
https://www.nrcs.usda.gov/wps/portal/nrcs/detail/ks/newsroom/features/?cid=nrcs142p2_033553 </t>
  </si>
  <si>
    <t>Based on mower-conditioner  - consider reevaluting for Iowa custom rates $10/hr, 0.148 hrs/acre, 1 cuts</t>
  </si>
  <si>
    <t>Area of grassed waterways AND terraces should not exceed 10%. Core grassed waterways budget assumes covers 10% of land area. Numbers adjusted here to 10% - 6.58% = 3.42%</t>
  </si>
  <si>
    <t>Area of grassed waterways AND terraces should not exceed 10%. Core grassed waterways budget assumes covers 10% of land area. Numbers adjusted here to 10% - 8.20% = 1.80%</t>
  </si>
  <si>
    <t>Area of grassed waterways AND terraces should not exceed 10%. Core grassed waterways budget assumes covers 10% of land area. Numbers adjusted here to 10% - 9.38% = 0.62%</t>
  </si>
  <si>
    <t>no</t>
  </si>
  <si>
    <t>Surveying</t>
  </si>
  <si>
    <t>Custom hire rate</t>
  </si>
  <si>
    <t xml:space="preserve">Assumes professional surveyor costs $25-50/acre, so PEWI uses the average. Occurs every 50 years (based off the wetland's lifetime, which is also based on annual inspection/maintenance and eventual over-sedimentation.)
</t>
  </si>
  <si>
    <t>https://www.extension.iastate.edu/agdm/crops/html/a1-41.html</t>
  </si>
  <si>
    <t>Base budget was for terraces taking 2.58% of area. Adjusting these to our assumed 5.46% for steepness 2-5%</t>
  </si>
  <si>
    <t>Earth Moving - Grassed back</t>
  </si>
  <si>
    <t>112.2796 ft/acre * $2.5/ft</t>
  </si>
  <si>
    <t>Earth Moving - Narrow base</t>
  </si>
  <si>
    <t>112.2796 ft/acre * $2.15/ft</t>
  </si>
  <si>
    <t>Seed Cost - Grass Mix</t>
  </si>
  <si>
    <t>n/a</t>
  </si>
  <si>
    <t>Maintenance &amp; Inspections</t>
  </si>
  <si>
    <t>Assume 2 4-hour inspections and improvements (debree removal, light earthwork with plow) per year per 500 acres. Inspections and maintenance tasks outlined by source.</t>
  </si>
  <si>
    <t>Assumes professional surveyor costs $25-50/acre, so PEWI uses the average. Occurs every 50 years (based off the wetland's lifetime, which is also based on annual inspection/maintenance and eventual over-sedimentation.)</t>
  </si>
  <si>
    <t>Base budget was for terraces taking 2.58% of area. Adjusting these to our assumed 6.58% for steepness 5-9%</t>
  </si>
  <si>
    <t>Base budget was for terraces taking 2.58% of area. Adjusting these to our assumed 8.20% for steepness 9-14%</t>
  </si>
  <si>
    <t>Base budget was for terraces taking 2.58% of area. Adjusting these to our assumed 9.38% for steepness 14-18%</t>
  </si>
  <si>
    <t>Seed cost - grass mix</t>
  </si>
  <si>
    <t>$56.55/acre * 10 acres / 50 year lifespan
Assume NO FERTILIZER in Iowa</t>
  </si>
  <si>
    <t>Equipment - drilling</t>
  </si>
  <si>
    <t>$15.35/acre * 10 acres / 50 year lifespan</t>
  </si>
  <si>
    <t>Trees/shrubs - dogwood</t>
  </si>
  <si>
    <t>$12.50/100ft * 762.1ft/10 acre cell / 50 year lifespan</t>
  </si>
  <si>
    <t>Trees/shrubs - bur oak/maple</t>
  </si>
  <si>
    <t>$25.00/100ft * 762.1ft/10 acre cell / 50 year lifespan</t>
  </si>
  <si>
    <t>Occasional repairs</t>
  </si>
  <si>
    <t>Per acre annual repair budget estimate</t>
  </si>
  <si>
    <t xml:space="preserve">Custom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</si>
</sst>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%"/>
    <numFmt numFmtId="167" formatCode="0.00_)"/>
    <numFmt numFmtId="168" formatCode="&quot;$&quot;#,##0.000_);\(&quot;$&quot;#,##0.000\)"/>
    <numFmt numFmtId="169" formatCode="0.0_)"/>
    <numFmt numFmtId="170" formatCode="0.0"/>
    <numFmt numFmtId="171" formatCode="0.000"/>
    <numFmt numFmtId="172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10"/>
      <name val="Arial MT"/>
    </font>
    <font>
      <b/>
      <sz val="12"/>
      <name val="Arial"/>
      <family val="2"/>
    </font>
    <font>
      <b/>
      <sz val="10"/>
      <name val="Arial MT"/>
    </font>
    <font>
      <u/>
      <sz val="10"/>
      <name val="Arial MT"/>
    </font>
    <font>
      <b/>
      <u/>
      <sz val="10"/>
      <name val="Arial MT"/>
    </font>
    <font>
      <sz val="10"/>
      <color indexed="9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indexed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7" fontId="13" fillId="0" borderId="0"/>
    <xf numFmtId="0" fontId="5" fillId="0" borderId="0"/>
    <xf numFmtId="7" fontId="13" fillId="0" borderId="0"/>
    <xf numFmtId="4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328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Alignment="1" applyProtection="1">
      <protection locked="0"/>
    </xf>
    <xf numFmtId="0" fontId="6" fillId="2" borderId="3" xfId="0" applyFont="1" applyFill="1" applyBorder="1" applyAlignment="1" applyProtection="1">
      <protection locked="0"/>
    </xf>
    <xf numFmtId="0" fontId="6" fillId="2" borderId="4" xfId="0" applyFont="1" applyFill="1" applyBorder="1" applyAlignment="1" applyProtection="1">
      <protection locked="0"/>
    </xf>
    <xf numFmtId="1" fontId="5" fillId="2" borderId="1" xfId="0" applyNumberFormat="1" applyFont="1" applyFill="1" applyBorder="1" applyProtection="1">
      <protection locked="0"/>
    </xf>
    <xf numFmtId="0" fontId="5" fillId="0" borderId="0" xfId="0" applyFont="1" applyProtection="1"/>
    <xf numFmtId="0" fontId="7" fillId="3" borderId="0" xfId="0" applyFont="1" applyFill="1"/>
    <xf numFmtId="0" fontId="6" fillId="0" borderId="0" xfId="0" applyFont="1"/>
    <xf numFmtId="0" fontId="6" fillId="0" borderId="0" xfId="0" applyFont="1" applyAlignment="1">
      <alignment horizontal="left" indent="4"/>
    </xf>
    <xf numFmtId="0" fontId="6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2" borderId="1" xfId="0" applyFont="1" applyFill="1" applyBorder="1" applyAlignment="1" applyProtection="1">
      <alignment horizontal="left" indent="1"/>
      <protection locked="0"/>
    </xf>
    <xf numFmtId="164" fontId="5" fillId="2" borderId="1" xfId="0" applyNumberFormat="1" applyFont="1" applyFill="1" applyBorder="1" applyProtection="1">
      <protection locked="0"/>
    </xf>
    <xf numFmtId="164" fontId="5" fillId="0" borderId="0" xfId="0" applyNumberFormat="1" applyFont="1"/>
    <xf numFmtId="165" fontId="5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4" fontId="5" fillId="0" borderId="0" xfId="0" quotePrefix="1" applyNumberFormat="1" applyFont="1" applyAlignment="1">
      <alignment horizontal="right"/>
    </xf>
    <xf numFmtId="0" fontId="7" fillId="0" borderId="0" xfId="0" applyFont="1"/>
    <xf numFmtId="164" fontId="7" fillId="2" borderId="1" xfId="0" applyNumberFormat="1" applyFont="1" applyFill="1" applyBorder="1" applyProtection="1">
      <protection locked="0"/>
    </xf>
    <xf numFmtId="3" fontId="7" fillId="2" borderId="1" xfId="0" applyNumberFormat="1" applyFont="1" applyFill="1" applyBorder="1" applyProtection="1">
      <protection locked="0"/>
    </xf>
    <xf numFmtId="1" fontId="7" fillId="2" borderId="1" xfId="0" applyNumberFormat="1" applyFont="1" applyFill="1" applyBorder="1" applyProtection="1">
      <protection locked="0"/>
    </xf>
    <xf numFmtId="164" fontId="5" fillId="0" borderId="0" xfId="0" applyNumberFormat="1" applyFont="1" applyProtection="1"/>
    <xf numFmtId="0" fontId="7" fillId="2" borderId="1" xfId="0" applyFont="1" applyFill="1" applyBorder="1" applyProtection="1">
      <protection locked="0"/>
    </xf>
    <xf numFmtId="166" fontId="7" fillId="2" borderId="1" xfId="0" applyNumberFormat="1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164" fontId="5" fillId="0" borderId="0" xfId="0" applyNumberFormat="1" applyFont="1" applyFill="1" applyBorder="1" applyProtection="1"/>
    <xf numFmtId="164" fontId="8" fillId="0" borderId="5" xfId="0" applyNumberFormat="1" applyFont="1" applyBorder="1"/>
    <xf numFmtId="165" fontId="8" fillId="0" borderId="0" xfId="0" applyNumberFormat="1" applyFont="1" applyBorder="1"/>
    <xf numFmtId="164" fontId="7" fillId="3" borderId="0" xfId="0" applyNumberFormat="1" applyFont="1" applyFill="1" applyBorder="1" applyProtection="1">
      <protection locked="0"/>
    </xf>
    <xf numFmtId="164" fontId="5" fillId="0" borderId="0" xfId="0" applyNumberFormat="1" applyFont="1" applyAlignment="1">
      <alignment horizontal="right"/>
    </xf>
    <xf numFmtId="0" fontId="5" fillId="0" borderId="0" xfId="1" applyFont="1" applyAlignment="1" applyProtection="1">
      <alignment vertical="center"/>
    </xf>
    <xf numFmtId="0" fontId="6" fillId="0" borderId="0" xfId="0" applyFont="1" applyAlignment="1">
      <alignment vertical="center"/>
    </xf>
    <xf numFmtId="164" fontId="7" fillId="2" borderId="1" xfId="0" applyNumberFormat="1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164" fontId="5" fillId="0" borderId="0" xfId="0" quotePrefix="1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8" fillId="0" borderId="0" xfId="0" quotePrefix="1" applyNumberFormat="1" applyFont="1" applyAlignment="1">
      <alignment horizontal="right" vertical="center"/>
    </xf>
    <xf numFmtId="164" fontId="5" fillId="3" borderId="0" xfId="0" applyNumberFormat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quotePrefix="1"/>
    <xf numFmtId="0" fontId="10" fillId="0" borderId="0" xfId="1" applyFont="1" applyAlignment="1" applyProtection="1">
      <alignment horizontal="left" wrapText="1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5" fillId="0" borderId="0" xfId="0" quotePrefix="1" applyNumberFormat="1" applyFont="1" applyAlignment="1">
      <alignment horizontal="right"/>
    </xf>
    <xf numFmtId="0" fontId="7" fillId="0" borderId="0" xfId="0" applyFont="1" applyAlignment="1">
      <alignment horizontal="left" vertical="center"/>
    </xf>
    <xf numFmtId="165" fontId="5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right"/>
    </xf>
    <xf numFmtId="1" fontId="5" fillId="2" borderId="6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</xf>
    <xf numFmtId="0" fontId="5" fillId="0" borderId="7" xfId="0" applyFont="1" applyFill="1" applyBorder="1" applyAlignment="1" applyProtection="1">
      <alignment horizontal="center"/>
    </xf>
    <xf numFmtId="0" fontId="5" fillId="0" borderId="0" xfId="4" applyFont="1" applyProtection="1"/>
    <xf numFmtId="0" fontId="5" fillId="0" borderId="0" xfId="4" applyProtection="1"/>
    <xf numFmtId="0" fontId="6" fillId="0" borderId="0" xfId="0" applyFont="1" applyProtection="1"/>
    <xf numFmtId="0" fontId="5" fillId="0" borderId="0" xfId="0" applyFont="1" applyAlignment="1" applyProtection="1">
      <alignment horizontal="right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5" xfId="4" applyFont="1" applyBorder="1" applyAlignment="1" applyProtection="1"/>
    <xf numFmtId="0" fontId="5" fillId="0" borderId="0" xfId="4" applyFont="1" applyAlignment="1" applyProtection="1"/>
    <xf numFmtId="0" fontId="7" fillId="0" borderId="0" xfId="0" applyFont="1" applyProtection="1"/>
    <xf numFmtId="7" fontId="6" fillId="0" borderId="8" xfId="5" applyFont="1" applyBorder="1" applyAlignment="1" applyProtection="1">
      <alignment horizontal="left"/>
    </xf>
    <xf numFmtId="7" fontId="5" fillId="0" borderId="8" xfId="5" applyFont="1" applyBorder="1" applyProtection="1"/>
    <xf numFmtId="7" fontId="5" fillId="0" borderId="8" xfId="5" applyNumberFormat="1" applyFont="1" applyBorder="1" applyProtection="1"/>
    <xf numFmtId="7" fontId="5" fillId="0" borderId="8" xfId="4" applyNumberFormat="1" applyBorder="1" applyProtection="1"/>
    <xf numFmtId="7" fontId="6" fillId="0" borderId="0" xfId="5" applyFont="1" applyBorder="1" applyAlignment="1" applyProtection="1">
      <alignment horizontal="left"/>
    </xf>
    <xf numFmtId="7" fontId="5" fillId="0" borderId="0" xfId="5" applyFont="1" applyBorder="1" applyProtection="1"/>
    <xf numFmtId="7" fontId="5" fillId="0" borderId="0" xfId="5" applyNumberFormat="1" applyFont="1" applyBorder="1" applyProtection="1"/>
    <xf numFmtId="7" fontId="5" fillId="0" borderId="0" xfId="4" applyNumberFormat="1" applyBorder="1" applyProtection="1"/>
    <xf numFmtId="0" fontId="14" fillId="0" borderId="0" xfId="0" applyFont="1" applyAlignment="1" applyProtection="1"/>
    <xf numFmtId="0" fontId="0" fillId="0" borderId="0" xfId="0" applyAlignment="1" applyProtection="1"/>
    <xf numFmtId="0" fontId="15" fillId="0" borderId="0" xfId="4" applyFont="1" applyProtection="1"/>
    <xf numFmtId="0" fontId="6" fillId="0" borderId="0" xfId="0" applyFont="1" applyAlignment="1" applyProtection="1">
      <alignment horizontal="left" indent="1"/>
    </xf>
    <xf numFmtId="7" fontId="6" fillId="0" borderId="0" xfId="5" applyFont="1" applyAlignment="1" applyProtection="1">
      <alignment horizontal="left"/>
    </xf>
    <xf numFmtId="7" fontId="6" fillId="0" borderId="0" xfId="5" applyFont="1" applyProtection="1"/>
    <xf numFmtId="0" fontId="16" fillId="0" borderId="0" xfId="4" applyFont="1" applyAlignment="1" applyProtection="1">
      <alignment horizontal="right"/>
    </xf>
    <xf numFmtId="0" fontId="9" fillId="0" borderId="0" xfId="0" applyFont="1" applyAlignment="1" applyProtection="1">
      <alignment horizontal="right"/>
    </xf>
    <xf numFmtId="7" fontId="5" fillId="2" borderId="1" xfId="5" applyFont="1" applyFill="1" applyBorder="1" applyAlignment="1" applyProtection="1">
      <alignment horizontal="left" indent="1"/>
      <protection locked="0"/>
    </xf>
    <xf numFmtId="7" fontId="5" fillId="0" borderId="0" xfId="5" applyFont="1" applyProtection="1"/>
    <xf numFmtId="7" fontId="5" fillId="2" borderId="1" xfId="5" applyNumberFormat="1" applyFont="1" applyFill="1" applyBorder="1" applyProtection="1">
      <protection locked="0"/>
    </xf>
    <xf numFmtId="7" fontId="5" fillId="2" borderId="1" xfId="5" applyNumberFormat="1" applyFont="1" applyFill="1" applyBorder="1" applyAlignment="1" applyProtection="1">
      <alignment horizontal="right"/>
      <protection locked="0"/>
    </xf>
    <xf numFmtId="165" fontId="5" fillId="0" borderId="0" xfId="0" applyNumberFormat="1" applyFont="1" applyProtection="1"/>
    <xf numFmtId="39" fontId="5" fillId="2" borderId="1" xfId="2" applyNumberFormat="1" applyFont="1" applyFill="1" applyBorder="1" applyProtection="1">
      <protection locked="0"/>
    </xf>
    <xf numFmtId="39" fontId="5" fillId="2" borderId="1" xfId="5" applyNumberFormat="1" applyFont="1" applyFill="1" applyBorder="1" applyProtection="1">
      <protection locked="0"/>
    </xf>
    <xf numFmtId="167" fontId="8" fillId="2" borderId="1" xfId="5" applyNumberFormat="1" applyFont="1" applyFill="1" applyBorder="1" applyProtection="1">
      <protection locked="0"/>
    </xf>
    <xf numFmtId="164" fontId="8" fillId="0" borderId="0" xfId="0" applyNumberFormat="1" applyFont="1" applyProtection="1"/>
    <xf numFmtId="165" fontId="8" fillId="0" borderId="0" xfId="0" applyNumberFormat="1" applyFont="1" applyProtection="1"/>
    <xf numFmtId="164" fontId="6" fillId="0" borderId="0" xfId="0" applyNumberFormat="1" applyFont="1" applyProtection="1"/>
    <xf numFmtId="165" fontId="6" fillId="0" borderId="0" xfId="0" applyNumberFormat="1" applyFont="1" applyProtection="1"/>
    <xf numFmtId="164" fontId="5" fillId="0" borderId="0" xfId="0" quotePrefix="1" applyNumberFormat="1" applyFont="1" applyAlignment="1" applyProtection="1">
      <alignment horizontal="right"/>
    </xf>
    <xf numFmtId="7" fontId="5" fillId="0" borderId="0" xfId="5" applyFont="1" applyAlignment="1" applyProtection="1">
      <alignment horizontal="left"/>
    </xf>
    <xf numFmtId="167" fontId="5" fillId="0" borderId="0" xfId="5" applyNumberFormat="1" applyFont="1" applyBorder="1" applyProtection="1"/>
    <xf numFmtId="7" fontId="5" fillId="2" borderId="1" xfId="5" applyFont="1" applyFill="1" applyBorder="1" applyAlignment="1" applyProtection="1">
      <alignment horizontal="left"/>
      <protection locked="0"/>
    </xf>
    <xf numFmtId="7" fontId="5" fillId="0" borderId="0" xfId="5" applyFont="1" applyAlignment="1" applyProtection="1">
      <alignment horizontal="right"/>
    </xf>
    <xf numFmtId="167" fontId="5" fillId="0" borderId="0" xfId="5" applyNumberFormat="1" applyFont="1" applyProtection="1"/>
    <xf numFmtId="0" fontId="7" fillId="2" borderId="1" xfId="0" applyNumberFormat="1" applyFont="1" applyFill="1" applyBorder="1" applyProtection="1">
      <protection locked="0"/>
    </xf>
    <xf numFmtId="167" fontId="8" fillId="0" borderId="0" xfId="5" applyNumberFormat="1" applyFont="1" applyProtection="1"/>
    <xf numFmtId="0" fontId="8" fillId="0" borderId="0" xfId="0" applyFont="1" applyAlignment="1" applyProtection="1">
      <alignment horizontal="right"/>
    </xf>
    <xf numFmtId="7" fontId="6" fillId="0" borderId="0" xfId="5" applyNumberFormat="1" applyFont="1" applyProtection="1"/>
    <xf numFmtId="7" fontId="6" fillId="0" borderId="0" xfId="4" applyNumberFormat="1" applyFont="1" applyProtection="1"/>
    <xf numFmtId="7" fontId="5" fillId="0" borderId="0" xfId="5" applyNumberFormat="1" applyFont="1" applyProtection="1"/>
    <xf numFmtId="7" fontId="5" fillId="0" borderId="0" xfId="4" applyNumberFormat="1" applyProtection="1"/>
    <xf numFmtId="168" fontId="5" fillId="2" borderId="1" xfId="5" applyNumberFormat="1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164" fontId="7" fillId="0" borderId="3" xfId="0" applyNumberFormat="1" applyFont="1" applyFill="1" applyBorder="1" applyProtection="1"/>
    <xf numFmtId="0" fontId="7" fillId="0" borderId="3" xfId="0" applyNumberFormat="1" applyFont="1" applyFill="1" applyBorder="1" applyProtection="1"/>
    <xf numFmtId="7" fontId="5" fillId="0" borderId="9" xfId="5" applyFont="1" applyBorder="1" applyProtection="1"/>
    <xf numFmtId="7" fontId="6" fillId="0" borderId="0" xfId="5" applyNumberFormat="1" applyFont="1" applyBorder="1" applyProtection="1"/>
    <xf numFmtId="0" fontId="7" fillId="0" borderId="0" xfId="0" applyNumberFormat="1" applyFont="1" applyFill="1" applyBorder="1" applyProtection="1"/>
    <xf numFmtId="0" fontId="5" fillId="0" borderId="0" xfId="6" applyAlignment="1" applyProtection="1">
      <alignment horizontal="right"/>
    </xf>
    <xf numFmtId="167" fontId="5" fillId="2" borderId="1" xfId="5" applyNumberFormat="1" applyFont="1" applyFill="1" applyBorder="1" applyProtection="1">
      <protection locked="0"/>
    </xf>
    <xf numFmtId="7" fontId="5" fillId="0" borderId="0" xfId="5" applyFont="1" applyBorder="1" applyAlignment="1" applyProtection="1">
      <alignment horizontal="right"/>
    </xf>
    <xf numFmtId="169" fontId="6" fillId="0" borderId="0" xfId="0" applyNumberFormat="1" applyFont="1" applyProtection="1"/>
    <xf numFmtId="170" fontId="7" fillId="2" borderId="1" xfId="0" applyNumberFormat="1" applyFont="1" applyFill="1" applyBorder="1" applyProtection="1">
      <protection locked="0"/>
    </xf>
    <xf numFmtId="0" fontId="0" fillId="0" borderId="0" xfId="0" applyProtection="1"/>
    <xf numFmtId="164" fontId="8" fillId="2" borderId="1" xfId="0" applyNumberFormat="1" applyFont="1" applyFill="1" applyBorder="1" applyProtection="1">
      <protection locked="0"/>
    </xf>
    <xf numFmtId="43" fontId="5" fillId="2" borderId="1" xfId="2" applyFont="1" applyFill="1" applyBorder="1" applyProtection="1">
      <protection locked="0"/>
    </xf>
    <xf numFmtId="43" fontId="5" fillId="0" borderId="0" xfId="2" applyFont="1" applyProtection="1"/>
    <xf numFmtId="7" fontId="7" fillId="0" borderId="0" xfId="5" applyFont="1" applyFill="1" applyBorder="1" applyAlignment="1" applyProtection="1">
      <alignment horizontal="left" indent="2"/>
    </xf>
    <xf numFmtId="167" fontId="7" fillId="2" borderId="1" xfId="5" applyNumberFormat="1" applyFont="1" applyFill="1" applyBorder="1" applyProtection="1">
      <protection locked="0"/>
    </xf>
    <xf numFmtId="167" fontId="5" fillId="0" borderId="0" xfId="5" applyNumberFormat="1" applyFont="1" applyFill="1" applyBorder="1" applyProtection="1"/>
    <xf numFmtId="167" fontId="7" fillId="0" borderId="0" xfId="5" applyNumberFormat="1" applyFont="1" applyFill="1" applyBorder="1" applyProtection="1"/>
    <xf numFmtId="7" fontId="5" fillId="0" borderId="0" xfId="5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left" indent="3"/>
    </xf>
    <xf numFmtId="7" fontId="6" fillId="0" borderId="0" xfId="7" applyFont="1" applyAlignment="1" applyProtection="1">
      <alignment horizontal="left"/>
    </xf>
    <xf numFmtId="7" fontId="5" fillId="0" borderId="0" xfId="7" applyFont="1" applyProtection="1"/>
    <xf numFmtId="0" fontId="17" fillId="0" borderId="0" xfId="4" applyFont="1" applyAlignment="1" applyProtection="1">
      <alignment horizontal="right"/>
    </xf>
    <xf numFmtId="7" fontId="9" fillId="0" borderId="0" xfId="7" applyFont="1" applyAlignment="1" applyProtection="1">
      <alignment horizontal="right"/>
    </xf>
    <xf numFmtId="7" fontId="5" fillId="0" borderId="0" xfId="7" applyFont="1" applyAlignment="1" applyProtection="1">
      <alignment horizontal="left" indent="1"/>
    </xf>
    <xf numFmtId="7" fontId="5" fillId="0" borderId="0" xfId="7" applyNumberFormat="1" applyFont="1" applyBorder="1" applyAlignment="1" applyProtection="1"/>
    <xf numFmtId="7" fontId="5" fillId="0" borderId="0" xfId="7" applyNumberFormat="1" applyFont="1" applyBorder="1" applyAlignment="1" applyProtection="1">
      <alignment horizontal="right"/>
    </xf>
    <xf numFmtId="7" fontId="5" fillId="0" borderId="0" xfId="7" applyFont="1" applyAlignment="1" applyProtection="1">
      <alignment horizontal="left"/>
    </xf>
    <xf numFmtId="0" fontId="0" fillId="0" borderId="0" xfId="0" applyAlignment="1">
      <alignment horizontal="left" indent="1"/>
    </xf>
    <xf numFmtId="164" fontId="7" fillId="0" borderId="0" xfId="0" applyNumberFormat="1" applyFont="1" applyFill="1" applyBorder="1" applyProtection="1"/>
    <xf numFmtId="164" fontId="5" fillId="0" borderId="0" xfId="0" applyNumberFormat="1" applyFont="1" applyAlignment="1" applyProtection="1">
      <alignment horizontal="right"/>
    </xf>
    <xf numFmtId="7" fontId="6" fillId="0" borderId="0" xfId="5" applyFont="1" applyAlignment="1" applyProtection="1"/>
    <xf numFmtId="0" fontId="15" fillId="0" borderId="0" xfId="4" applyFont="1" applyAlignment="1" applyProtection="1">
      <alignment horizontal="right"/>
    </xf>
    <xf numFmtId="7" fontId="6" fillId="0" borderId="0" xfId="7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0" fontId="11" fillId="0" borderId="0" xfId="0" applyFont="1" applyAlignment="1" applyProtection="1">
      <alignment horizontal="right"/>
    </xf>
    <xf numFmtId="164" fontId="5" fillId="3" borderId="0" xfId="0" applyNumberFormat="1" applyFont="1" applyFill="1" applyBorder="1" applyProtection="1"/>
    <xf numFmtId="0" fontId="6" fillId="0" borderId="0" xfId="0" applyFont="1" applyAlignment="1" applyProtection="1">
      <alignment horizontal="left"/>
    </xf>
    <xf numFmtId="0" fontId="5" fillId="2" borderId="1" xfId="0" applyFont="1" applyFill="1" applyBorder="1" applyProtection="1">
      <protection locked="0"/>
    </xf>
    <xf numFmtId="0" fontId="7" fillId="0" borderId="0" xfId="0" applyFont="1" applyAlignment="1" applyProtection="1">
      <alignment horizontal="left" indent="1"/>
    </xf>
    <xf numFmtId="7" fontId="7" fillId="0" borderId="0" xfId="5" applyFont="1" applyBorder="1" applyAlignment="1" applyProtection="1">
      <alignment vertical="center" wrapText="1"/>
    </xf>
    <xf numFmtId="0" fontId="14" fillId="0" borderId="0" xfId="0" applyFont="1" applyProtection="1"/>
    <xf numFmtId="7" fontId="7" fillId="0" borderId="0" xfId="5" applyFont="1" applyBorder="1" applyAlignment="1" applyProtection="1">
      <alignment horizontal="left" vertical="center" wrapText="1" indent="1"/>
    </xf>
    <xf numFmtId="37" fontId="5" fillId="2" borderId="1" xfId="5" applyNumberFormat="1" applyFont="1" applyFill="1" applyBorder="1" applyProtection="1">
      <protection locked="0"/>
    </xf>
    <xf numFmtId="0" fontId="7" fillId="0" borderId="0" xfId="0" applyFont="1" applyFill="1" applyBorder="1" applyProtection="1"/>
    <xf numFmtId="7" fontId="5" fillId="2" borderId="1" xfId="7" applyNumberFormat="1" applyFont="1" applyFill="1" applyBorder="1" applyAlignment="1" applyProtection="1">
      <alignment horizontal="right"/>
      <protection locked="0"/>
    </xf>
    <xf numFmtId="7" fontId="5" fillId="2" borderId="1" xfId="7" applyFont="1" applyFill="1" applyBorder="1" applyProtection="1">
      <protection locked="0"/>
    </xf>
    <xf numFmtId="7" fontId="5" fillId="0" borderId="0" xfId="7" applyNumberFormat="1" applyFont="1" applyFill="1" applyBorder="1" applyAlignment="1" applyProtection="1">
      <alignment horizontal="right"/>
    </xf>
    <xf numFmtId="7" fontId="7" fillId="0" borderId="0" xfId="7" applyFont="1" applyFill="1" applyBorder="1" applyProtection="1"/>
    <xf numFmtId="0" fontId="5" fillId="0" borderId="0" xfId="4" applyFont="1" applyAlignment="1" applyProtection="1">
      <alignment horizontal="left"/>
    </xf>
    <xf numFmtId="7" fontId="5" fillId="0" borderId="0" xfId="7" applyFont="1" applyAlignment="1" applyProtection="1">
      <alignment horizontal="right"/>
    </xf>
    <xf numFmtId="0" fontId="5" fillId="0" borderId="0" xfId="4" applyFont="1" applyAlignment="1" applyProtection="1">
      <alignment horizontal="left" indent="1"/>
    </xf>
    <xf numFmtId="7" fontId="5" fillId="0" borderId="0" xfId="7" applyNumberFormat="1" applyFont="1" applyAlignment="1" applyProtection="1">
      <alignment horizontal="right"/>
    </xf>
    <xf numFmtId="0" fontId="7" fillId="0" borderId="0" xfId="4" applyFont="1" applyAlignment="1" applyProtection="1">
      <alignment horizontal="left" indent="2"/>
    </xf>
    <xf numFmtId="37" fontId="7" fillId="2" borderId="1" xfId="7" applyNumberFormat="1" applyFont="1" applyFill="1" applyBorder="1" applyProtection="1">
      <protection locked="0"/>
    </xf>
    <xf numFmtId="7" fontId="7" fillId="0" borderId="0" xfId="7" applyFont="1" applyAlignment="1" applyProtection="1">
      <alignment horizontal="left"/>
    </xf>
    <xf numFmtId="7" fontId="7" fillId="2" borderId="1" xfId="7" applyFont="1" applyFill="1" applyBorder="1" applyProtection="1">
      <protection locked="0"/>
    </xf>
    <xf numFmtId="7" fontId="5" fillId="0" borderId="0" xfId="4" applyNumberFormat="1" applyFont="1" applyProtection="1"/>
    <xf numFmtId="7" fontId="5" fillId="0" borderId="0" xfId="5" applyFont="1" applyAlignment="1" applyProtection="1">
      <alignment horizontal="left" indent="1"/>
    </xf>
    <xf numFmtId="164" fontId="0" fillId="0" borderId="0" xfId="0" applyNumberFormat="1" applyProtection="1"/>
    <xf numFmtId="164" fontId="0" fillId="0" borderId="0" xfId="0" quotePrefix="1" applyNumberFormat="1" applyAlignment="1" applyProtection="1">
      <alignment horizontal="right"/>
    </xf>
    <xf numFmtId="2" fontId="7" fillId="2" borderId="1" xfId="0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164" fontId="5" fillId="0" borderId="0" xfId="0" quotePrefix="1" applyNumberFormat="1" applyFont="1" applyBorder="1" applyAlignment="1" applyProtection="1">
      <alignment horizontal="right"/>
    </xf>
    <xf numFmtId="164" fontId="5" fillId="0" borderId="0" xfId="0" applyNumberFormat="1" applyFont="1" applyBorder="1" applyProtection="1"/>
    <xf numFmtId="165" fontId="5" fillId="0" borderId="0" xfId="0" applyNumberFormat="1" applyFont="1" applyBorder="1" applyProtection="1"/>
    <xf numFmtId="0" fontId="6" fillId="0" borderId="8" xfId="0" applyFont="1" applyBorder="1" applyProtection="1"/>
    <xf numFmtId="0" fontId="5" fillId="0" borderId="8" xfId="0" applyFont="1" applyBorder="1" applyProtection="1"/>
    <xf numFmtId="164" fontId="5" fillId="3" borderId="8" xfId="0" applyNumberFormat="1" applyFont="1" applyFill="1" applyBorder="1" applyProtection="1"/>
    <xf numFmtId="164" fontId="5" fillId="0" borderId="8" xfId="0" quotePrefix="1" applyNumberFormat="1" applyFont="1" applyBorder="1" applyAlignment="1" applyProtection="1">
      <alignment horizontal="right"/>
    </xf>
    <xf numFmtId="164" fontId="5" fillId="0" borderId="8" xfId="0" applyNumberFormat="1" applyFont="1" applyBorder="1" applyProtection="1"/>
    <xf numFmtId="165" fontId="5" fillId="0" borderId="8" xfId="0" applyNumberFormat="1" applyFont="1" applyBorder="1" applyProtection="1"/>
    <xf numFmtId="164" fontId="14" fillId="0" borderId="0" xfId="4" applyNumberFormat="1" applyFont="1" applyProtection="1"/>
    <xf numFmtId="1" fontId="18" fillId="0" borderId="0" xfId="3" applyNumberFormat="1" applyFont="1" applyProtection="1"/>
    <xf numFmtId="164" fontId="18" fillId="3" borderId="0" xfId="0" applyNumberFormat="1" applyFont="1" applyFill="1" applyBorder="1" applyAlignment="1" applyProtection="1">
      <alignment horizontal="right"/>
    </xf>
    <xf numFmtId="168" fontId="19" fillId="0" borderId="0" xfId="5" quotePrefix="1" applyNumberFormat="1" applyFont="1" applyAlignment="1" applyProtection="1">
      <alignment horizontal="left" indent="1"/>
    </xf>
    <xf numFmtId="0" fontId="6" fillId="0" borderId="0" xfId="0" applyFont="1" applyAlignment="1" applyProtection="1">
      <alignment horizontal="center" wrapText="1"/>
    </xf>
    <xf numFmtId="0" fontId="6" fillId="0" borderId="0" xfId="0" applyFont="1" applyAlignment="1" applyProtection="1">
      <alignment horizontal="center"/>
    </xf>
    <xf numFmtId="7" fontId="5" fillId="0" borderId="0" xfId="7" applyNumberFormat="1" applyFont="1" applyAlignment="1" applyProtection="1"/>
    <xf numFmtId="7" fontId="5" fillId="0" borderId="0" xfId="7" applyFont="1" applyAlignment="1" applyProtection="1"/>
    <xf numFmtId="0" fontId="6" fillId="0" borderId="0" xfId="4" applyFont="1" applyAlignment="1" applyProtection="1">
      <alignment horizontal="left" indent="1"/>
    </xf>
    <xf numFmtId="0" fontId="5" fillId="0" borderId="0" xfId="1" applyFont="1" applyAlignment="1" applyProtection="1">
      <alignment horizontal="left" indent="1"/>
    </xf>
    <xf numFmtId="0" fontId="5" fillId="0" borderId="0" xfId="0" quotePrefix="1" applyFont="1" applyProtection="1"/>
    <xf numFmtId="0" fontId="7" fillId="0" borderId="0" xfId="1" applyFont="1" applyAlignment="1" applyProtection="1">
      <alignment horizontal="left" indent="2"/>
    </xf>
    <xf numFmtId="0" fontId="0" fillId="0" borderId="0" xfId="0" applyFont="1"/>
    <xf numFmtId="8" fontId="0" fillId="0" borderId="0" xfId="0" applyNumberFormat="1" applyFont="1"/>
    <xf numFmtId="7" fontId="13" fillId="0" borderId="0" xfId="7"/>
    <xf numFmtId="0" fontId="22" fillId="0" borderId="0" xfId="0" applyFont="1"/>
    <xf numFmtId="0" fontId="21" fillId="0" borderId="0" xfId="0" applyFont="1" applyFill="1" applyBorder="1" applyAlignment="1" applyProtection="1">
      <alignment horizontal="left"/>
    </xf>
    <xf numFmtId="0" fontId="5" fillId="0" borderId="3" xfId="0" applyFont="1" applyBorder="1"/>
    <xf numFmtId="0" fontId="6" fillId="0" borderId="3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5" fillId="0" borderId="0" xfId="0" applyFont="1" applyAlignment="1" applyProtection="1">
      <alignment horizontal="center"/>
      <protection locked="0"/>
    </xf>
    <xf numFmtId="2" fontId="5" fillId="2" borderId="1" xfId="0" applyNumberFormat="1" applyFont="1" applyFill="1" applyBorder="1" applyProtection="1">
      <protection locked="0"/>
    </xf>
    <xf numFmtId="171" fontId="5" fillId="2" borderId="1" xfId="0" applyNumberFormat="1" applyFont="1" applyFill="1" applyBorder="1" applyProtection="1">
      <protection locked="0"/>
    </xf>
    <xf numFmtId="2" fontId="8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0" xfId="0" applyFont="1" applyFill="1" applyBorder="1"/>
    <xf numFmtId="3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/>
    <xf numFmtId="4" fontId="8" fillId="0" borderId="0" xfId="0" applyNumberFormat="1" applyFont="1"/>
    <xf numFmtId="2" fontId="8" fillId="2" borderId="1" xfId="0" applyNumberFormat="1" applyFont="1" applyFill="1" applyBorder="1" applyProtection="1">
      <protection locked="0"/>
    </xf>
    <xf numFmtId="2" fontId="6" fillId="0" borderId="0" xfId="0" applyNumberFormat="1" applyFont="1"/>
    <xf numFmtId="3" fontId="5" fillId="2" borderId="1" xfId="0" applyNumberFormat="1" applyFont="1" applyFill="1" applyBorder="1" applyProtection="1"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3" fontId="8" fillId="2" borderId="1" xfId="0" applyNumberFormat="1" applyFont="1" applyFill="1" applyBorder="1" applyProtection="1">
      <protection locked="0"/>
    </xf>
    <xf numFmtId="3" fontId="5" fillId="0" borderId="0" xfId="0" applyNumberFormat="1" applyFont="1"/>
    <xf numFmtId="0" fontId="9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7" xfId="0" applyBorder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8" applyFont="1" applyAlignment="1">
      <alignment horizontal="right"/>
    </xf>
    <xf numFmtId="44" fontId="6" fillId="0" borderId="0" xfId="0" applyNumberFormat="1" applyFont="1" applyAlignment="1">
      <alignment horizontal="right"/>
    </xf>
    <xf numFmtId="44" fontId="6" fillId="0" borderId="0" xfId="0" applyNumberFormat="1" applyFont="1"/>
    <xf numFmtId="0" fontId="0" fillId="6" borderId="0" xfId="0" applyFill="1"/>
    <xf numFmtId="44" fontId="0" fillId="0" borderId="0" xfId="8" applyFont="1"/>
    <xf numFmtId="1" fontId="0" fillId="0" borderId="0" xfId="0" applyNumberFormat="1"/>
    <xf numFmtId="1" fontId="5" fillId="0" borderId="0" xfId="10" applyNumberFormat="1"/>
    <xf numFmtId="0" fontId="0" fillId="0" borderId="7" xfId="0" applyBorder="1"/>
    <xf numFmtId="44" fontId="0" fillId="0" borderId="7" xfId="8" applyFont="1" applyBorder="1"/>
    <xf numFmtId="172" fontId="0" fillId="0" borderId="0" xfId="9" applyNumberFormat="1" applyFont="1"/>
    <xf numFmtId="172" fontId="0" fillId="0" borderId="0" xfId="9" applyNumberFormat="1" applyFont="1" applyFill="1"/>
    <xf numFmtId="166" fontId="0" fillId="0" borderId="0" xfId="3" applyNumberFormat="1" applyFont="1"/>
    <xf numFmtId="172" fontId="0" fillId="0" borderId="7" xfId="0" applyNumberFormat="1" applyBorder="1"/>
    <xf numFmtId="44" fontId="0" fillId="0" borderId="0" xfId="0" applyNumberFormat="1"/>
    <xf numFmtId="0" fontId="6" fillId="0" borderId="3" xfId="0" applyFont="1" applyBorder="1"/>
    <xf numFmtId="0" fontId="0" fillId="0" borderId="3" xfId="0" applyBorder="1"/>
    <xf numFmtId="44" fontId="6" fillId="0" borderId="3" xfId="0" applyNumberFormat="1" applyFont="1" applyBorder="1"/>
    <xf numFmtId="44" fontId="6" fillId="0" borderId="0" xfId="8" applyFont="1"/>
    <xf numFmtId="44" fontId="0" fillId="0" borderId="3" xfId="0" applyNumberFormat="1" applyBorder="1"/>
    <xf numFmtId="0" fontId="0" fillId="0" borderId="10" xfId="0" applyBorder="1"/>
    <xf numFmtId="0" fontId="6" fillId="0" borderId="10" xfId="0" applyFont="1" applyBorder="1"/>
    <xf numFmtId="44" fontId="6" fillId="0" borderId="10" xfId="0" applyNumberFormat="1" applyFont="1" applyBorder="1"/>
    <xf numFmtId="0" fontId="25" fillId="0" borderId="0" xfId="0" applyFont="1"/>
    <xf numFmtId="0" fontId="0" fillId="0" borderId="7" xfId="0" applyBorder="1" applyAlignment="1">
      <alignment wrapText="1"/>
    </xf>
    <xf numFmtId="0" fontId="0" fillId="7" borderId="7" xfId="0" applyFill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0" borderId="0" xfId="0" applyFont="1" applyFill="1"/>
    <xf numFmtId="0" fontId="1" fillId="8" borderId="0" xfId="0" applyFont="1" applyFill="1"/>
    <xf numFmtId="0" fontId="1" fillId="4" borderId="0" xfId="0" applyFont="1" applyFill="1"/>
    <xf numFmtId="0" fontId="6" fillId="0" borderId="0" xfId="0" applyFont="1" applyAlignment="1">
      <alignment horizontal="left" indent="5"/>
    </xf>
    <xf numFmtId="165" fontId="5" fillId="0" borderId="0" xfId="0" applyNumberFormat="1" applyFont="1" applyAlignment="1">
      <alignment horizontal="right"/>
    </xf>
    <xf numFmtId="164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172" fontId="24" fillId="0" borderId="0" xfId="9" applyNumberFormat="1" applyFont="1" applyAlignment="1">
      <alignment horizontal="right"/>
    </xf>
    <xf numFmtId="44" fontId="0" fillId="0" borderId="0" xfId="8" applyFont="1" applyFill="1"/>
    <xf numFmtId="44" fontId="0" fillId="0" borderId="0" xfId="0" applyNumberFormat="1" applyFill="1"/>
    <xf numFmtId="44" fontId="5" fillId="0" borderId="0" xfId="0" applyNumberFormat="1" applyFont="1" applyFill="1"/>
    <xf numFmtId="44" fontId="0" fillId="0" borderId="7" xfId="8" applyFont="1" applyFill="1" applyBorder="1"/>
    <xf numFmtId="8" fontId="0" fillId="0" borderId="0" xfId="0" applyNumberFormat="1" applyFill="1"/>
    <xf numFmtId="0" fontId="5" fillId="0" borderId="0" xfId="10"/>
    <xf numFmtId="0" fontId="5" fillId="0" borderId="0" xfId="10" applyFont="1"/>
    <xf numFmtId="0" fontId="6" fillId="0" borderId="0" xfId="10" applyFont="1"/>
    <xf numFmtId="0" fontId="0" fillId="0" borderId="0" xfId="0" applyBorder="1" applyAlignment="1">
      <alignment horizontal="right"/>
    </xf>
    <xf numFmtId="8" fontId="0" fillId="7" borderId="0" xfId="0" applyNumberFormat="1" applyFill="1"/>
    <xf numFmtId="164" fontId="0" fillId="0" borderId="0" xfId="8" applyNumberFormat="1" applyFont="1"/>
    <xf numFmtId="0" fontId="1" fillId="0" borderId="0" xfId="0" applyFont="1" applyFill="1"/>
    <xf numFmtId="0" fontId="0" fillId="11" borderId="0" xfId="0" applyFill="1"/>
    <xf numFmtId="0" fontId="5" fillId="9" borderId="1" xfId="0" applyFont="1" applyFill="1" applyBorder="1" applyAlignment="1" applyProtection="1">
      <alignment horizontal="left" indent="1"/>
      <protection locked="0"/>
    </xf>
    <xf numFmtId="0" fontId="0" fillId="12" borderId="0" xfId="0" applyFill="1"/>
    <xf numFmtId="0" fontId="0" fillId="13" borderId="0" xfId="0" applyFill="1"/>
    <xf numFmtId="0" fontId="0" fillId="14" borderId="0" xfId="0" applyFill="1"/>
    <xf numFmtId="8" fontId="0" fillId="14" borderId="0" xfId="0" applyNumberFormat="1" applyFill="1"/>
    <xf numFmtId="0" fontId="1" fillId="13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15" borderId="0" xfId="0" applyFill="1"/>
    <xf numFmtId="0" fontId="1" fillId="9" borderId="0" xfId="0" applyFont="1" applyFill="1"/>
    <xf numFmtId="0" fontId="0" fillId="4" borderId="0" xfId="0" applyFill="1"/>
    <xf numFmtId="0" fontId="1" fillId="0" borderId="7" xfId="0" applyFont="1" applyBorder="1"/>
    <xf numFmtId="0" fontId="1" fillId="15" borderId="0" xfId="0" applyFont="1" applyFill="1"/>
    <xf numFmtId="0" fontId="26" fillId="13" borderId="0" xfId="0" applyFont="1" applyFill="1"/>
    <xf numFmtId="16" fontId="0" fillId="9" borderId="0" xfId="0" applyNumberFormat="1" applyFill="1"/>
    <xf numFmtId="0" fontId="26" fillId="0" borderId="0" xfId="0" applyFont="1" applyFill="1"/>
    <xf numFmtId="0" fontId="5" fillId="2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/>
    <xf numFmtId="2" fontId="5" fillId="2" borderId="0" xfId="0" applyNumberFormat="1" applyFont="1" applyFill="1" applyBorder="1" applyProtection="1">
      <protection locked="0"/>
    </xf>
    <xf numFmtId="170" fontId="0" fillId="0" borderId="0" xfId="0" applyNumberFormat="1" applyFill="1"/>
    <xf numFmtId="2" fontId="0" fillId="0" borderId="0" xfId="0" applyNumberFormat="1" applyFill="1"/>
    <xf numFmtId="8" fontId="26" fillId="0" borderId="0" xfId="0" applyNumberFormat="1" applyFont="1" applyFill="1"/>
    <xf numFmtId="8" fontId="26" fillId="13" borderId="0" xfId="0" applyNumberFormat="1" applyFont="1" applyFill="1"/>
    <xf numFmtId="0" fontId="0" fillId="16" borderId="0" xfId="0" applyFill="1"/>
    <xf numFmtId="164" fontId="0" fillId="0" borderId="0" xfId="0" applyNumberFormat="1"/>
    <xf numFmtId="9" fontId="0" fillId="0" borderId="0" xfId="0" applyNumberFormat="1"/>
    <xf numFmtId="0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  <xf numFmtId="172" fontId="0" fillId="0" borderId="0" xfId="0" applyNumberFormat="1" applyFill="1"/>
    <xf numFmtId="0" fontId="0" fillId="17" borderId="0" xfId="0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4" fontId="4" fillId="0" borderId="0" xfId="8" applyFont="1"/>
    <xf numFmtId="0" fontId="21" fillId="5" borderId="2" xfId="0" applyFont="1" applyFill="1" applyBorder="1" applyAlignment="1" applyProtection="1">
      <alignment horizontal="left"/>
    </xf>
    <xf numFmtId="0" fontId="21" fillId="5" borderId="3" xfId="0" applyFont="1" applyFill="1" applyBorder="1" applyAlignment="1" applyProtection="1">
      <alignment horizontal="left"/>
    </xf>
    <xf numFmtId="0" fontId="21" fillId="5" borderId="4" xfId="0" applyFont="1" applyFill="1" applyBorder="1" applyAlignment="1" applyProtection="1">
      <alignment horizontal="left"/>
    </xf>
    <xf numFmtId="0" fontId="5" fillId="2" borderId="2" xfId="0" applyFont="1" applyFill="1" applyBorder="1" applyAlignment="1" applyProtection="1">
      <protection locked="0"/>
    </xf>
    <xf numFmtId="0" fontId="23" fillId="0" borderId="3" xfId="0" applyFont="1" applyBorder="1" applyAlignment="1" applyProtection="1">
      <protection locked="0"/>
    </xf>
    <xf numFmtId="0" fontId="23" fillId="0" borderId="4" xfId="0" applyFont="1" applyBorder="1" applyAlignment="1" applyProtection="1">
      <protection locked="0"/>
    </xf>
  </cellXfs>
  <cellStyles count="11">
    <cellStyle name="Comma" xfId="2" builtinId="3"/>
    <cellStyle name="Comma 2" xfId="9"/>
    <cellStyle name="Currency" xfId="8" builtinId="4"/>
    <cellStyle name="Hyperlink" xfId="1" builtinId="8"/>
    <cellStyle name="Normal" xfId="0" builtinId="0"/>
    <cellStyle name="Normal 2" xfId="10"/>
    <cellStyle name="Normal_Annual Hay Production" xfId="7"/>
    <cellStyle name="Normal_Hay Production" xfId="5"/>
    <cellStyle name="Normal_Hay Production (2)_Hay Production (3)" xfId="4"/>
    <cellStyle name="Normal_Page 6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smallscal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osting/Downloads/2017vegmelonlargescale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%20Hosting/AppData/Local/Packages/Microsoft.MicrosoftEdge_8wekyb3d8bbwe/TempState/Downloads/Info_Trackers_NEW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s"/>
      <sheetName val="Eggplant"/>
      <sheetName val="Okra"/>
      <sheetName val="Bell Pepper"/>
      <sheetName val="Jalapeno Pepper"/>
      <sheetName val="Potatoes"/>
      <sheetName val="Pumpkin"/>
      <sheetName val="Winter Squash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  <row r="22">
          <cell r="D22">
            <v>15</v>
          </cell>
        </row>
        <row r="23">
          <cell r="D23">
            <v>0.1</v>
          </cell>
        </row>
        <row r="24">
          <cell r="D24">
            <v>0.06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 &amp; Variables"/>
      <sheetName val="Bean"/>
      <sheetName val="Broccoli"/>
      <sheetName val="Cabbage"/>
      <sheetName val="Cantaloupe"/>
      <sheetName val="Cucumber"/>
      <sheetName val="Eggplant"/>
      <sheetName val="Okra"/>
      <sheetName val="Bell Pepper"/>
      <sheetName val="Jalapeno Pepper"/>
      <sheetName val="Potatoes"/>
      <sheetName val="Pumpkin"/>
      <sheetName val="Squash, Winter"/>
      <sheetName val="Summer Squash"/>
      <sheetName val="Sweet Corn"/>
      <sheetName val="Sweet Potato"/>
      <sheetName val="Tomato"/>
      <sheetName val="Seedless Watermelon"/>
      <sheetName val="Seeded Watermelon"/>
    </sheetNames>
    <sheetDataSet>
      <sheetData sheetId="0">
        <row r="21">
          <cell r="D21">
            <v>12.5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_Trackers_NEW"/>
      <sheetName val="Sheet1"/>
      <sheetName val="CornOnCorn"/>
    </sheetNames>
    <sheetDataSet>
      <sheetData sheetId="0"/>
      <sheetData sheetId="1">
        <row r="18">
          <cell r="D18">
            <v>7.8947368421052627E-2</v>
          </cell>
        </row>
        <row r="19">
          <cell r="D19">
            <v>7.8947368421052627E-2</v>
          </cell>
        </row>
        <row r="20">
          <cell r="D20">
            <v>7.8947368421052627E-2</v>
          </cell>
        </row>
        <row r="21">
          <cell r="D21">
            <v>7.8947368421052627E-2</v>
          </cell>
        </row>
        <row r="22">
          <cell r="D22">
            <v>7.8947368421052627E-2</v>
          </cell>
        </row>
        <row r="23">
          <cell r="D23">
            <v>7.8947368421052627E-2</v>
          </cell>
        </row>
        <row r="24">
          <cell r="D24">
            <v>7.8947368421052627E-2</v>
          </cell>
        </row>
        <row r="25">
          <cell r="D25">
            <v>2.6315789473684209E-2</v>
          </cell>
        </row>
        <row r="26">
          <cell r="D26">
            <v>2.6315789473684209E-2</v>
          </cell>
        </row>
        <row r="27">
          <cell r="D27">
            <v>2.6315789473684209E-2</v>
          </cell>
        </row>
        <row r="28">
          <cell r="D28">
            <v>2.6315789473684209E-2</v>
          </cell>
        </row>
        <row r="29">
          <cell r="D29">
            <v>2.6315789473684209E-2</v>
          </cell>
        </row>
        <row r="30">
          <cell r="D30">
            <v>2.6315789473684209E-2</v>
          </cell>
        </row>
        <row r="31">
          <cell r="D31">
            <v>2.6315789473684209E-2</v>
          </cell>
        </row>
        <row r="32">
          <cell r="D32">
            <v>2.6315789473684209E-2</v>
          </cell>
        </row>
        <row r="33">
          <cell r="D33">
            <v>2.6315789473684209E-2</v>
          </cell>
        </row>
        <row r="34">
          <cell r="D34">
            <v>2.6315789473684209E-2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sion.iastate.edu/AGDM/livestock/pdf/b1-21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tension.iastate.edu/agdm/crops/html/a1-20.html" TargetMode="External"/><Relationship Id="rId2" Type="http://schemas.openxmlformats.org/officeDocument/2006/relationships/hyperlink" Target="http://www.fsa.usda.gov/FSA/displayLDPRates?area=home&amp;subject=prsu&amp;topic=ldp-ldp" TargetMode="External"/><Relationship Id="rId1" Type="http://schemas.openxmlformats.org/officeDocument/2006/relationships/hyperlink" Target="https://www.extension.iastate.edu/agdm/crops/html/a1-20.html" TargetMode="External"/><Relationship Id="rId4" Type="http://schemas.openxmlformats.org/officeDocument/2006/relationships/hyperlink" Target="https://www.thebalance.com/corn-planting-and-harvest-seasons-809309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../AppData/Local/Packages/Microsoft.MicrosoftEdge_8wekyb3d8bbwe/TempState/Downloads/PM0569.pdf" TargetMode="External"/><Relationship Id="rId1" Type="http://schemas.openxmlformats.org/officeDocument/2006/relationships/hyperlink" Target="http://www.extension.iastate.edu/agdm/crops/html/a1-22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r.public.iastate.edu/Extension/Green%20Beans.pdf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rden.eco/plant-winter-squash" TargetMode="External"/><Relationship Id="rId2" Type="http://schemas.openxmlformats.org/officeDocument/2006/relationships/hyperlink" Target="https://extension.illinois.edu/veggies/wsquash.cfm" TargetMode="External"/><Relationship Id="rId1" Type="http://schemas.openxmlformats.org/officeDocument/2006/relationships/hyperlink" Target="https://harvesttotable.com/how_to_grow_winter_squash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extension.umn.edu/fruit/growing-grapes-home-garden" TargetMode="External"/><Relationship Id="rId2" Type="http://schemas.openxmlformats.org/officeDocument/2006/relationships/hyperlink" Target="../AppData/Local/Packages/Microsoft.MicrosoftEdge_8wekyb3d8bbwe/TempState/Downloads/PM1707.pdf" TargetMode="External"/><Relationship Id="rId1" Type="http://schemas.openxmlformats.org/officeDocument/2006/relationships/hyperlink" Target="https://hortnews.extension.iastate.edu/1997/4-11-1997/plantgrapes.html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s3.wp.wsu.edu/uploads/sites/2109/2014/11/GrapePruningBasics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a.usda.gov/FSA/displayLDPRates?area=home&amp;subject=prsu&amp;topic=ldp-ldp" TargetMode="External"/><Relationship Id="rId2" Type="http://schemas.openxmlformats.org/officeDocument/2006/relationships/hyperlink" Target="https://www.extension.iastate.edu/agdm/crops/html/a1-20.html" TargetMode="External"/><Relationship Id="rId1" Type="http://schemas.openxmlformats.org/officeDocument/2006/relationships/hyperlink" Target="https://www.extension.iastate.edu/agdm/crops/html/a1-20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fsa.usda.gov/FSA/displayLDPRates?area=home&amp;subject=prsu&amp;topic=ldp-l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C1" zoomScale="80" zoomScaleNormal="80" workbookViewId="0">
      <selection activeCell="I25" sqref="I25"/>
    </sheetView>
  </sheetViews>
  <sheetFormatPr defaultRowHeight="14.5"/>
  <cols>
    <col min="1" max="1" width="30.453125" bestFit="1" customWidth="1"/>
    <col min="2" max="3" width="30.81640625" bestFit="1" customWidth="1"/>
    <col min="4" max="4" width="22" bestFit="1" customWidth="1"/>
    <col min="5" max="5" width="8.26953125" bestFit="1" customWidth="1"/>
    <col min="6" max="6" width="13.1796875" bestFit="1" customWidth="1"/>
    <col min="7" max="7" width="29.453125" bestFit="1" customWidth="1"/>
    <col min="8" max="8" width="23.7265625" bestFit="1" customWidth="1"/>
    <col min="9" max="9" width="11.26953125" customWidth="1"/>
    <col min="10" max="10" width="39.26953125" bestFit="1" customWidth="1"/>
    <col min="11" max="17" width="11.26953125" customWidth="1"/>
    <col min="19" max="19" width="12.1796875" bestFit="1" customWidth="1"/>
    <col min="20" max="20" width="29.7265625" bestFit="1" customWidth="1"/>
    <col min="21" max="21" width="30.453125" bestFit="1" customWidth="1"/>
    <col min="22" max="22" width="13.81640625" bestFit="1" customWidth="1"/>
    <col min="23" max="23" width="15.1796875" bestFit="1" customWidth="1"/>
    <col min="24" max="24" width="14.54296875" bestFit="1" customWidth="1"/>
    <col min="25" max="25" width="30.26953125" bestFit="1" customWidth="1"/>
    <col min="26" max="26" width="4.453125" bestFit="1" customWidth="1"/>
    <col min="27" max="27" width="4.81640625" customWidth="1"/>
    <col min="28" max="28" width="5" customWidth="1"/>
    <col min="29" max="29" width="12.1796875" bestFit="1" customWidth="1"/>
  </cols>
  <sheetData>
    <row r="1" spans="1:28" ht="29">
      <c r="A1" s="299" t="s">
        <v>805</v>
      </c>
      <c r="B1" s="267" t="s">
        <v>823</v>
      </c>
      <c r="C1" s="300" t="s">
        <v>985</v>
      </c>
      <c r="D1" s="268" t="s">
        <v>824</v>
      </c>
      <c r="E1" s="295" t="s">
        <v>981</v>
      </c>
      <c r="F1" s="294" t="s">
        <v>983</v>
      </c>
      <c r="G1" s="293" t="s">
        <v>986</v>
      </c>
      <c r="H1" s="297" t="s">
        <v>984</v>
      </c>
      <c r="J1" s="311" t="s">
        <v>1053</v>
      </c>
      <c r="S1" s="260" t="s">
        <v>810</v>
      </c>
      <c r="T1" s="243" t="s">
        <v>804</v>
      </c>
      <c r="U1" s="243" t="s">
        <v>805</v>
      </c>
      <c r="V1" s="243" t="s">
        <v>806</v>
      </c>
      <c r="W1" s="259" t="s">
        <v>807</v>
      </c>
      <c r="X1" s="259" t="s">
        <v>808</v>
      </c>
      <c r="Y1" s="259" t="s">
        <v>809</v>
      </c>
      <c r="Z1" s="243"/>
      <c r="AA1" s="243"/>
      <c r="AB1" s="243"/>
    </row>
    <row r="2" spans="1:28">
      <c r="A2" s="261" t="s">
        <v>18</v>
      </c>
      <c r="B2" s="266" t="s">
        <v>847</v>
      </c>
      <c r="C2" t="s">
        <v>39</v>
      </c>
      <c r="D2" t="s">
        <v>819</v>
      </c>
      <c r="J2" s="311" t="s">
        <v>1054</v>
      </c>
      <c r="S2" s="263" t="s">
        <v>814</v>
      </c>
      <c r="T2" t="s">
        <v>811</v>
      </c>
      <c r="U2" t="s">
        <v>18</v>
      </c>
      <c r="V2" s="261" t="s">
        <v>812</v>
      </c>
      <c r="W2" s="262" t="s">
        <v>810</v>
      </c>
      <c r="Y2" t="s">
        <v>813</v>
      </c>
    </row>
    <row r="3" spans="1:28">
      <c r="A3" s="318" t="s">
        <v>39</v>
      </c>
      <c r="B3" s="266" t="s">
        <v>848</v>
      </c>
      <c r="C3" t="s">
        <v>825</v>
      </c>
      <c r="D3" t="s">
        <v>827</v>
      </c>
      <c r="S3" s="261" t="s">
        <v>812</v>
      </c>
      <c r="T3" t="s">
        <v>811</v>
      </c>
      <c r="U3" t="s">
        <v>39</v>
      </c>
      <c r="V3" s="263" t="s">
        <v>814</v>
      </c>
      <c r="W3" s="262" t="s">
        <v>810</v>
      </c>
    </row>
    <row r="4" spans="1:28">
      <c r="A4" s="261" t="s">
        <v>815</v>
      </c>
      <c r="B4" t="s">
        <v>846</v>
      </c>
      <c r="C4" t="s">
        <v>290</v>
      </c>
      <c r="D4" t="s">
        <v>826</v>
      </c>
      <c r="J4" s="265"/>
      <c r="S4" s="264" t="s">
        <v>816</v>
      </c>
      <c r="T4" t="s">
        <v>811</v>
      </c>
      <c r="U4" t="s">
        <v>815</v>
      </c>
      <c r="V4" s="261" t="s">
        <v>812</v>
      </c>
      <c r="W4" s="262" t="s">
        <v>810</v>
      </c>
      <c r="Y4" t="s">
        <v>813</v>
      </c>
    </row>
    <row r="5" spans="1:28">
      <c r="A5" s="318" t="s">
        <v>817</v>
      </c>
      <c r="B5" t="s">
        <v>59</v>
      </c>
      <c r="C5" t="s">
        <v>828</v>
      </c>
      <c r="S5" s="261" t="s">
        <v>818</v>
      </c>
      <c r="T5" t="s">
        <v>811</v>
      </c>
      <c r="U5" t="s">
        <v>817</v>
      </c>
      <c r="V5" s="263" t="s">
        <v>814</v>
      </c>
      <c r="W5" s="262" t="s">
        <v>810</v>
      </c>
    </row>
    <row r="6" spans="1:28">
      <c r="A6" s="261" t="s">
        <v>59</v>
      </c>
      <c r="B6" t="s">
        <v>268</v>
      </c>
      <c r="C6" t="s">
        <v>388</v>
      </c>
      <c r="T6" t="s">
        <v>811</v>
      </c>
      <c r="U6" t="s">
        <v>59</v>
      </c>
      <c r="V6" s="261" t="s">
        <v>812</v>
      </c>
      <c r="W6" s="262" t="s">
        <v>810</v>
      </c>
      <c r="Y6" t="s">
        <v>813</v>
      </c>
    </row>
    <row r="7" spans="1:28">
      <c r="A7" s="261" t="s">
        <v>268</v>
      </c>
      <c r="B7" t="s">
        <v>298</v>
      </c>
      <c r="C7" t="s">
        <v>829</v>
      </c>
      <c r="T7" t="s">
        <v>811</v>
      </c>
      <c r="U7" t="s">
        <v>268</v>
      </c>
      <c r="V7" s="261" t="s">
        <v>812</v>
      </c>
      <c r="W7" s="262" t="s">
        <v>810</v>
      </c>
    </row>
    <row r="8" spans="1:28">
      <c r="A8" s="318" t="s">
        <v>290</v>
      </c>
      <c r="B8" t="s">
        <v>309</v>
      </c>
      <c r="C8" t="s">
        <v>830</v>
      </c>
      <c r="T8" t="s">
        <v>811</v>
      </c>
      <c r="U8" t="s">
        <v>290</v>
      </c>
      <c r="V8" s="263" t="s">
        <v>814</v>
      </c>
      <c r="W8" s="262" t="s">
        <v>810</v>
      </c>
    </row>
    <row r="9" spans="1:28">
      <c r="A9" s="261" t="s">
        <v>298</v>
      </c>
      <c r="C9" t="s">
        <v>831</v>
      </c>
      <c r="L9" s="265"/>
      <c r="M9" s="265"/>
      <c r="N9" s="265"/>
      <c r="O9" s="265"/>
      <c r="P9" s="265"/>
      <c r="Q9" s="265"/>
      <c r="T9" t="s">
        <v>811</v>
      </c>
      <c r="U9" t="s">
        <v>298</v>
      </c>
      <c r="V9" s="261" t="s">
        <v>812</v>
      </c>
      <c r="W9" s="262" t="s">
        <v>810</v>
      </c>
      <c r="Y9" t="s">
        <v>813</v>
      </c>
    </row>
    <row r="10" spans="1:28">
      <c r="A10" s="298" t="s">
        <v>819</v>
      </c>
      <c r="C10" t="s">
        <v>832</v>
      </c>
      <c r="T10" t="s">
        <v>811</v>
      </c>
      <c r="U10" t="s">
        <v>819</v>
      </c>
      <c r="V10" s="263" t="s">
        <v>814</v>
      </c>
      <c r="W10" s="262" t="s">
        <v>810</v>
      </c>
    </row>
    <row r="11" spans="1:28">
      <c r="A11" s="298" t="s">
        <v>307</v>
      </c>
      <c r="T11" t="s">
        <v>811</v>
      </c>
      <c r="U11" t="s">
        <v>307</v>
      </c>
      <c r="V11" s="261" t="s">
        <v>812</v>
      </c>
      <c r="W11" s="262" t="s">
        <v>810</v>
      </c>
    </row>
    <row r="12" spans="1:28">
      <c r="A12" s="298" t="s">
        <v>308</v>
      </c>
      <c r="T12" t="s">
        <v>811</v>
      </c>
      <c r="U12" t="s">
        <v>308</v>
      </c>
      <c r="V12" s="261" t="s">
        <v>812</v>
      </c>
      <c r="W12" s="262" t="s">
        <v>810</v>
      </c>
    </row>
    <row r="13" spans="1:28">
      <c r="A13" s="261" t="s">
        <v>309</v>
      </c>
      <c r="T13" t="s">
        <v>811</v>
      </c>
      <c r="U13" t="s">
        <v>309</v>
      </c>
      <c r="V13" s="261" t="s">
        <v>812</v>
      </c>
      <c r="W13" s="262" t="s">
        <v>810</v>
      </c>
      <c r="X13" t="s">
        <v>820</v>
      </c>
    </row>
    <row r="14" spans="1:28">
      <c r="A14" s="296" t="s">
        <v>361</v>
      </c>
      <c r="T14" t="s">
        <v>811</v>
      </c>
      <c r="U14" t="s">
        <v>361</v>
      </c>
      <c r="V14" s="261" t="s">
        <v>812</v>
      </c>
      <c r="W14" s="262" t="s">
        <v>810</v>
      </c>
    </row>
    <row r="15" spans="1:28">
      <c r="A15" s="318" t="s">
        <v>388</v>
      </c>
      <c r="T15" t="s">
        <v>811</v>
      </c>
      <c r="U15" t="s">
        <v>388</v>
      </c>
      <c r="V15" s="261" t="s">
        <v>812</v>
      </c>
      <c r="W15" s="262" t="s">
        <v>810</v>
      </c>
    </row>
    <row r="16" spans="1:28">
      <c r="A16" s="296" t="s">
        <v>405</v>
      </c>
      <c r="T16" t="s">
        <v>811</v>
      </c>
      <c r="U16" t="s">
        <v>405</v>
      </c>
      <c r="V16" s="261" t="s">
        <v>812</v>
      </c>
      <c r="W16" s="262" t="s">
        <v>810</v>
      </c>
      <c r="X16" t="s">
        <v>820</v>
      </c>
    </row>
    <row r="17" spans="20:26">
      <c r="T17" t="s">
        <v>821</v>
      </c>
      <c r="U17" t="s">
        <v>18</v>
      </c>
      <c r="V17" s="261" t="s">
        <v>812</v>
      </c>
      <c r="W17" s="262" t="s">
        <v>810</v>
      </c>
    </row>
    <row r="18" spans="20:26">
      <c r="T18" t="s">
        <v>821</v>
      </c>
      <c r="U18" t="s">
        <v>39</v>
      </c>
      <c r="V18" s="261" t="s">
        <v>812</v>
      </c>
      <c r="W18" s="262" t="s">
        <v>810</v>
      </c>
    </row>
    <row r="19" spans="20:26">
      <c r="T19" t="s">
        <v>821</v>
      </c>
      <c r="U19" t="s">
        <v>815</v>
      </c>
      <c r="V19" s="261" t="s">
        <v>812</v>
      </c>
      <c r="W19" s="262" t="s">
        <v>810</v>
      </c>
    </row>
    <row r="20" spans="20:26">
      <c r="T20" t="s">
        <v>821</v>
      </c>
      <c r="U20" t="s">
        <v>817</v>
      </c>
      <c r="V20" s="261" t="s">
        <v>812</v>
      </c>
      <c r="W20" s="262" t="s">
        <v>810</v>
      </c>
    </row>
    <row r="21" spans="20:26">
      <c r="T21" t="s">
        <v>821</v>
      </c>
      <c r="U21" t="s">
        <v>59</v>
      </c>
      <c r="V21" s="261" t="s">
        <v>812</v>
      </c>
      <c r="W21" s="262" t="s">
        <v>810</v>
      </c>
      <c r="X21" t="s">
        <v>820</v>
      </c>
    </row>
    <row r="22" spans="20:26">
      <c r="T22" t="s">
        <v>821</v>
      </c>
      <c r="U22" t="s">
        <v>268</v>
      </c>
      <c r="V22" s="261" t="s">
        <v>812</v>
      </c>
      <c r="W22" s="262" t="s">
        <v>810</v>
      </c>
    </row>
    <row r="23" spans="20:26">
      <c r="T23" t="s">
        <v>821</v>
      </c>
      <c r="U23" t="s">
        <v>290</v>
      </c>
      <c r="V23" s="261" t="s">
        <v>812</v>
      </c>
      <c r="W23" s="262" t="s">
        <v>810</v>
      </c>
    </row>
    <row r="24" spans="20:26">
      <c r="T24" t="s">
        <v>821</v>
      </c>
      <c r="U24" t="s">
        <v>298</v>
      </c>
      <c r="V24" s="263" t="s">
        <v>814</v>
      </c>
      <c r="W24" s="262" t="s">
        <v>810</v>
      </c>
    </row>
    <row r="25" spans="20:26">
      <c r="T25" t="s">
        <v>821</v>
      </c>
      <c r="U25" t="s">
        <v>819</v>
      </c>
      <c r="V25" s="261" t="s">
        <v>818</v>
      </c>
      <c r="W25" s="262" t="s">
        <v>810</v>
      </c>
      <c r="Z25" t="s">
        <v>822</v>
      </c>
    </row>
    <row r="26" spans="20:26">
      <c r="T26" t="s">
        <v>821</v>
      </c>
      <c r="U26" t="s">
        <v>307</v>
      </c>
      <c r="V26" s="261" t="s">
        <v>818</v>
      </c>
      <c r="W26" s="262" t="s">
        <v>810</v>
      </c>
    </row>
    <row r="27" spans="20:26">
      <c r="T27" t="s">
        <v>821</v>
      </c>
      <c r="U27" t="s">
        <v>308</v>
      </c>
      <c r="V27" s="261" t="s">
        <v>818</v>
      </c>
      <c r="W27" s="262" t="s">
        <v>810</v>
      </c>
    </row>
    <row r="28" spans="20:26">
      <c r="T28" t="s">
        <v>821</v>
      </c>
      <c r="U28" t="s">
        <v>309</v>
      </c>
      <c r="V28" s="263" t="s">
        <v>814</v>
      </c>
      <c r="W28" s="262" t="s">
        <v>810</v>
      </c>
      <c r="X28" t="s">
        <v>820</v>
      </c>
    </row>
    <row r="29" spans="20:26">
      <c r="T29" t="s">
        <v>821</v>
      </c>
      <c r="U29" t="s">
        <v>361</v>
      </c>
      <c r="V29" s="261" t="s">
        <v>812</v>
      </c>
      <c r="W29" s="262" t="s">
        <v>810</v>
      </c>
    </row>
    <row r="30" spans="20:26">
      <c r="T30" t="s">
        <v>821</v>
      </c>
      <c r="U30" t="s">
        <v>388</v>
      </c>
      <c r="V30" s="261" t="s">
        <v>818</v>
      </c>
      <c r="W30" s="262" t="s">
        <v>810</v>
      </c>
      <c r="Z30" t="s">
        <v>822</v>
      </c>
    </row>
    <row r="31" spans="20:26">
      <c r="T31" t="s">
        <v>821</v>
      </c>
      <c r="U31" t="s">
        <v>405</v>
      </c>
      <c r="V31" s="263" t="s">
        <v>814</v>
      </c>
      <c r="W31" s="262" t="s">
        <v>810</v>
      </c>
      <c r="X31" t="s">
        <v>820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zoomScale="80" zoomScaleNormal="80" workbookViewId="0">
      <pane ySplit="1" topLeftCell="A2" activePane="bottomLeft" state="frozen"/>
      <selection activeCell="D1" sqref="D1"/>
      <selection pane="bottomLeft" activeCell="J10" sqref="J10"/>
    </sheetView>
  </sheetViews>
  <sheetFormatPr defaultRowHeight="14.5"/>
  <cols>
    <col min="2" max="2" width="19.1796875" bestFit="1" customWidth="1"/>
    <col min="3" max="3" width="19.81640625" bestFit="1" customWidth="1"/>
    <col min="4" max="4" width="17.26953125" bestFit="1" customWidth="1"/>
    <col min="5" max="5" width="31.54296875" customWidth="1"/>
    <col min="6" max="6" width="13.45312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29.1796875" bestFit="1" customWidth="1"/>
    <col min="14" max="14" width="12.81640625" bestFit="1" customWidth="1"/>
    <col min="16" max="16" width="104.81640625" bestFit="1" customWidth="1"/>
    <col min="17" max="17" width="179.54296875" bestFit="1" customWidth="1"/>
    <col min="18" max="18" width="99.816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29">
      <c r="A2" s="203">
        <v>2</v>
      </c>
      <c r="B2" s="203" t="s">
        <v>39</v>
      </c>
      <c r="C2" s="203" t="s">
        <v>19</v>
      </c>
      <c r="D2" s="203" t="s">
        <v>20</v>
      </c>
      <c r="E2" s="203">
        <v>2</v>
      </c>
      <c r="F2" s="203"/>
      <c r="G2" s="203">
        <v>1</v>
      </c>
      <c r="I2" s="203" t="s">
        <v>21</v>
      </c>
      <c r="J2" s="203" t="s">
        <v>61</v>
      </c>
      <c r="K2" s="203" t="s">
        <v>71</v>
      </c>
      <c r="M2" s="203" t="s">
        <v>1271</v>
      </c>
      <c r="N2" s="203"/>
      <c r="O2" s="204">
        <v>3.51</v>
      </c>
      <c r="P2" s="320" t="s">
        <v>1272</v>
      </c>
      <c r="Q2" s="203" t="s">
        <v>1274</v>
      </c>
      <c r="R2" s="203" t="s">
        <v>1273</v>
      </c>
    </row>
    <row r="3" spans="1:18" ht="29">
      <c r="A3" s="203">
        <v>2</v>
      </c>
      <c r="B3" s="203" t="s">
        <v>39</v>
      </c>
      <c r="C3" s="203" t="s">
        <v>19</v>
      </c>
      <c r="D3" s="203" t="s">
        <v>20</v>
      </c>
      <c r="E3" s="203">
        <v>2</v>
      </c>
      <c r="F3" s="203"/>
      <c r="G3" s="203">
        <v>1</v>
      </c>
      <c r="I3" s="203" t="s">
        <v>21</v>
      </c>
      <c r="J3" s="203" t="s">
        <v>61</v>
      </c>
      <c r="K3" s="203" t="s">
        <v>71</v>
      </c>
      <c r="M3" s="203" t="s">
        <v>1275</v>
      </c>
      <c r="N3" s="203"/>
      <c r="O3" s="204">
        <v>2.57</v>
      </c>
      <c r="P3" s="320" t="s">
        <v>1276</v>
      </c>
      <c r="Q3" s="203" t="s">
        <v>1274</v>
      </c>
      <c r="R3" s="203" t="s">
        <v>1273</v>
      </c>
    </row>
    <row r="4" spans="1:18" ht="29">
      <c r="A4" s="203">
        <v>2</v>
      </c>
      <c r="B4" s="203" t="s">
        <v>39</v>
      </c>
      <c r="C4" s="203" t="s">
        <v>19</v>
      </c>
      <c r="D4" s="203" t="s">
        <v>20</v>
      </c>
      <c r="E4" s="203">
        <v>2</v>
      </c>
      <c r="F4" s="203"/>
      <c r="G4" s="203">
        <v>1</v>
      </c>
      <c r="I4" s="203" t="s">
        <v>21</v>
      </c>
      <c r="J4" s="203" t="s">
        <v>61</v>
      </c>
      <c r="K4" s="203" t="s">
        <v>71</v>
      </c>
      <c r="M4" s="203" t="s">
        <v>1277</v>
      </c>
      <c r="N4" s="203"/>
      <c r="O4" s="204">
        <v>0.77</v>
      </c>
      <c r="P4" s="320" t="s">
        <v>1278</v>
      </c>
      <c r="Q4" s="203" t="s">
        <v>1274</v>
      </c>
      <c r="R4" s="203" t="s">
        <v>1273</v>
      </c>
    </row>
    <row r="5" spans="1:18">
      <c r="A5" s="203">
        <v>2</v>
      </c>
      <c r="B5" s="203" t="s">
        <v>39</v>
      </c>
      <c r="C5" s="203" t="s">
        <v>19</v>
      </c>
      <c r="D5" s="203" t="s">
        <v>20</v>
      </c>
      <c r="E5" s="203">
        <v>2</v>
      </c>
      <c r="F5" s="203"/>
      <c r="G5" s="203">
        <v>1</v>
      </c>
      <c r="I5" s="203" t="s">
        <v>21</v>
      </c>
      <c r="J5" s="203" t="s">
        <v>61</v>
      </c>
      <c r="K5" s="203" t="s">
        <v>71</v>
      </c>
      <c r="M5" s="203" t="s">
        <v>1279</v>
      </c>
      <c r="N5" s="203"/>
      <c r="O5" s="204">
        <v>0.7</v>
      </c>
      <c r="P5" s="203" t="s">
        <v>1280</v>
      </c>
      <c r="Q5" s="203" t="s">
        <v>1274</v>
      </c>
      <c r="R5" s="203" t="s">
        <v>1273</v>
      </c>
    </row>
    <row r="6" spans="1:18" ht="29">
      <c r="A6" s="203">
        <v>2</v>
      </c>
      <c r="B6" s="203" t="s">
        <v>39</v>
      </c>
      <c r="C6" s="203" t="s">
        <v>19</v>
      </c>
      <c r="D6" s="203" t="s">
        <v>20</v>
      </c>
      <c r="E6" s="203">
        <v>2</v>
      </c>
      <c r="F6" s="203"/>
      <c r="G6" s="203">
        <v>1</v>
      </c>
      <c r="I6" s="203" t="s">
        <v>21</v>
      </c>
      <c r="J6" s="203" t="s">
        <v>22</v>
      </c>
      <c r="K6" s="203" t="s">
        <v>30</v>
      </c>
      <c r="M6" s="203" t="s">
        <v>442</v>
      </c>
      <c r="N6" s="203"/>
      <c r="O6" s="204">
        <v>4.59</v>
      </c>
      <c r="P6" s="203" t="s">
        <v>1283</v>
      </c>
      <c r="Q6" s="203"/>
      <c r="R6" s="320" t="s">
        <v>1284</v>
      </c>
    </row>
    <row r="7" spans="1:18" ht="29">
      <c r="A7" s="203">
        <v>2</v>
      </c>
      <c r="B7" s="203" t="s">
        <v>39</v>
      </c>
      <c r="C7" s="203" t="s">
        <v>19</v>
      </c>
      <c r="D7" s="203" t="s">
        <v>20</v>
      </c>
      <c r="E7" s="203">
        <v>2</v>
      </c>
      <c r="F7" s="203"/>
      <c r="G7" s="203">
        <v>1</v>
      </c>
      <c r="I7" s="203" t="s">
        <v>21</v>
      </c>
      <c r="J7" s="203" t="s">
        <v>22</v>
      </c>
      <c r="K7" s="203" t="s">
        <v>408</v>
      </c>
      <c r="M7" s="203" t="s">
        <v>442</v>
      </c>
      <c r="N7" s="203"/>
      <c r="O7" s="204">
        <v>0.67</v>
      </c>
      <c r="P7" s="203" t="s">
        <v>1285</v>
      </c>
      <c r="Q7" s="203"/>
      <c r="R7" s="320" t="s">
        <v>1284</v>
      </c>
    </row>
    <row r="8" spans="1:18" ht="29">
      <c r="A8" s="203">
        <v>2</v>
      </c>
      <c r="B8" s="203" t="s">
        <v>39</v>
      </c>
      <c r="C8" s="203" t="s">
        <v>19</v>
      </c>
      <c r="D8" s="203" t="s">
        <v>20</v>
      </c>
      <c r="E8" s="203">
        <v>3</v>
      </c>
      <c r="F8" s="203"/>
      <c r="G8" s="203">
        <v>1</v>
      </c>
      <c r="I8" s="203" t="s">
        <v>21</v>
      </c>
      <c r="J8" s="203" t="s">
        <v>61</v>
      </c>
      <c r="K8" s="203" t="s">
        <v>71</v>
      </c>
      <c r="M8" s="203" t="s">
        <v>1271</v>
      </c>
      <c r="N8" s="203"/>
      <c r="O8" s="204">
        <v>1.2</v>
      </c>
      <c r="P8" s="320" t="s">
        <v>1272</v>
      </c>
      <c r="Q8" s="203" t="s">
        <v>1286</v>
      </c>
      <c r="R8" s="203" t="s">
        <v>1273</v>
      </c>
    </row>
    <row r="9" spans="1:18" ht="29">
      <c r="A9" s="203">
        <v>2</v>
      </c>
      <c r="B9" s="203" t="s">
        <v>39</v>
      </c>
      <c r="C9" s="203" t="s">
        <v>19</v>
      </c>
      <c r="D9" s="203" t="s">
        <v>20</v>
      </c>
      <c r="E9" s="203">
        <v>3</v>
      </c>
      <c r="F9" s="203"/>
      <c r="G9" s="203">
        <v>1</v>
      </c>
      <c r="I9" s="203" t="s">
        <v>21</v>
      </c>
      <c r="J9" s="203" t="s">
        <v>61</v>
      </c>
      <c r="K9" s="203" t="s">
        <v>71</v>
      </c>
      <c r="M9" s="203" t="s">
        <v>1275</v>
      </c>
      <c r="N9" s="203"/>
      <c r="O9" s="204">
        <v>0.88</v>
      </c>
      <c r="P9" s="320" t="s">
        <v>1276</v>
      </c>
      <c r="Q9" s="203" t="s">
        <v>1286</v>
      </c>
      <c r="R9" s="203" t="s">
        <v>1273</v>
      </c>
    </row>
    <row r="10" spans="1:18" ht="29">
      <c r="A10" s="203">
        <v>2</v>
      </c>
      <c r="B10" s="203" t="s">
        <v>39</v>
      </c>
      <c r="C10" s="203" t="s">
        <v>19</v>
      </c>
      <c r="D10" s="203" t="s">
        <v>20</v>
      </c>
      <c r="E10" s="203">
        <v>3</v>
      </c>
      <c r="F10" s="203"/>
      <c r="G10" s="203">
        <v>1</v>
      </c>
      <c r="I10" s="203" t="s">
        <v>21</v>
      </c>
      <c r="J10" s="203" t="s">
        <v>61</v>
      </c>
      <c r="K10" s="203" t="s">
        <v>71</v>
      </c>
      <c r="M10" s="203" t="s">
        <v>1277</v>
      </c>
      <c r="N10" s="203"/>
      <c r="O10" s="204">
        <v>0.26</v>
      </c>
      <c r="P10" s="320" t="s">
        <v>1278</v>
      </c>
      <c r="Q10" s="203" t="s">
        <v>1286</v>
      </c>
      <c r="R10" s="203" t="s">
        <v>1273</v>
      </c>
    </row>
    <row r="11" spans="1:18">
      <c r="A11" s="203">
        <v>2</v>
      </c>
      <c r="B11" s="203" t="s">
        <v>39</v>
      </c>
      <c r="C11" s="203" t="s">
        <v>19</v>
      </c>
      <c r="D11" s="203" t="s">
        <v>20</v>
      </c>
      <c r="E11" s="203">
        <v>3</v>
      </c>
      <c r="F11" s="203"/>
      <c r="G11" s="203">
        <v>1</v>
      </c>
      <c r="I11" s="203" t="s">
        <v>21</v>
      </c>
      <c r="J11" s="203" t="s">
        <v>61</v>
      </c>
      <c r="K11" s="203" t="s">
        <v>71</v>
      </c>
      <c r="M11" s="203" t="s">
        <v>1279</v>
      </c>
      <c r="N11" s="203"/>
      <c r="O11" s="204">
        <v>0.24</v>
      </c>
      <c r="P11" s="203" t="s">
        <v>1280</v>
      </c>
      <c r="Q11" s="203" t="s">
        <v>1286</v>
      </c>
      <c r="R11" s="203" t="s">
        <v>1273</v>
      </c>
    </row>
    <row r="12" spans="1:18" ht="29">
      <c r="A12" s="203">
        <v>2</v>
      </c>
      <c r="B12" s="203" t="s">
        <v>39</v>
      </c>
      <c r="C12" s="203" t="s">
        <v>19</v>
      </c>
      <c r="D12" s="203" t="s">
        <v>20</v>
      </c>
      <c r="E12" s="203">
        <v>3</v>
      </c>
      <c r="F12" s="203"/>
      <c r="G12" s="203">
        <v>1</v>
      </c>
      <c r="I12" s="203" t="s">
        <v>21</v>
      </c>
      <c r="J12" s="203" t="s">
        <v>22</v>
      </c>
      <c r="K12" s="203" t="s">
        <v>30</v>
      </c>
      <c r="M12" s="203" t="s">
        <v>442</v>
      </c>
      <c r="N12" s="203"/>
      <c r="O12" s="321">
        <v>3.4542000000000002</v>
      </c>
      <c r="P12" s="203" t="s">
        <v>1283</v>
      </c>
      <c r="Q12" s="203"/>
      <c r="R12" s="320" t="s">
        <v>1284</v>
      </c>
    </row>
    <row r="13" spans="1:18" ht="29">
      <c r="A13" s="203">
        <v>2</v>
      </c>
      <c r="B13" s="203" t="s">
        <v>39</v>
      </c>
      <c r="C13" s="203" t="s">
        <v>19</v>
      </c>
      <c r="D13" s="203" t="s">
        <v>20</v>
      </c>
      <c r="E13" s="203">
        <v>3</v>
      </c>
      <c r="F13" s="203"/>
      <c r="G13" s="203">
        <v>1</v>
      </c>
      <c r="I13" s="203" t="s">
        <v>21</v>
      </c>
      <c r="J13" s="203" t="s">
        <v>22</v>
      </c>
      <c r="K13" s="203" t="s">
        <v>408</v>
      </c>
      <c r="M13" s="203" t="s">
        <v>442</v>
      </c>
      <c r="N13" s="203"/>
      <c r="O13" s="321">
        <v>0.50616000000000005</v>
      </c>
      <c r="P13" s="203" t="s">
        <v>1285</v>
      </c>
      <c r="Q13" s="203"/>
      <c r="R13" s="320" t="s">
        <v>1284</v>
      </c>
    </row>
    <row r="14" spans="1:18" ht="29">
      <c r="A14" s="203">
        <v>2</v>
      </c>
      <c r="B14" s="203" t="s">
        <v>39</v>
      </c>
      <c r="C14" s="203" t="s">
        <v>19</v>
      </c>
      <c r="D14" s="203" t="s">
        <v>20</v>
      </c>
      <c r="E14" s="203">
        <v>4</v>
      </c>
      <c r="F14" s="203"/>
      <c r="G14" s="203">
        <v>1</v>
      </c>
      <c r="I14" s="203" t="s">
        <v>21</v>
      </c>
      <c r="J14" s="203" t="s">
        <v>61</v>
      </c>
      <c r="K14" s="203" t="s">
        <v>71</v>
      </c>
      <c r="M14" s="203" t="s">
        <v>1271</v>
      </c>
      <c r="N14" s="203"/>
      <c r="O14" s="204">
        <v>1.39</v>
      </c>
      <c r="P14" s="320" t="s">
        <v>1272</v>
      </c>
      <c r="Q14" s="203" t="s">
        <v>1287</v>
      </c>
      <c r="R14" s="203" t="s">
        <v>1273</v>
      </c>
    </row>
    <row r="15" spans="1:18" ht="29">
      <c r="A15" s="203">
        <v>2</v>
      </c>
      <c r="B15" s="203" t="s">
        <v>39</v>
      </c>
      <c r="C15" s="203" t="s">
        <v>19</v>
      </c>
      <c r="D15" s="203" t="s">
        <v>20</v>
      </c>
      <c r="E15" s="203">
        <v>4</v>
      </c>
      <c r="F15" s="203"/>
      <c r="G15" s="203">
        <v>1</v>
      </c>
      <c r="I15" s="203" t="s">
        <v>21</v>
      </c>
      <c r="J15" s="203" t="s">
        <v>61</v>
      </c>
      <c r="K15" s="203" t="s">
        <v>71</v>
      </c>
      <c r="M15" s="203" t="s">
        <v>1275</v>
      </c>
      <c r="N15" s="203"/>
      <c r="O15" s="204">
        <v>1.02</v>
      </c>
      <c r="P15" s="320" t="s">
        <v>1276</v>
      </c>
      <c r="Q15" s="203" t="s">
        <v>1287</v>
      </c>
      <c r="R15" s="203" t="s">
        <v>1273</v>
      </c>
    </row>
    <row r="16" spans="1:18" ht="29">
      <c r="A16" s="203">
        <v>2</v>
      </c>
      <c r="B16" s="203" t="s">
        <v>39</v>
      </c>
      <c r="C16" s="203" t="s">
        <v>19</v>
      </c>
      <c r="D16" s="203" t="s">
        <v>20</v>
      </c>
      <c r="E16" s="203">
        <v>4</v>
      </c>
      <c r="F16" s="203"/>
      <c r="G16" s="203">
        <v>1</v>
      </c>
      <c r="I16" s="203" t="s">
        <v>21</v>
      </c>
      <c r="J16" s="203" t="s">
        <v>61</v>
      </c>
      <c r="K16" s="203" t="s">
        <v>71</v>
      </c>
      <c r="M16" s="203" t="s">
        <v>1277</v>
      </c>
      <c r="N16" s="203"/>
      <c r="O16" s="204">
        <v>0.31</v>
      </c>
      <c r="P16" s="320" t="s">
        <v>1278</v>
      </c>
      <c r="Q16" s="203" t="s">
        <v>1287</v>
      </c>
      <c r="R16" s="203" t="s">
        <v>1273</v>
      </c>
    </row>
    <row r="17" spans="1:18">
      <c r="A17" s="203">
        <v>2</v>
      </c>
      <c r="B17" s="203" t="s">
        <v>39</v>
      </c>
      <c r="C17" s="203" t="s">
        <v>19</v>
      </c>
      <c r="D17" s="203" t="s">
        <v>20</v>
      </c>
      <c r="E17" s="203">
        <v>4</v>
      </c>
      <c r="F17" s="203"/>
      <c r="G17" s="203">
        <v>1</v>
      </c>
      <c r="I17" s="203" t="s">
        <v>21</v>
      </c>
      <c r="J17" s="203" t="s">
        <v>61</v>
      </c>
      <c r="K17" s="203" t="s">
        <v>71</v>
      </c>
      <c r="M17" s="203" t="s">
        <v>1279</v>
      </c>
      <c r="N17" s="203"/>
      <c r="O17" s="204">
        <v>0.28000000000000003</v>
      </c>
      <c r="P17" s="203" t="s">
        <v>1280</v>
      </c>
      <c r="Q17" s="203" t="s">
        <v>1287</v>
      </c>
      <c r="R17" s="203" t="s">
        <v>1273</v>
      </c>
    </row>
    <row r="18" spans="1:18" ht="29">
      <c r="A18" s="203">
        <v>2</v>
      </c>
      <c r="B18" s="203" t="s">
        <v>39</v>
      </c>
      <c r="C18" s="203" t="s">
        <v>19</v>
      </c>
      <c r="D18" s="203" t="s">
        <v>20</v>
      </c>
      <c r="E18" s="203">
        <v>4</v>
      </c>
      <c r="F18" s="203"/>
      <c r="G18" s="203">
        <v>1</v>
      </c>
      <c r="I18" s="203" t="s">
        <v>21</v>
      </c>
      <c r="J18" s="203" t="s">
        <v>22</v>
      </c>
      <c r="K18" s="203" t="s">
        <v>30</v>
      </c>
      <c r="M18" s="203" t="s">
        <v>442</v>
      </c>
      <c r="N18" s="203"/>
      <c r="O18" s="321">
        <v>1.8180000000000001</v>
      </c>
      <c r="P18" s="203" t="s">
        <v>1283</v>
      </c>
      <c r="Q18" s="203"/>
      <c r="R18" s="320" t="s">
        <v>1284</v>
      </c>
    </row>
    <row r="19" spans="1:18" ht="29">
      <c r="A19" s="203">
        <v>2</v>
      </c>
      <c r="B19" s="203" t="s">
        <v>39</v>
      </c>
      <c r="C19" s="203" t="s">
        <v>19</v>
      </c>
      <c r="D19" s="203" t="s">
        <v>20</v>
      </c>
      <c r="E19" s="203">
        <v>4</v>
      </c>
      <c r="F19" s="203"/>
      <c r="G19" s="203">
        <v>1</v>
      </c>
      <c r="I19" s="203" t="s">
        <v>21</v>
      </c>
      <c r="J19" s="203" t="s">
        <v>22</v>
      </c>
      <c r="K19" s="203" t="s">
        <v>408</v>
      </c>
      <c r="M19" s="203" t="s">
        <v>442</v>
      </c>
      <c r="N19" s="203"/>
      <c r="O19" s="321">
        <v>0.26640000000000003</v>
      </c>
      <c r="P19" s="203" t="s">
        <v>1285</v>
      </c>
      <c r="Q19" s="203"/>
      <c r="R19" s="320" t="s">
        <v>1284</v>
      </c>
    </row>
    <row r="20" spans="1:18" ht="29">
      <c r="A20" s="203">
        <v>2</v>
      </c>
      <c r="B20" s="203" t="s">
        <v>39</v>
      </c>
      <c r="C20" s="203" t="s">
        <v>19</v>
      </c>
      <c r="D20" s="203" t="s">
        <v>20</v>
      </c>
      <c r="E20" s="203">
        <v>5</v>
      </c>
      <c r="F20" s="203"/>
      <c r="G20" s="203">
        <v>1</v>
      </c>
      <c r="I20" s="203" t="s">
        <v>21</v>
      </c>
      <c r="J20" s="203" t="s">
        <v>61</v>
      </c>
      <c r="K20" s="203" t="s">
        <v>71</v>
      </c>
      <c r="M20" s="203" t="s">
        <v>1271</v>
      </c>
      <c r="N20" s="203"/>
      <c r="O20" s="204">
        <v>0.48</v>
      </c>
      <c r="P20" s="320" t="s">
        <v>1272</v>
      </c>
      <c r="Q20" s="203" t="s">
        <v>1288</v>
      </c>
      <c r="R20" s="203" t="s">
        <v>1273</v>
      </c>
    </row>
    <row r="21" spans="1:18" ht="29">
      <c r="A21" s="203">
        <v>2</v>
      </c>
      <c r="B21" s="203" t="s">
        <v>39</v>
      </c>
      <c r="C21" s="203" t="s">
        <v>19</v>
      </c>
      <c r="D21" s="203" t="s">
        <v>20</v>
      </c>
      <c r="E21" s="203">
        <v>5</v>
      </c>
      <c r="F21" s="203"/>
      <c r="G21" s="203">
        <v>1</v>
      </c>
      <c r="I21" s="203" t="s">
        <v>21</v>
      </c>
      <c r="J21" s="203" t="s">
        <v>61</v>
      </c>
      <c r="K21" s="203" t="s">
        <v>71</v>
      </c>
      <c r="M21" s="203" t="s">
        <v>1275</v>
      </c>
      <c r="N21" s="203"/>
      <c r="O21" s="204">
        <v>0.35</v>
      </c>
      <c r="P21" s="320" t="s">
        <v>1276</v>
      </c>
      <c r="Q21" s="203" t="s">
        <v>1288</v>
      </c>
      <c r="R21" s="203" t="s">
        <v>1273</v>
      </c>
    </row>
    <row r="22" spans="1:18" ht="29">
      <c r="A22" s="203">
        <v>2</v>
      </c>
      <c r="B22" s="203" t="s">
        <v>39</v>
      </c>
      <c r="C22" s="203" t="s">
        <v>19</v>
      </c>
      <c r="D22" s="203" t="s">
        <v>20</v>
      </c>
      <c r="E22" s="203">
        <v>5</v>
      </c>
      <c r="F22" s="203"/>
      <c r="G22" s="203">
        <v>1</v>
      </c>
      <c r="I22" s="203" t="s">
        <v>21</v>
      </c>
      <c r="J22" s="203" t="s">
        <v>61</v>
      </c>
      <c r="K22" s="203" t="s">
        <v>71</v>
      </c>
      <c r="M22" s="203" t="s">
        <v>1277</v>
      </c>
      <c r="N22" s="203"/>
      <c r="O22" s="204">
        <v>0.11</v>
      </c>
      <c r="P22" s="320" t="s">
        <v>1278</v>
      </c>
      <c r="Q22" s="203" t="s">
        <v>1288</v>
      </c>
      <c r="R22" s="203" t="s">
        <v>1273</v>
      </c>
    </row>
    <row r="23" spans="1:18">
      <c r="A23" s="203">
        <v>2</v>
      </c>
      <c r="B23" s="203" t="s">
        <v>39</v>
      </c>
      <c r="C23" s="203" t="s">
        <v>19</v>
      </c>
      <c r="D23" s="203" t="s">
        <v>20</v>
      </c>
      <c r="E23" s="203">
        <v>5</v>
      </c>
      <c r="F23" s="203"/>
      <c r="G23" s="203">
        <v>1</v>
      </c>
      <c r="I23" s="203" t="s">
        <v>21</v>
      </c>
      <c r="J23" s="203" t="s">
        <v>61</v>
      </c>
      <c r="K23" s="203" t="s">
        <v>71</v>
      </c>
      <c r="M23" s="203" t="s">
        <v>1279</v>
      </c>
      <c r="N23" s="203"/>
      <c r="O23" s="204">
        <v>0.1</v>
      </c>
      <c r="P23" s="203" t="s">
        <v>1280</v>
      </c>
      <c r="Q23" s="203" t="s">
        <v>1288</v>
      </c>
      <c r="R23" s="203" t="s">
        <v>1273</v>
      </c>
    </row>
    <row r="24" spans="1:18" ht="29">
      <c r="A24" s="203">
        <v>2</v>
      </c>
      <c r="B24" s="203" t="s">
        <v>39</v>
      </c>
      <c r="C24" s="203" t="s">
        <v>19</v>
      </c>
      <c r="D24" s="203" t="s">
        <v>20</v>
      </c>
      <c r="E24" s="203">
        <v>5</v>
      </c>
      <c r="F24" s="203"/>
      <c r="G24" s="203">
        <v>1</v>
      </c>
      <c r="I24" s="203" t="s">
        <v>21</v>
      </c>
      <c r="J24" s="203" t="s">
        <v>22</v>
      </c>
      <c r="K24" s="203" t="s">
        <v>30</v>
      </c>
      <c r="M24" s="203" t="s">
        <v>442</v>
      </c>
      <c r="N24" s="203"/>
      <c r="O24" s="321">
        <v>0.62619999999999998</v>
      </c>
      <c r="P24" s="203" t="s">
        <v>1283</v>
      </c>
      <c r="Q24" s="203"/>
      <c r="R24" s="320" t="s">
        <v>1284</v>
      </c>
    </row>
    <row r="25" spans="1:18" ht="29">
      <c r="A25" s="203">
        <v>2</v>
      </c>
      <c r="B25" s="203" t="s">
        <v>39</v>
      </c>
      <c r="C25" s="203" t="s">
        <v>19</v>
      </c>
      <c r="D25" s="203" t="s">
        <v>20</v>
      </c>
      <c r="E25" s="203">
        <v>5</v>
      </c>
      <c r="F25" s="203"/>
      <c r="G25" s="203">
        <v>1</v>
      </c>
      <c r="I25" s="203" t="s">
        <v>21</v>
      </c>
      <c r="J25" s="203" t="s">
        <v>22</v>
      </c>
      <c r="K25" s="203" t="s">
        <v>408</v>
      </c>
      <c r="M25" s="203" t="s">
        <v>442</v>
      </c>
      <c r="N25" s="203"/>
      <c r="O25" s="321">
        <v>9.1759999999999994E-2</v>
      </c>
      <c r="P25" s="203" t="s">
        <v>1285</v>
      </c>
      <c r="Q25" s="203"/>
      <c r="R25" s="320" t="s">
        <v>1284</v>
      </c>
    </row>
    <row r="26" spans="1:18" ht="29">
      <c r="A26" s="203">
        <v>2</v>
      </c>
      <c r="B26" s="203" t="s">
        <v>39</v>
      </c>
      <c r="C26" s="203" t="s">
        <v>19</v>
      </c>
      <c r="D26" s="203" t="s">
        <v>20</v>
      </c>
      <c r="E26" s="203">
        <v>0</v>
      </c>
      <c r="F26" s="203"/>
      <c r="G26" s="203">
        <v>1</v>
      </c>
      <c r="I26" s="203" t="s">
        <v>21</v>
      </c>
      <c r="J26" s="203" t="s">
        <v>61</v>
      </c>
      <c r="K26" s="203" t="s">
        <v>71</v>
      </c>
      <c r="M26" s="203" t="s">
        <v>1271</v>
      </c>
      <c r="N26" s="203"/>
      <c r="O26" s="204">
        <v>7.74</v>
      </c>
      <c r="P26" s="320" t="s">
        <v>1272</v>
      </c>
      <c r="Q26" s="203" t="s">
        <v>1288</v>
      </c>
      <c r="R26" s="203" t="s">
        <v>1273</v>
      </c>
    </row>
    <row r="27" spans="1:18" ht="29">
      <c r="A27" s="203">
        <v>2</v>
      </c>
      <c r="B27" s="203" t="s">
        <v>39</v>
      </c>
      <c r="C27" s="203" t="s">
        <v>19</v>
      </c>
      <c r="D27" s="203" t="s">
        <v>20</v>
      </c>
      <c r="E27" s="203">
        <v>0</v>
      </c>
      <c r="F27" s="203"/>
      <c r="G27" s="203">
        <v>1</v>
      </c>
      <c r="I27" s="203" t="s">
        <v>21</v>
      </c>
      <c r="J27" s="203" t="s">
        <v>61</v>
      </c>
      <c r="K27" s="203" t="s">
        <v>71</v>
      </c>
      <c r="M27" s="203" t="s">
        <v>1275</v>
      </c>
      <c r="N27" s="203"/>
      <c r="O27" s="204">
        <v>5.66</v>
      </c>
      <c r="P27" s="320" t="s">
        <v>1276</v>
      </c>
      <c r="Q27" s="203" t="s">
        <v>1288</v>
      </c>
      <c r="R27" s="203" t="s">
        <v>1273</v>
      </c>
    </row>
    <row r="28" spans="1:18" ht="29">
      <c r="A28" s="203">
        <v>2</v>
      </c>
      <c r="B28" s="203" t="s">
        <v>39</v>
      </c>
      <c r="C28" s="203" t="s">
        <v>19</v>
      </c>
      <c r="D28" s="203" t="s">
        <v>20</v>
      </c>
      <c r="E28" s="203">
        <v>0</v>
      </c>
      <c r="F28" s="203"/>
      <c r="G28" s="203">
        <v>1</v>
      </c>
      <c r="I28" s="203" t="s">
        <v>21</v>
      </c>
      <c r="J28" s="203" t="s">
        <v>61</v>
      </c>
      <c r="K28" s="203" t="s">
        <v>71</v>
      </c>
      <c r="M28" s="203" t="s">
        <v>1277</v>
      </c>
      <c r="N28" s="203"/>
      <c r="O28" s="204">
        <v>1.7</v>
      </c>
      <c r="P28" s="320" t="s">
        <v>1278</v>
      </c>
      <c r="Q28" s="203" t="s">
        <v>1288</v>
      </c>
      <c r="R28" s="203" t="s">
        <v>1273</v>
      </c>
    </row>
    <row r="29" spans="1:18">
      <c r="A29" s="203">
        <v>2</v>
      </c>
      <c r="B29" s="203" t="s">
        <v>39</v>
      </c>
      <c r="C29" s="203" t="s">
        <v>19</v>
      </c>
      <c r="D29" s="203" t="s">
        <v>20</v>
      </c>
      <c r="E29" s="203">
        <v>0</v>
      </c>
      <c r="F29" s="203"/>
      <c r="G29" s="203">
        <v>1</v>
      </c>
      <c r="I29" s="203" t="s">
        <v>21</v>
      </c>
      <c r="J29" s="203" t="s">
        <v>61</v>
      </c>
      <c r="K29" s="203" t="s">
        <v>71</v>
      </c>
      <c r="M29" s="203" t="s">
        <v>1279</v>
      </c>
      <c r="N29" s="203"/>
      <c r="O29" s="204">
        <v>1.54</v>
      </c>
      <c r="P29" s="203" t="s">
        <v>1280</v>
      </c>
      <c r="Q29" s="203" t="s">
        <v>1288</v>
      </c>
      <c r="R29" s="203" t="s">
        <v>1273</v>
      </c>
    </row>
    <row r="30" spans="1:18" ht="29">
      <c r="A30" s="203">
        <v>2</v>
      </c>
      <c r="B30" s="203" t="s">
        <v>39</v>
      </c>
      <c r="C30" s="203" t="s">
        <v>19</v>
      </c>
      <c r="D30" s="203" t="s">
        <v>20</v>
      </c>
      <c r="E30" s="203">
        <v>0</v>
      </c>
      <c r="F30" s="203"/>
      <c r="G30" s="203">
        <v>1</v>
      </c>
      <c r="I30" s="203" t="s">
        <v>21</v>
      </c>
      <c r="J30" s="203" t="s">
        <v>22</v>
      </c>
      <c r="K30" s="203" t="s">
        <v>30</v>
      </c>
      <c r="M30" s="203" t="s">
        <v>442</v>
      </c>
      <c r="N30" s="203"/>
      <c r="O30" s="203">
        <v>10.1</v>
      </c>
      <c r="P30" s="203" t="s">
        <v>1283</v>
      </c>
      <c r="Q30" s="203"/>
      <c r="R30" s="320" t="s">
        <v>1284</v>
      </c>
    </row>
    <row r="31" spans="1:18" ht="29">
      <c r="A31" s="203">
        <v>2</v>
      </c>
      <c r="B31" s="203" t="s">
        <v>39</v>
      </c>
      <c r="C31" s="203" t="s">
        <v>19</v>
      </c>
      <c r="D31" s="203" t="s">
        <v>20</v>
      </c>
      <c r="E31" s="203">
        <v>0</v>
      </c>
      <c r="F31" s="203"/>
      <c r="G31" s="203">
        <v>1</v>
      </c>
      <c r="I31" s="203" t="s">
        <v>21</v>
      </c>
      <c r="J31" s="203" t="s">
        <v>22</v>
      </c>
      <c r="K31" s="203" t="s">
        <v>408</v>
      </c>
      <c r="M31" s="203" t="s">
        <v>442</v>
      </c>
      <c r="N31" s="203"/>
      <c r="O31" s="204">
        <v>1.48</v>
      </c>
      <c r="P31" s="203" t="s">
        <v>1285</v>
      </c>
      <c r="Q31" s="203"/>
      <c r="R31" s="320" t="s">
        <v>1284</v>
      </c>
    </row>
    <row r="32" spans="1:18" ht="29">
      <c r="A32" s="203">
        <v>2</v>
      </c>
      <c r="B32" s="203" t="s">
        <v>39</v>
      </c>
      <c r="C32" s="203" t="s">
        <v>19</v>
      </c>
      <c r="D32" s="203" t="s">
        <v>20</v>
      </c>
      <c r="E32" s="203">
        <v>0</v>
      </c>
      <c r="F32" s="203" t="s">
        <v>1289</v>
      </c>
      <c r="G32" s="203">
        <v>1</v>
      </c>
      <c r="I32" s="203" t="s">
        <v>21</v>
      </c>
      <c r="J32" s="203" t="s">
        <v>61</v>
      </c>
      <c r="K32" s="203" t="s">
        <v>71</v>
      </c>
      <c r="M32" s="203" t="s">
        <v>1271</v>
      </c>
      <c r="N32" s="203"/>
      <c r="O32" s="204">
        <v>7.74</v>
      </c>
      <c r="P32" s="320" t="s">
        <v>1272</v>
      </c>
      <c r="Q32" s="203" t="s">
        <v>1288</v>
      </c>
      <c r="R32" s="203" t="s">
        <v>1273</v>
      </c>
    </row>
    <row r="33" spans="1:18" ht="29">
      <c r="A33" s="203">
        <v>2</v>
      </c>
      <c r="B33" s="203" t="s">
        <v>39</v>
      </c>
      <c r="C33" s="203" t="s">
        <v>19</v>
      </c>
      <c r="D33" s="203" t="s">
        <v>20</v>
      </c>
      <c r="E33" s="203">
        <v>0</v>
      </c>
      <c r="G33" s="203">
        <v>1</v>
      </c>
      <c r="H33" s="203" t="s">
        <v>1289</v>
      </c>
      <c r="I33" s="203" t="s">
        <v>21</v>
      </c>
      <c r="J33" s="203" t="s">
        <v>61</v>
      </c>
      <c r="K33" s="203" t="s">
        <v>71</v>
      </c>
      <c r="M33" s="203" t="s">
        <v>1275</v>
      </c>
      <c r="N33" s="203"/>
      <c r="O33" s="204">
        <v>5.66</v>
      </c>
      <c r="P33" s="320" t="s">
        <v>1276</v>
      </c>
      <c r="Q33" s="203" t="s">
        <v>1288</v>
      </c>
      <c r="R33" s="203" t="s">
        <v>1273</v>
      </c>
    </row>
    <row r="34" spans="1:18" ht="29">
      <c r="A34" s="203">
        <v>2</v>
      </c>
      <c r="B34" s="203" t="s">
        <v>39</v>
      </c>
      <c r="C34" s="203" t="s">
        <v>19</v>
      </c>
      <c r="D34" s="203" t="s">
        <v>20</v>
      </c>
      <c r="E34" s="203">
        <v>0</v>
      </c>
      <c r="G34" s="203">
        <v>1</v>
      </c>
      <c r="H34" s="203" t="s">
        <v>1289</v>
      </c>
      <c r="I34" s="203" t="s">
        <v>21</v>
      </c>
      <c r="J34" s="203" t="s">
        <v>61</v>
      </c>
      <c r="K34" s="203" t="s">
        <v>71</v>
      </c>
      <c r="M34" s="203" t="s">
        <v>1277</v>
      </c>
      <c r="N34" s="203"/>
      <c r="O34" s="204">
        <v>1.7</v>
      </c>
      <c r="P34" s="320" t="s">
        <v>1278</v>
      </c>
      <c r="Q34" s="203" t="s">
        <v>1288</v>
      </c>
      <c r="R34" s="203" t="s">
        <v>1273</v>
      </c>
    </row>
    <row r="35" spans="1:18">
      <c r="A35" s="203">
        <v>2</v>
      </c>
      <c r="B35" s="203" t="s">
        <v>39</v>
      </c>
      <c r="C35" s="203" t="s">
        <v>19</v>
      </c>
      <c r="D35" s="203" t="s">
        <v>20</v>
      </c>
      <c r="E35" s="203">
        <v>0</v>
      </c>
      <c r="G35" s="203">
        <v>1</v>
      </c>
      <c r="H35" s="203" t="s">
        <v>1289</v>
      </c>
      <c r="I35" s="203" t="s">
        <v>21</v>
      </c>
      <c r="J35" s="203" t="s">
        <v>61</v>
      </c>
      <c r="K35" s="203" t="s">
        <v>71</v>
      </c>
      <c r="M35" s="203" t="s">
        <v>1279</v>
      </c>
      <c r="N35" s="203"/>
      <c r="O35" s="204">
        <v>1.54</v>
      </c>
      <c r="P35" s="203" t="s">
        <v>1280</v>
      </c>
      <c r="Q35" s="203" t="s">
        <v>1288</v>
      </c>
      <c r="R35" s="203" t="s">
        <v>1273</v>
      </c>
    </row>
    <row r="36" spans="1:18" ht="29">
      <c r="A36" s="203">
        <v>2</v>
      </c>
      <c r="B36" s="203" t="s">
        <v>39</v>
      </c>
      <c r="C36" s="203" t="s">
        <v>19</v>
      </c>
      <c r="D36" s="203" t="s">
        <v>20</v>
      </c>
      <c r="E36" s="203">
        <v>0</v>
      </c>
      <c r="G36" s="203">
        <v>1</v>
      </c>
      <c r="H36" s="203" t="s">
        <v>1289</v>
      </c>
      <c r="I36" s="203" t="s">
        <v>21</v>
      </c>
      <c r="J36" s="203" t="s">
        <v>22</v>
      </c>
      <c r="K36" s="203" t="s">
        <v>30</v>
      </c>
      <c r="M36" s="203" t="s">
        <v>442</v>
      </c>
      <c r="N36" s="203"/>
      <c r="O36" s="203">
        <v>10.1</v>
      </c>
      <c r="P36" s="203" t="s">
        <v>1283</v>
      </c>
      <c r="Q36" s="203"/>
      <c r="R36" s="320" t="s">
        <v>1284</v>
      </c>
    </row>
    <row r="37" spans="1:18" ht="29">
      <c r="A37" s="203">
        <v>2</v>
      </c>
      <c r="B37" s="203" t="s">
        <v>39</v>
      </c>
      <c r="C37" s="203" t="s">
        <v>19</v>
      </c>
      <c r="D37" s="203" t="s">
        <v>20</v>
      </c>
      <c r="E37" s="203">
        <v>0</v>
      </c>
      <c r="G37" s="203">
        <v>1</v>
      </c>
      <c r="H37" s="203" t="s">
        <v>1289</v>
      </c>
      <c r="I37" s="203" t="s">
        <v>21</v>
      </c>
      <c r="J37" s="203" t="s">
        <v>22</v>
      </c>
      <c r="K37" s="203" t="s">
        <v>408</v>
      </c>
      <c r="M37" s="203" t="s">
        <v>442</v>
      </c>
      <c r="N37" s="203"/>
      <c r="O37" s="204">
        <v>1.48</v>
      </c>
      <c r="P37" s="203" t="s">
        <v>1285</v>
      </c>
      <c r="Q37" s="203"/>
      <c r="R37" s="320" t="s">
        <v>1284</v>
      </c>
    </row>
    <row r="38" spans="1:18" ht="29">
      <c r="A38" s="203">
        <v>2</v>
      </c>
      <c r="B38" s="203" t="s">
        <v>39</v>
      </c>
      <c r="C38" s="203" t="s">
        <v>19</v>
      </c>
      <c r="D38" s="203" t="s">
        <v>20</v>
      </c>
      <c r="E38" s="203">
        <v>0</v>
      </c>
      <c r="G38" s="203">
        <v>1</v>
      </c>
      <c r="H38" s="203" t="s">
        <v>1251</v>
      </c>
      <c r="I38" s="203" t="s">
        <v>21</v>
      </c>
      <c r="J38" s="203" t="s">
        <v>61</v>
      </c>
      <c r="K38" s="203" t="s">
        <v>71</v>
      </c>
      <c r="M38" s="203" t="s">
        <v>1271</v>
      </c>
      <c r="N38" s="203"/>
      <c r="O38" s="204">
        <v>7.74</v>
      </c>
      <c r="P38" s="320" t="s">
        <v>1272</v>
      </c>
      <c r="Q38" s="203" t="s">
        <v>1288</v>
      </c>
      <c r="R38" s="203" t="s">
        <v>1273</v>
      </c>
    </row>
    <row r="39" spans="1:18" ht="29">
      <c r="A39" s="203">
        <v>2</v>
      </c>
      <c r="B39" s="203" t="s">
        <v>39</v>
      </c>
      <c r="C39" s="203" t="s">
        <v>19</v>
      </c>
      <c r="D39" s="203" t="s">
        <v>20</v>
      </c>
      <c r="E39" s="203">
        <v>0</v>
      </c>
      <c r="G39" s="203">
        <v>1</v>
      </c>
      <c r="H39" s="203" t="s">
        <v>1251</v>
      </c>
      <c r="I39" s="203" t="s">
        <v>21</v>
      </c>
      <c r="J39" s="203" t="s">
        <v>61</v>
      </c>
      <c r="K39" s="203" t="s">
        <v>71</v>
      </c>
      <c r="M39" s="203" t="s">
        <v>1275</v>
      </c>
      <c r="N39" s="203"/>
      <c r="O39" s="204">
        <v>5.66</v>
      </c>
      <c r="P39" s="320" t="s">
        <v>1276</v>
      </c>
      <c r="Q39" s="203" t="s">
        <v>1288</v>
      </c>
      <c r="R39" s="203" t="s">
        <v>1273</v>
      </c>
    </row>
    <row r="40" spans="1:18" ht="29">
      <c r="A40" s="203">
        <v>2</v>
      </c>
      <c r="B40" s="203" t="s">
        <v>39</v>
      </c>
      <c r="C40" s="203" t="s">
        <v>19</v>
      </c>
      <c r="D40" s="203" t="s">
        <v>20</v>
      </c>
      <c r="E40" s="203">
        <v>0</v>
      </c>
      <c r="G40" s="203">
        <v>1</v>
      </c>
      <c r="H40" s="203" t="s">
        <v>1251</v>
      </c>
      <c r="I40" s="203" t="s">
        <v>21</v>
      </c>
      <c r="J40" s="203" t="s">
        <v>61</v>
      </c>
      <c r="K40" s="203" t="s">
        <v>71</v>
      </c>
      <c r="M40" s="203" t="s">
        <v>1277</v>
      </c>
      <c r="N40" s="203"/>
      <c r="O40" s="204">
        <v>1.7</v>
      </c>
      <c r="P40" s="320" t="s">
        <v>1278</v>
      </c>
      <c r="Q40" s="203" t="s">
        <v>1288</v>
      </c>
      <c r="R40" s="203" t="s">
        <v>1273</v>
      </c>
    </row>
    <row r="41" spans="1:18">
      <c r="A41" s="203">
        <v>2</v>
      </c>
      <c r="B41" s="203" t="s">
        <v>39</v>
      </c>
      <c r="C41" s="203" t="s">
        <v>19</v>
      </c>
      <c r="D41" s="203" t="s">
        <v>20</v>
      </c>
      <c r="E41" s="203">
        <v>0</v>
      </c>
      <c r="G41" s="203">
        <v>1</v>
      </c>
      <c r="H41" s="203" t="s">
        <v>1251</v>
      </c>
      <c r="I41" s="203" t="s">
        <v>21</v>
      </c>
      <c r="J41" s="203" t="s">
        <v>61</v>
      </c>
      <c r="K41" s="203" t="s">
        <v>71</v>
      </c>
      <c r="M41" s="203" t="s">
        <v>1279</v>
      </c>
      <c r="N41" s="203"/>
      <c r="O41" s="204">
        <v>1.54</v>
      </c>
      <c r="P41" s="203" t="s">
        <v>1280</v>
      </c>
      <c r="Q41" s="203" t="s">
        <v>1288</v>
      </c>
      <c r="R41" s="203" t="s">
        <v>1273</v>
      </c>
    </row>
    <row r="42" spans="1:18" ht="29">
      <c r="A42" s="203">
        <v>2</v>
      </c>
      <c r="B42" s="203" t="s">
        <v>39</v>
      </c>
      <c r="C42" s="203" t="s">
        <v>19</v>
      </c>
      <c r="D42" s="203" t="s">
        <v>20</v>
      </c>
      <c r="E42" s="203">
        <v>0</v>
      </c>
      <c r="G42" s="203">
        <v>1</v>
      </c>
      <c r="H42" s="203" t="s">
        <v>1251</v>
      </c>
      <c r="I42" s="203" t="s">
        <v>21</v>
      </c>
      <c r="J42" s="203" t="s">
        <v>22</v>
      </c>
      <c r="K42" s="203" t="s">
        <v>30</v>
      </c>
      <c r="M42" s="203" t="s">
        <v>442</v>
      </c>
      <c r="N42" s="203"/>
      <c r="O42" s="203">
        <v>10.1</v>
      </c>
      <c r="P42" s="203" t="s">
        <v>1283</v>
      </c>
      <c r="Q42" s="203"/>
      <c r="R42" s="320" t="s">
        <v>1284</v>
      </c>
    </row>
    <row r="43" spans="1:18" ht="29">
      <c r="A43" s="203">
        <v>2</v>
      </c>
      <c r="B43" s="203" t="s">
        <v>39</v>
      </c>
      <c r="C43" s="203" t="s">
        <v>19</v>
      </c>
      <c r="D43" s="203" t="s">
        <v>20</v>
      </c>
      <c r="E43" s="203">
        <v>0</v>
      </c>
      <c r="G43" s="203">
        <v>1</v>
      </c>
      <c r="H43" s="203" t="s">
        <v>1251</v>
      </c>
      <c r="I43" s="203" t="s">
        <v>21</v>
      </c>
      <c r="J43" s="203" t="s">
        <v>22</v>
      </c>
      <c r="K43" s="203" t="s">
        <v>408</v>
      </c>
      <c r="M43" s="203" t="s">
        <v>442</v>
      </c>
      <c r="N43" s="203"/>
      <c r="O43" s="204">
        <v>1.48</v>
      </c>
      <c r="P43" s="203" t="s">
        <v>1285</v>
      </c>
      <c r="Q43" s="203"/>
      <c r="R43" s="320" t="s">
        <v>1284</v>
      </c>
    </row>
    <row r="44" spans="1:18" ht="29">
      <c r="A44" s="203">
        <v>2</v>
      </c>
      <c r="B44" s="203" t="s">
        <v>39</v>
      </c>
      <c r="C44" s="203" t="s">
        <v>19</v>
      </c>
      <c r="D44" s="203" t="s">
        <v>20</v>
      </c>
      <c r="E44" s="203">
        <v>1</v>
      </c>
      <c r="G44" s="203">
        <v>1</v>
      </c>
      <c r="H44" s="203"/>
      <c r="I44" s="203" t="s">
        <v>21</v>
      </c>
      <c r="J44" s="203" t="s">
        <v>61</v>
      </c>
      <c r="K44" s="203" t="s">
        <v>71</v>
      </c>
      <c r="M44" s="203" t="s">
        <v>1271</v>
      </c>
      <c r="N44" s="203"/>
      <c r="O44" s="204">
        <v>7.74</v>
      </c>
      <c r="P44" s="320" t="s">
        <v>1272</v>
      </c>
      <c r="Q44" s="203" t="s">
        <v>1288</v>
      </c>
      <c r="R44" s="203" t="s">
        <v>1273</v>
      </c>
    </row>
    <row r="45" spans="1:18" ht="29">
      <c r="A45" s="203">
        <v>2</v>
      </c>
      <c r="B45" s="203" t="s">
        <v>39</v>
      </c>
      <c r="C45" s="203" t="s">
        <v>19</v>
      </c>
      <c r="D45" s="203" t="s">
        <v>20</v>
      </c>
      <c r="E45" s="203">
        <v>1</v>
      </c>
      <c r="G45" s="203">
        <v>1</v>
      </c>
      <c r="H45" s="203"/>
      <c r="I45" s="203" t="s">
        <v>21</v>
      </c>
      <c r="J45" s="203" t="s">
        <v>61</v>
      </c>
      <c r="K45" s="203" t="s">
        <v>71</v>
      </c>
      <c r="M45" s="203" t="s">
        <v>1275</v>
      </c>
      <c r="N45" s="203"/>
      <c r="O45" s="204">
        <v>5.66</v>
      </c>
      <c r="P45" s="320" t="s">
        <v>1276</v>
      </c>
      <c r="Q45" s="203" t="s">
        <v>1288</v>
      </c>
      <c r="R45" s="203" t="s">
        <v>1273</v>
      </c>
    </row>
    <row r="46" spans="1:18" ht="29">
      <c r="A46" s="203">
        <v>2</v>
      </c>
      <c r="B46" s="203" t="s">
        <v>39</v>
      </c>
      <c r="C46" s="203" t="s">
        <v>19</v>
      </c>
      <c r="D46" s="203" t="s">
        <v>20</v>
      </c>
      <c r="E46" s="203">
        <v>1</v>
      </c>
      <c r="G46" s="203">
        <v>1</v>
      </c>
      <c r="H46" s="203"/>
      <c r="I46" s="203" t="s">
        <v>21</v>
      </c>
      <c r="J46" s="203" t="s">
        <v>61</v>
      </c>
      <c r="K46" s="203" t="s">
        <v>71</v>
      </c>
      <c r="M46" s="203" t="s">
        <v>1277</v>
      </c>
      <c r="N46" s="203"/>
      <c r="O46" s="204">
        <v>1.7</v>
      </c>
      <c r="P46" s="320" t="s">
        <v>1278</v>
      </c>
      <c r="Q46" s="203" t="s">
        <v>1288</v>
      </c>
      <c r="R46" s="203" t="s">
        <v>1273</v>
      </c>
    </row>
    <row r="47" spans="1:18">
      <c r="A47" s="203">
        <v>2</v>
      </c>
      <c r="B47" s="203" t="s">
        <v>39</v>
      </c>
      <c r="C47" s="203" t="s">
        <v>19</v>
      </c>
      <c r="D47" s="203" t="s">
        <v>20</v>
      </c>
      <c r="E47" s="203">
        <v>1</v>
      </c>
      <c r="G47" s="203">
        <v>1</v>
      </c>
      <c r="H47" s="203"/>
      <c r="I47" s="203" t="s">
        <v>21</v>
      </c>
      <c r="J47" s="203" t="s">
        <v>61</v>
      </c>
      <c r="K47" s="203" t="s">
        <v>71</v>
      </c>
      <c r="M47" s="203" t="s">
        <v>1279</v>
      </c>
      <c r="N47" s="203"/>
      <c r="O47" s="204">
        <v>1.54</v>
      </c>
      <c r="P47" s="203" t="s">
        <v>1280</v>
      </c>
      <c r="Q47" s="203" t="s">
        <v>1288</v>
      </c>
      <c r="R47" s="203" t="s">
        <v>1273</v>
      </c>
    </row>
    <row r="48" spans="1:18" ht="29">
      <c r="A48" s="203">
        <v>2</v>
      </c>
      <c r="B48" s="203" t="s">
        <v>39</v>
      </c>
      <c r="C48" s="203" t="s">
        <v>19</v>
      </c>
      <c r="D48" s="203" t="s">
        <v>20</v>
      </c>
      <c r="E48" s="203">
        <v>1</v>
      </c>
      <c r="G48" s="203">
        <v>1</v>
      </c>
      <c r="H48" s="203"/>
      <c r="I48" s="203" t="s">
        <v>21</v>
      </c>
      <c r="J48" s="203" t="s">
        <v>22</v>
      </c>
      <c r="K48" s="203" t="s">
        <v>30</v>
      </c>
      <c r="M48" s="203" t="s">
        <v>442</v>
      </c>
      <c r="N48" s="203"/>
      <c r="O48" s="203">
        <v>10.1</v>
      </c>
      <c r="P48" s="203" t="s">
        <v>1283</v>
      </c>
      <c r="Q48" s="203"/>
      <c r="R48" s="320" t="s">
        <v>1284</v>
      </c>
    </row>
    <row r="49" spans="1:18" ht="29">
      <c r="A49" s="203">
        <v>2</v>
      </c>
      <c r="B49" s="203" t="s">
        <v>39</v>
      </c>
      <c r="C49" s="203" t="s">
        <v>19</v>
      </c>
      <c r="D49" s="203" t="s">
        <v>20</v>
      </c>
      <c r="E49" s="203">
        <v>1</v>
      </c>
      <c r="G49" s="203">
        <v>1</v>
      </c>
      <c r="H49" s="203"/>
      <c r="I49" s="203" t="s">
        <v>21</v>
      </c>
      <c r="J49" s="203" t="s">
        <v>22</v>
      </c>
      <c r="K49" s="203" t="s">
        <v>408</v>
      </c>
      <c r="M49" s="203" t="s">
        <v>442</v>
      </c>
      <c r="N49" s="203"/>
      <c r="O49" s="204">
        <v>1.48</v>
      </c>
      <c r="P49" s="203" t="s">
        <v>1285</v>
      </c>
      <c r="Q49" s="203"/>
      <c r="R49" s="320" t="s">
        <v>1284</v>
      </c>
    </row>
    <row r="50" spans="1:18" ht="29">
      <c r="A50" s="203">
        <v>2</v>
      </c>
      <c r="B50" s="203" t="s">
        <v>39</v>
      </c>
      <c r="C50" s="203" t="s">
        <v>19</v>
      </c>
      <c r="D50" s="203" t="s">
        <v>20</v>
      </c>
      <c r="E50" s="203">
        <v>1</v>
      </c>
      <c r="G50" s="203">
        <v>1</v>
      </c>
      <c r="H50" s="203"/>
      <c r="I50" s="203" t="s">
        <v>21</v>
      </c>
      <c r="J50" s="203" t="s">
        <v>61</v>
      </c>
      <c r="K50" s="203" t="s">
        <v>71</v>
      </c>
      <c r="M50" s="203" t="s">
        <v>1271</v>
      </c>
      <c r="N50" s="203"/>
      <c r="O50" s="204">
        <v>7.74</v>
      </c>
      <c r="P50" s="320" t="s">
        <v>1272</v>
      </c>
      <c r="Q50" s="203" t="s">
        <v>1288</v>
      </c>
      <c r="R50" s="203" t="s">
        <v>1273</v>
      </c>
    </row>
    <row r="51" spans="1:18" ht="29">
      <c r="A51" s="203">
        <v>2</v>
      </c>
      <c r="B51" s="203" t="s">
        <v>39</v>
      </c>
      <c r="C51" s="203" t="s">
        <v>19</v>
      </c>
      <c r="D51" s="203" t="s">
        <v>20</v>
      </c>
      <c r="E51" s="203">
        <v>1</v>
      </c>
      <c r="G51" s="203">
        <v>1</v>
      </c>
      <c r="H51" s="203"/>
      <c r="I51" s="203" t="s">
        <v>21</v>
      </c>
      <c r="J51" s="203" t="s">
        <v>61</v>
      </c>
      <c r="K51" s="203" t="s">
        <v>71</v>
      </c>
      <c r="M51" s="203" t="s">
        <v>1275</v>
      </c>
      <c r="N51" s="203"/>
      <c r="O51" s="204">
        <v>5.66</v>
      </c>
      <c r="P51" s="320" t="s">
        <v>1276</v>
      </c>
      <c r="Q51" s="203" t="s">
        <v>1288</v>
      </c>
      <c r="R51" s="203" t="s">
        <v>1273</v>
      </c>
    </row>
    <row r="52" spans="1:18" ht="29">
      <c r="A52" s="203">
        <v>2</v>
      </c>
      <c r="B52" s="203" t="s">
        <v>39</v>
      </c>
      <c r="C52" s="203" t="s">
        <v>19</v>
      </c>
      <c r="D52" s="203" t="s">
        <v>20</v>
      </c>
      <c r="E52" s="203">
        <v>1</v>
      </c>
      <c r="G52" s="203">
        <v>1</v>
      </c>
      <c r="H52" s="203"/>
      <c r="I52" s="203" t="s">
        <v>21</v>
      </c>
      <c r="J52" s="203" t="s">
        <v>61</v>
      </c>
      <c r="K52" s="203" t="s">
        <v>71</v>
      </c>
      <c r="M52" s="203" t="s">
        <v>1277</v>
      </c>
      <c r="N52" s="203"/>
      <c r="O52" s="204">
        <v>1.7</v>
      </c>
      <c r="P52" s="320" t="s">
        <v>1278</v>
      </c>
      <c r="Q52" s="203" t="s">
        <v>1288</v>
      </c>
      <c r="R52" s="203" t="s">
        <v>1273</v>
      </c>
    </row>
    <row r="53" spans="1:18">
      <c r="A53" s="203">
        <v>2</v>
      </c>
      <c r="B53" s="203" t="s">
        <v>39</v>
      </c>
      <c r="C53" s="203" t="s">
        <v>19</v>
      </c>
      <c r="D53" s="203" t="s">
        <v>20</v>
      </c>
      <c r="E53" s="203">
        <v>1</v>
      </c>
      <c r="G53" s="203">
        <v>1</v>
      </c>
      <c r="H53" s="203"/>
      <c r="I53" s="203" t="s">
        <v>21</v>
      </c>
      <c r="J53" s="203" t="s">
        <v>61</v>
      </c>
      <c r="K53" s="203" t="s">
        <v>71</v>
      </c>
      <c r="M53" s="203" t="s">
        <v>1279</v>
      </c>
      <c r="N53" s="203"/>
      <c r="O53" s="204">
        <v>1.54</v>
      </c>
      <c r="P53" s="203" t="s">
        <v>1280</v>
      </c>
      <c r="Q53" s="203" t="s">
        <v>1288</v>
      </c>
      <c r="R53" s="203" t="s">
        <v>1273</v>
      </c>
    </row>
    <row r="54" spans="1:18" ht="29">
      <c r="A54" s="203">
        <v>2</v>
      </c>
      <c r="B54" s="203" t="s">
        <v>39</v>
      </c>
      <c r="C54" s="203" t="s">
        <v>19</v>
      </c>
      <c r="D54" s="203" t="s">
        <v>20</v>
      </c>
      <c r="E54" s="203">
        <v>1</v>
      </c>
      <c r="G54" s="203">
        <v>1</v>
      </c>
      <c r="H54" s="203"/>
      <c r="I54" s="203" t="s">
        <v>21</v>
      </c>
      <c r="J54" s="203" t="s">
        <v>22</v>
      </c>
      <c r="K54" s="203" t="s">
        <v>30</v>
      </c>
      <c r="M54" s="203" t="s">
        <v>442</v>
      </c>
      <c r="N54" s="203"/>
      <c r="O54" s="203">
        <v>10.1</v>
      </c>
      <c r="P54" s="203" t="s">
        <v>1283</v>
      </c>
      <c r="Q54" s="203"/>
      <c r="R54" s="320" t="s">
        <v>1284</v>
      </c>
    </row>
    <row r="55" spans="1:18" ht="29">
      <c r="A55" s="203">
        <v>2</v>
      </c>
      <c r="B55" s="203" t="s">
        <v>39</v>
      </c>
      <c r="C55" s="203" t="s">
        <v>19</v>
      </c>
      <c r="D55" s="203" t="s">
        <v>20</v>
      </c>
      <c r="E55" s="203">
        <v>1</v>
      </c>
      <c r="G55" s="203">
        <v>1</v>
      </c>
      <c r="H55" s="203"/>
      <c r="I55" s="203" t="s">
        <v>21</v>
      </c>
      <c r="J55" s="203" t="s">
        <v>22</v>
      </c>
      <c r="K55" s="203" t="s">
        <v>408</v>
      </c>
      <c r="M55" s="203" t="s">
        <v>442</v>
      </c>
      <c r="N55" s="203"/>
      <c r="O55" s="204">
        <v>1.48</v>
      </c>
      <c r="P55" s="203" t="s">
        <v>1285</v>
      </c>
      <c r="Q55" s="203"/>
      <c r="R55" s="320" t="s">
        <v>1284</v>
      </c>
    </row>
    <row r="56" spans="1:18" ht="29">
      <c r="A56" s="203">
        <v>2</v>
      </c>
      <c r="B56" s="203" t="s">
        <v>39</v>
      </c>
      <c r="C56" s="203" t="s">
        <v>19</v>
      </c>
      <c r="D56" s="203" t="s">
        <v>20</v>
      </c>
      <c r="E56" s="203">
        <v>2</v>
      </c>
      <c r="G56" s="203">
        <v>1</v>
      </c>
      <c r="H56" s="203"/>
      <c r="I56" s="203" t="s">
        <v>21</v>
      </c>
      <c r="J56" s="203" t="s">
        <v>61</v>
      </c>
      <c r="K56" s="203" t="s">
        <v>71</v>
      </c>
      <c r="M56" s="203" t="s">
        <v>1271</v>
      </c>
      <c r="N56" s="203"/>
      <c r="O56" s="204">
        <v>7.74</v>
      </c>
      <c r="P56" s="320" t="s">
        <v>1272</v>
      </c>
      <c r="Q56" s="203" t="s">
        <v>1288</v>
      </c>
      <c r="R56" s="203" t="s">
        <v>1273</v>
      </c>
    </row>
    <row r="57" spans="1:18" ht="29">
      <c r="A57" s="203">
        <v>2</v>
      </c>
      <c r="B57" s="203" t="s">
        <v>39</v>
      </c>
      <c r="C57" s="203" t="s">
        <v>19</v>
      </c>
      <c r="D57" s="203" t="s">
        <v>20</v>
      </c>
      <c r="E57" s="203">
        <v>2</v>
      </c>
      <c r="G57" s="203">
        <v>1</v>
      </c>
      <c r="H57" s="203"/>
      <c r="I57" s="203" t="s">
        <v>21</v>
      </c>
      <c r="J57" s="203" t="s">
        <v>61</v>
      </c>
      <c r="K57" s="203" t="s">
        <v>71</v>
      </c>
      <c r="M57" s="203" t="s">
        <v>1275</v>
      </c>
      <c r="N57" s="203"/>
      <c r="O57" s="204">
        <v>5.66</v>
      </c>
      <c r="P57" s="320" t="s">
        <v>1276</v>
      </c>
      <c r="Q57" s="203" t="s">
        <v>1288</v>
      </c>
      <c r="R57" s="203" t="s">
        <v>1273</v>
      </c>
    </row>
    <row r="58" spans="1:18" ht="29">
      <c r="A58" s="203">
        <v>2</v>
      </c>
      <c r="B58" s="203" t="s">
        <v>39</v>
      </c>
      <c r="C58" s="203" t="s">
        <v>19</v>
      </c>
      <c r="D58" s="203" t="s">
        <v>20</v>
      </c>
      <c r="E58" s="203">
        <v>2</v>
      </c>
      <c r="G58" s="203">
        <v>1</v>
      </c>
      <c r="H58" s="203"/>
      <c r="I58" s="203" t="s">
        <v>21</v>
      </c>
      <c r="J58" s="203" t="s">
        <v>61</v>
      </c>
      <c r="K58" s="203" t="s">
        <v>71</v>
      </c>
      <c r="M58" s="203" t="s">
        <v>1277</v>
      </c>
      <c r="N58" s="203"/>
      <c r="O58" s="204">
        <v>1.7</v>
      </c>
      <c r="P58" s="320" t="s">
        <v>1278</v>
      </c>
      <c r="Q58" s="203" t="s">
        <v>1288</v>
      </c>
      <c r="R58" s="203" t="s">
        <v>1273</v>
      </c>
    </row>
    <row r="59" spans="1:18">
      <c r="A59" s="203">
        <v>2</v>
      </c>
      <c r="B59" s="203" t="s">
        <v>39</v>
      </c>
      <c r="C59" s="203" t="s">
        <v>19</v>
      </c>
      <c r="D59" s="203" t="s">
        <v>20</v>
      </c>
      <c r="E59" s="203">
        <v>2</v>
      </c>
      <c r="G59" s="203">
        <v>1</v>
      </c>
      <c r="H59" s="203"/>
      <c r="I59" s="203" t="s">
        <v>21</v>
      </c>
      <c r="J59" s="203" t="s">
        <v>61</v>
      </c>
      <c r="K59" s="203" t="s">
        <v>71</v>
      </c>
      <c r="M59" s="203" t="s">
        <v>1279</v>
      </c>
      <c r="N59" s="203"/>
      <c r="O59" s="204">
        <v>1.54</v>
      </c>
      <c r="P59" s="203" t="s">
        <v>1280</v>
      </c>
      <c r="Q59" s="203" t="s">
        <v>1288</v>
      </c>
      <c r="R59" s="203" t="s">
        <v>1273</v>
      </c>
    </row>
    <row r="60" spans="1:18" ht="29">
      <c r="A60" s="203">
        <v>2</v>
      </c>
      <c r="B60" s="203" t="s">
        <v>39</v>
      </c>
      <c r="C60" s="203" t="s">
        <v>19</v>
      </c>
      <c r="D60" s="203" t="s">
        <v>20</v>
      </c>
      <c r="E60" s="203">
        <v>2</v>
      </c>
      <c r="G60" s="203">
        <v>1</v>
      </c>
      <c r="H60" s="203"/>
      <c r="I60" s="203" t="s">
        <v>21</v>
      </c>
      <c r="J60" s="203" t="s">
        <v>22</v>
      </c>
      <c r="K60" s="203" t="s">
        <v>30</v>
      </c>
      <c r="M60" s="203" t="s">
        <v>442</v>
      </c>
      <c r="N60" s="203"/>
      <c r="O60" s="203">
        <v>10.1</v>
      </c>
      <c r="P60" s="203" t="s">
        <v>1283</v>
      </c>
      <c r="Q60" s="203"/>
      <c r="R60" s="320" t="s">
        <v>1284</v>
      </c>
    </row>
    <row r="61" spans="1:18" ht="29">
      <c r="A61" s="203">
        <v>2</v>
      </c>
      <c r="B61" s="203" t="s">
        <v>39</v>
      </c>
      <c r="C61" s="203" t="s">
        <v>19</v>
      </c>
      <c r="D61" s="203" t="s">
        <v>20</v>
      </c>
      <c r="E61" s="203">
        <v>2</v>
      </c>
      <c r="G61" s="203">
        <v>1</v>
      </c>
      <c r="H61" s="203"/>
      <c r="I61" s="203" t="s">
        <v>21</v>
      </c>
      <c r="J61" s="203" t="s">
        <v>22</v>
      </c>
      <c r="K61" s="203" t="s">
        <v>408</v>
      </c>
      <c r="M61" s="203" t="s">
        <v>442</v>
      </c>
      <c r="N61" s="203"/>
      <c r="O61" s="204">
        <v>1.48</v>
      </c>
      <c r="P61" s="203" t="s">
        <v>1285</v>
      </c>
      <c r="Q61" s="203"/>
      <c r="R61" s="320" t="s">
        <v>1284</v>
      </c>
    </row>
    <row r="62" spans="1:18" ht="29">
      <c r="A62" s="203">
        <v>2</v>
      </c>
      <c r="B62" s="203" t="s">
        <v>39</v>
      </c>
      <c r="C62" s="203" t="s">
        <v>19</v>
      </c>
      <c r="D62" s="203" t="s">
        <v>20</v>
      </c>
      <c r="E62" s="203">
        <v>3</v>
      </c>
      <c r="G62" s="203">
        <v>1</v>
      </c>
      <c r="H62" s="203"/>
      <c r="I62" s="203" t="s">
        <v>21</v>
      </c>
      <c r="J62" s="203" t="s">
        <v>61</v>
      </c>
      <c r="K62" s="203" t="s">
        <v>71</v>
      </c>
      <c r="M62" s="203" t="s">
        <v>1271</v>
      </c>
      <c r="N62" s="203"/>
      <c r="O62" s="204">
        <v>7.74</v>
      </c>
      <c r="P62" s="320" t="s">
        <v>1272</v>
      </c>
      <c r="Q62" s="203" t="s">
        <v>1288</v>
      </c>
      <c r="R62" s="203" t="s">
        <v>1273</v>
      </c>
    </row>
    <row r="63" spans="1:18" ht="29">
      <c r="A63" s="203">
        <v>2</v>
      </c>
      <c r="B63" s="203" t="s">
        <v>39</v>
      </c>
      <c r="C63" s="203" t="s">
        <v>19</v>
      </c>
      <c r="D63" s="203" t="s">
        <v>20</v>
      </c>
      <c r="E63" s="203">
        <v>3</v>
      </c>
      <c r="G63" s="203">
        <v>1</v>
      </c>
      <c r="H63" s="203"/>
      <c r="I63" s="203" t="s">
        <v>21</v>
      </c>
      <c r="J63" s="203" t="s">
        <v>61</v>
      </c>
      <c r="K63" s="203" t="s">
        <v>71</v>
      </c>
      <c r="M63" s="203" t="s">
        <v>1275</v>
      </c>
      <c r="N63" s="203"/>
      <c r="O63" s="204">
        <v>5.66</v>
      </c>
      <c r="P63" s="320" t="s">
        <v>1276</v>
      </c>
      <c r="Q63" s="203" t="s">
        <v>1288</v>
      </c>
      <c r="R63" s="203" t="s">
        <v>1273</v>
      </c>
    </row>
    <row r="64" spans="1:18" ht="29">
      <c r="A64" s="203">
        <v>2</v>
      </c>
      <c r="B64" s="203" t="s">
        <v>39</v>
      </c>
      <c r="C64" s="203" t="s">
        <v>19</v>
      </c>
      <c r="D64" s="203" t="s">
        <v>20</v>
      </c>
      <c r="E64" s="203">
        <v>3</v>
      </c>
      <c r="G64" s="203">
        <v>1</v>
      </c>
      <c r="H64" s="203"/>
      <c r="I64" s="203" t="s">
        <v>21</v>
      </c>
      <c r="J64" s="203" t="s">
        <v>61</v>
      </c>
      <c r="K64" s="203" t="s">
        <v>71</v>
      </c>
      <c r="M64" s="203" t="s">
        <v>1277</v>
      </c>
      <c r="N64" s="203"/>
      <c r="O64" s="204">
        <v>1.7</v>
      </c>
      <c r="P64" s="320" t="s">
        <v>1278</v>
      </c>
      <c r="Q64" s="203" t="s">
        <v>1288</v>
      </c>
      <c r="R64" s="203" t="s">
        <v>1273</v>
      </c>
    </row>
    <row r="65" spans="1:18">
      <c r="A65" s="203">
        <v>2</v>
      </c>
      <c r="B65" s="203" t="s">
        <v>39</v>
      </c>
      <c r="C65" s="203" t="s">
        <v>19</v>
      </c>
      <c r="D65" s="203" t="s">
        <v>20</v>
      </c>
      <c r="E65" s="203">
        <v>3</v>
      </c>
      <c r="G65" s="203">
        <v>1</v>
      </c>
      <c r="H65" s="203"/>
      <c r="I65" s="203" t="s">
        <v>21</v>
      </c>
      <c r="J65" s="203" t="s">
        <v>61</v>
      </c>
      <c r="K65" s="203" t="s">
        <v>71</v>
      </c>
      <c r="M65" s="203" t="s">
        <v>1279</v>
      </c>
      <c r="N65" s="203"/>
      <c r="O65" s="204">
        <v>1.54</v>
      </c>
      <c r="P65" s="203" t="s">
        <v>1280</v>
      </c>
      <c r="Q65" s="203" t="s">
        <v>1288</v>
      </c>
      <c r="R65" s="203" t="s">
        <v>1273</v>
      </c>
    </row>
    <row r="66" spans="1:18" ht="29">
      <c r="A66" s="203">
        <v>2</v>
      </c>
      <c r="B66" s="203" t="s">
        <v>39</v>
      </c>
      <c r="C66" s="203" t="s">
        <v>19</v>
      </c>
      <c r="D66" s="203" t="s">
        <v>20</v>
      </c>
      <c r="E66" s="203">
        <v>3</v>
      </c>
      <c r="G66" s="203">
        <v>1</v>
      </c>
      <c r="H66" s="203"/>
      <c r="I66" s="203" t="s">
        <v>21</v>
      </c>
      <c r="J66" s="203" t="s">
        <v>22</v>
      </c>
      <c r="K66" s="203" t="s">
        <v>30</v>
      </c>
      <c r="M66" s="203" t="s">
        <v>442</v>
      </c>
      <c r="N66" s="203"/>
      <c r="O66" s="203">
        <v>10.1</v>
      </c>
      <c r="P66" s="203" t="s">
        <v>1283</v>
      </c>
      <c r="Q66" s="203"/>
      <c r="R66" s="320" t="s">
        <v>1284</v>
      </c>
    </row>
    <row r="67" spans="1:18" ht="29">
      <c r="A67" s="203">
        <v>2</v>
      </c>
      <c r="B67" s="203" t="s">
        <v>39</v>
      </c>
      <c r="C67" s="203" t="s">
        <v>19</v>
      </c>
      <c r="D67" s="203" t="s">
        <v>20</v>
      </c>
      <c r="E67" s="203">
        <v>3</v>
      </c>
      <c r="G67" s="203">
        <v>1</v>
      </c>
      <c r="H67" s="203"/>
      <c r="I67" s="203" t="s">
        <v>21</v>
      </c>
      <c r="J67" s="203" t="s">
        <v>22</v>
      </c>
      <c r="K67" s="203" t="s">
        <v>408</v>
      </c>
      <c r="M67" s="203" t="s">
        <v>442</v>
      </c>
      <c r="N67" s="203"/>
      <c r="O67" s="204">
        <v>1.48</v>
      </c>
      <c r="P67" s="203" t="s">
        <v>1285</v>
      </c>
      <c r="Q67" s="203"/>
      <c r="R67" s="320" t="s">
        <v>1284</v>
      </c>
    </row>
    <row r="68" spans="1:18" ht="29">
      <c r="A68" s="203">
        <v>2</v>
      </c>
      <c r="B68" s="203" t="s">
        <v>39</v>
      </c>
      <c r="C68" s="203" t="s">
        <v>19</v>
      </c>
      <c r="D68" s="203" t="s">
        <v>20</v>
      </c>
      <c r="E68" s="203">
        <v>4</v>
      </c>
      <c r="G68" s="203">
        <v>1</v>
      </c>
      <c r="H68" s="203"/>
      <c r="I68" s="203" t="s">
        <v>21</v>
      </c>
      <c r="J68" s="203" t="s">
        <v>61</v>
      </c>
      <c r="K68" s="203" t="s">
        <v>71</v>
      </c>
      <c r="M68" s="203" t="s">
        <v>1271</v>
      </c>
      <c r="N68" s="203"/>
      <c r="O68" s="204">
        <v>7.74</v>
      </c>
      <c r="P68" s="320" t="s">
        <v>1272</v>
      </c>
      <c r="Q68" s="203" t="s">
        <v>1288</v>
      </c>
      <c r="R68" s="203" t="s">
        <v>1273</v>
      </c>
    </row>
    <row r="69" spans="1:18" ht="29">
      <c r="A69" s="203">
        <v>2</v>
      </c>
      <c r="B69" s="203" t="s">
        <v>39</v>
      </c>
      <c r="C69" s="203" t="s">
        <v>19</v>
      </c>
      <c r="D69" s="203" t="s">
        <v>20</v>
      </c>
      <c r="E69" s="203">
        <v>4</v>
      </c>
      <c r="G69" s="203">
        <v>1</v>
      </c>
      <c r="H69" s="203"/>
      <c r="I69" s="203" t="s">
        <v>21</v>
      </c>
      <c r="J69" s="203" t="s">
        <v>61</v>
      </c>
      <c r="K69" s="203" t="s">
        <v>71</v>
      </c>
      <c r="M69" s="203" t="s">
        <v>1275</v>
      </c>
      <c r="N69" s="203"/>
      <c r="O69" s="204">
        <v>5.66</v>
      </c>
      <c r="P69" s="320" t="s">
        <v>1276</v>
      </c>
      <c r="Q69" s="203" t="s">
        <v>1288</v>
      </c>
      <c r="R69" s="203" t="s">
        <v>1273</v>
      </c>
    </row>
    <row r="70" spans="1:18" ht="29">
      <c r="A70" s="203">
        <v>2</v>
      </c>
      <c r="B70" s="203" t="s">
        <v>39</v>
      </c>
      <c r="C70" s="203" t="s">
        <v>19</v>
      </c>
      <c r="D70" s="203" t="s">
        <v>20</v>
      </c>
      <c r="E70" s="203">
        <v>4</v>
      </c>
      <c r="G70" s="203">
        <v>1</v>
      </c>
      <c r="H70" s="203"/>
      <c r="I70" s="203" t="s">
        <v>21</v>
      </c>
      <c r="J70" s="203" t="s">
        <v>61</v>
      </c>
      <c r="K70" s="203" t="s">
        <v>71</v>
      </c>
      <c r="M70" s="203" t="s">
        <v>1277</v>
      </c>
      <c r="N70" s="203"/>
      <c r="O70" s="204">
        <v>1.7</v>
      </c>
      <c r="P70" s="320" t="s">
        <v>1278</v>
      </c>
      <c r="Q70" s="203" t="s">
        <v>1288</v>
      </c>
      <c r="R70" s="203" t="s">
        <v>1273</v>
      </c>
    </row>
    <row r="71" spans="1:18">
      <c r="A71" s="203">
        <v>2</v>
      </c>
      <c r="B71" s="203" t="s">
        <v>39</v>
      </c>
      <c r="C71" s="203" t="s">
        <v>19</v>
      </c>
      <c r="D71" s="203" t="s">
        <v>20</v>
      </c>
      <c r="E71" s="203">
        <v>4</v>
      </c>
      <c r="G71" s="203">
        <v>1</v>
      </c>
      <c r="H71" s="203"/>
      <c r="I71" s="203" t="s">
        <v>21</v>
      </c>
      <c r="J71" s="203" t="s">
        <v>61</v>
      </c>
      <c r="K71" s="203" t="s">
        <v>71</v>
      </c>
      <c r="M71" s="203" t="s">
        <v>1279</v>
      </c>
      <c r="N71" s="203"/>
      <c r="O71" s="204">
        <v>1.54</v>
      </c>
      <c r="P71" s="203" t="s">
        <v>1280</v>
      </c>
      <c r="Q71" s="203" t="s">
        <v>1288</v>
      </c>
      <c r="R71" s="203" t="s">
        <v>1273</v>
      </c>
    </row>
    <row r="72" spans="1:18" ht="29">
      <c r="A72" s="203">
        <v>2</v>
      </c>
      <c r="B72" s="203" t="s">
        <v>39</v>
      </c>
      <c r="C72" s="203" t="s">
        <v>19</v>
      </c>
      <c r="D72" s="203" t="s">
        <v>20</v>
      </c>
      <c r="E72" s="203">
        <v>4</v>
      </c>
      <c r="G72" s="203">
        <v>1</v>
      </c>
      <c r="H72" s="203"/>
      <c r="I72" s="203" t="s">
        <v>21</v>
      </c>
      <c r="J72" s="203" t="s">
        <v>22</v>
      </c>
      <c r="K72" s="203" t="s">
        <v>30</v>
      </c>
      <c r="M72" s="203" t="s">
        <v>442</v>
      </c>
      <c r="N72" s="203"/>
      <c r="O72" s="203">
        <v>10.1</v>
      </c>
      <c r="P72" s="203" t="s">
        <v>1283</v>
      </c>
      <c r="Q72" s="203"/>
      <c r="R72" s="320" t="s">
        <v>1284</v>
      </c>
    </row>
    <row r="73" spans="1:18" ht="29">
      <c r="A73" s="203">
        <v>2</v>
      </c>
      <c r="B73" s="203" t="s">
        <v>39</v>
      </c>
      <c r="C73" s="203" t="s">
        <v>19</v>
      </c>
      <c r="D73" s="203" t="s">
        <v>20</v>
      </c>
      <c r="E73" s="203">
        <v>4</v>
      </c>
      <c r="G73" s="203">
        <v>1</v>
      </c>
      <c r="H73" s="203"/>
      <c r="I73" s="203" t="s">
        <v>21</v>
      </c>
      <c r="J73" s="203" t="s">
        <v>22</v>
      </c>
      <c r="K73" s="203" t="s">
        <v>408</v>
      </c>
      <c r="M73" s="203" t="s">
        <v>442</v>
      </c>
      <c r="N73" s="203"/>
      <c r="O73" s="204">
        <v>1.48</v>
      </c>
      <c r="P73" s="203" t="s">
        <v>1285</v>
      </c>
      <c r="Q73" s="203"/>
      <c r="R73" s="320" t="s">
        <v>1284</v>
      </c>
    </row>
    <row r="74" spans="1:18" ht="29">
      <c r="A74" s="203">
        <v>2</v>
      </c>
      <c r="B74" s="203" t="s">
        <v>39</v>
      </c>
      <c r="C74" s="203" t="s">
        <v>19</v>
      </c>
      <c r="D74" s="203" t="s">
        <v>20</v>
      </c>
      <c r="E74" s="203">
        <v>5</v>
      </c>
      <c r="G74" s="203">
        <v>1</v>
      </c>
      <c r="H74" s="203"/>
      <c r="I74" s="203" t="s">
        <v>21</v>
      </c>
      <c r="J74" s="203" t="s">
        <v>61</v>
      </c>
      <c r="K74" s="203" t="s">
        <v>71</v>
      </c>
      <c r="M74" s="203" t="s">
        <v>1271</v>
      </c>
      <c r="N74" s="203"/>
      <c r="O74" s="204">
        <v>7.74</v>
      </c>
      <c r="P74" s="320" t="s">
        <v>1272</v>
      </c>
      <c r="Q74" s="203" t="s">
        <v>1288</v>
      </c>
      <c r="R74" s="203" t="s">
        <v>1273</v>
      </c>
    </row>
    <row r="75" spans="1:18" ht="29">
      <c r="A75" s="203">
        <v>2</v>
      </c>
      <c r="B75" s="203" t="s">
        <v>39</v>
      </c>
      <c r="C75" s="203" t="s">
        <v>19</v>
      </c>
      <c r="D75" s="203" t="s">
        <v>20</v>
      </c>
      <c r="E75" s="203">
        <v>5</v>
      </c>
      <c r="G75" s="203">
        <v>1</v>
      </c>
      <c r="H75" s="203"/>
      <c r="I75" s="203" t="s">
        <v>21</v>
      </c>
      <c r="J75" s="203" t="s">
        <v>61</v>
      </c>
      <c r="K75" s="203" t="s">
        <v>71</v>
      </c>
      <c r="M75" s="203" t="s">
        <v>1275</v>
      </c>
      <c r="N75" s="203"/>
      <c r="O75" s="204">
        <v>5.66</v>
      </c>
      <c r="P75" s="320" t="s">
        <v>1276</v>
      </c>
      <c r="Q75" s="203" t="s">
        <v>1288</v>
      </c>
      <c r="R75" s="203" t="s">
        <v>1273</v>
      </c>
    </row>
    <row r="76" spans="1:18" ht="29">
      <c r="A76" s="203">
        <v>2</v>
      </c>
      <c r="B76" s="203" t="s">
        <v>39</v>
      </c>
      <c r="C76" s="203" t="s">
        <v>19</v>
      </c>
      <c r="D76" s="203" t="s">
        <v>20</v>
      </c>
      <c r="E76" s="203">
        <v>5</v>
      </c>
      <c r="G76" s="203">
        <v>1</v>
      </c>
      <c r="H76" s="203"/>
      <c r="I76" s="203" t="s">
        <v>21</v>
      </c>
      <c r="J76" s="203" t="s">
        <v>61</v>
      </c>
      <c r="K76" s="203" t="s">
        <v>71</v>
      </c>
      <c r="M76" s="203" t="s">
        <v>1277</v>
      </c>
      <c r="N76" s="203"/>
      <c r="O76" s="204">
        <v>1.7</v>
      </c>
      <c r="P76" s="320" t="s">
        <v>1278</v>
      </c>
      <c r="Q76" s="203" t="s">
        <v>1288</v>
      </c>
      <c r="R76" s="203" t="s">
        <v>1273</v>
      </c>
    </row>
    <row r="77" spans="1:18">
      <c r="A77" s="203">
        <v>2</v>
      </c>
      <c r="B77" s="203" t="s">
        <v>39</v>
      </c>
      <c r="C77" s="203" t="s">
        <v>19</v>
      </c>
      <c r="D77" s="203" t="s">
        <v>20</v>
      </c>
      <c r="E77" s="203">
        <v>5</v>
      </c>
      <c r="G77" s="203">
        <v>1</v>
      </c>
      <c r="H77" s="203"/>
      <c r="I77" s="203" t="s">
        <v>21</v>
      </c>
      <c r="J77" s="203" t="s">
        <v>61</v>
      </c>
      <c r="K77" s="203" t="s">
        <v>71</v>
      </c>
      <c r="M77" s="203" t="s">
        <v>1279</v>
      </c>
      <c r="N77" s="203"/>
      <c r="O77" s="204">
        <v>1.54</v>
      </c>
      <c r="P77" s="203" t="s">
        <v>1280</v>
      </c>
      <c r="Q77" s="203" t="s">
        <v>1288</v>
      </c>
      <c r="R77" s="203" t="s">
        <v>1273</v>
      </c>
    </row>
    <row r="78" spans="1:18" ht="29">
      <c r="A78" s="203">
        <v>2</v>
      </c>
      <c r="B78" s="203" t="s">
        <v>39</v>
      </c>
      <c r="C78" s="203" t="s">
        <v>19</v>
      </c>
      <c r="D78" s="203" t="s">
        <v>20</v>
      </c>
      <c r="E78" s="203">
        <v>5</v>
      </c>
      <c r="G78" s="203">
        <v>1</v>
      </c>
      <c r="H78" s="203"/>
      <c r="I78" s="203" t="s">
        <v>21</v>
      </c>
      <c r="J78" s="203" t="s">
        <v>22</v>
      </c>
      <c r="K78" s="203" t="s">
        <v>30</v>
      </c>
      <c r="M78" s="203" t="s">
        <v>442</v>
      </c>
      <c r="N78" s="203"/>
      <c r="O78" s="203">
        <v>10.1</v>
      </c>
      <c r="P78" s="203" t="s">
        <v>1283</v>
      </c>
      <c r="Q78" s="203"/>
      <c r="R78" s="320" t="s">
        <v>1284</v>
      </c>
    </row>
    <row r="79" spans="1:18" ht="29">
      <c r="A79" s="203">
        <v>2</v>
      </c>
      <c r="B79" s="203" t="s">
        <v>39</v>
      </c>
      <c r="C79" s="203" t="s">
        <v>19</v>
      </c>
      <c r="D79" s="203" t="s">
        <v>20</v>
      </c>
      <c r="E79" s="203">
        <v>5</v>
      </c>
      <c r="G79" s="203">
        <v>1</v>
      </c>
      <c r="H79" s="203"/>
      <c r="I79" s="203" t="s">
        <v>21</v>
      </c>
      <c r="J79" s="203" t="s">
        <v>22</v>
      </c>
      <c r="K79" s="203" t="s">
        <v>408</v>
      </c>
      <c r="M79" s="203" t="s">
        <v>442</v>
      </c>
      <c r="N79" s="203"/>
      <c r="O79" s="204">
        <v>1.48</v>
      </c>
      <c r="P79" s="203" t="s">
        <v>1285</v>
      </c>
      <c r="Q79" s="203"/>
      <c r="R79" s="320" t="s">
        <v>1284</v>
      </c>
    </row>
    <row r="80" spans="1:18" ht="29">
      <c r="A80" s="203">
        <v>2</v>
      </c>
      <c r="B80" s="203" t="s">
        <v>39</v>
      </c>
      <c r="C80" s="203" t="s">
        <v>19</v>
      </c>
      <c r="D80" s="203" t="s">
        <v>20</v>
      </c>
      <c r="E80" s="203">
        <v>0</v>
      </c>
      <c r="G80" s="203">
        <v>1</v>
      </c>
      <c r="H80" s="203"/>
      <c r="I80" s="203" t="s">
        <v>21</v>
      </c>
      <c r="J80" s="203" t="s">
        <v>61</v>
      </c>
      <c r="K80" s="203" t="s">
        <v>71</v>
      </c>
      <c r="M80" s="203" t="s">
        <v>1271</v>
      </c>
      <c r="N80" s="203"/>
      <c r="O80" s="204">
        <v>7.74</v>
      </c>
      <c r="P80" s="320" t="s">
        <v>1272</v>
      </c>
      <c r="Q80" s="203" t="s">
        <v>1288</v>
      </c>
      <c r="R80" s="203" t="s">
        <v>1273</v>
      </c>
    </row>
    <row r="81" spans="1:18" ht="29">
      <c r="A81" s="203">
        <v>2</v>
      </c>
      <c r="B81" s="203" t="s">
        <v>39</v>
      </c>
      <c r="C81" s="203" t="s">
        <v>19</v>
      </c>
      <c r="D81" s="203" t="s">
        <v>20</v>
      </c>
      <c r="E81" s="203">
        <v>0</v>
      </c>
      <c r="G81" s="203">
        <v>1</v>
      </c>
      <c r="H81" s="203"/>
      <c r="I81" s="203" t="s">
        <v>21</v>
      </c>
      <c r="J81" s="203" t="s">
        <v>61</v>
      </c>
      <c r="K81" s="203" t="s">
        <v>71</v>
      </c>
      <c r="M81" s="203" t="s">
        <v>1275</v>
      </c>
      <c r="N81" s="203"/>
      <c r="O81" s="204">
        <v>5.66</v>
      </c>
      <c r="P81" s="320" t="s">
        <v>1276</v>
      </c>
      <c r="Q81" s="203" t="s">
        <v>1288</v>
      </c>
      <c r="R81" s="203" t="s">
        <v>1273</v>
      </c>
    </row>
    <row r="82" spans="1:18" ht="29">
      <c r="A82" s="203">
        <v>2</v>
      </c>
      <c r="B82" s="203" t="s">
        <v>39</v>
      </c>
      <c r="C82" s="203" t="s">
        <v>19</v>
      </c>
      <c r="D82" s="203" t="s">
        <v>20</v>
      </c>
      <c r="E82" s="203">
        <v>0</v>
      </c>
      <c r="G82" s="203">
        <v>1</v>
      </c>
      <c r="H82" s="203"/>
      <c r="I82" s="203" t="s">
        <v>21</v>
      </c>
      <c r="J82" s="203" t="s">
        <v>61</v>
      </c>
      <c r="K82" s="203" t="s">
        <v>71</v>
      </c>
      <c r="M82" s="203" t="s">
        <v>1277</v>
      </c>
      <c r="N82" s="203"/>
      <c r="O82" s="204">
        <v>1.7</v>
      </c>
      <c r="P82" s="320" t="s">
        <v>1278</v>
      </c>
      <c r="Q82" s="203" t="s">
        <v>1288</v>
      </c>
      <c r="R82" s="203" t="s">
        <v>1273</v>
      </c>
    </row>
    <row r="83" spans="1:18">
      <c r="A83" s="203">
        <v>2</v>
      </c>
      <c r="B83" s="203" t="s">
        <v>39</v>
      </c>
      <c r="C83" s="203" t="s">
        <v>19</v>
      </c>
      <c r="D83" s="203" t="s">
        <v>20</v>
      </c>
      <c r="E83" s="203">
        <v>0</v>
      </c>
      <c r="G83" s="203">
        <v>1</v>
      </c>
      <c r="H83" s="203"/>
      <c r="I83" s="203" t="s">
        <v>21</v>
      </c>
      <c r="J83" s="203" t="s">
        <v>61</v>
      </c>
      <c r="K83" s="203" t="s">
        <v>71</v>
      </c>
      <c r="M83" s="203" t="s">
        <v>1279</v>
      </c>
      <c r="N83" s="203"/>
      <c r="O83" s="204">
        <v>1.54</v>
      </c>
      <c r="P83" s="203" t="s">
        <v>1280</v>
      </c>
      <c r="Q83" s="203" t="s">
        <v>1288</v>
      </c>
      <c r="R83" s="203" t="s">
        <v>1273</v>
      </c>
    </row>
    <row r="84" spans="1:18" ht="29">
      <c r="A84" s="203">
        <v>2</v>
      </c>
      <c r="B84" s="203" t="s">
        <v>39</v>
      </c>
      <c r="C84" s="203" t="s">
        <v>19</v>
      </c>
      <c r="D84" s="203" t="s">
        <v>20</v>
      </c>
      <c r="E84" s="203">
        <v>0</v>
      </c>
      <c r="G84" s="203">
        <v>1</v>
      </c>
      <c r="H84" s="203"/>
      <c r="I84" s="203" t="s">
        <v>21</v>
      </c>
      <c r="J84" s="203" t="s">
        <v>22</v>
      </c>
      <c r="K84" s="203" t="s">
        <v>30</v>
      </c>
      <c r="M84" s="203" t="s">
        <v>442</v>
      </c>
      <c r="N84" s="203"/>
      <c r="O84" s="203">
        <v>10.1</v>
      </c>
      <c r="P84" s="203" t="s">
        <v>1283</v>
      </c>
      <c r="Q84" s="203"/>
      <c r="R84" s="320" t="s">
        <v>1284</v>
      </c>
    </row>
    <row r="85" spans="1:18" ht="29">
      <c r="A85" s="203">
        <v>2</v>
      </c>
      <c r="B85" s="203" t="s">
        <v>39</v>
      </c>
      <c r="C85" s="203" t="s">
        <v>19</v>
      </c>
      <c r="D85" s="203" t="s">
        <v>20</v>
      </c>
      <c r="E85" s="203">
        <v>0</v>
      </c>
      <c r="G85" s="203">
        <v>1</v>
      </c>
      <c r="H85" s="203"/>
      <c r="I85" s="203" t="s">
        <v>21</v>
      </c>
      <c r="J85" s="203" t="s">
        <v>22</v>
      </c>
      <c r="K85" s="203" t="s">
        <v>408</v>
      </c>
      <c r="M85" s="203" t="s">
        <v>442</v>
      </c>
      <c r="N85" s="203"/>
      <c r="O85" s="204">
        <v>1.48</v>
      </c>
      <c r="P85" s="203" t="s">
        <v>1285</v>
      </c>
      <c r="Q85" s="203"/>
      <c r="R85" s="320" t="s">
        <v>1284</v>
      </c>
    </row>
    <row r="86" spans="1:18" ht="29">
      <c r="A86" s="203">
        <v>2</v>
      </c>
      <c r="B86" s="203" t="s">
        <v>39</v>
      </c>
      <c r="C86" s="203" t="s">
        <v>19</v>
      </c>
      <c r="D86" s="203" t="s">
        <v>20</v>
      </c>
      <c r="E86" s="203"/>
      <c r="G86" s="203">
        <v>1</v>
      </c>
      <c r="H86" s="203"/>
      <c r="I86" s="203" t="s">
        <v>21</v>
      </c>
      <c r="J86" s="203" t="s">
        <v>61</v>
      </c>
      <c r="K86" s="203" t="s">
        <v>71</v>
      </c>
      <c r="M86" s="203" t="s">
        <v>1271</v>
      </c>
      <c r="N86" s="203"/>
      <c r="O86" s="204">
        <v>7.74</v>
      </c>
      <c r="P86" s="320" t="s">
        <v>1272</v>
      </c>
      <c r="Q86" s="203" t="s">
        <v>1288</v>
      </c>
      <c r="R86" s="203" t="s">
        <v>1273</v>
      </c>
    </row>
    <row r="87" spans="1:18" ht="29">
      <c r="A87" s="203">
        <v>2</v>
      </c>
      <c r="B87" s="203" t="s">
        <v>39</v>
      </c>
      <c r="C87" s="203" t="s">
        <v>19</v>
      </c>
      <c r="D87" s="203" t="s">
        <v>20</v>
      </c>
      <c r="E87" s="203"/>
      <c r="G87" s="203">
        <v>1</v>
      </c>
      <c r="H87" s="203"/>
      <c r="I87" s="203" t="s">
        <v>21</v>
      </c>
      <c r="J87" s="203" t="s">
        <v>61</v>
      </c>
      <c r="K87" s="203" t="s">
        <v>71</v>
      </c>
      <c r="M87" s="203" t="s">
        <v>1275</v>
      </c>
      <c r="N87" s="203"/>
      <c r="O87" s="204">
        <v>5.66</v>
      </c>
      <c r="P87" s="320" t="s">
        <v>1276</v>
      </c>
      <c r="Q87" s="203" t="s">
        <v>1288</v>
      </c>
      <c r="R87" s="203" t="s">
        <v>1273</v>
      </c>
    </row>
    <row r="88" spans="1:18" ht="29">
      <c r="A88" s="203">
        <v>2</v>
      </c>
      <c r="B88" s="203" t="s">
        <v>39</v>
      </c>
      <c r="C88" s="203" t="s">
        <v>19</v>
      </c>
      <c r="D88" s="203" t="s">
        <v>20</v>
      </c>
      <c r="E88" s="203"/>
      <c r="G88" s="203">
        <v>1</v>
      </c>
      <c r="H88" s="203"/>
      <c r="I88" s="203" t="s">
        <v>21</v>
      </c>
      <c r="J88" s="203" t="s">
        <v>61</v>
      </c>
      <c r="K88" s="203" t="s">
        <v>71</v>
      </c>
      <c r="M88" s="203" t="s">
        <v>1277</v>
      </c>
      <c r="N88" s="203"/>
      <c r="O88" s="204">
        <v>1.7</v>
      </c>
      <c r="P88" s="320" t="s">
        <v>1278</v>
      </c>
      <c r="Q88" s="203" t="s">
        <v>1288</v>
      </c>
      <c r="R88" s="203" t="s">
        <v>1273</v>
      </c>
    </row>
    <row r="89" spans="1:18">
      <c r="A89" s="203">
        <v>2</v>
      </c>
      <c r="B89" s="203" t="s">
        <v>39</v>
      </c>
      <c r="C89" s="203" t="s">
        <v>19</v>
      </c>
      <c r="D89" s="203" t="s">
        <v>20</v>
      </c>
      <c r="E89" s="203"/>
      <c r="G89" s="203">
        <v>1</v>
      </c>
      <c r="H89" s="203"/>
      <c r="I89" s="203" t="s">
        <v>21</v>
      </c>
      <c r="J89" s="203" t="s">
        <v>61</v>
      </c>
      <c r="K89" s="203" t="s">
        <v>71</v>
      </c>
      <c r="M89" s="203" t="s">
        <v>1279</v>
      </c>
      <c r="N89" s="203"/>
      <c r="O89" s="204">
        <v>1.54</v>
      </c>
      <c r="P89" s="203" t="s">
        <v>1280</v>
      </c>
      <c r="Q89" s="203" t="s">
        <v>1288</v>
      </c>
      <c r="R89" s="203" t="s">
        <v>1273</v>
      </c>
    </row>
    <row r="90" spans="1:18" ht="29">
      <c r="A90" s="203">
        <v>2</v>
      </c>
      <c r="B90" s="203" t="s">
        <v>39</v>
      </c>
      <c r="C90" s="203" t="s">
        <v>19</v>
      </c>
      <c r="D90" s="203" t="s">
        <v>20</v>
      </c>
      <c r="E90" s="203"/>
      <c r="G90" s="203">
        <v>1</v>
      </c>
      <c r="H90" s="203"/>
      <c r="I90" s="203" t="s">
        <v>21</v>
      </c>
      <c r="J90" s="203" t="s">
        <v>22</v>
      </c>
      <c r="K90" s="203" t="s">
        <v>30</v>
      </c>
      <c r="M90" s="203" t="s">
        <v>442</v>
      </c>
      <c r="N90" s="203"/>
      <c r="O90" s="203">
        <v>10.1</v>
      </c>
      <c r="P90" s="203" t="s">
        <v>1283</v>
      </c>
      <c r="Q90" s="203"/>
      <c r="R90" s="320" t="s">
        <v>1284</v>
      </c>
    </row>
    <row r="91" spans="1:18" ht="29">
      <c r="A91" s="203">
        <v>2</v>
      </c>
      <c r="B91" s="203" t="s">
        <v>39</v>
      </c>
      <c r="C91" s="203" t="s">
        <v>19</v>
      </c>
      <c r="D91" s="203" t="s">
        <v>20</v>
      </c>
      <c r="E91" s="203"/>
      <c r="G91" s="203">
        <v>1</v>
      </c>
      <c r="H91" s="203"/>
      <c r="I91" s="203" t="s">
        <v>21</v>
      </c>
      <c r="J91" s="203" t="s">
        <v>22</v>
      </c>
      <c r="K91" s="203" t="s">
        <v>408</v>
      </c>
      <c r="M91" s="203" t="s">
        <v>442</v>
      </c>
      <c r="N91" s="203"/>
      <c r="O91" s="204">
        <v>1.48</v>
      </c>
      <c r="P91" s="203" t="s">
        <v>1285</v>
      </c>
      <c r="Q91" s="203"/>
      <c r="R91" s="320" t="s">
        <v>1284</v>
      </c>
    </row>
    <row r="92" spans="1:18" ht="29">
      <c r="A92" s="203">
        <v>2</v>
      </c>
      <c r="B92" s="203" t="s">
        <v>39</v>
      </c>
      <c r="C92" s="203" t="s">
        <v>35</v>
      </c>
      <c r="D92" s="203" t="s">
        <v>20</v>
      </c>
      <c r="E92" s="203">
        <v>2</v>
      </c>
      <c r="G92" s="203">
        <v>1</v>
      </c>
      <c r="H92" s="203"/>
      <c r="I92" s="203" t="s">
        <v>21</v>
      </c>
      <c r="J92" s="203" t="s">
        <v>61</v>
      </c>
      <c r="K92" s="203" t="s">
        <v>71</v>
      </c>
      <c r="M92" s="203" t="s">
        <v>1271</v>
      </c>
      <c r="N92" s="203"/>
      <c r="O92" s="204">
        <v>3.51</v>
      </c>
      <c r="P92" s="320" t="s">
        <v>1272</v>
      </c>
      <c r="Q92" s="203" t="s">
        <v>1274</v>
      </c>
      <c r="R92" s="203" t="s">
        <v>1273</v>
      </c>
    </row>
    <row r="93" spans="1:18" ht="29">
      <c r="A93" s="203">
        <v>2</v>
      </c>
      <c r="B93" s="203" t="s">
        <v>39</v>
      </c>
      <c r="C93" s="203" t="s">
        <v>35</v>
      </c>
      <c r="D93" s="203" t="s">
        <v>20</v>
      </c>
      <c r="E93" s="203">
        <v>2</v>
      </c>
      <c r="G93" s="203">
        <v>1</v>
      </c>
      <c r="H93" s="203"/>
      <c r="I93" s="203" t="s">
        <v>21</v>
      </c>
      <c r="J93" s="203" t="s">
        <v>61</v>
      </c>
      <c r="K93" s="203" t="s">
        <v>71</v>
      </c>
      <c r="M93" s="203" t="s">
        <v>1275</v>
      </c>
      <c r="N93" s="203"/>
      <c r="O93" s="204">
        <v>2.57</v>
      </c>
      <c r="P93" s="320" t="s">
        <v>1276</v>
      </c>
      <c r="Q93" s="203" t="s">
        <v>1274</v>
      </c>
      <c r="R93" s="203" t="s">
        <v>1273</v>
      </c>
    </row>
    <row r="94" spans="1:18" ht="29">
      <c r="A94" s="203">
        <v>2</v>
      </c>
      <c r="B94" s="203" t="s">
        <v>39</v>
      </c>
      <c r="C94" s="203" t="s">
        <v>35</v>
      </c>
      <c r="D94" s="203" t="s">
        <v>20</v>
      </c>
      <c r="E94" s="203">
        <v>2</v>
      </c>
      <c r="G94" s="203">
        <v>1</v>
      </c>
      <c r="H94" s="203"/>
      <c r="I94" s="203" t="s">
        <v>21</v>
      </c>
      <c r="J94" s="203" t="s">
        <v>61</v>
      </c>
      <c r="K94" s="203" t="s">
        <v>71</v>
      </c>
      <c r="M94" s="203" t="s">
        <v>1277</v>
      </c>
      <c r="N94" s="203"/>
      <c r="O94" s="204">
        <v>0.77</v>
      </c>
      <c r="P94" s="320" t="s">
        <v>1278</v>
      </c>
      <c r="Q94" s="203" t="s">
        <v>1274</v>
      </c>
      <c r="R94" s="203" t="s">
        <v>1273</v>
      </c>
    </row>
    <row r="95" spans="1:18">
      <c r="A95" s="203">
        <v>2</v>
      </c>
      <c r="B95" s="203" t="s">
        <v>39</v>
      </c>
      <c r="C95" s="203" t="s">
        <v>35</v>
      </c>
      <c r="D95" s="203" t="s">
        <v>20</v>
      </c>
      <c r="E95" s="203">
        <v>2</v>
      </c>
      <c r="G95" s="203">
        <v>1</v>
      </c>
      <c r="H95" s="203"/>
      <c r="I95" s="203" t="s">
        <v>21</v>
      </c>
      <c r="J95" s="203" t="s">
        <v>61</v>
      </c>
      <c r="K95" s="203" t="s">
        <v>71</v>
      </c>
      <c r="M95" s="203" t="s">
        <v>1279</v>
      </c>
      <c r="N95" s="203"/>
      <c r="O95" s="204">
        <v>0.7</v>
      </c>
      <c r="P95" s="203" t="s">
        <v>1280</v>
      </c>
      <c r="Q95" s="203" t="s">
        <v>1274</v>
      </c>
      <c r="R95" s="203" t="s">
        <v>1273</v>
      </c>
    </row>
    <row r="96" spans="1:18" ht="29">
      <c r="A96" s="203">
        <v>2</v>
      </c>
      <c r="B96" s="203" t="s">
        <v>39</v>
      </c>
      <c r="C96" s="203" t="s">
        <v>35</v>
      </c>
      <c r="D96" s="203" t="s">
        <v>20</v>
      </c>
      <c r="E96" s="203">
        <v>2</v>
      </c>
      <c r="G96" s="203">
        <v>1</v>
      </c>
      <c r="H96" s="203"/>
      <c r="I96" s="203" t="s">
        <v>21</v>
      </c>
      <c r="J96" s="203" t="s">
        <v>22</v>
      </c>
      <c r="K96" s="203" t="s">
        <v>30</v>
      </c>
      <c r="M96" s="203" t="s">
        <v>442</v>
      </c>
      <c r="N96" s="203"/>
      <c r="O96" s="204">
        <v>4.59</v>
      </c>
      <c r="P96" s="203" t="s">
        <v>1283</v>
      </c>
      <c r="Q96" s="203"/>
      <c r="R96" s="320" t="s">
        <v>1284</v>
      </c>
    </row>
    <row r="97" spans="1:18" ht="29">
      <c r="A97" s="203">
        <v>2</v>
      </c>
      <c r="B97" s="203" t="s">
        <v>39</v>
      </c>
      <c r="C97" s="203" t="s">
        <v>35</v>
      </c>
      <c r="D97" s="203" t="s">
        <v>20</v>
      </c>
      <c r="E97" s="203">
        <v>2</v>
      </c>
      <c r="G97" s="203">
        <v>1</v>
      </c>
      <c r="H97" s="203"/>
      <c r="I97" s="203" t="s">
        <v>21</v>
      </c>
      <c r="J97" s="203" t="s">
        <v>22</v>
      </c>
      <c r="K97" s="203" t="s">
        <v>408</v>
      </c>
      <c r="M97" s="203" t="s">
        <v>442</v>
      </c>
      <c r="N97" s="203"/>
      <c r="O97" s="204">
        <v>0.67</v>
      </c>
      <c r="P97" s="203" t="s">
        <v>1285</v>
      </c>
      <c r="Q97" s="203"/>
      <c r="R97" s="320" t="s">
        <v>1284</v>
      </c>
    </row>
    <row r="98" spans="1:18" ht="29">
      <c r="A98" s="203">
        <v>2</v>
      </c>
      <c r="B98" s="203" t="s">
        <v>39</v>
      </c>
      <c r="C98" s="203" t="s">
        <v>35</v>
      </c>
      <c r="D98" s="203" t="s">
        <v>20</v>
      </c>
      <c r="E98" s="203">
        <v>3</v>
      </c>
      <c r="G98" s="203">
        <v>1</v>
      </c>
      <c r="H98" s="203"/>
      <c r="I98" s="203" t="s">
        <v>21</v>
      </c>
      <c r="J98" s="203" t="s">
        <v>61</v>
      </c>
      <c r="K98" s="203" t="s">
        <v>71</v>
      </c>
      <c r="M98" s="203" t="s">
        <v>1271</v>
      </c>
      <c r="N98" s="203"/>
      <c r="O98" s="204">
        <v>1.2</v>
      </c>
      <c r="P98" s="320" t="s">
        <v>1272</v>
      </c>
      <c r="Q98" s="203" t="s">
        <v>1286</v>
      </c>
      <c r="R98" s="203" t="s">
        <v>1273</v>
      </c>
    </row>
    <row r="99" spans="1:18" ht="29">
      <c r="A99" s="203">
        <v>2</v>
      </c>
      <c r="B99" s="203" t="s">
        <v>39</v>
      </c>
      <c r="C99" s="203" t="s">
        <v>35</v>
      </c>
      <c r="D99" s="203" t="s">
        <v>20</v>
      </c>
      <c r="E99" s="203">
        <v>3</v>
      </c>
      <c r="G99" s="203">
        <v>1</v>
      </c>
      <c r="H99" s="203"/>
      <c r="I99" s="203" t="s">
        <v>21</v>
      </c>
      <c r="J99" s="203" t="s">
        <v>61</v>
      </c>
      <c r="K99" s="203" t="s">
        <v>71</v>
      </c>
      <c r="M99" s="203" t="s">
        <v>1275</v>
      </c>
      <c r="N99" s="203"/>
      <c r="O99" s="204">
        <v>0.88</v>
      </c>
      <c r="P99" s="320" t="s">
        <v>1276</v>
      </c>
      <c r="Q99" s="203" t="s">
        <v>1286</v>
      </c>
      <c r="R99" s="203" t="s">
        <v>1273</v>
      </c>
    </row>
    <row r="100" spans="1:18" ht="29">
      <c r="A100" s="203">
        <v>2</v>
      </c>
      <c r="B100" s="203" t="s">
        <v>39</v>
      </c>
      <c r="C100" s="203" t="s">
        <v>35</v>
      </c>
      <c r="D100" s="203" t="s">
        <v>20</v>
      </c>
      <c r="E100" s="203">
        <v>3</v>
      </c>
      <c r="G100" s="203">
        <v>1</v>
      </c>
      <c r="H100" s="203"/>
      <c r="I100" s="203" t="s">
        <v>21</v>
      </c>
      <c r="J100" s="203" t="s">
        <v>61</v>
      </c>
      <c r="K100" s="203" t="s">
        <v>71</v>
      </c>
      <c r="M100" s="203" t="s">
        <v>1277</v>
      </c>
      <c r="N100" s="203"/>
      <c r="O100" s="204">
        <v>0.26</v>
      </c>
      <c r="P100" s="320" t="s">
        <v>1278</v>
      </c>
      <c r="Q100" s="203" t="s">
        <v>1286</v>
      </c>
      <c r="R100" s="203" t="s">
        <v>1273</v>
      </c>
    </row>
    <row r="101" spans="1:18">
      <c r="A101" s="203">
        <v>2</v>
      </c>
      <c r="B101" s="203" t="s">
        <v>39</v>
      </c>
      <c r="C101" s="203" t="s">
        <v>35</v>
      </c>
      <c r="D101" s="203" t="s">
        <v>20</v>
      </c>
      <c r="E101" s="203">
        <v>3</v>
      </c>
      <c r="G101" s="203">
        <v>1</v>
      </c>
      <c r="H101" s="203"/>
      <c r="I101" s="203" t="s">
        <v>21</v>
      </c>
      <c r="J101" s="203" t="s">
        <v>61</v>
      </c>
      <c r="K101" s="203" t="s">
        <v>71</v>
      </c>
      <c r="M101" s="203" t="s">
        <v>1279</v>
      </c>
      <c r="N101" s="203"/>
      <c r="O101" s="204">
        <v>0.24</v>
      </c>
      <c r="P101" s="203" t="s">
        <v>1280</v>
      </c>
      <c r="Q101" s="203" t="s">
        <v>1286</v>
      </c>
      <c r="R101" s="203" t="s">
        <v>1273</v>
      </c>
    </row>
    <row r="102" spans="1:18" ht="29">
      <c r="A102" s="203">
        <v>2</v>
      </c>
      <c r="B102" s="203" t="s">
        <v>39</v>
      </c>
      <c r="C102" s="203" t="s">
        <v>35</v>
      </c>
      <c r="D102" s="203" t="s">
        <v>20</v>
      </c>
      <c r="E102" s="203">
        <v>3</v>
      </c>
      <c r="G102" s="203">
        <v>1</v>
      </c>
      <c r="H102" s="203"/>
      <c r="I102" s="203" t="s">
        <v>21</v>
      </c>
      <c r="J102" s="203" t="s">
        <v>22</v>
      </c>
      <c r="K102" s="203" t="s">
        <v>30</v>
      </c>
      <c r="M102" s="203" t="s">
        <v>442</v>
      </c>
      <c r="N102" s="203"/>
      <c r="O102" s="321">
        <v>3.4542000000000002</v>
      </c>
      <c r="P102" s="203" t="s">
        <v>1283</v>
      </c>
      <c r="Q102" s="203"/>
      <c r="R102" s="320" t="s">
        <v>1284</v>
      </c>
    </row>
    <row r="103" spans="1:18" ht="29">
      <c r="A103" s="203">
        <v>2</v>
      </c>
      <c r="B103" s="203" t="s">
        <v>39</v>
      </c>
      <c r="C103" s="203" t="s">
        <v>35</v>
      </c>
      <c r="D103" s="203" t="s">
        <v>20</v>
      </c>
      <c r="E103" s="203">
        <v>3</v>
      </c>
      <c r="G103" s="203">
        <v>1</v>
      </c>
      <c r="H103" s="203"/>
      <c r="I103" s="203" t="s">
        <v>21</v>
      </c>
      <c r="J103" s="203" t="s">
        <v>22</v>
      </c>
      <c r="K103" s="203" t="s">
        <v>408</v>
      </c>
      <c r="M103" s="203" t="s">
        <v>442</v>
      </c>
      <c r="N103" s="203"/>
      <c r="O103" s="321">
        <v>0.50616000000000005</v>
      </c>
      <c r="P103" s="203" t="s">
        <v>1285</v>
      </c>
      <c r="Q103" s="203"/>
      <c r="R103" s="320" t="s">
        <v>1284</v>
      </c>
    </row>
    <row r="104" spans="1:18" ht="29">
      <c r="A104" s="203">
        <v>2</v>
      </c>
      <c r="B104" s="203" t="s">
        <v>39</v>
      </c>
      <c r="C104" s="203" t="s">
        <v>35</v>
      </c>
      <c r="D104" s="203" t="s">
        <v>20</v>
      </c>
      <c r="E104" s="203">
        <v>4</v>
      </c>
      <c r="G104" s="203">
        <v>1</v>
      </c>
      <c r="H104" s="203"/>
      <c r="I104" s="203" t="s">
        <v>21</v>
      </c>
      <c r="J104" s="203" t="s">
        <v>61</v>
      </c>
      <c r="K104" s="203" t="s">
        <v>71</v>
      </c>
      <c r="M104" s="203" t="s">
        <v>1271</v>
      </c>
      <c r="N104" s="203"/>
      <c r="O104" s="204">
        <v>1.39</v>
      </c>
      <c r="P104" s="320" t="s">
        <v>1272</v>
      </c>
      <c r="Q104" s="203" t="s">
        <v>1287</v>
      </c>
      <c r="R104" s="203" t="s">
        <v>1273</v>
      </c>
    </row>
    <row r="105" spans="1:18" ht="29">
      <c r="A105" s="203">
        <v>2</v>
      </c>
      <c r="B105" s="203" t="s">
        <v>39</v>
      </c>
      <c r="C105" s="203" t="s">
        <v>35</v>
      </c>
      <c r="D105" s="203" t="s">
        <v>20</v>
      </c>
      <c r="E105" s="203">
        <v>4</v>
      </c>
      <c r="G105" s="203">
        <v>1</v>
      </c>
      <c r="H105" s="203"/>
      <c r="I105" s="203" t="s">
        <v>21</v>
      </c>
      <c r="J105" s="203" t="s">
        <v>61</v>
      </c>
      <c r="K105" s="203" t="s">
        <v>71</v>
      </c>
      <c r="M105" s="203" t="s">
        <v>1275</v>
      </c>
      <c r="N105" s="203"/>
      <c r="O105" s="204">
        <v>1.02</v>
      </c>
      <c r="P105" s="320" t="s">
        <v>1276</v>
      </c>
      <c r="Q105" s="203" t="s">
        <v>1287</v>
      </c>
      <c r="R105" s="203" t="s">
        <v>1273</v>
      </c>
    </row>
    <row r="106" spans="1:18" ht="29">
      <c r="A106" s="203">
        <v>2</v>
      </c>
      <c r="B106" s="203" t="s">
        <v>39</v>
      </c>
      <c r="C106" s="203" t="s">
        <v>35</v>
      </c>
      <c r="D106" s="203" t="s">
        <v>20</v>
      </c>
      <c r="E106" s="203">
        <v>4</v>
      </c>
      <c r="G106" s="203">
        <v>1</v>
      </c>
      <c r="H106" s="203"/>
      <c r="I106" s="203" t="s">
        <v>21</v>
      </c>
      <c r="J106" s="203" t="s">
        <v>61</v>
      </c>
      <c r="K106" s="203" t="s">
        <v>71</v>
      </c>
      <c r="M106" s="203" t="s">
        <v>1277</v>
      </c>
      <c r="N106" s="203"/>
      <c r="O106" s="204">
        <v>0.31</v>
      </c>
      <c r="P106" s="320" t="s">
        <v>1278</v>
      </c>
      <c r="Q106" s="203" t="s">
        <v>1287</v>
      </c>
      <c r="R106" s="203" t="s">
        <v>1273</v>
      </c>
    </row>
    <row r="107" spans="1:18">
      <c r="A107" s="203">
        <v>2</v>
      </c>
      <c r="B107" s="203" t="s">
        <v>39</v>
      </c>
      <c r="C107" s="203" t="s">
        <v>35</v>
      </c>
      <c r="D107" s="203" t="s">
        <v>20</v>
      </c>
      <c r="E107" s="203">
        <v>4</v>
      </c>
      <c r="G107" s="203">
        <v>1</v>
      </c>
      <c r="H107" s="203"/>
      <c r="I107" s="203" t="s">
        <v>21</v>
      </c>
      <c r="J107" s="203" t="s">
        <v>61</v>
      </c>
      <c r="K107" s="203" t="s">
        <v>71</v>
      </c>
      <c r="M107" s="203" t="s">
        <v>1279</v>
      </c>
      <c r="N107" s="203"/>
      <c r="O107" s="204">
        <v>0.28000000000000003</v>
      </c>
      <c r="P107" s="203" t="s">
        <v>1280</v>
      </c>
      <c r="Q107" s="203" t="s">
        <v>1287</v>
      </c>
      <c r="R107" s="203" t="s">
        <v>1273</v>
      </c>
    </row>
    <row r="108" spans="1:18" ht="29">
      <c r="A108" s="203">
        <v>2</v>
      </c>
      <c r="B108" s="203" t="s">
        <v>39</v>
      </c>
      <c r="C108" s="203" t="s">
        <v>35</v>
      </c>
      <c r="D108" s="203" t="s">
        <v>20</v>
      </c>
      <c r="E108" s="203">
        <v>4</v>
      </c>
      <c r="G108" s="203">
        <v>1</v>
      </c>
      <c r="H108" s="203"/>
      <c r="I108" s="203" t="s">
        <v>21</v>
      </c>
      <c r="J108" s="203" t="s">
        <v>22</v>
      </c>
      <c r="K108" s="203" t="s">
        <v>30</v>
      </c>
      <c r="M108" s="203" t="s">
        <v>442</v>
      </c>
      <c r="N108" s="203"/>
      <c r="O108" s="321">
        <v>1.8180000000000001</v>
      </c>
      <c r="P108" s="203" t="s">
        <v>1283</v>
      </c>
      <c r="Q108" s="203"/>
      <c r="R108" s="320" t="s">
        <v>1284</v>
      </c>
    </row>
    <row r="109" spans="1:18" ht="29">
      <c r="A109" s="203">
        <v>2</v>
      </c>
      <c r="B109" s="203" t="s">
        <v>39</v>
      </c>
      <c r="C109" s="203" t="s">
        <v>35</v>
      </c>
      <c r="D109" s="203" t="s">
        <v>20</v>
      </c>
      <c r="E109" s="203">
        <v>4</v>
      </c>
      <c r="G109" s="203">
        <v>1</v>
      </c>
      <c r="H109" s="203"/>
      <c r="I109" s="203" t="s">
        <v>21</v>
      </c>
      <c r="J109" s="203" t="s">
        <v>22</v>
      </c>
      <c r="K109" s="203" t="s">
        <v>408</v>
      </c>
      <c r="M109" s="203" t="s">
        <v>442</v>
      </c>
      <c r="N109" s="203"/>
      <c r="O109" s="321">
        <v>0.26640000000000003</v>
      </c>
      <c r="P109" s="203" t="s">
        <v>1285</v>
      </c>
      <c r="Q109" s="203"/>
      <c r="R109" s="320" t="s">
        <v>1284</v>
      </c>
    </row>
    <row r="110" spans="1:18" ht="29">
      <c r="A110" s="203">
        <v>2</v>
      </c>
      <c r="B110" s="203" t="s">
        <v>39</v>
      </c>
      <c r="C110" s="203" t="s">
        <v>35</v>
      </c>
      <c r="D110" s="203" t="s">
        <v>20</v>
      </c>
      <c r="E110" s="203">
        <v>5</v>
      </c>
      <c r="G110" s="203">
        <v>1</v>
      </c>
      <c r="H110" s="203"/>
      <c r="I110" s="203" t="s">
        <v>21</v>
      </c>
      <c r="J110" s="203" t="s">
        <v>61</v>
      </c>
      <c r="K110" s="203" t="s">
        <v>71</v>
      </c>
      <c r="M110" s="203" t="s">
        <v>1271</v>
      </c>
      <c r="N110" s="203"/>
      <c r="O110" s="204">
        <v>0.48</v>
      </c>
      <c r="P110" s="320" t="s">
        <v>1272</v>
      </c>
      <c r="Q110" s="203" t="s">
        <v>1288</v>
      </c>
      <c r="R110" s="203" t="s">
        <v>1273</v>
      </c>
    </row>
    <row r="111" spans="1:18" ht="29">
      <c r="A111" s="203">
        <v>2</v>
      </c>
      <c r="B111" s="203" t="s">
        <v>39</v>
      </c>
      <c r="C111" s="203" t="s">
        <v>35</v>
      </c>
      <c r="D111" s="203" t="s">
        <v>20</v>
      </c>
      <c r="E111" s="203">
        <v>5</v>
      </c>
      <c r="G111" s="203">
        <v>1</v>
      </c>
      <c r="H111" s="203"/>
      <c r="I111" s="203" t="s">
        <v>21</v>
      </c>
      <c r="J111" s="203" t="s">
        <v>61</v>
      </c>
      <c r="K111" s="203" t="s">
        <v>71</v>
      </c>
      <c r="M111" s="203" t="s">
        <v>1275</v>
      </c>
      <c r="N111" s="203"/>
      <c r="O111" s="204">
        <v>0.35</v>
      </c>
      <c r="P111" s="320" t="s">
        <v>1276</v>
      </c>
      <c r="Q111" s="203" t="s">
        <v>1288</v>
      </c>
      <c r="R111" s="203" t="s">
        <v>1273</v>
      </c>
    </row>
    <row r="112" spans="1:18" ht="29">
      <c r="A112" s="203">
        <v>2</v>
      </c>
      <c r="B112" s="203" t="s">
        <v>39</v>
      </c>
      <c r="C112" s="203" t="s">
        <v>35</v>
      </c>
      <c r="D112" s="203" t="s">
        <v>20</v>
      </c>
      <c r="E112" s="203">
        <v>5</v>
      </c>
      <c r="G112" s="203">
        <v>1</v>
      </c>
      <c r="H112" s="203"/>
      <c r="I112" s="203" t="s">
        <v>21</v>
      </c>
      <c r="J112" s="203" t="s">
        <v>61</v>
      </c>
      <c r="K112" s="203" t="s">
        <v>71</v>
      </c>
      <c r="M112" s="203" t="s">
        <v>1277</v>
      </c>
      <c r="N112" s="203"/>
      <c r="O112" s="204">
        <v>0.11</v>
      </c>
      <c r="P112" s="320" t="s">
        <v>1278</v>
      </c>
      <c r="Q112" s="203" t="s">
        <v>1288</v>
      </c>
      <c r="R112" s="203" t="s">
        <v>1273</v>
      </c>
    </row>
    <row r="113" spans="1:18">
      <c r="A113" s="203">
        <v>2</v>
      </c>
      <c r="B113" s="203" t="s">
        <v>39</v>
      </c>
      <c r="C113" s="203" t="s">
        <v>35</v>
      </c>
      <c r="D113" s="203" t="s">
        <v>20</v>
      </c>
      <c r="E113" s="203">
        <v>5</v>
      </c>
      <c r="G113" s="203">
        <v>1</v>
      </c>
      <c r="H113" s="203"/>
      <c r="I113" s="203" t="s">
        <v>21</v>
      </c>
      <c r="J113" s="203" t="s">
        <v>61</v>
      </c>
      <c r="K113" s="203" t="s">
        <v>71</v>
      </c>
      <c r="M113" s="203" t="s">
        <v>1279</v>
      </c>
      <c r="N113" s="203"/>
      <c r="O113" s="204">
        <v>0.1</v>
      </c>
      <c r="P113" s="203" t="s">
        <v>1280</v>
      </c>
      <c r="Q113" s="203" t="s">
        <v>1288</v>
      </c>
      <c r="R113" s="203" t="s">
        <v>1273</v>
      </c>
    </row>
    <row r="114" spans="1:18" ht="29">
      <c r="A114" s="203">
        <v>2</v>
      </c>
      <c r="B114" s="203" t="s">
        <v>39</v>
      </c>
      <c r="C114" s="203" t="s">
        <v>35</v>
      </c>
      <c r="D114" s="203" t="s">
        <v>20</v>
      </c>
      <c r="E114" s="203">
        <v>5</v>
      </c>
      <c r="G114" s="203">
        <v>1</v>
      </c>
      <c r="H114" s="203"/>
      <c r="I114" s="203" t="s">
        <v>21</v>
      </c>
      <c r="J114" s="203" t="s">
        <v>22</v>
      </c>
      <c r="K114" s="203" t="s">
        <v>30</v>
      </c>
      <c r="M114" s="203" t="s">
        <v>442</v>
      </c>
      <c r="N114" s="203"/>
      <c r="O114" s="321">
        <v>0.62619999999999998</v>
      </c>
      <c r="P114" s="203" t="s">
        <v>1283</v>
      </c>
      <c r="Q114" s="203"/>
      <c r="R114" s="320" t="s">
        <v>1284</v>
      </c>
    </row>
    <row r="115" spans="1:18" ht="29">
      <c r="A115" s="203">
        <v>2</v>
      </c>
      <c r="B115" s="203" t="s">
        <v>39</v>
      </c>
      <c r="C115" s="203" t="s">
        <v>35</v>
      </c>
      <c r="D115" s="203" t="s">
        <v>20</v>
      </c>
      <c r="E115" s="203">
        <v>5</v>
      </c>
      <c r="G115" s="203">
        <v>1</v>
      </c>
      <c r="H115" s="203"/>
      <c r="I115" s="203" t="s">
        <v>21</v>
      </c>
      <c r="J115" s="203" t="s">
        <v>22</v>
      </c>
      <c r="K115" s="203" t="s">
        <v>408</v>
      </c>
      <c r="M115" s="203" t="s">
        <v>442</v>
      </c>
      <c r="N115" s="203"/>
      <c r="O115" s="321">
        <v>9.1759999999999994E-2</v>
      </c>
      <c r="P115" s="203" t="s">
        <v>1285</v>
      </c>
      <c r="Q115" s="203"/>
      <c r="R115" s="320" t="s">
        <v>1284</v>
      </c>
    </row>
    <row r="116" spans="1:18" ht="29">
      <c r="A116" s="203">
        <v>2</v>
      </c>
      <c r="B116" s="203" t="s">
        <v>39</v>
      </c>
      <c r="C116" s="203" t="s">
        <v>35</v>
      </c>
      <c r="D116" s="203" t="s">
        <v>20</v>
      </c>
      <c r="E116" s="203">
        <v>0</v>
      </c>
      <c r="G116" s="203">
        <v>1</v>
      </c>
      <c r="H116" s="203"/>
      <c r="I116" s="203" t="s">
        <v>21</v>
      </c>
      <c r="J116" s="203" t="s">
        <v>61</v>
      </c>
      <c r="K116" s="203" t="s">
        <v>71</v>
      </c>
      <c r="M116" s="203" t="s">
        <v>1271</v>
      </c>
      <c r="N116" s="203"/>
      <c r="O116" s="204">
        <v>7.74</v>
      </c>
      <c r="P116" s="320" t="s">
        <v>1272</v>
      </c>
      <c r="Q116" s="203" t="s">
        <v>1288</v>
      </c>
      <c r="R116" s="203" t="s">
        <v>1273</v>
      </c>
    </row>
    <row r="117" spans="1:18" ht="29">
      <c r="A117" s="203">
        <v>2</v>
      </c>
      <c r="B117" s="203" t="s">
        <v>39</v>
      </c>
      <c r="C117" s="203" t="s">
        <v>35</v>
      </c>
      <c r="D117" s="203" t="s">
        <v>20</v>
      </c>
      <c r="E117" s="203">
        <v>0</v>
      </c>
      <c r="G117" s="203">
        <v>1</v>
      </c>
      <c r="H117" s="203"/>
      <c r="I117" s="203" t="s">
        <v>21</v>
      </c>
      <c r="J117" s="203" t="s">
        <v>61</v>
      </c>
      <c r="K117" s="203" t="s">
        <v>71</v>
      </c>
      <c r="M117" s="203" t="s">
        <v>1275</v>
      </c>
      <c r="N117" s="203"/>
      <c r="O117" s="204">
        <v>5.66</v>
      </c>
      <c r="P117" s="320" t="s">
        <v>1276</v>
      </c>
      <c r="Q117" s="203" t="s">
        <v>1288</v>
      </c>
      <c r="R117" s="203" t="s">
        <v>1273</v>
      </c>
    </row>
    <row r="118" spans="1:18" ht="29">
      <c r="A118" s="203">
        <v>2</v>
      </c>
      <c r="B118" s="203" t="s">
        <v>39</v>
      </c>
      <c r="C118" s="203" t="s">
        <v>35</v>
      </c>
      <c r="D118" s="203" t="s">
        <v>20</v>
      </c>
      <c r="E118" s="203">
        <v>0</v>
      </c>
      <c r="G118" s="203">
        <v>1</v>
      </c>
      <c r="H118" s="203"/>
      <c r="I118" s="203" t="s">
        <v>21</v>
      </c>
      <c r="J118" s="203" t="s">
        <v>61</v>
      </c>
      <c r="K118" s="203" t="s">
        <v>71</v>
      </c>
      <c r="M118" s="203" t="s">
        <v>1277</v>
      </c>
      <c r="N118" s="203"/>
      <c r="O118" s="204">
        <v>1.7</v>
      </c>
      <c r="P118" s="320" t="s">
        <v>1278</v>
      </c>
      <c r="Q118" s="203" t="s">
        <v>1288</v>
      </c>
      <c r="R118" s="203" t="s">
        <v>1273</v>
      </c>
    </row>
    <row r="119" spans="1:18">
      <c r="A119" s="203">
        <v>2</v>
      </c>
      <c r="B119" s="203" t="s">
        <v>39</v>
      </c>
      <c r="C119" s="203" t="s">
        <v>35</v>
      </c>
      <c r="D119" s="203" t="s">
        <v>20</v>
      </c>
      <c r="E119" s="203">
        <v>0</v>
      </c>
      <c r="G119" s="203">
        <v>1</v>
      </c>
      <c r="H119" s="203"/>
      <c r="I119" s="203" t="s">
        <v>21</v>
      </c>
      <c r="J119" s="203" t="s">
        <v>61</v>
      </c>
      <c r="K119" s="203" t="s">
        <v>71</v>
      </c>
      <c r="M119" s="203" t="s">
        <v>1279</v>
      </c>
      <c r="N119" s="203"/>
      <c r="O119" s="204">
        <v>1.54</v>
      </c>
      <c r="P119" s="203" t="s">
        <v>1280</v>
      </c>
      <c r="Q119" s="203" t="s">
        <v>1288</v>
      </c>
      <c r="R119" s="203" t="s">
        <v>1273</v>
      </c>
    </row>
    <row r="120" spans="1:18" ht="29">
      <c r="A120" s="203">
        <v>2</v>
      </c>
      <c r="B120" s="203" t="s">
        <v>39</v>
      </c>
      <c r="C120" s="203" t="s">
        <v>35</v>
      </c>
      <c r="D120" s="203" t="s">
        <v>20</v>
      </c>
      <c r="E120" s="203">
        <v>0</v>
      </c>
      <c r="G120" s="203">
        <v>1</v>
      </c>
      <c r="H120" s="203"/>
      <c r="I120" s="203" t="s">
        <v>21</v>
      </c>
      <c r="J120" s="203" t="s">
        <v>22</v>
      </c>
      <c r="K120" s="203" t="s">
        <v>30</v>
      </c>
      <c r="M120" s="203" t="s">
        <v>442</v>
      </c>
      <c r="N120" s="203"/>
      <c r="O120" s="203">
        <v>10.1</v>
      </c>
      <c r="P120" s="203" t="s">
        <v>1283</v>
      </c>
      <c r="Q120" s="203"/>
      <c r="R120" s="320" t="s">
        <v>1284</v>
      </c>
    </row>
    <row r="121" spans="1:18" ht="29">
      <c r="A121" s="203">
        <v>2</v>
      </c>
      <c r="B121" s="203" t="s">
        <v>39</v>
      </c>
      <c r="C121" s="203" t="s">
        <v>35</v>
      </c>
      <c r="D121" s="203" t="s">
        <v>20</v>
      </c>
      <c r="E121" s="203">
        <v>0</v>
      </c>
      <c r="G121" s="203">
        <v>1</v>
      </c>
      <c r="H121" s="203"/>
      <c r="I121" s="203" t="s">
        <v>21</v>
      </c>
      <c r="J121" s="203" t="s">
        <v>22</v>
      </c>
      <c r="K121" s="203" t="s">
        <v>408</v>
      </c>
      <c r="M121" s="203" t="s">
        <v>442</v>
      </c>
      <c r="N121" s="203"/>
      <c r="O121" s="204">
        <v>1.48</v>
      </c>
      <c r="P121" s="203" t="s">
        <v>1285</v>
      </c>
      <c r="Q121" s="203"/>
      <c r="R121" s="320" t="s">
        <v>1284</v>
      </c>
    </row>
    <row r="122" spans="1:18" ht="29">
      <c r="A122" s="203">
        <v>2</v>
      </c>
      <c r="B122" s="203" t="s">
        <v>39</v>
      </c>
      <c r="C122" s="203" t="s">
        <v>35</v>
      </c>
      <c r="D122" s="203" t="s">
        <v>20</v>
      </c>
      <c r="E122" s="203">
        <v>0</v>
      </c>
      <c r="G122" s="203">
        <v>1</v>
      </c>
      <c r="H122" s="203" t="s">
        <v>1289</v>
      </c>
      <c r="I122" s="203" t="s">
        <v>21</v>
      </c>
      <c r="J122" s="203" t="s">
        <v>61</v>
      </c>
      <c r="K122" s="203" t="s">
        <v>71</v>
      </c>
      <c r="M122" s="203" t="s">
        <v>1271</v>
      </c>
      <c r="N122" s="203"/>
      <c r="O122" s="204">
        <v>7.74</v>
      </c>
      <c r="P122" s="320" t="s">
        <v>1272</v>
      </c>
      <c r="Q122" s="203" t="s">
        <v>1288</v>
      </c>
      <c r="R122" s="203" t="s">
        <v>1273</v>
      </c>
    </row>
    <row r="123" spans="1:18" ht="29">
      <c r="A123" s="203">
        <v>2</v>
      </c>
      <c r="B123" s="203" t="s">
        <v>39</v>
      </c>
      <c r="C123" s="203" t="s">
        <v>35</v>
      </c>
      <c r="D123" s="203" t="s">
        <v>20</v>
      </c>
      <c r="E123" s="203">
        <v>0</v>
      </c>
      <c r="G123" s="203">
        <v>1</v>
      </c>
      <c r="H123" s="203" t="s">
        <v>1289</v>
      </c>
      <c r="I123" s="203" t="s">
        <v>21</v>
      </c>
      <c r="J123" s="203" t="s">
        <v>61</v>
      </c>
      <c r="K123" s="203" t="s">
        <v>71</v>
      </c>
      <c r="M123" s="203" t="s">
        <v>1275</v>
      </c>
      <c r="N123" s="203"/>
      <c r="O123" s="204">
        <v>5.66</v>
      </c>
      <c r="P123" s="320" t="s">
        <v>1276</v>
      </c>
      <c r="Q123" s="203" t="s">
        <v>1288</v>
      </c>
      <c r="R123" s="203" t="s">
        <v>1273</v>
      </c>
    </row>
    <row r="124" spans="1:18" ht="29">
      <c r="A124" s="203">
        <v>2</v>
      </c>
      <c r="B124" s="203" t="s">
        <v>39</v>
      </c>
      <c r="C124" s="203" t="s">
        <v>35</v>
      </c>
      <c r="D124" s="203" t="s">
        <v>20</v>
      </c>
      <c r="E124" s="203">
        <v>0</v>
      </c>
      <c r="G124" s="203">
        <v>1</v>
      </c>
      <c r="H124" s="203" t="s">
        <v>1289</v>
      </c>
      <c r="I124" s="203" t="s">
        <v>21</v>
      </c>
      <c r="J124" s="203" t="s">
        <v>61</v>
      </c>
      <c r="K124" s="203" t="s">
        <v>71</v>
      </c>
      <c r="M124" s="203" t="s">
        <v>1277</v>
      </c>
      <c r="N124" s="203"/>
      <c r="O124" s="204">
        <v>1.7</v>
      </c>
      <c r="P124" s="320" t="s">
        <v>1278</v>
      </c>
      <c r="Q124" s="203" t="s">
        <v>1288</v>
      </c>
      <c r="R124" s="203" t="s">
        <v>1273</v>
      </c>
    </row>
    <row r="125" spans="1:18">
      <c r="A125" s="203">
        <v>2</v>
      </c>
      <c r="B125" s="203" t="s">
        <v>39</v>
      </c>
      <c r="C125" s="203" t="s">
        <v>35</v>
      </c>
      <c r="D125" s="203" t="s">
        <v>20</v>
      </c>
      <c r="E125" s="203">
        <v>0</v>
      </c>
      <c r="G125" s="203">
        <v>1</v>
      </c>
      <c r="H125" s="203" t="s">
        <v>1289</v>
      </c>
      <c r="I125" s="203" t="s">
        <v>21</v>
      </c>
      <c r="J125" s="203" t="s">
        <v>61</v>
      </c>
      <c r="K125" s="203" t="s">
        <v>71</v>
      </c>
      <c r="M125" s="203" t="s">
        <v>1279</v>
      </c>
      <c r="N125" s="203"/>
      <c r="O125" s="204">
        <v>1.54</v>
      </c>
      <c r="P125" s="203" t="s">
        <v>1280</v>
      </c>
      <c r="Q125" s="203" t="s">
        <v>1288</v>
      </c>
      <c r="R125" s="203" t="s">
        <v>1273</v>
      </c>
    </row>
    <row r="126" spans="1:18" ht="29">
      <c r="A126" s="203">
        <v>2</v>
      </c>
      <c r="B126" s="203" t="s">
        <v>39</v>
      </c>
      <c r="C126" s="203" t="s">
        <v>35</v>
      </c>
      <c r="D126" s="203" t="s">
        <v>20</v>
      </c>
      <c r="E126" s="203">
        <v>0</v>
      </c>
      <c r="G126" s="203">
        <v>1</v>
      </c>
      <c r="H126" s="203" t="s">
        <v>1289</v>
      </c>
      <c r="I126" s="203" t="s">
        <v>21</v>
      </c>
      <c r="J126" s="203" t="s">
        <v>22</v>
      </c>
      <c r="K126" s="203" t="s">
        <v>30</v>
      </c>
      <c r="M126" s="203" t="s">
        <v>442</v>
      </c>
      <c r="N126" s="203"/>
      <c r="O126" s="203">
        <v>10.1</v>
      </c>
      <c r="P126" s="203" t="s">
        <v>1283</v>
      </c>
      <c r="Q126" s="203"/>
      <c r="R126" s="320" t="s">
        <v>1284</v>
      </c>
    </row>
    <row r="127" spans="1:18" ht="29">
      <c r="A127" s="203">
        <v>2</v>
      </c>
      <c r="B127" s="203" t="s">
        <v>39</v>
      </c>
      <c r="C127" s="203" t="s">
        <v>35</v>
      </c>
      <c r="D127" s="203" t="s">
        <v>20</v>
      </c>
      <c r="E127" s="203">
        <v>0</v>
      </c>
      <c r="G127" s="203">
        <v>1</v>
      </c>
      <c r="H127" s="203" t="s">
        <v>1289</v>
      </c>
      <c r="I127" s="203" t="s">
        <v>21</v>
      </c>
      <c r="J127" s="203" t="s">
        <v>22</v>
      </c>
      <c r="K127" s="203" t="s">
        <v>408</v>
      </c>
      <c r="M127" s="203" t="s">
        <v>442</v>
      </c>
      <c r="N127" s="203"/>
      <c r="O127" s="204">
        <v>1.48</v>
      </c>
      <c r="P127" s="203" t="s">
        <v>1285</v>
      </c>
      <c r="Q127" s="203"/>
      <c r="R127" s="320" t="s">
        <v>1284</v>
      </c>
    </row>
    <row r="128" spans="1:18" ht="29">
      <c r="A128" s="203">
        <v>2</v>
      </c>
      <c r="B128" s="203" t="s">
        <v>39</v>
      </c>
      <c r="C128" s="203" t="s">
        <v>35</v>
      </c>
      <c r="D128" s="203" t="s">
        <v>20</v>
      </c>
      <c r="E128" s="203">
        <v>0</v>
      </c>
      <c r="G128" s="203">
        <v>1</v>
      </c>
      <c r="H128" s="203" t="s">
        <v>1251</v>
      </c>
      <c r="I128" s="203" t="s">
        <v>21</v>
      </c>
      <c r="J128" s="203" t="s">
        <v>61</v>
      </c>
      <c r="K128" s="203" t="s">
        <v>71</v>
      </c>
      <c r="M128" s="203" t="s">
        <v>1271</v>
      </c>
      <c r="N128" s="203"/>
      <c r="O128" s="204">
        <v>7.74</v>
      </c>
      <c r="P128" s="320" t="s">
        <v>1272</v>
      </c>
      <c r="Q128" s="203" t="s">
        <v>1288</v>
      </c>
      <c r="R128" s="203" t="s">
        <v>1273</v>
      </c>
    </row>
    <row r="129" spans="1:18" ht="29">
      <c r="A129" s="203">
        <v>2</v>
      </c>
      <c r="B129" s="203" t="s">
        <v>39</v>
      </c>
      <c r="C129" s="203" t="s">
        <v>35</v>
      </c>
      <c r="D129" s="203" t="s">
        <v>20</v>
      </c>
      <c r="E129" s="203">
        <v>0</v>
      </c>
      <c r="G129" s="203">
        <v>1</v>
      </c>
      <c r="H129" s="203" t="s">
        <v>1251</v>
      </c>
      <c r="I129" s="203" t="s">
        <v>21</v>
      </c>
      <c r="J129" s="203" t="s">
        <v>61</v>
      </c>
      <c r="K129" s="203" t="s">
        <v>71</v>
      </c>
      <c r="M129" s="203" t="s">
        <v>1275</v>
      </c>
      <c r="N129" s="203"/>
      <c r="O129" s="204">
        <v>5.66</v>
      </c>
      <c r="P129" s="320" t="s">
        <v>1276</v>
      </c>
      <c r="Q129" s="203" t="s">
        <v>1288</v>
      </c>
      <c r="R129" s="203" t="s">
        <v>1273</v>
      </c>
    </row>
    <row r="130" spans="1:18" ht="29">
      <c r="A130" s="203">
        <v>2</v>
      </c>
      <c r="B130" s="203" t="s">
        <v>39</v>
      </c>
      <c r="C130" s="203" t="s">
        <v>35</v>
      </c>
      <c r="D130" s="203" t="s">
        <v>20</v>
      </c>
      <c r="E130" s="203">
        <v>0</v>
      </c>
      <c r="G130" s="203">
        <v>1</v>
      </c>
      <c r="H130" s="203" t="s">
        <v>1251</v>
      </c>
      <c r="I130" s="203" t="s">
        <v>21</v>
      </c>
      <c r="J130" s="203" t="s">
        <v>61</v>
      </c>
      <c r="K130" s="203" t="s">
        <v>71</v>
      </c>
      <c r="M130" s="203" t="s">
        <v>1277</v>
      </c>
      <c r="N130" s="203"/>
      <c r="O130" s="204">
        <v>1.7</v>
      </c>
      <c r="P130" s="320" t="s">
        <v>1278</v>
      </c>
      <c r="Q130" s="203" t="s">
        <v>1288</v>
      </c>
      <c r="R130" s="203" t="s">
        <v>1273</v>
      </c>
    </row>
    <row r="131" spans="1:18">
      <c r="A131" s="203">
        <v>2</v>
      </c>
      <c r="B131" s="203" t="s">
        <v>39</v>
      </c>
      <c r="C131" s="203" t="s">
        <v>35</v>
      </c>
      <c r="D131" s="203" t="s">
        <v>20</v>
      </c>
      <c r="E131" s="203">
        <v>0</v>
      </c>
      <c r="G131" s="203">
        <v>1</v>
      </c>
      <c r="H131" s="203" t="s">
        <v>1251</v>
      </c>
      <c r="I131" s="203" t="s">
        <v>21</v>
      </c>
      <c r="J131" s="203" t="s">
        <v>61</v>
      </c>
      <c r="K131" s="203" t="s">
        <v>71</v>
      </c>
      <c r="M131" s="203" t="s">
        <v>1279</v>
      </c>
      <c r="N131" s="203"/>
      <c r="O131" s="204">
        <v>1.54</v>
      </c>
      <c r="P131" s="203" t="s">
        <v>1280</v>
      </c>
      <c r="Q131" s="203" t="s">
        <v>1288</v>
      </c>
      <c r="R131" s="203" t="s">
        <v>1273</v>
      </c>
    </row>
    <row r="132" spans="1:18" ht="29">
      <c r="A132" s="203">
        <v>2</v>
      </c>
      <c r="B132" s="203" t="s">
        <v>39</v>
      </c>
      <c r="C132" s="203" t="s">
        <v>35</v>
      </c>
      <c r="D132" s="203" t="s">
        <v>20</v>
      </c>
      <c r="E132" s="203">
        <v>0</v>
      </c>
      <c r="G132" s="203">
        <v>1</v>
      </c>
      <c r="H132" s="203" t="s">
        <v>1251</v>
      </c>
      <c r="I132" s="203" t="s">
        <v>21</v>
      </c>
      <c r="J132" s="203" t="s">
        <v>22</v>
      </c>
      <c r="K132" s="203" t="s">
        <v>30</v>
      </c>
      <c r="M132" s="203" t="s">
        <v>442</v>
      </c>
      <c r="N132" s="203"/>
      <c r="O132" s="203">
        <v>10.1</v>
      </c>
      <c r="P132" s="203" t="s">
        <v>1283</v>
      </c>
      <c r="Q132" s="203"/>
      <c r="R132" s="320" t="s">
        <v>1284</v>
      </c>
    </row>
    <row r="133" spans="1:18" ht="29">
      <c r="A133" s="203">
        <v>2</v>
      </c>
      <c r="B133" s="203" t="s">
        <v>39</v>
      </c>
      <c r="C133" s="203" t="s">
        <v>35</v>
      </c>
      <c r="D133" s="203" t="s">
        <v>20</v>
      </c>
      <c r="E133" s="203">
        <v>0</v>
      </c>
      <c r="G133" s="203">
        <v>1</v>
      </c>
      <c r="H133" s="203" t="s">
        <v>1251</v>
      </c>
      <c r="I133" s="203" t="s">
        <v>21</v>
      </c>
      <c r="J133" s="203" t="s">
        <v>22</v>
      </c>
      <c r="K133" s="203" t="s">
        <v>408</v>
      </c>
      <c r="M133" s="203" t="s">
        <v>442</v>
      </c>
      <c r="N133" s="203"/>
      <c r="O133" s="204">
        <v>1.48</v>
      </c>
      <c r="P133" s="203" t="s">
        <v>1285</v>
      </c>
      <c r="Q133" s="203"/>
      <c r="R133" s="320" t="s">
        <v>1284</v>
      </c>
    </row>
    <row r="134" spans="1:18" ht="29">
      <c r="A134" s="203">
        <v>2</v>
      </c>
      <c r="B134" s="203" t="s">
        <v>39</v>
      </c>
      <c r="C134" s="203" t="s">
        <v>35</v>
      </c>
      <c r="D134" s="203" t="s">
        <v>20</v>
      </c>
      <c r="E134" s="203">
        <v>1</v>
      </c>
      <c r="G134" s="203">
        <v>1</v>
      </c>
      <c r="H134" s="203"/>
      <c r="I134" s="203" t="s">
        <v>21</v>
      </c>
      <c r="J134" s="203" t="s">
        <v>61</v>
      </c>
      <c r="K134" s="203" t="s">
        <v>71</v>
      </c>
      <c r="M134" s="203" t="s">
        <v>1271</v>
      </c>
      <c r="N134" s="203"/>
      <c r="O134" s="204">
        <v>7.74</v>
      </c>
      <c r="P134" s="320" t="s">
        <v>1272</v>
      </c>
      <c r="Q134" s="203" t="s">
        <v>1288</v>
      </c>
      <c r="R134" s="203" t="s">
        <v>1273</v>
      </c>
    </row>
    <row r="135" spans="1:18" ht="29">
      <c r="A135" s="203">
        <v>2</v>
      </c>
      <c r="B135" s="203" t="s">
        <v>39</v>
      </c>
      <c r="C135" s="203" t="s">
        <v>35</v>
      </c>
      <c r="D135" s="203" t="s">
        <v>20</v>
      </c>
      <c r="E135" s="203">
        <v>1</v>
      </c>
      <c r="G135" s="203">
        <v>1</v>
      </c>
      <c r="H135" s="203"/>
      <c r="I135" s="203" t="s">
        <v>21</v>
      </c>
      <c r="J135" s="203" t="s">
        <v>61</v>
      </c>
      <c r="K135" s="203" t="s">
        <v>71</v>
      </c>
      <c r="M135" s="203" t="s">
        <v>1275</v>
      </c>
      <c r="N135" s="203"/>
      <c r="O135" s="204">
        <v>5.66</v>
      </c>
      <c r="P135" s="320" t="s">
        <v>1276</v>
      </c>
      <c r="Q135" s="203" t="s">
        <v>1288</v>
      </c>
      <c r="R135" s="203" t="s">
        <v>1273</v>
      </c>
    </row>
    <row r="136" spans="1:18" ht="29">
      <c r="A136" s="203">
        <v>2</v>
      </c>
      <c r="B136" s="203" t="s">
        <v>39</v>
      </c>
      <c r="C136" s="203" t="s">
        <v>35</v>
      </c>
      <c r="D136" s="203" t="s">
        <v>20</v>
      </c>
      <c r="E136" s="203">
        <v>1</v>
      </c>
      <c r="G136" s="203">
        <v>1</v>
      </c>
      <c r="H136" s="203"/>
      <c r="I136" s="203" t="s">
        <v>21</v>
      </c>
      <c r="J136" s="203" t="s">
        <v>61</v>
      </c>
      <c r="K136" s="203" t="s">
        <v>71</v>
      </c>
      <c r="M136" s="203" t="s">
        <v>1277</v>
      </c>
      <c r="N136" s="203"/>
      <c r="O136" s="204">
        <v>1.7</v>
      </c>
      <c r="P136" s="320" t="s">
        <v>1278</v>
      </c>
      <c r="Q136" s="203" t="s">
        <v>1288</v>
      </c>
      <c r="R136" s="203" t="s">
        <v>1273</v>
      </c>
    </row>
    <row r="137" spans="1:18">
      <c r="A137" s="203">
        <v>2</v>
      </c>
      <c r="B137" s="203" t="s">
        <v>39</v>
      </c>
      <c r="C137" s="203" t="s">
        <v>35</v>
      </c>
      <c r="D137" s="203" t="s">
        <v>20</v>
      </c>
      <c r="E137" s="203">
        <v>1</v>
      </c>
      <c r="G137" s="203">
        <v>1</v>
      </c>
      <c r="H137" s="203"/>
      <c r="I137" s="203" t="s">
        <v>21</v>
      </c>
      <c r="J137" s="203" t="s">
        <v>61</v>
      </c>
      <c r="K137" s="203" t="s">
        <v>71</v>
      </c>
      <c r="M137" s="203" t="s">
        <v>1279</v>
      </c>
      <c r="N137" s="203"/>
      <c r="O137" s="204">
        <v>1.54</v>
      </c>
      <c r="P137" s="203" t="s">
        <v>1280</v>
      </c>
      <c r="Q137" s="203" t="s">
        <v>1288</v>
      </c>
      <c r="R137" s="203" t="s">
        <v>1273</v>
      </c>
    </row>
    <row r="138" spans="1:18" ht="29">
      <c r="A138" s="203">
        <v>2</v>
      </c>
      <c r="B138" s="203" t="s">
        <v>39</v>
      </c>
      <c r="C138" s="203" t="s">
        <v>35</v>
      </c>
      <c r="D138" s="203" t="s">
        <v>20</v>
      </c>
      <c r="E138" s="203">
        <v>1</v>
      </c>
      <c r="G138" s="203">
        <v>1</v>
      </c>
      <c r="H138" s="203"/>
      <c r="I138" s="203" t="s">
        <v>21</v>
      </c>
      <c r="J138" s="203" t="s">
        <v>22</v>
      </c>
      <c r="K138" s="203" t="s">
        <v>30</v>
      </c>
      <c r="M138" s="203" t="s">
        <v>442</v>
      </c>
      <c r="N138" s="203"/>
      <c r="O138" s="203">
        <v>10.1</v>
      </c>
      <c r="P138" s="203" t="s">
        <v>1283</v>
      </c>
      <c r="Q138" s="203"/>
      <c r="R138" s="320" t="s">
        <v>1284</v>
      </c>
    </row>
    <row r="139" spans="1:18" ht="29">
      <c r="A139" s="203">
        <v>2</v>
      </c>
      <c r="B139" s="203" t="s">
        <v>39</v>
      </c>
      <c r="C139" s="203" t="s">
        <v>35</v>
      </c>
      <c r="D139" s="203" t="s">
        <v>20</v>
      </c>
      <c r="E139" s="203">
        <v>1</v>
      </c>
      <c r="G139" s="203">
        <v>1</v>
      </c>
      <c r="H139" s="203"/>
      <c r="I139" s="203" t="s">
        <v>21</v>
      </c>
      <c r="J139" s="203" t="s">
        <v>22</v>
      </c>
      <c r="K139" s="203" t="s">
        <v>408</v>
      </c>
      <c r="M139" s="203" t="s">
        <v>442</v>
      </c>
      <c r="N139" s="203"/>
      <c r="O139" s="204">
        <v>1.48</v>
      </c>
      <c r="P139" s="203" t="s">
        <v>1285</v>
      </c>
      <c r="Q139" s="203"/>
      <c r="R139" s="320" t="s">
        <v>1284</v>
      </c>
    </row>
    <row r="140" spans="1:18" ht="29">
      <c r="A140" s="203">
        <v>2</v>
      </c>
      <c r="B140" s="203" t="s">
        <v>39</v>
      </c>
      <c r="C140" s="203" t="s">
        <v>35</v>
      </c>
      <c r="D140" s="203" t="s">
        <v>20</v>
      </c>
      <c r="E140" s="203">
        <v>1</v>
      </c>
      <c r="G140" s="203">
        <v>1</v>
      </c>
      <c r="H140" s="203"/>
      <c r="I140" s="203" t="s">
        <v>21</v>
      </c>
      <c r="J140" s="203" t="s">
        <v>61</v>
      </c>
      <c r="K140" s="203" t="s">
        <v>71</v>
      </c>
      <c r="M140" s="203" t="s">
        <v>1271</v>
      </c>
      <c r="N140" s="203"/>
      <c r="O140" s="204">
        <v>7.74</v>
      </c>
      <c r="P140" s="320" t="s">
        <v>1272</v>
      </c>
      <c r="Q140" s="203" t="s">
        <v>1288</v>
      </c>
      <c r="R140" s="203" t="s">
        <v>1273</v>
      </c>
    </row>
    <row r="141" spans="1:18" ht="29">
      <c r="A141" s="203">
        <v>2</v>
      </c>
      <c r="B141" s="203" t="s">
        <v>39</v>
      </c>
      <c r="C141" s="203" t="s">
        <v>35</v>
      </c>
      <c r="D141" s="203" t="s">
        <v>20</v>
      </c>
      <c r="E141" s="203">
        <v>1</v>
      </c>
      <c r="G141" s="203">
        <v>1</v>
      </c>
      <c r="H141" s="203"/>
      <c r="I141" s="203" t="s">
        <v>21</v>
      </c>
      <c r="J141" s="203" t="s">
        <v>61</v>
      </c>
      <c r="K141" s="203" t="s">
        <v>71</v>
      </c>
      <c r="M141" s="203" t="s">
        <v>1275</v>
      </c>
      <c r="N141" s="203"/>
      <c r="O141" s="204">
        <v>5.66</v>
      </c>
      <c r="P141" s="320" t="s">
        <v>1276</v>
      </c>
      <c r="Q141" s="203" t="s">
        <v>1288</v>
      </c>
      <c r="R141" s="203" t="s">
        <v>1273</v>
      </c>
    </row>
    <row r="142" spans="1:18" ht="29">
      <c r="A142" s="203">
        <v>2</v>
      </c>
      <c r="B142" s="203" t="s">
        <v>39</v>
      </c>
      <c r="C142" s="203" t="s">
        <v>35</v>
      </c>
      <c r="D142" s="203" t="s">
        <v>20</v>
      </c>
      <c r="E142" s="203">
        <v>1</v>
      </c>
      <c r="G142" s="203">
        <v>1</v>
      </c>
      <c r="H142" s="203"/>
      <c r="I142" s="203" t="s">
        <v>21</v>
      </c>
      <c r="J142" s="203" t="s">
        <v>61</v>
      </c>
      <c r="K142" s="203" t="s">
        <v>71</v>
      </c>
      <c r="M142" s="203" t="s">
        <v>1277</v>
      </c>
      <c r="N142" s="203"/>
      <c r="O142" s="204">
        <v>1.7</v>
      </c>
      <c r="P142" s="320" t="s">
        <v>1278</v>
      </c>
      <c r="Q142" s="203" t="s">
        <v>1288</v>
      </c>
      <c r="R142" s="203" t="s">
        <v>1273</v>
      </c>
    </row>
    <row r="143" spans="1:18">
      <c r="A143" s="203">
        <v>2</v>
      </c>
      <c r="B143" s="203" t="s">
        <v>39</v>
      </c>
      <c r="C143" s="203" t="s">
        <v>35</v>
      </c>
      <c r="D143" s="203" t="s">
        <v>20</v>
      </c>
      <c r="E143" s="203">
        <v>1</v>
      </c>
      <c r="G143" s="203">
        <v>1</v>
      </c>
      <c r="H143" s="203"/>
      <c r="I143" s="203" t="s">
        <v>21</v>
      </c>
      <c r="J143" s="203" t="s">
        <v>61</v>
      </c>
      <c r="K143" s="203" t="s">
        <v>71</v>
      </c>
      <c r="M143" s="203" t="s">
        <v>1279</v>
      </c>
      <c r="N143" s="203"/>
      <c r="O143" s="204">
        <v>1.54</v>
      </c>
      <c r="P143" s="203" t="s">
        <v>1280</v>
      </c>
      <c r="Q143" s="203" t="s">
        <v>1288</v>
      </c>
      <c r="R143" s="203" t="s">
        <v>1273</v>
      </c>
    </row>
    <row r="144" spans="1:18" ht="29">
      <c r="A144" s="203">
        <v>2</v>
      </c>
      <c r="B144" s="203" t="s">
        <v>39</v>
      </c>
      <c r="C144" s="203" t="s">
        <v>35</v>
      </c>
      <c r="D144" s="203" t="s">
        <v>20</v>
      </c>
      <c r="E144" s="203">
        <v>1</v>
      </c>
      <c r="G144" s="203">
        <v>1</v>
      </c>
      <c r="H144" s="203"/>
      <c r="I144" s="203" t="s">
        <v>21</v>
      </c>
      <c r="J144" s="203" t="s">
        <v>22</v>
      </c>
      <c r="K144" s="203" t="s">
        <v>30</v>
      </c>
      <c r="M144" s="203" t="s">
        <v>442</v>
      </c>
      <c r="N144" s="203"/>
      <c r="O144" s="203">
        <v>10.1</v>
      </c>
      <c r="P144" s="203" t="s">
        <v>1283</v>
      </c>
      <c r="Q144" s="203"/>
      <c r="R144" s="320" t="s">
        <v>1284</v>
      </c>
    </row>
    <row r="145" spans="1:18" ht="29">
      <c r="A145" s="203">
        <v>2</v>
      </c>
      <c r="B145" s="203" t="s">
        <v>39</v>
      </c>
      <c r="C145" s="203" t="s">
        <v>35</v>
      </c>
      <c r="D145" s="203" t="s">
        <v>20</v>
      </c>
      <c r="E145" s="203">
        <v>1</v>
      </c>
      <c r="G145" s="203">
        <v>1</v>
      </c>
      <c r="H145" s="203"/>
      <c r="I145" s="203" t="s">
        <v>21</v>
      </c>
      <c r="J145" s="203" t="s">
        <v>22</v>
      </c>
      <c r="K145" s="203" t="s">
        <v>408</v>
      </c>
      <c r="M145" s="203" t="s">
        <v>442</v>
      </c>
      <c r="N145" s="203"/>
      <c r="O145" s="204">
        <v>1.48</v>
      </c>
      <c r="P145" s="203" t="s">
        <v>1285</v>
      </c>
      <c r="Q145" s="203"/>
      <c r="R145" s="320" t="s">
        <v>1284</v>
      </c>
    </row>
    <row r="146" spans="1:18" ht="29">
      <c r="A146" s="203">
        <v>2</v>
      </c>
      <c r="B146" s="203" t="s">
        <v>39</v>
      </c>
      <c r="C146" s="203" t="s">
        <v>35</v>
      </c>
      <c r="D146" s="203" t="s">
        <v>20</v>
      </c>
      <c r="E146" s="203">
        <v>2</v>
      </c>
      <c r="G146" s="203">
        <v>1</v>
      </c>
      <c r="H146" s="203"/>
      <c r="I146" s="203" t="s">
        <v>21</v>
      </c>
      <c r="J146" s="203" t="s">
        <v>61</v>
      </c>
      <c r="K146" s="203" t="s">
        <v>71</v>
      </c>
      <c r="M146" s="203" t="s">
        <v>1271</v>
      </c>
      <c r="N146" s="203"/>
      <c r="O146" s="204">
        <v>7.74</v>
      </c>
      <c r="P146" s="320" t="s">
        <v>1272</v>
      </c>
      <c r="Q146" s="203" t="s">
        <v>1288</v>
      </c>
      <c r="R146" s="203" t="s">
        <v>1273</v>
      </c>
    </row>
    <row r="147" spans="1:18" ht="29">
      <c r="A147" s="203">
        <v>2</v>
      </c>
      <c r="B147" s="203" t="s">
        <v>39</v>
      </c>
      <c r="C147" s="203" t="s">
        <v>35</v>
      </c>
      <c r="D147" s="203" t="s">
        <v>20</v>
      </c>
      <c r="E147" s="203">
        <v>2</v>
      </c>
      <c r="G147" s="203">
        <v>1</v>
      </c>
      <c r="H147" s="203"/>
      <c r="I147" s="203" t="s">
        <v>21</v>
      </c>
      <c r="J147" s="203" t="s">
        <v>61</v>
      </c>
      <c r="K147" s="203" t="s">
        <v>71</v>
      </c>
      <c r="M147" s="203" t="s">
        <v>1275</v>
      </c>
      <c r="N147" s="203"/>
      <c r="O147" s="204">
        <v>5.66</v>
      </c>
      <c r="P147" s="320" t="s">
        <v>1276</v>
      </c>
      <c r="Q147" s="203" t="s">
        <v>1288</v>
      </c>
      <c r="R147" s="203" t="s">
        <v>1273</v>
      </c>
    </row>
    <row r="148" spans="1:18" ht="29">
      <c r="A148" s="203">
        <v>2</v>
      </c>
      <c r="B148" s="203" t="s">
        <v>39</v>
      </c>
      <c r="C148" s="203" t="s">
        <v>35</v>
      </c>
      <c r="D148" s="203" t="s">
        <v>20</v>
      </c>
      <c r="E148" s="203">
        <v>2</v>
      </c>
      <c r="G148" s="203">
        <v>1</v>
      </c>
      <c r="H148" s="203"/>
      <c r="I148" s="203" t="s">
        <v>21</v>
      </c>
      <c r="J148" s="203" t="s">
        <v>61</v>
      </c>
      <c r="K148" s="203" t="s">
        <v>71</v>
      </c>
      <c r="M148" s="203" t="s">
        <v>1277</v>
      </c>
      <c r="N148" s="203"/>
      <c r="O148" s="204">
        <v>1.7</v>
      </c>
      <c r="P148" s="320" t="s">
        <v>1278</v>
      </c>
      <c r="Q148" s="203" t="s">
        <v>1288</v>
      </c>
      <c r="R148" s="203" t="s">
        <v>1273</v>
      </c>
    </row>
    <row r="149" spans="1:18">
      <c r="A149" s="203">
        <v>2</v>
      </c>
      <c r="B149" s="203" t="s">
        <v>39</v>
      </c>
      <c r="C149" s="203" t="s">
        <v>35</v>
      </c>
      <c r="D149" s="203" t="s">
        <v>20</v>
      </c>
      <c r="E149" s="203">
        <v>2</v>
      </c>
      <c r="G149" s="203">
        <v>1</v>
      </c>
      <c r="H149" s="203"/>
      <c r="I149" s="203" t="s">
        <v>21</v>
      </c>
      <c r="J149" s="203" t="s">
        <v>61</v>
      </c>
      <c r="K149" s="203" t="s">
        <v>71</v>
      </c>
      <c r="M149" s="203" t="s">
        <v>1279</v>
      </c>
      <c r="N149" s="203"/>
      <c r="O149" s="204">
        <v>1.54</v>
      </c>
      <c r="P149" s="203" t="s">
        <v>1280</v>
      </c>
      <c r="Q149" s="203" t="s">
        <v>1288</v>
      </c>
      <c r="R149" s="203" t="s">
        <v>1273</v>
      </c>
    </row>
    <row r="150" spans="1:18" ht="29">
      <c r="A150" s="203">
        <v>2</v>
      </c>
      <c r="B150" s="203" t="s">
        <v>39</v>
      </c>
      <c r="C150" s="203" t="s">
        <v>35</v>
      </c>
      <c r="D150" s="203" t="s">
        <v>20</v>
      </c>
      <c r="E150" s="203">
        <v>2</v>
      </c>
      <c r="G150" s="203">
        <v>1</v>
      </c>
      <c r="H150" s="203"/>
      <c r="I150" s="203" t="s">
        <v>21</v>
      </c>
      <c r="J150" s="203" t="s">
        <v>22</v>
      </c>
      <c r="K150" s="203" t="s">
        <v>30</v>
      </c>
      <c r="M150" s="203" t="s">
        <v>442</v>
      </c>
      <c r="N150" s="203"/>
      <c r="O150" s="203">
        <v>10.1</v>
      </c>
      <c r="P150" s="203" t="s">
        <v>1283</v>
      </c>
      <c r="Q150" s="203"/>
      <c r="R150" s="320" t="s">
        <v>1284</v>
      </c>
    </row>
    <row r="151" spans="1:18" ht="29">
      <c r="A151" s="203">
        <v>2</v>
      </c>
      <c r="B151" s="203" t="s">
        <v>39</v>
      </c>
      <c r="C151" s="203" t="s">
        <v>35</v>
      </c>
      <c r="D151" s="203" t="s">
        <v>20</v>
      </c>
      <c r="E151" s="203">
        <v>2</v>
      </c>
      <c r="G151" s="203">
        <v>1</v>
      </c>
      <c r="H151" s="203"/>
      <c r="I151" s="203" t="s">
        <v>21</v>
      </c>
      <c r="J151" s="203" t="s">
        <v>22</v>
      </c>
      <c r="K151" s="203" t="s">
        <v>408</v>
      </c>
      <c r="M151" s="203" t="s">
        <v>442</v>
      </c>
      <c r="N151" s="203"/>
      <c r="O151" s="204">
        <v>1.48</v>
      </c>
      <c r="P151" s="203" t="s">
        <v>1285</v>
      </c>
      <c r="Q151" s="203"/>
      <c r="R151" s="320" t="s">
        <v>1284</v>
      </c>
    </row>
    <row r="152" spans="1:18" ht="29">
      <c r="A152" s="203">
        <v>2</v>
      </c>
      <c r="B152" s="203" t="s">
        <v>39</v>
      </c>
      <c r="C152" s="203" t="s">
        <v>35</v>
      </c>
      <c r="D152" s="203" t="s">
        <v>20</v>
      </c>
      <c r="E152" s="203">
        <v>3</v>
      </c>
      <c r="G152" s="203">
        <v>1</v>
      </c>
      <c r="H152" s="203"/>
      <c r="I152" s="203" t="s">
        <v>21</v>
      </c>
      <c r="J152" s="203" t="s">
        <v>61</v>
      </c>
      <c r="K152" s="203" t="s">
        <v>71</v>
      </c>
      <c r="M152" s="203" t="s">
        <v>1271</v>
      </c>
      <c r="N152" s="203"/>
      <c r="O152" s="204">
        <v>7.74</v>
      </c>
      <c r="P152" s="320" t="s">
        <v>1272</v>
      </c>
      <c r="Q152" s="203" t="s">
        <v>1288</v>
      </c>
      <c r="R152" s="203" t="s">
        <v>1273</v>
      </c>
    </row>
    <row r="153" spans="1:18" ht="29">
      <c r="A153" s="203">
        <v>2</v>
      </c>
      <c r="B153" s="203" t="s">
        <v>39</v>
      </c>
      <c r="C153" s="203" t="s">
        <v>35</v>
      </c>
      <c r="D153" s="203" t="s">
        <v>20</v>
      </c>
      <c r="E153" s="203">
        <v>3</v>
      </c>
      <c r="G153" s="203">
        <v>1</v>
      </c>
      <c r="H153" s="203"/>
      <c r="I153" s="203" t="s">
        <v>21</v>
      </c>
      <c r="J153" s="203" t="s">
        <v>61</v>
      </c>
      <c r="K153" s="203" t="s">
        <v>71</v>
      </c>
      <c r="M153" s="203" t="s">
        <v>1275</v>
      </c>
      <c r="N153" s="203"/>
      <c r="O153" s="204">
        <v>5.66</v>
      </c>
      <c r="P153" s="320" t="s">
        <v>1276</v>
      </c>
      <c r="Q153" s="203" t="s">
        <v>1288</v>
      </c>
      <c r="R153" s="203" t="s">
        <v>1273</v>
      </c>
    </row>
    <row r="154" spans="1:18" ht="29">
      <c r="A154" s="203">
        <v>2</v>
      </c>
      <c r="B154" s="203" t="s">
        <v>39</v>
      </c>
      <c r="C154" s="203" t="s">
        <v>35</v>
      </c>
      <c r="D154" s="203" t="s">
        <v>20</v>
      </c>
      <c r="E154" s="203">
        <v>3</v>
      </c>
      <c r="G154" s="203">
        <v>1</v>
      </c>
      <c r="H154" s="203"/>
      <c r="I154" s="203" t="s">
        <v>21</v>
      </c>
      <c r="J154" s="203" t="s">
        <v>61</v>
      </c>
      <c r="K154" s="203" t="s">
        <v>71</v>
      </c>
      <c r="M154" s="203" t="s">
        <v>1277</v>
      </c>
      <c r="N154" s="203"/>
      <c r="O154" s="204">
        <v>1.7</v>
      </c>
      <c r="P154" s="320" t="s">
        <v>1278</v>
      </c>
      <c r="Q154" s="203" t="s">
        <v>1288</v>
      </c>
      <c r="R154" s="203" t="s">
        <v>1273</v>
      </c>
    </row>
    <row r="155" spans="1:18">
      <c r="A155" s="203">
        <v>2</v>
      </c>
      <c r="B155" s="203" t="s">
        <v>39</v>
      </c>
      <c r="C155" s="203" t="s">
        <v>35</v>
      </c>
      <c r="D155" s="203" t="s">
        <v>20</v>
      </c>
      <c r="E155" s="203">
        <v>3</v>
      </c>
      <c r="G155" s="203">
        <v>1</v>
      </c>
      <c r="H155" s="203"/>
      <c r="I155" s="203" t="s">
        <v>21</v>
      </c>
      <c r="J155" s="203" t="s">
        <v>61</v>
      </c>
      <c r="K155" s="203" t="s">
        <v>71</v>
      </c>
      <c r="M155" s="203" t="s">
        <v>1279</v>
      </c>
      <c r="N155" s="203"/>
      <c r="O155" s="204">
        <v>1.54</v>
      </c>
      <c r="P155" s="203" t="s">
        <v>1280</v>
      </c>
      <c r="Q155" s="203" t="s">
        <v>1288</v>
      </c>
      <c r="R155" s="203" t="s">
        <v>1273</v>
      </c>
    </row>
    <row r="156" spans="1:18" ht="29">
      <c r="A156" s="203">
        <v>2</v>
      </c>
      <c r="B156" s="203" t="s">
        <v>39</v>
      </c>
      <c r="C156" s="203" t="s">
        <v>35</v>
      </c>
      <c r="D156" s="203" t="s">
        <v>20</v>
      </c>
      <c r="E156" s="203">
        <v>3</v>
      </c>
      <c r="G156" s="203">
        <v>1</v>
      </c>
      <c r="H156" s="203"/>
      <c r="I156" s="203" t="s">
        <v>21</v>
      </c>
      <c r="J156" s="203" t="s">
        <v>22</v>
      </c>
      <c r="K156" s="203" t="s">
        <v>30</v>
      </c>
      <c r="M156" s="203" t="s">
        <v>442</v>
      </c>
      <c r="N156" s="203"/>
      <c r="O156" s="203">
        <v>10.1</v>
      </c>
      <c r="P156" s="203" t="s">
        <v>1283</v>
      </c>
      <c r="Q156" s="203"/>
      <c r="R156" s="320" t="s">
        <v>1284</v>
      </c>
    </row>
    <row r="157" spans="1:18" ht="29">
      <c r="A157" s="203">
        <v>2</v>
      </c>
      <c r="B157" s="203" t="s">
        <v>39</v>
      </c>
      <c r="C157" s="203" t="s">
        <v>35</v>
      </c>
      <c r="D157" s="203" t="s">
        <v>20</v>
      </c>
      <c r="E157" s="203">
        <v>3</v>
      </c>
      <c r="G157" s="203">
        <v>1</v>
      </c>
      <c r="H157" s="203"/>
      <c r="I157" s="203" t="s">
        <v>21</v>
      </c>
      <c r="J157" s="203" t="s">
        <v>22</v>
      </c>
      <c r="K157" s="203" t="s">
        <v>408</v>
      </c>
      <c r="M157" s="203" t="s">
        <v>442</v>
      </c>
      <c r="N157" s="203"/>
      <c r="O157" s="204">
        <v>1.48</v>
      </c>
      <c r="P157" s="203" t="s">
        <v>1285</v>
      </c>
      <c r="Q157" s="203"/>
      <c r="R157" s="320" t="s">
        <v>1284</v>
      </c>
    </row>
    <row r="158" spans="1:18" ht="29">
      <c r="A158" s="203">
        <v>2</v>
      </c>
      <c r="B158" s="203" t="s">
        <v>39</v>
      </c>
      <c r="C158" s="203" t="s">
        <v>35</v>
      </c>
      <c r="D158" s="203" t="s">
        <v>20</v>
      </c>
      <c r="E158" s="203">
        <v>4</v>
      </c>
      <c r="G158" s="203">
        <v>1</v>
      </c>
      <c r="H158" s="203"/>
      <c r="I158" s="203" t="s">
        <v>21</v>
      </c>
      <c r="J158" s="203" t="s">
        <v>61</v>
      </c>
      <c r="K158" s="203" t="s">
        <v>71</v>
      </c>
      <c r="M158" s="203" t="s">
        <v>1271</v>
      </c>
      <c r="N158" s="203"/>
      <c r="O158" s="204">
        <v>7.74</v>
      </c>
      <c r="P158" s="320" t="s">
        <v>1272</v>
      </c>
      <c r="Q158" s="203" t="s">
        <v>1288</v>
      </c>
      <c r="R158" s="203" t="s">
        <v>1273</v>
      </c>
    </row>
    <row r="159" spans="1:18" ht="29">
      <c r="A159" s="203">
        <v>2</v>
      </c>
      <c r="B159" s="203" t="s">
        <v>39</v>
      </c>
      <c r="C159" s="203" t="s">
        <v>35</v>
      </c>
      <c r="D159" s="203" t="s">
        <v>20</v>
      </c>
      <c r="E159" s="203">
        <v>4</v>
      </c>
      <c r="G159" s="203">
        <v>1</v>
      </c>
      <c r="H159" s="203"/>
      <c r="I159" s="203" t="s">
        <v>21</v>
      </c>
      <c r="J159" s="203" t="s">
        <v>61</v>
      </c>
      <c r="K159" s="203" t="s">
        <v>71</v>
      </c>
      <c r="M159" s="203" t="s">
        <v>1275</v>
      </c>
      <c r="N159" s="203"/>
      <c r="O159" s="204">
        <v>5.66</v>
      </c>
      <c r="P159" s="320" t="s">
        <v>1276</v>
      </c>
      <c r="Q159" s="203" t="s">
        <v>1288</v>
      </c>
      <c r="R159" s="203" t="s">
        <v>1273</v>
      </c>
    </row>
    <row r="160" spans="1:18" ht="29">
      <c r="A160" s="203">
        <v>2</v>
      </c>
      <c r="B160" s="203" t="s">
        <v>39</v>
      </c>
      <c r="C160" s="203" t="s">
        <v>35</v>
      </c>
      <c r="D160" s="203" t="s">
        <v>20</v>
      </c>
      <c r="E160" s="203">
        <v>4</v>
      </c>
      <c r="G160" s="203">
        <v>1</v>
      </c>
      <c r="H160" s="203"/>
      <c r="I160" s="203" t="s">
        <v>21</v>
      </c>
      <c r="J160" s="203" t="s">
        <v>61</v>
      </c>
      <c r="K160" s="203" t="s">
        <v>71</v>
      </c>
      <c r="M160" s="203" t="s">
        <v>1277</v>
      </c>
      <c r="N160" s="203"/>
      <c r="O160" s="204">
        <v>1.7</v>
      </c>
      <c r="P160" s="320" t="s">
        <v>1278</v>
      </c>
      <c r="Q160" s="203" t="s">
        <v>1288</v>
      </c>
      <c r="R160" s="203" t="s">
        <v>1273</v>
      </c>
    </row>
    <row r="161" spans="1:18">
      <c r="A161" s="203">
        <v>2</v>
      </c>
      <c r="B161" s="203" t="s">
        <v>39</v>
      </c>
      <c r="C161" s="203" t="s">
        <v>35</v>
      </c>
      <c r="D161" s="203" t="s">
        <v>20</v>
      </c>
      <c r="E161" s="203">
        <v>4</v>
      </c>
      <c r="G161" s="203">
        <v>1</v>
      </c>
      <c r="H161" s="203"/>
      <c r="I161" s="203" t="s">
        <v>21</v>
      </c>
      <c r="J161" s="203" t="s">
        <v>61</v>
      </c>
      <c r="K161" s="203" t="s">
        <v>71</v>
      </c>
      <c r="M161" s="203" t="s">
        <v>1279</v>
      </c>
      <c r="N161" s="203"/>
      <c r="O161" s="204">
        <v>1.54</v>
      </c>
      <c r="P161" s="203" t="s">
        <v>1280</v>
      </c>
      <c r="Q161" s="203" t="s">
        <v>1288</v>
      </c>
      <c r="R161" s="203" t="s">
        <v>1273</v>
      </c>
    </row>
    <row r="162" spans="1:18" ht="29">
      <c r="A162" s="203">
        <v>2</v>
      </c>
      <c r="B162" s="203" t="s">
        <v>39</v>
      </c>
      <c r="C162" s="203" t="s">
        <v>35</v>
      </c>
      <c r="D162" s="203" t="s">
        <v>20</v>
      </c>
      <c r="E162" s="203">
        <v>4</v>
      </c>
      <c r="G162" s="203">
        <v>1</v>
      </c>
      <c r="H162" s="203"/>
      <c r="I162" s="203" t="s">
        <v>21</v>
      </c>
      <c r="J162" s="203" t="s">
        <v>22</v>
      </c>
      <c r="K162" s="203" t="s">
        <v>30</v>
      </c>
      <c r="M162" s="203" t="s">
        <v>442</v>
      </c>
      <c r="N162" s="203"/>
      <c r="O162" s="203">
        <v>10.1</v>
      </c>
      <c r="P162" s="203" t="s">
        <v>1283</v>
      </c>
      <c r="Q162" s="203"/>
      <c r="R162" s="320" t="s">
        <v>1284</v>
      </c>
    </row>
    <row r="163" spans="1:18" ht="29">
      <c r="A163" s="203">
        <v>2</v>
      </c>
      <c r="B163" s="203" t="s">
        <v>39</v>
      </c>
      <c r="C163" s="203" t="s">
        <v>35</v>
      </c>
      <c r="D163" s="203" t="s">
        <v>20</v>
      </c>
      <c r="E163" s="203">
        <v>4</v>
      </c>
      <c r="G163" s="203">
        <v>1</v>
      </c>
      <c r="H163" s="203"/>
      <c r="I163" s="203" t="s">
        <v>21</v>
      </c>
      <c r="J163" s="203" t="s">
        <v>22</v>
      </c>
      <c r="K163" s="203" t="s">
        <v>408</v>
      </c>
      <c r="M163" s="203" t="s">
        <v>442</v>
      </c>
      <c r="N163" s="203"/>
      <c r="O163" s="204">
        <v>1.48</v>
      </c>
      <c r="P163" s="203" t="s">
        <v>1285</v>
      </c>
      <c r="Q163" s="203"/>
      <c r="R163" s="320" t="s">
        <v>1284</v>
      </c>
    </row>
    <row r="164" spans="1:18" ht="29">
      <c r="A164" s="203">
        <v>2</v>
      </c>
      <c r="B164" s="203" t="s">
        <v>39</v>
      </c>
      <c r="C164" s="203" t="s">
        <v>35</v>
      </c>
      <c r="D164" s="203" t="s">
        <v>20</v>
      </c>
      <c r="E164" s="203">
        <v>5</v>
      </c>
      <c r="G164" s="203">
        <v>1</v>
      </c>
      <c r="H164" s="203"/>
      <c r="I164" s="203" t="s">
        <v>21</v>
      </c>
      <c r="J164" s="203" t="s">
        <v>61</v>
      </c>
      <c r="K164" s="203" t="s">
        <v>71</v>
      </c>
      <c r="M164" s="203" t="s">
        <v>1271</v>
      </c>
      <c r="N164" s="203"/>
      <c r="O164" s="204">
        <v>7.74</v>
      </c>
      <c r="P164" s="320" t="s">
        <v>1272</v>
      </c>
      <c r="Q164" s="203" t="s">
        <v>1288</v>
      </c>
      <c r="R164" s="203" t="s">
        <v>1273</v>
      </c>
    </row>
    <row r="165" spans="1:18" ht="29">
      <c r="A165" s="203">
        <v>2</v>
      </c>
      <c r="B165" s="203" t="s">
        <v>39</v>
      </c>
      <c r="C165" s="203" t="s">
        <v>35</v>
      </c>
      <c r="D165" s="203" t="s">
        <v>20</v>
      </c>
      <c r="E165" s="203">
        <v>5</v>
      </c>
      <c r="G165" s="203">
        <v>1</v>
      </c>
      <c r="H165" s="203"/>
      <c r="I165" s="203" t="s">
        <v>21</v>
      </c>
      <c r="J165" s="203" t="s">
        <v>61</v>
      </c>
      <c r="K165" s="203" t="s">
        <v>71</v>
      </c>
      <c r="M165" s="203" t="s">
        <v>1275</v>
      </c>
      <c r="N165" s="203"/>
      <c r="O165" s="204">
        <v>5.66</v>
      </c>
      <c r="P165" s="320" t="s">
        <v>1276</v>
      </c>
      <c r="Q165" s="203" t="s">
        <v>1288</v>
      </c>
      <c r="R165" s="203" t="s">
        <v>1273</v>
      </c>
    </row>
    <row r="166" spans="1:18" ht="29">
      <c r="A166" s="203">
        <v>2</v>
      </c>
      <c r="B166" s="203" t="s">
        <v>39</v>
      </c>
      <c r="C166" s="203" t="s">
        <v>35</v>
      </c>
      <c r="D166" s="203" t="s">
        <v>20</v>
      </c>
      <c r="E166" s="203">
        <v>5</v>
      </c>
      <c r="G166" s="203">
        <v>1</v>
      </c>
      <c r="H166" s="203"/>
      <c r="I166" s="203" t="s">
        <v>21</v>
      </c>
      <c r="J166" s="203" t="s">
        <v>61</v>
      </c>
      <c r="K166" s="203" t="s">
        <v>71</v>
      </c>
      <c r="M166" s="203" t="s">
        <v>1277</v>
      </c>
      <c r="N166" s="203"/>
      <c r="O166" s="204">
        <v>1.7</v>
      </c>
      <c r="P166" s="320" t="s">
        <v>1278</v>
      </c>
      <c r="Q166" s="203" t="s">
        <v>1288</v>
      </c>
      <c r="R166" s="203" t="s">
        <v>1273</v>
      </c>
    </row>
    <row r="167" spans="1:18">
      <c r="A167" s="203">
        <v>2</v>
      </c>
      <c r="B167" s="203" t="s">
        <v>39</v>
      </c>
      <c r="C167" s="203" t="s">
        <v>35</v>
      </c>
      <c r="D167" s="203" t="s">
        <v>20</v>
      </c>
      <c r="E167" s="203">
        <v>5</v>
      </c>
      <c r="G167" s="203">
        <v>1</v>
      </c>
      <c r="H167" s="203"/>
      <c r="I167" s="203" t="s">
        <v>21</v>
      </c>
      <c r="J167" s="203" t="s">
        <v>61</v>
      </c>
      <c r="K167" s="203" t="s">
        <v>71</v>
      </c>
      <c r="M167" s="203" t="s">
        <v>1279</v>
      </c>
      <c r="N167" s="203"/>
      <c r="O167" s="204">
        <v>1.54</v>
      </c>
      <c r="P167" s="203" t="s">
        <v>1280</v>
      </c>
      <c r="Q167" s="203" t="s">
        <v>1288</v>
      </c>
      <c r="R167" s="203" t="s">
        <v>1273</v>
      </c>
    </row>
    <row r="168" spans="1:18" ht="29">
      <c r="A168" s="203">
        <v>2</v>
      </c>
      <c r="B168" s="203" t="s">
        <v>39</v>
      </c>
      <c r="C168" s="203" t="s">
        <v>35</v>
      </c>
      <c r="D168" s="203" t="s">
        <v>20</v>
      </c>
      <c r="E168" s="203">
        <v>5</v>
      </c>
      <c r="G168" s="203">
        <v>1</v>
      </c>
      <c r="H168" s="203"/>
      <c r="I168" s="203" t="s">
        <v>21</v>
      </c>
      <c r="J168" s="203" t="s">
        <v>22</v>
      </c>
      <c r="K168" s="203" t="s">
        <v>30</v>
      </c>
      <c r="M168" s="203" t="s">
        <v>442</v>
      </c>
      <c r="N168" s="203"/>
      <c r="O168" s="203">
        <v>10.1</v>
      </c>
      <c r="P168" s="203" t="s">
        <v>1283</v>
      </c>
      <c r="Q168" s="203"/>
      <c r="R168" s="320" t="s">
        <v>1284</v>
      </c>
    </row>
    <row r="169" spans="1:18" ht="29">
      <c r="A169" s="203">
        <v>2</v>
      </c>
      <c r="B169" s="203" t="s">
        <v>39</v>
      </c>
      <c r="C169" s="203" t="s">
        <v>35</v>
      </c>
      <c r="D169" s="203" t="s">
        <v>20</v>
      </c>
      <c r="E169" s="203">
        <v>5</v>
      </c>
      <c r="G169" s="203">
        <v>1</v>
      </c>
      <c r="H169" s="203"/>
      <c r="I169" s="203" t="s">
        <v>21</v>
      </c>
      <c r="J169" s="203" t="s">
        <v>22</v>
      </c>
      <c r="K169" s="203" t="s">
        <v>408</v>
      </c>
      <c r="M169" s="203" t="s">
        <v>442</v>
      </c>
      <c r="N169" s="203"/>
      <c r="O169" s="204">
        <v>1.48</v>
      </c>
      <c r="P169" s="203" t="s">
        <v>1285</v>
      </c>
      <c r="Q169" s="203"/>
      <c r="R169" s="320" t="s">
        <v>1284</v>
      </c>
    </row>
    <row r="170" spans="1:18" ht="29">
      <c r="A170" s="203">
        <v>2</v>
      </c>
      <c r="B170" s="203" t="s">
        <v>39</v>
      </c>
      <c r="C170" s="203" t="s">
        <v>35</v>
      </c>
      <c r="D170" s="203" t="s">
        <v>20</v>
      </c>
      <c r="E170" s="203">
        <v>0</v>
      </c>
      <c r="G170" s="203">
        <v>1</v>
      </c>
      <c r="H170" s="203"/>
      <c r="I170" s="203" t="s">
        <v>21</v>
      </c>
      <c r="J170" s="203" t="s">
        <v>61</v>
      </c>
      <c r="K170" s="203" t="s">
        <v>71</v>
      </c>
      <c r="M170" s="203" t="s">
        <v>1271</v>
      </c>
      <c r="N170" s="203"/>
      <c r="O170" s="204">
        <v>7.74</v>
      </c>
      <c r="P170" s="320" t="s">
        <v>1272</v>
      </c>
      <c r="Q170" s="203" t="s">
        <v>1288</v>
      </c>
      <c r="R170" s="203" t="s">
        <v>1273</v>
      </c>
    </row>
    <row r="171" spans="1:18" ht="29">
      <c r="A171" s="203">
        <v>2</v>
      </c>
      <c r="B171" s="203" t="s">
        <v>39</v>
      </c>
      <c r="C171" s="203" t="s">
        <v>35</v>
      </c>
      <c r="D171" s="203" t="s">
        <v>20</v>
      </c>
      <c r="E171" s="203">
        <v>0</v>
      </c>
      <c r="G171" s="203">
        <v>1</v>
      </c>
      <c r="H171" s="203"/>
      <c r="I171" s="203" t="s">
        <v>21</v>
      </c>
      <c r="J171" s="203" t="s">
        <v>61</v>
      </c>
      <c r="K171" s="203" t="s">
        <v>71</v>
      </c>
      <c r="M171" s="203" t="s">
        <v>1275</v>
      </c>
      <c r="N171" s="203"/>
      <c r="O171" s="204">
        <v>5.66</v>
      </c>
      <c r="P171" s="320" t="s">
        <v>1276</v>
      </c>
      <c r="Q171" s="203" t="s">
        <v>1288</v>
      </c>
      <c r="R171" s="203" t="s">
        <v>1273</v>
      </c>
    </row>
    <row r="172" spans="1:18" ht="29">
      <c r="A172" s="203">
        <v>2</v>
      </c>
      <c r="B172" s="203" t="s">
        <v>39</v>
      </c>
      <c r="C172" s="203" t="s">
        <v>35</v>
      </c>
      <c r="D172" s="203" t="s">
        <v>20</v>
      </c>
      <c r="E172" s="203">
        <v>0</v>
      </c>
      <c r="G172" s="203">
        <v>1</v>
      </c>
      <c r="H172" s="203"/>
      <c r="I172" s="203" t="s">
        <v>21</v>
      </c>
      <c r="J172" s="203" t="s">
        <v>61</v>
      </c>
      <c r="K172" s="203" t="s">
        <v>71</v>
      </c>
      <c r="M172" s="203" t="s">
        <v>1277</v>
      </c>
      <c r="N172" s="203"/>
      <c r="O172" s="204">
        <v>1.7</v>
      </c>
      <c r="P172" s="320" t="s">
        <v>1278</v>
      </c>
      <c r="Q172" s="203" t="s">
        <v>1288</v>
      </c>
      <c r="R172" s="203" t="s">
        <v>1273</v>
      </c>
    </row>
    <row r="173" spans="1:18">
      <c r="A173" s="203">
        <v>2</v>
      </c>
      <c r="B173" s="203" t="s">
        <v>39</v>
      </c>
      <c r="C173" s="203" t="s">
        <v>35</v>
      </c>
      <c r="D173" s="203" t="s">
        <v>20</v>
      </c>
      <c r="E173" s="203">
        <v>0</v>
      </c>
      <c r="G173" s="203">
        <v>1</v>
      </c>
      <c r="H173" s="203"/>
      <c r="I173" s="203" t="s">
        <v>21</v>
      </c>
      <c r="J173" s="203" t="s">
        <v>61</v>
      </c>
      <c r="K173" s="203" t="s">
        <v>71</v>
      </c>
      <c r="M173" s="203" t="s">
        <v>1279</v>
      </c>
      <c r="N173" s="203"/>
      <c r="O173" s="204">
        <v>1.54</v>
      </c>
      <c r="P173" s="203" t="s">
        <v>1280</v>
      </c>
      <c r="Q173" s="203" t="s">
        <v>1288</v>
      </c>
      <c r="R173" s="203" t="s">
        <v>1273</v>
      </c>
    </row>
    <row r="174" spans="1:18" ht="29">
      <c r="A174" s="203">
        <v>2</v>
      </c>
      <c r="B174" s="203" t="s">
        <v>39</v>
      </c>
      <c r="C174" s="203" t="s">
        <v>35</v>
      </c>
      <c r="D174" s="203" t="s">
        <v>20</v>
      </c>
      <c r="E174" s="203">
        <v>0</v>
      </c>
      <c r="G174" s="203">
        <v>1</v>
      </c>
      <c r="H174" s="203"/>
      <c r="I174" s="203" t="s">
        <v>21</v>
      </c>
      <c r="J174" s="203" t="s">
        <v>22</v>
      </c>
      <c r="K174" s="203" t="s">
        <v>30</v>
      </c>
      <c r="M174" s="203" t="s">
        <v>442</v>
      </c>
      <c r="N174" s="203"/>
      <c r="O174" s="203">
        <v>10.1</v>
      </c>
      <c r="P174" s="203" t="s">
        <v>1283</v>
      </c>
      <c r="Q174" s="203"/>
      <c r="R174" s="320" t="s">
        <v>1284</v>
      </c>
    </row>
    <row r="175" spans="1:18" ht="29">
      <c r="A175" s="203">
        <v>2</v>
      </c>
      <c r="B175" s="203" t="s">
        <v>39</v>
      </c>
      <c r="C175" s="203" t="s">
        <v>35</v>
      </c>
      <c r="D175" s="203" t="s">
        <v>20</v>
      </c>
      <c r="E175" s="203">
        <v>0</v>
      </c>
      <c r="G175" s="203">
        <v>1</v>
      </c>
      <c r="H175" s="203"/>
      <c r="I175" s="203" t="s">
        <v>21</v>
      </c>
      <c r="J175" s="203" t="s">
        <v>22</v>
      </c>
      <c r="K175" s="203" t="s">
        <v>408</v>
      </c>
      <c r="M175" s="203" t="s">
        <v>442</v>
      </c>
      <c r="N175" s="203"/>
      <c r="O175" s="204">
        <v>1.48</v>
      </c>
      <c r="P175" s="203" t="s">
        <v>1285</v>
      </c>
      <c r="Q175" s="203"/>
      <c r="R175" s="320" t="s">
        <v>1284</v>
      </c>
    </row>
    <row r="176" spans="1:18" ht="29">
      <c r="A176" s="203">
        <v>2</v>
      </c>
      <c r="B176" s="203" t="s">
        <v>39</v>
      </c>
      <c r="C176" s="203" t="s">
        <v>35</v>
      </c>
      <c r="D176" s="203" t="s">
        <v>20</v>
      </c>
      <c r="E176" s="203"/>
      <c r="G176" s="203">
        <v>1</v>
      </c>
      <c r="H176" s="203"/>
      <c r="I176" s="203" t="s">
        <v>21</v>
      </c>
      <c r="J176" s="203" t="s">
        <v>61</v>
      </c>
      <c r="K176" s="203" t="s">
        <v>71</v>
      </c>
      <c r="M176" s="203" t="s">
        <v>1271</v>
      </c>
      <c r="N176" s="203"/>
      <c r="O176" s="204">
        <v>7.74</v>
      </c>
      <c r="P176" s="320" t="s">
        <v>1272</v>
      </c>
      <c r="Q176" s="203" t="s">
        <v>1288</v>
      </c>
      <c r="R176" s="203" t="s">
        <v>1273</v>
      </c>
    </row>
    <row r="177" spans="1:18" ht="29">
      <c r="A177" s="203">
        <v>2</v>
      </c>
      <c r="B177" s="203" t="s">
        <v>39</v>
      </c>
      <c r="C177" s="203" t="s">
        <v>35</v>
      </c>
      <c r="D177" s="203" t="s">
        <v>20</v>
      </c>
      <c r="E177" s="203"/>
      <c r="G177" s="203">
        <v>1</v>
      </c>
      <c r="H177" s="203"/>
      <c r="I177" s="203" t="s">
        <v>21</v>
      </c>
      <c r="J177" s="203" t="s">
        <v>61</v>
      </c>
      <c r="K177" s="203" t="s">
        <v>71</v>
      </c>
      <c r="M177" s="203" t="s">
        <v>1275</v>
      </c>
      <c r="N177" s="203"/>
      <c r="O177" s="204">
        <v>5.66</v>
      </c>
      <c r="P177" s="320" t="s">
        <v>1276</v>
      </c>
      <c r="Q177" s="203" t="s">
        <v>1288</v>
      </c>
      <c r="R177" s="203" t="s">
        <v>1273</v>
      </c>
    </row>
    <row r="178" spans="1:18" ht="29">
      <c r="A178" s="203">
        <v>2</v>
      </c>
      <c r="B178" s="203" t="s">
        <v>39</v>
      </c>
      <c r="C178" s="203" t="s">
        <v>35</v>
      </c>
      <c r="D178" s="203" t="s">
        <v>20</v>
      </c>
      <c r="E178" s="203"/>
      <c r="G178" s="203">
        <v>1</v>
      </c>
      <c r="H178" s="203"/>
      <c r="I178" s="203" t="s">
        <v>21</v>
      </c>
      <c r="J178" s="203" t="s">
        <v>61</v>
      </c>
      <c r="K178" s="203" t="s">
        <v>71</v>
      </c>
      <c r="M178" s="203" t="s">
        <v>1277</v>
      </c>
      <c r="N178" s="203"/>
      <c r="O178" s="204">
        <v>1.7</v>
      </c>
      <c r="P178" s="320" t="s">
        <v>1278</v>
      </c>
      <c r="Q178" s="203" t="s">
        <v>1288</v>
      </c>
      <c r="R178" s="203" t="s">
        <v>1273</v>
      </c>
    </row>
    <row r="179" spans="1:18">
      <c r="A179" s="203">
        <v>2</v>
      </c>
      <c r="B179" s="203" t="s">
        <v>39</v>
      </c>
      <c r="C179" s="203" t="s">
        <v>35</v>
      </c>
      <c r="D179" s="203" t="s">
        <v>20</v>
      </c>
      <c r="E179" s="203"/>
      <c r="G179" s="203">
        <v>1</v>
      </c>
      <c r="H179" s="203"/>
      <c r="I179" s="203" t="s">
        <v>21</v>
      </c>
      <c r="J179" s="203" t="s">
        <v>61</v>
      </c>
      <c r="K179" s="203" t="s">
        <v>71</v>
      </c>
      <c r="M179" s="203" t="s">
        <v>1279</v>
      </c>
      <c r="N179" s="203"/>
      <c r="O179" s="204">
        <v>1.54</v>
      </c>
      <c r="P179" s="203" t="s">
        <v>1280</v>
      </c>
      <c r="Q179" s="203" t="s">
        <v>1288</v>
      </c>
      <c r="R179" s="203" t="s">
        <v>1273</v>
      </c>
    </row>
    <row r="180" spans="1:18" ht="29">
      <c r="A180" s="203">
        <v>2</v>
      </c>
      <c r="B180" s="203" t="s">
        <v>39</v>
      </c>
      <c r="C180" s="203" t="s">
        <v>35</v>
      </c>
      <c r="D180" s="203" t="s">
        <v>20</v>
      </c>
      <c r="E180" s="203"/>
      <c r="G180" s="203">
        <v>1</v>
      </c>
      <c r="H180" s="203"/>
      <c r="I180" s="203" t="s">
        <v>21</v>
      </c>
      <c r="J180" s="203" t="s">
        <v>22</v>
      </c>
      <c r="K180" s="203" t="s">
        <v>30</v>
      </c>
      <c r="M180" s="203" t="s">
        <v>442</v>
      </c>
      <c r="N180" s="203"/>
      <c r="O180" s="203">
        <v>10.1</v>
      </c>
      <c r="P180" s="203" t="s">
        <v>1283</v>
      </c>
      <c r="Q180" s="203"/>
      <c r="R180" s="320" t="s">
        <v>1284</v>
      </c>
    </row>
    <row r="181" spans="1:18" ht="29">
      <c r="A181" s="203">
        <v>2</v>
      </c>
      <c r="B181" s="203" t="s">
        <v>39</v>
      </c>
      <c r="C181" s="203" t="s">
        <v>35</v>
      </c>
      <c r="D181" s="203" t="s">
        <v>20</v>
      </c>
      <c r="E181" s="203"/>
      <c r="G181" s="203">
        <v>1</v>
      </c>
      <c r="H181" s="203"/>
      <c r="I181" s="203" t="s">
        <v>21</v>
      </c>
      <c r="J181" s="203" t="s">
        <v>22</v>
      </c>
      <c r="K181" s="203" t="s">
        <v>408</v>
      </c>
      <c r="M181" s="203" t="s">
        <v>442</v>
      </c>
      <c r="N181" s="203"/>
      <c r="O181" s="204">
        <v>1.48</v>
      </c>
      <c r="P181" s="203" t="s">
        <v>1285</v>
      </c>
      <c r="Q181" s="203"/>
      <c r="R181" s="320" t="s">
        <v>1284</v>
      </c>
    </row>
  </sheetData>
  <autoFilter ref="A1:R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8.453125" bestFit="1" customWidth="1"/>
    <col min="2" max="2" width="19.1796875" bestFit="1" customWidth="1"/>
    <col min="3" max="4" width="19.81640625" bestFit="1" customWidth="1"/>
    <col min="5" max="5" width="20.26953125" bestFit="1" customWidth="1"/>
    <col min="6" max="6" width="16.453125" bestFit="1" customWidth="1"/>
    <col min="7" max="7" width="8" bestFit="1" customWidth="1"/>
    <col min="8" max="8" width="15.26953125" bestFit="1" customWidth="1"/>
    <col min="10" max="10" width="19.54296875" bestFit="1" customWidth="1"/>
    <col min="11" max="11" width="20.1796875" bestFit="1" customWidth="1"/>
    <col min="12" max="12" width="17.26953125" bestFit="1" customWidth="1"/>
    <col min="13" max="13" width="29.26953125" bestFit="1" customWidth="1"/>
    <col min="14" max="14" width="16.26953125" bestFit="1" customWidth="1"/>
    <col min="15" max="15" width="10.1796875" bestFit="1" customWidth="1"/>
    <col min="16" max="16" width="227.453125" bestFit="1" customWidth="1"/>
    <col min="17" max="17" width="17.453125" bestFit="1" customWidth="1"/>
    <col min="18" max="18" width="99.81640625" bestFit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9" ht="16.5" customHeight="1">
      <c r="A2">
        <v>2</v>
      </c>
      <c r="B2" t="s">
        <v>39</v>
      </c>
      <c r="C2" t="s">
        <v>19</v>
      </c>
      <c r="D2" t="s">
        <v>20</v>
      </c>
      <c r="E2">
        <v>2</v>
      </c>
      <c r="G2">
        <v>1</v>
      </c>
      <c r="I2" t="s">
        <v>21</v>
      </c>
      <c r="J2" t="s">
        <v>61</v>
      </c>
      <c r="K2" t="s">
        <v>983</v>
      </c>
      <c r="M2" t="s">
        <v>1290</v>
      </c>
      <c r="O2" s="1">
        <v>1.59</v>
      </c>
      <c r="P2" s="319" t="s">
        <v>1292</v>
      </c>
      <c r="Q2" t="s">
        <v>1291</v>
      </c>
      <c r="R2" t="s">
        <v>1293</v>
      </c>
      <c r="S2" t="s">
        <v>1294</v>
      </c>
    </row>
    <row r="3" spans="1:19">
      <c r="A3">
        <v>2</v>
      </c>
      <c r="B3" t="s">
        <v>39</v>
      </c>
      <c r="C3" t="s">
        <v>19</v>
      </c>
      <c r="D3" t="s">
        <v>20</v>
      </c>
      <c r="E3">
        <v>2</v>
      </c>
      <c r="G3">
        <v>1</v>
      </c>
      <c r="I3" t="s">
        <v>21</v>
      </c>
      <c r="J3" t="s">
        <v>61</v>
      </c>
      <c r="K3" t="s">
        <v>983</v>
      </c>
      <c r="M3" t="s">
        <v>1295</v>
      </c>
      <c r="O3" s="1">
        <v>11.88</v>
      </c>
      <c r="P3" t="s">
        <v>1296</v>
      </c>
      <c r="Q3" t="s">
        <v>1291</v>
      </c>
      <c r="R3" t="s">
        <v>1293</v>
      </c>
      <c r="S3" t="s">
        <v>1294</v>
      </c>
    </row>
    <row r="4" spans="1:19">
      <c r="A4">
        <v>2</v>
      </c>
      <c r="B4" t="s">
        <v>39</v>
      </c>
      <c r="C4" t="s">
        <v>19</v>
      </c>
      <c r="D4" t="s">
        <v>20</v>
      </c>
      <c r="E4">
        <v>2</v>
      </c>
      <c r="G4">
        <v>1</v>
      </c>
      <c r="I4" t="s">
        <v>21</v>
      </c>
      <c r="J4" t="s">
        <v>61</v>
      </c>
      <c r="K4" t="s">
        <v>983</v>
      </c>
      <c r="M4" t="s">
        <v>1297</v>
      </c>
      <c r="O4" s="1">
        <v>10.220000000000001</v>
      </c>
      <c r="P4" t="s">
        <v>1298</v>
      </c>
      <c r="Q4" t="s">
        <v>1291</v>
      </c>
      <c r="R4" t="s">
        <v>1293</v>
      </c>
      <c r="S4" t="s">
        <v>1294</v>
      </c>
    </row>
    <row r="5" spans="1:19">
      <c r="A5">
        <v>2</v>
      </c>
      <c r="B5" t="s">
        <v>39</v>
      </c>
      <c r="C5" t="s">
        <v>19</v>
      </c>
      <c r="D5" t="s">
        <v>20</v>
      </c>
      <c r="E5">
        <v>2</v>
      </c>
      <c r="G5">
        <v>1</v>
      </c>
      <c r="I5" t="s">
        <v>21</v>
      </c>
      <c r="J5" t="s">
        <v>61</v>
      </c>
      <c r="K5" t="s">
        <v>1214</v>
      </c>
      <c r="M5" t="s">
        <v>1299</v>
      </c>
      <c r="O5" s="1">
        <v>2.39</v>
      </c>
      <c r="Q5" t="s">
        <v>1300</v>
      </c>
      <c r="R5" t="s">
        <v>1293</v>
      </c>
      <c r="S5" t="s">
        <v>1294</v>
      </c>
    </row>
    <row r="6" spans="1:19">
      <c r="A6">
        <v>2</v>
      </c>
      <c r="B6" t="s">
        <v>39</v>
      </c>
      <c r="C6" t="s">
        <v>19</v>
      </c>
      <c r="D6" t="s">
        <v>20</v>
      </c>
      <c r="E6">
        <v>2</v>
      </c>
      <c r="G6">
        <v>1</v>
      </c>
      <c r="I6" t="s">
        <v>21</v>
      </c>
      <c r="J6" t="s">
        <v>61</v>
      </c>
      <c r="K6" t="s">
        <v>983</v>
      </c>
      <c r="M6" t="s">
        <v>1279</v>
      </c>
      <c r="O6" s="1">
        <v>0.65</v>
      </c>
      <c r="Q6" t="s">
        <v>1300</v>
      </c>
      <c r="R6" t="s">
        <v>1293</v>
      </c>
      <c r="S6" t="s">
        <v>1294</v>
      </c>
    </row>
    <row r="7" spans="1:19">
      <c r="A7">
        <v>2</v>
      </c>
      <c r="B7" t="s">
        <v>39</v>
      </c>
      <c r="C7" t="s">
        <v>19</v>
      </c>
      <c r="D7" t="s">
        <v>20</v>
      </c>
      <c r="E7">
        <v>2</v>
      </c>
      <c r="G7">
        <v>1</v>
      </c>
      <c r="I7" t="s">
        <v>21</v>
      </c>
      <c r="J7" t="s">
        <v>1281</v>
      </c>
      <c r="K7" t="s">
        <v>1282</v>
      </c>
      <c r="M7" t="s">
        <v>1301</v>
      </c>
      <c r="O7" s="1">
        <v>0.51</v>
      </c>
      <c r="P7" t="s">
        <v>1302</v>
      </c>
      <c r="Q7" t="s">
        <v>1291</v>
      </c>
      <c r="R7" t="s">
        <v>1273</v>
      </c>
      <c r="S7" t="s">
        <v>1294</v>
      </c>
    </row>
    <row r="8" spans="1:19">
      <c r="A8">
        <v>2</v>
      </c>
      <c r="B8" t="s">
        <v>39</v>
      </c>
      <c r="C8" t="s">
        <v>19</v>
      </c>
      <c r="D8" t="s">
        <v>20</v>
      </c>
      <c r="E8">
        <v>3</v>
      </c>
      <c r="G8">
        <v>1</v>
      </c>
      <c r="I8" t="s">
        <v>21</v>
      </c>
      <c r="J8" t="s">
        <v>61</v>
      </c>
      <c r="K8" t="s">
        <v>983</v>
      </c>
      <c r="M8" t="s">
        <v>1290</v>
      </c>
      <c r="O8" s="1">
        <v>1.91</v>
      </c>
      <c r="P8" t="s">
        <v>1303</v>
      </c>
      <c r="Q8" t="s">
        <v>1291</v>
      </c>
      <c r="R8" t="s">
        <v>1293</v>
      </c>
      <c r="S8" t="s">
        <v>1304</v>
      </c>
    </row>
    <row r="9" spans="1:19">
      <c r="A9">
        <v>2</v>
      </c>
      <c r="B9" t="s">
        <v>39</v>
      </c>
      <c r="C9" t="s">
        <v>19</v>
      </c>
      <c r="D9" t="s">
        <v>20</v>
      </c>
      <c r="E9">
        <v>3</v>
      </c>
      <c r="G9">
        <v>1</v>
      </c>
      <c r="I9" t="s">
        <v>21</v>
      </c>
      <c r="J9" t="s">
        <v>61</v>
      </c>
      <c r="K9" t="s">
        <v>983</v>
      </c>
      <c r="M9" t="s">
        <v>1295</v>
      </c>
      <c r="O9" s="1">
        <v>14.32</v>
      </c>
      <c r="P9" t="s">
        <v>1296</v>
      </c>
      <c r="Q9" t="s">
        <v>1291</v>
      </c>
      <c r="R9" t="s">
        <v>1293</v>
      </c>
      <c r="S9" t="s">
        <v>1304</v>
      </c>
    </row>
    <row r="10" spans="1:19">
      <c r="A10">
        <v>2</v>
      </c>
      <c r="B10" t="s">
        <v>39</v>
      </c>
      <c r="C10" t="s">
        <v>19</v>
      </c>
      <c r="D10" t="s">
        <v>20</v>
      </c>
      <c r="E10">
        <v>3</v>
      </c>
      <c r="G10">
        <v>1</v>
      </c>
      <c r="I10" t="s">
        <v>21</v>
      </c>
      <c r="J10" t="s">
        <v>61</v>
      </c>
      <c r="K10" t="s">
        <v>983</v>
      </c>
      <c r="M10" t="s">
        <v>1297</v>
      </c>
      <c r="O10" s="1">
        <v>12.31</v>
      </c>
      <c r="P10" t="s">
        <v>1298</v>
      </c>
      <c r="Q10" t="s">
        <v>1291</v>
      </c>
      <c r="R10" t="s">
        <v>1293</v>
      </c>
      <c r="S10" t="s">
        <v>1304</v>
      </c>
    </row>
    <row r="11" spans="1:19">
      <c r="A11">
        <v>2</v>
      </c>
      <c r="B11" t="s">
        <v>39</v>
      </c>
      <c r="C11" t="s">
        <v>19</v>
      </c>
      <c r="D11" t="s">
        <v>20</v>
      </c>
      <c r="E11">
        <v>3</v>
      </c>
      <c r="G11">
        <v>1</v>
      </c>
      <c r="I11" t="s">
        <v>21</v>
      </c>
      <c r="J11" t="s">
        <v>61</v>
      </c>
      <c r="K11" t="s">
        <v>1214</v>
      </c>
      <c r="M11" t="s">
        <v>1299</v>
      </c>
      <c r="O11" s="1">
        <v>2.88</v>
      </c>
      <c r="Q11" t="s">
        <v>1300</v>
      </c>
      <c r="R11" t="s">
        <v>1293</v>
      </c>
      <c r="S11" t="s">
        <v>1304</v>
      </c>
    </row>
    <row r="12" spans="1:19">
      <c r="A12">
        <v>2</v>
      </c>
      <c r="B12" t="s">
        <v>39</v>
      </c>
      <c r="C12" t="s">
        <v>19</v>
      </c>
      <c r="D12" t="s">
        <v>20</v>
      </c>
      <c r="E12">
        <v>3</v>
      </c>
      <c r="G12">
        <v>1</v>
      </c>
      <c r="I12" t="s">
        <v>21</v>
      </c>
      <c r="J12" t="s">
        <v>61</v>
      </c>
      <c r="K12" t="s">
        <v>983</v>
      </c>
      <c r="M12" t="s">
        <v>1279</v>
      </c>
      <c r="O12" s="1">
        <v>0.78</v>
      </c>
      <c r="Q12" t="s">
        <v>1300</v>
      </c>
      <c r="R12" t="s">
        <v>1293</v>
      </c>
      <c r="S12" t="s">
        <v>1304</v>
      </c>
    </row>
    <row r="13" spans="1:19">
      <c r="A13">
        <v>2</v>
      </c>
      <c r="B13" t="s">
        <v>39</v>
      </c>
      <c r="C13" t="s">
        <v>19</v>
      </c>
      <c r="D13" t="s">
        <v>20</v>
      </c>
      <c r="E13">
        <v>3</v>
      </c>
      <c r="G13">
        <v>1</v>
      </c>
      <c r="I13" t="s">
        <v>21</v>
      </c>
      <c r="J13" t="s">
        <v>1281</v>
      </c>
      <c r="K13" t="s">
        <v>1282</v>
      </c>
      <c r="M13" t="s">
        <v>1301</v>
      </c>
      <c r="O13" s="1">
        <v>0.61</v>
      </c>
      <c r="P13" t="s">
        <v>1302</v>
      </c>
      <c r="Q13" t="s">
        <v>1291</v>
      </c>
      <c r="R13" t="s">
        <v>1273</v>
      </c>
      <c r="S13" t="s">
        <v>1304</v>
      </c>
    </row>
    <row r="14" spans="1:19">
      <c r="A14">
        <v>2</v>
      </c>
      <c r="B14" t="s">
        <v>39</v>
      </c>
      <c r="C14" t="s">
        <v>19</v>
      </c>
      <c r="D14" t="s">
        <v>20</v>
      </c>
      <c r="E14">
        <v>4</v>
      </c>
      <c r="G14">
        <v>1</v>
      </c>
      <c r="I14" t="s">
        <v>21</v>
      </c>
      <c r="J14" t="s">
        <v>61</v>
      </c>
      <c r="K14" t="s">
        <v>983</v>
      </c>
      <c r="M14" t="s">
        <v>1290</v>
      </c>
      <c r="O14" s="1">
        <v>2.38</v>
      </c>
      <c r="P14" t="s">
        <v>1303</v>
      </c>
      <c r="Q14" t="s">
        <v>1291</v>
      </c>
      <c r="R14" t="s">
        <v>1293</v>
      </c>
      <c r="S14" t="s">
        <v>1305</v>
      </c>
    </row>
    <row r="15" spans="1:19">
      <c r="A15">
        <v>2</v>
      </c>
      <c r="B15" t="s">
        <v>39</v>
      </c>
      <c r="C15" t="s">
        <v>19</v>
      </c>
      <c r="D15" t="s">
        <v>20</v>
      </c>
      <c r="E15">
        <v>4</v>
      </c>
      <c r="G15">
        <v>1</v>
      </c>
      <c r="I15" t="s">
        <v>21</v>
      </c>
      <c r="J15" t="s">
        <v>61</v>
      </c>
      <c r="K15" t="s">
        <v>983</v>
      </c>
      <c r="M15" t="s">
        <v>1295</v>
      </c>
      <c r="O15" s="1">
        <v>17.84</v>
      </c>
      <c r="P15" t="s">
        <v>1296</v>
      </c>
      <c r="Q15" t="s">
        <v>1291</v>
      </c>
      <c r="R15" t="s">
        <v>1293</v>
      </c>
      <c r="S15" t="s">
        <v>1305</v>
      </c>
    </row>
    <row r="16" spans="1:19">
      <c r="A16">
        <v>2</v>
      </c>
      <c r="B16" t="s">
        <v>39</v>
      </c>
      <c r="C16" t="s">
        <v>19</v>
      </c>
      <c r="D16" t="s">
        <v>20</v>
      </c>
      <c r="E16">
        <v>4</v>
      </c>
      <c r="G16">
        <v>1</v>
      </c>
      <c r="I16" t="s">
        <v>21</v>
      </c>
      <c r="J16" t="s">
        <v>61</v>
      </c>
      <c r="K16" t="s">
        <v>983</v>
      </c>
      <c r="M16" t="s">
        <v>1297</v>
      </c>
      <c r="O16" s="1">
        <v>15.34</v>
      </c>
      <c r="P16" t="s">
        <v>1298</v>
      </c>
      <c r="Q16" t="s">
        <v>1291</v>
      </c>
      <c r="R16" t="s">
        <v>1293</v>
      </c>
      <c r="S16" t="s">
        <v>1305</v>
      </c>
    </row>
    <row r="17" spans="1:19">
      <c r="A17">
        <v>2</v>
      </c>
      <c r="B17" t="s">
        <v>39</v>
      </c>
      <c r="C17" t="s">
        <v>19</v>
      </c>
      <c r="D17" t="s">
        <v>20</v>
      </c>
      <c r="E17">
        <v>4</v>
      </c>
      <c r="G17">
        <v>1</v>
      </c>
      <c r="I17" t="s">
        <v>21</v>
      </c>
      <c r="J17" t="s">
        <v>61</v>
      </c>
      <c r="K17" t="s">
        <v>1214</v>
      </c>
      <c r="M17" t="s">
        <v>1299</v>
      </c>
      <c r="O17" s="1">
        <v>3.59</v>
      </c>
      <c r="Q17" t="s">
        <v>1300</v>
      </c>
      <c r="R17" t="s">
        <v>1293</v>
      </c>
      <c r="S17" t="s">
        <v>1305</v>
      </c>
    </row>
    <row r="18" spans="1:19">
      <c r="A18">
        <v>2</v>
      </c>
      <c r="B18" t="s">
        <v>39</v>
      </c>
      <c r="C18" t="s">
        <v>19</v>
      </c>
      <c r="D18" t="s">
        <v>20</v>
      </c>
      <c r="E18">
        <v>4</v>
      </c>
      <c r="G18">
        <v>1</v>
      </c>
      <c r="I18" t="s">
        <v>21</v>
      </c>
      <c r="J18" t="s">
        <v>61</v>
      </c>
      <c r="K18" t="s">
        <v>983</v>
      </c>
      <c r="M18" t="s">
        <v>1279</v>
      </c>
      <c r="O18" s="1">
        <v>0.98</v>
      </c>
      <c r="Q18" t="s">
        <v>1300</v>
      </c>
      <c r="R18" t="s">
        <v>1293</v>
      </c>
      <c r="S18" t="s">
        <v>1305</v>
      </c>
    </row>
    <row r="19" spans="1:19">
      <c r="A19">
        <v>2</v>
      </c>
      <c r="B19" t="s">
        <v>39</v>
      </c>
      <c r="C19" t="s">
        <v>19</v>
      </c>
      <c r="D19" t="s">
        <v>20</v>
      </c>
      <c r="E19">
        <v>4</v>
      </c>
      <c r="G19">
        <v>1</v>
      </c>
      <c r="I19" t="s">
        <v>21</v>
      </c>
      <c r="J19" t="s">
        <v>1281</v>
      </c>
      <c r="K19" t="s">
        <v>1282</v>
      </c>
      <c r="M19" t="s">
        <v>1301</v>
      </c>
      <c r="O19" s="1">
        <v>0.76</v>
      </c>
      <c r="P19" t="s">
        <v>1302</v>
      </c>
      <c r="Q19" t="s">
        <v>1291</v>
      </c>
      <c r="R19" t="s">
        <v>1273</v>
      </c>
      <c r="S19" t="s">
        <v>1305</v>
      </c>
    </row>
    <row r="20" spans="1:19">
      <c r="A20">
        <v>2</v>
      </c>
      <c r="B20" t="s">
        <v>39</v>
      </c>
      <c r="C20" t="s">
        <v>19</v>
      </c>
      <c r="D20" t="s">
        <v>20</v>
      </c>
      <c r="E20">
        <v>5</v>
      </c>
      <c r="G20">
        <v>1</v>
      </c>
      <c r="I20" t="s">
        <v>21</v>
      </c>
      <c r="J20" t="s">
        <v>61</v>
      </c>
      <c r="K20" t="s">
        <v>983</v>
      </c>
      <c r="M20" t="s">
        <v>1290</v>
      </c>
      <c r="O20" s="1">
        <v>2.73</v>
      </c>
      <c r="P20" t="s">
        <v>1303</v>
      </c>
      <c r="Q20" t="s">
        <v>1291</v>
      </c>
      <c r="R20" t="s">
        <v>1293</v>
      </c>
      <c r="S20" t="s">
        <v>1306</v>
      </c>
    </row>
    <row r="21" spans="1:19">
      <c r="A21">
        <v>2</v>
      </c>
      <c r="B21" t="s">
        <v>39</v>
      </c>
      <c r="C21" t="s">
        <v>19</v>
      </c>
      <c r="D21" t="s">
        <v>20</v>
      </c>
      <c r="E21">
        <v>5</v>
      </c>
      <c r="G21">
        <v>1</v>
      </c>
      <c r="I21" t="s">
        <v>21</v>
      </c>
      <c r="J21" t="s">
        <v>61</v>
      </c>
      <c r="K21" t="s">
        <v>983</v>
      </c>
      <c r="M21" t="s">
        <v>1295</v>
      </c>
      <c r="O21" s="1">
        <v>20.41</v>
      </c>
      <c r="P21" t="s">
        <v>1296</v>
      </c>
      <c r="Q21" t="s">
        <v>1291</v>
      </c>
      <c r="R21" t="s">
        <v>1293</v>
      </c>
      <c r="S21" t="s">
        <v>1306</v>
      </c>
    </row>
    <row r="22" spans="1:19">
      <c r="A22">
        <v>2</v>
      </c>
      <c r="B22" t="s">
        <v>39</v>
      </c>
      <c r="C22" t="s">
        <v>19</v>
      </c>
      <c r="D22" t="s">
        <v>20</v>
      </c>
      <c r="E22">
        <v>5</v>
      </c>
      <c r="G22">
        <v>1</v>
      </c>
      <c r="I22" t="s">
        <v>21</v>
      </c>
      <c r="J22" t="s">
        <v>61</v>
      </c>
      <c r="K22" t="s">
        <v>983</v>
      </c>
      <c r="M22" t="s">
        <v>1297</v>
      </c>
      <c r="O22" s="1">
        <v>17.55</v>
      </c>
      <c r="P22" t="s">
        <v>1298</v>
      </c>
      <c r="Q22" t="s">
        <v>1291</v>
      </c>
      <c r="R22" t="s">
        <v>1293</v>
      </c>
      <c r="S22" t="s">
        <v>1306</v>
      </c>
    </row>
    <row r="23" spans="1:19">
      <c r="A23">
        <v>2</v>
      </c>
      <c r="B23" t="s">
        <v>39</v>
      </c>
      <c r="C23" t="s">
        <v>19</v>
      </c>
      <c r="D23" t="s">
        <v>20</v>
      </c>
      <c r="E23">
        <v>5</v>
      </c>
      <c r="G23">
        <v>1</v>
      </c>
      <c r="I23" t="s">
        <v>21</v>
      </c>
      <c r="J23" t="s">
        <v>61</v>
      </c>
      <c r="K23" t="s">
        <v>1214</v>
      </c>
      <c r="M23" t="s">
        <v>1299</v>
      </c>
      <c r="O23" s="1">
        <v>4.1100000000000003</v>
      </c>
      <c r="Q23" t="s">
        <v>1300</v>
      </c>
      <c r="R23" t="s">
        <v>1293</v>
      </c>
      <c r="S23" t="s">
        <v>1306</v>
      </c>
    </row>
    <row r="24" spans="1:19">
      <c r="A24">
        <v>2</v>
      </c>
      <c r="B24" t="s">
        <v>39</v>
      </c>
      <c r="C24" t="s">
        <v>19</v>
      </c>
      <c r="D24" t="s">
        <v>20</v>
      </c>
      <c r="E24">
        <v>5</v>
      </c>
      <c r="G24">
        <v>1</v>
      </c>
      <c r="I24" t="s">
        <v>21</v>
      </c>
      <c r="J24" t="s">
        <v>61</v>
      </c>
      <c r="K24" t="s">
        <v>983</v>
      </c>
      <c r="M24" t="s">
        <v>1279</v>
      </c>
      <c r="O24" s="1">
        <v>1.1200000000000001</v>
      </c>
      <c r="Q24" t="s">
        <v>1300</v>
      </c>
      <c r="R24" t="s">
        <v>1293</v>
      </c>
      <c r="S24" t="s">
        <v>1306</v>
      </c>
    </row>
    <row r="25" spans="1:19">
      <c r="A25">
        <v>2</v>
      </c>
      <c r="B25" t="s">
        <v>39</v>
      </c>
      <c r="C25" t="s">
        <v>19</v>
      </c>
      <c r="D25" t="s">
        <v>20</v>
      </c>
      <c r="E25">
        <v>5</v>
      </c>
      <c r="G25">
        <v>1</v>
      </c>
      <c r="I25" t="s">
        <v>21</v>
      </c>
      <c r="J25" t="s">
        <v>1281</v>
      </c>
      <c r="K25" t="s">
        <v>1282</v>
      </c>
      <c r="M25" t="s">
        <v>1301</v>
      </c>
      <c r="O25" s="1">
        <v>0.87</v>
      </c>
      <c r="P25" t="s">
        <v>1302</v>
      </c>
      <c r="Q25" t="s">
        <v>1291</v>
      </c>
      <c r="R25" t="s">
        <v>1273</v>
      </c>
      <c r="S25" t="s">
        <v>1306</v>
      </c>
    </row>
    <row r="26" spans="1:19" s="203" customFormat="1" ht="15" customHeight="1">
      <c r="A26" s="203">
        <v>2</v>
      </c>
      <c r="B26" s="203" t="s">
        <v>39</v>
      </c>
      <c r="C26" s="203" t="s">
        <v>35</v>
      </c>
      <c r="D26" s="203" t="s">
        <v>20</v>
      </c>
      <c r="E26" s="203">
        <v>2</v>
      </c>
      <c r="G26" s="203">
        <v>1</v>
      </c>
      <c r="I26" s="203" t="s">
        <v>21</v>
      </c>
      <c r="J26" s="203" t="s">
        <v>61</v>
      </c>
      <c r="K26" s="203" t="s">
        <v>983</v>
      </c>
      <c r="M26" s="203" t="s">
        <v>1290</v>
      </c>
      <c r="O26" s="204">
        <v>1.59</v>
      </c>
      <c r="P26" s="320" t="s">
        <v>1292</v>
      </c>
      <c r="Q26" s="203" t="s">
        <v>1291</v>
      </c>
      <c r="R26" s="203" t="s">
        <v>1293</v>
      </c>
      <c r="S26" s="203" t="s">
        <v>1294</v>
      </c>
    </row>
    <row r="27" spans="1:19" s="203" customFormat="1">
      <c r="A27" s="203">
        <v>2</v>
      </c>
      <c r="B27" s="203" t="s">
        <v>39</v>
      </c>
      <c r="C27" s="203" t="s">
        <v>35</v>
      </c>
      <c r="D27" s="203" t="s">
        <v>20</v>
      </c>
      <c r="E27" s="203">
        <v>2</v>
      </c>
      <c r="G27" s="203">
        <v>1</v>
      </c>
      <c r="I27" s="203" t="s">
        <v>21</v>
      </c>
      <c r="J27" s="203" t="s">
        <v>61</v>
      </c>
      <c r="K27" s="203" t="s">
        <v>983</v>
      </c>
      <c r="M27" s="203" t="s">
        <v>1295</v>
      </c>
      <c r="O27" s="204">
        <v>11.88</v>
      </c>
      <c r="P27" s="203" t="s">
        <v>1296</v>
      </c>
      <c r="Q27" s="203" t="s">
        <v>1291</v>
      </c>
      <c r="R27" s="203" t="s">
        <v>1293</v>
      </c>
      <c r="S27" s="203" t="s">
        <v>1294</v>
      </c>
    </row>
    <row r="28" spans="1:19" s="203" customFormat="1">
      <c r="A28" s="203">
        <v>2</v>
      </c>
      <c r="B28" s="203" t="s">
        <v>39</v>
      </c>
      <c r="C28" s="203" t="s">
        <v>35</v>
      </c>
      <c r="D28" s="203" t="s">
        <v>20</v>
      </c>
      <c r="E28" s="203">
        <v>2</v>
      </c>
      <c r="G28" s="203">
        <v>1</v>
      </c>
      <c r="I28" s="203" t="s">
        <v>21</v>
      </c>
      <c r="J28" s="203" t="s">
        <v>61</v>
      </c>
      <c r="K28" s="203" t="s">
        <v>983</v>
      </c>
      <c r="M28" s="203" t="s">
        <v>1297</v>
      </c>
      <c r="O28" s="204">
        <v>10.220000000000001</v>
      </c>
      <c r="P28" s="203" t="s">
        <v>1298</v>
      </c>
      <c r="Q28" s="203" t="s">
        <v>1291</v>
      </c>
      <c r="R28" s="203" t="s">
        <v>1293</v>
      </c>
      <c r="S28" s="203" t="s">
        <v>1294</v>
      </c>
    </row>
    <row r="29" spans="1:19" s="203" customFormat="1">
      <c r="A29" s="203">
        <v>2</v>
      </c>
      <c r="B29" s="203" t="s">
        <v>39</v>
      </c>
      <c r="C29" s="203" t="s">
        <v>35</v>
      </c>
      <c r="D29" s="203" t="s">
        <v>20</v>
      </c>
      <c r="E29" s="203">
        <v>2</v>
      </c>
      <c r="G29" s="203">
        <v>1</v>
      </c>
      <c r="I29" s="203" t="s">
        <v>21</v>
      </c>
      <c r="J29" s="203" t="s">
        <v>61</v>
      </c>
      <c r="K29" s="203" t="s">
        <v>1214</v>
      </c>
      <c r="M29" s="203" t="s">
        <v>1299</v>
      </c>
      <c r="O29" s="204">
        <v>2.39</v>
      </c>
      <c r="Q29" s="203" t="s">
        <v>1300</v>
      </c>
      <c r="R29" s="203" t="s">
        <v>1293</v>
      </c>
      <c r="S29" s="203" t="s">
        <v>1294</v>
      </c>
    </row>
    <row r="30" spans="1:19" s="203" customFormat="1">
      <c r="A30" s="203">
        <v>2</v>
      </c>
      <c r="B30" s="203" t="s">
        <v>39</v>
      </c>
      <c r="C30" s="203" t="s">
        <v>35</v>
      </c>
      <c r="D30" s="203" t="s">
        <v>20</v>
      </c>
      <c r="E30" s="203">
        <v>2</v>
      </c>
      <c r="G30" s="203">
        <v>1</v>
      </c>
      <c r="I30" s="203" t="s">
        <v>21</v>
      </c>
      <c r="J30" s="203" t="s">
        <v>61</v>
      </c>
      <c r="K30" s="203" t="s">
        <v>983</v>
      </c>
      <c r="M30" s="203" t="s">
        <v>1279</v>
      </c>
      <c r="O30" s="204">
        <v>0.65</v>
      </c>
      <c r="Q30" s="203" t="s">
        <v>1300</v>
      </c>
      <c r="R30" s="203" t="s">
        <v>1293</v>
      </c>
      <c r="S30" s="203" t="s">
        <v>1294</v>
      </c>
    </row>
    <row r="31" spans="1:19" s="203" customFormat="1">
      <c r="A31" s="203">
        <v>2</v>
      </c>
      <c r="B31" s="203" t="s">
        <v>39</v>
      </c>
      <c r="C31" s="203" t="s">
        <v>35</v>
      </c>
      <c r="D31" s="203" t="s">
        <v>20</v>
      </c>
      <c r="E31" s="203">
        <v>2</v>
      </c>
      <c r="G31" s="203">
        <v>1</v>
      </c>
      <c r="I31" s="203" t="s">
        <v>21</v>
      </c>
      <c r="J31" s="203" t="s">
        <v>1281</v>
      </c>
      <c r="K31" s="203" t="s">
        <v>1282</v>
      </c>
      <c r="M31" s="203" t="s">
        <v>1301</v>
      </c>
      <c r="O31" s="204">
        <v>0.51</v>
      </c>
      <c r="P31" s="203" t="s">
        <v>1302</v>
      </c>
      <c r="Q31" s="203" t="s">
        <v>1291</v>
      </c>
      <c r="R31" s="203" t="s">
        <v>1273</v>
      </c>
      <c r="S31" s="203" t="s">
        <v>1294</v>
      </c>
    </row>
    <row r="32" spans="1:19" s="203" customFormat="1">
      <c r="A32" s="203">
        <v>2</v>
      </c>
      <c r="B32" s="203" t="s">
        <v>39</v>
      </c>
      <c r="C32" s="203" t="s">
        <v>35</v>
      </c>
      <c r="D32" s="203" t="s">
        <v>20</v>
      </c>
      <c r="E32" s="203">
        <v>3</v>
      </c>
      <c r="G32" s="203">
        <v>1</v>
      </c>
      <c r="I32" s="203" t="s">
        <v>21</v>
      </c>
      <c r="J32" s="203" t="s">
        <v>61</v>
      </c>
      <c r="K32" s="203" t="s">
        <v>983</v>
      </c>
      <c r="M32" s="203" t="s">
        <v>1290</v>
      </c>
      <c r="O32" s="204">
        <v>1.91</v>
      </c>
      <c r="P32" s="203" t="s">
        <v>1303</v>
      </c>
      <c r="Q32" s="203" t="s">
        <v>1291</v>
      </c>
      <c r="R32" s="203" t="s">
        <v>1293</v>
      </c>
      <c r="S32" s="203" t="s">
        <v>1304</v>
      </c>
    </row>
    <row r="33" spans="1:19" s="203" customFormat="1">
      <c r="A33" s="203">
        <v>2</v>
      </c>
      <c r="B33" s="203" t="s">
        <v>39</v>
      </c>
      <c r="C33" s="203" t="s">
        <v>35</v>
      </c>
      <c r="D33" s="203" t="s">
        <v>20</v>
      </c>
      <c r="E33" s="203">
        <v>3</v>
      </c>
      <c r="G33" s="203">
        <v>1</v>
      </c>
      <c r="I33" s="203" t="s">
        <v>21</v>
      </c>
      <c r="J33" s="203" t="s">
        <v>61</v>
      </c>
      <c r="K33" s="203" t="s">
        <v>983</v>
      </c>
      <c r="M33" s="203" t="s">
        <v>1295</v>
      </c>
      <c r="O33" s="204">
        <v>14.32</v>
      </c>
      <c r="P33" s="203" t="s">
        <v>1296</v>
      </c>
      <c r="Q33" s="203" t="s">
        <v>1291</v>
      </c>
      <c r="R33" s="203" t="s">
        <v>1293</v>
      </c>
      <c r="S33" s="203" t="s">
        <v>1304</v>
      </c>
    </row>
    <row r="34" spans="1:19" s="203" customFormat="1">
      <c r="A34" s="203">
        <v>2</v>
      </c>
      <c r="B34" s="203" t="s">
        <v>39</v>
      </c>
      <c r="C34" s="203" t="s">
        <v>35</v>
      </c>
      <c r="D34" s="203" t="s">
        <v>20</v>
      </c>
      <c r="E34" s="203">
        <v>3</v>
      </c>
      <c r="G34" s="203">
        <v>1</v>
      </c>
      <c r="I34" s="203" t="s">
        <v>21</v>
      </c>
      <c r="J34" s="203" t="s">
        <v>61</v>
      </c>
      <c r="K34" s="203" t="s">
        <v>983</v>
      </c>
      <c r="M34" s="203" t="s">
        <v>1297</v>
      </c>
      <c r="O34" s="204">
        <v>12.31</v>
      </c>
      <c r="P34" s="203" t="s">
        <v>1298</v>
      </c>
      <c r="Q34" s="203" t="s">
        <v>1291</v>
      </c>
      <c r="R34" s="203" t="s">
        <v>1293</v>
      </c>
      <c r="S34" s="203" t="s">
        <v>1304</v>
      </c>
    </row>
    <row r="35" spans="1:19" s="203" customFormat="1">
      <c r="A35" s="203">
        <v>2</v>
      </c>
      <c r="B35" s="203" t="s">
        <v>39</v>
      </c>
      <c r="C35" s="203" t="s">
        <v>35</v>
      </c>
      <c r="D35" s="203" t="s">
        <v>20</v>
      </c>
      <c r="E35" s="203">
        <v>3</v>
      </c>
      <c r="G35" s="203">
        <v>1</v>
      </c>
      <c r="I35" s="203" t="s">
        <v>21</v>
      </c>
      <c r="J35" s="203" t="s">
        <v>61</v>
      </c>
      <c r="K35" s="203" t="s">
        <v>1214</v>
      </c>
      <c r="M35" s="203" t="s">
        <v>1299</v>
      </c>
      <c r="O35" s="204">
        <v>2.88</v>
      </c>
      <c r="Q35" s="203" t="s">
        <v>1300</v>
      </c>
      <c r="R35" s="203" t="s">
        <v>1293</v>
      </c>
      <c r="S35" s="203" t="s">
        <v>1304</v>
      </c>
    </row>
    <row r="36" spans="1:19" s="203" customFormat="1">
      <c r="A36" s="203">
        <v>2</v>
      </c>
      <c r="B36" s="203" t="s">
        <v>39</v>
      </c>
      <c r="C36" s="203" t="s">
        <v>35</v>
      </c>
      <c r="D36" s="203" t="s">
        <v>20</v>
      </c>
      <c r="E36" s="203">
        <v>3</v>
      </c>
      <c r="G36" s="203">
        <v>1</v>
      </c>
      <c r="I36" s="203" t="s">
        <v>21</v>
      </c>
      <c r="J36" s="203" t="s">
        <v>61</v>
      </c>
      <c r="K36" s="203" t="s">
        <v>983</v>
      </c>
      <c r="M36" s="203" t="s">
        <v>1279</v>
      </c>
      <c r="O36" s="204">
        <v>0.78</v>
      </c>
      <c r="Q36" s="203" t="s">
        <v>1300</v>
      </c>
      <c r="R36" s="203" t="s">
        <v>1293</v>
      </c>
      <c r="S36" s="203" t="s">
        <v>1304</v>
      </c>
    </row>
    <row r="37" spans="1:19" s="203" customFormat="1">
      <c r="A37" s="203">
        <v>2</v>
      </c>
      <c r="B37" s="203" t="s">
        <v>39</v>
      </c>
      <c r="C37" s="203" t="s">
        <v>35</v>
      </c>
      <c r="D37" s="203" t="s">
        <v>20</v>
      </c>
      <c r="E37" s="203">
        <v>3</v>
      </c>
      <c r="G37" s="203">
        <v>1</v>
      </c>
      <c r="I37" s="203" t="s">
        <v>21</v>
      </c>
      <c r="J37" s="203" t="s">
        <v>1281</v>
      </c>
      <c r="K37" s="203" t="s">
        <v>1282</v>
      </c>
      <c r="M37" s="203" t="s">
        <v>1301</v>
      </c>
      <c r="O37" s="204">
        <v>0.61</v>
      </c>
      <c r="P37" s="203" t="s">
        <v>1302</v>
      </c>
      <c r="Q37" s="203" t="s">
        <v>1291</v>
      </c>
      <c r="R37" s="203" t="s">
        <v>1273</v>
      </c>
      <c r="S37" s="203" t="s">
        <v>1304</v>
      </c>
    </row>
    <row r="38" spans="1:19" s="203" customFormat="1">
      <c r="A38" s="203">
        <v>2</v>
      </c>
      <c r="B38" s="203" t="s">
        <v>39</v>
      </c>
      <c r="C38" s="203" t="s">
        <v>35</v>
      </c>
      <c r="D38" s="203" t="s">
        <v>20</v>
      </c>
      <c r="E38" s="203">
        <v>4</v>
      </c>
      <c r="G38" s="203">
        <v>1</v>
      </c>
      <c r="I38" s="203" t="s">
        <v>21</v>
      </c>
      <c r="J38" s="203" t="s">
        <v>61</v>
      </c>
      <c r="K38" s="203" t="s">
        <v>983</v>
      </c>
      <c r="M38" s="203" t="s">
        <v>1290</v>
      </c>
      <c r="O38" s="204">
        <v>2.38</v>
      </c>
      <c r="P38" s="203" t="s">
        <v>1303</v>
      </c>
      <c r="Q38" s="203" t="s">
        <v>1291</v>
      </c>
      <c r="R38" s="203" t="s">
        <v>1293</v>
      </c>
      <c r="S38" s="203" t="s">
        <v>1305</v>
      </c>
    </row>
    <row r="39" spans="1:19" s="203" customFormat="1">
      <c r="A39" s="203">
        <v>2</v>
      </c>
      <c r="B39" s="203" t="s">
        <v>39</v>
      </c>
      <c r="C39" s="203" t="s">
        <v>35</v>
      </c>
      <c r="D39" s="203" t="s">
        <v>20</v>
      </c>
      <c r="E39" s="203">
        <v>4</v>
      </c>
      <c r="G39" s="203">
        <v>1</v>
      </c>
      <c r="I39" s="203" t="s">
        <v>21</v>
      </c>
      <c r="J39" s="203" t="s">
        <v>61</v>
      </c>
      <c r="K39" s="203" t="s">
        <v>983</v>
      </c>
      <c r="M39" s="203" t="s">
        <v>1295</v>
      </c>
      <c r="O39" s="204">
        <v>17.84</v>
      </c>
      <c r="P39" s="203" t="s">
        <v>1296</v>
      </c>
      <c r="Q39" s="203" t="s">
        <v>1291</v>
      </c>
      <c r="R39" s="203" t="s">
        <v>1293</v>
      </c>
      <c r="S39" s="203" t="s">
        <v>1305</v>
      </c>
    </row>
    <row r="40" spans="1:19" s="203" customFormat="1">
      <c r="A40" s="203">
        <v>2</v>
      </c>
      <c r="B40" s="203" t="s">
        <v>39</v>
      </c>
      <c r="C40" s="203" t="s">
        <v>35</v>
      </c>
      <c r="D40" s="203" t="s">
        <v>20</v>
      </c>
      <c r="E40" s="203">
        <v>4</v>
      </c>
      <c r="G40" s="203">
        <v>1</v>
      </c>
      <c r="I40" s="203" t="s">
        <v>21</v>
      </c>
      <c r="J40" s="203" t="s">
        <v>61</v>
      </c>
      <c r="K40" s="203" t="s">
        <v>983</v>
      </c>
      <c r="M40" s="203" t="s">
        <v>1297</v>
      </c>
      <c r="O40" s="204">
        <v>15.34</v>
      </c>
      <c r="P40" s="203" t="s">
        <v>1298</v>
      </c>
      <c r="Q40" s="203" t="s">
        <v>1291</v>
      </c>
      <c r="R40" s="203" t="s">
        <v>1293</v>
      </c>
      <c r="S40" s="203" t="s">
        <v>1305</v>
      </c>
    </row>
    <row r="41" spans="1:19" s="203" customFormat="1">
      <c r="A41" s="203">
        <v>2</v>
      </c>
      <c r="B41" s="203" t="s">
        <v>39</v>
      </c>
      <c r="C41" s="203" t="s">
        <v>35</v>
      </c>
      <c r="D41" s="203" t="s">
        <v>20</v>
      </c>
      <c r="E41" s="203">
        <v>4</v>
      </c>
      <c r="G41" s="203">
        <v>1</v>
      </c>
      <c r="I41" s="203" t="s">
        <v>21</v>
      </c>
      <c r="J41" s="203" t="s">
        <v>61</v>
      </c>
      <c r="K41" s="203" t="s">
        <v>1214</v>
      </c>
      <c r="M41" s="203" t="s">
        <v>1299</v>
      </c>
      <c r="O41" s="204">
        <v>3.59</v>
      </c>
      <c r="Q41" s="203" t="s">
        <v>1300</v>
      </c>
      <c r="R41" s="203" t="s">
        <v>1293</v>
      </c>
      <c r="S41" s="203" t="s">
        <v>1305</v>
      </c>
    </row>
    <row r="42" spans="1:19" s="203" customFormat="1">
      <c r="A42" s="203">
        <v>2</v>
      </c>
      <c r="B42" s="203" t="s">
        <v>39</v>
      </c>
      <c r="C42" s="203" t="s">
        <v>35</v>
      </c>
      <c r="D42" s="203" t="s">
        <v>20</v>
      </c>
      <c r="E42" s="203">
        <v>4</v>
      </c>
      <c r="G42" s="203">
        <v>1</v>
      </c>
      <c r="I42" s="203" t="s">
        <v>21</v>
      </c>
      <c r="J42" s="203" t="s">
        <v>61</v>
      </c>
      <c r="K42" s="203" t="s">
        <v>983</v>
      </c>
      <c r="M42" s="203" t="s">
        <v>1279</v>
      </c>
      <c r="O42" s="204">
        <v>0.98</v>
      </c>
      <c r="Q42" s="203" t="s">
        <v>1300</v>
      </c>
      <c r="R42" s="203" t="s">
        <v>1293</v>
      </c>
      <c r="S42" s="203" t="s">
        <v>1305</v>
      </c>
    </row>
    <row r="43" spans="1:19" s="203" customFormat="1">
      <c r="A43" s="203">
        <v>2</v>
      </c>
      <c r="B43" s="203" t="s">
        <v>39</v>
      </c>
      <c r="C43" s="203" t="s">
        <v>35</v>
      </c>
      <c r="D43" s="203" t="s">
        <v>20</v>
      </c>
      <c r="E43" s="203">
        <v>4</v>
      </c>
      <c r="G43" s="203">
        <v>1</v>
      </c>
      <c r="I43" s="203" t="s">
        <v>21</v>
      </c>
      <c r="J43" s="203" t="s">
        <v>1281</v>
      </c>
      <c r="K43" s="203" t="s">
        <v>1282</v>
      </c>
      <c r="M43" s="203" t="s">
        <v>1301</v>
      </c>
      <c r="O43" s="204">
        <v>0.76</v>
      </c>
      <c r="P43" s="203" t="s">
        <v>1302</v>
      </c>
      <c r="Q43" s="203" t="s">
        <v>1291</v>
      </c>
      <c r="R43" s="203" t="s">
        <v>1273</v>
      </c>
      <c r="S43" s="203" t="s">
        <v>1305</v>
      </c>
    </row>
    <row r="44" spans="1:19" s="203" customFormat="1">
      <c r="A44" s="203">
        <v>2</v>
      </c>
      <c r="B44" s="203" t="s">
        <v>39</v>
      </c>
      <c r="C44" s="203" t="s">
        <v>35</v>
      </c>
      <c r="D44" s="203" t="s">
        <v>20</v>
      </c>
      <c r="E44" s="203">
        <v>5</v>
      </c>
      <c r="G44" s="203">
        <v>1</v>
      </c>
      <c r="I44" s="203" t="s">
        <v>21</v>
      </c>
      <c r="J44" s="203" t="s">
        <v>61</v>
      </c>
      <c r="K44" s="203" t="s">
        <v>983</v>
      </c>
      <c r="M44" s="203" t="s">
        <v>1290</v>
      </c>
      <c r="O44" s="204">
        <v>2.73</v>
      </c>
      <c r="P44" s="203" t="s">
        <v>1303</v>
      </c>
      <c r="Q44" s="203" t="s">
        <v>1291</v>
      </c>
      <c r="R44" s="203" t="s">
        <v>1293</v>
      </c>
      <c r="S44" s="203" t="s">
        <v>1306</v>
      </c>
    </row>
    <row r="45" spans="1:19" s="203" customFormat="1">
      <c r="A45" s="203">
        <v>2</v>
      </c>
      <c r="B45" s="203" t="s">
        <v>39</v>
      </c>
      <c r="C45" s="203" t="s">
        <v>35</v>
      </c>
      <c r="D45" s="203" t="s">
        <v>20</v>
      </c>
      <c r="E45" s="203">
        <v>5</v>
      </c>
      <c r="G45" s="203">
        <v>1</v>
      </c>
      <c r="I45" s="203" t="s">
        <v>21</v>
      </c>
      <c r="J45" s="203" t="s">
        <v>61</v>
      </c>
      <c r="K45" s="203" t="s">
        <v>983</v>
      </c>
      <c r="M45" s="203" t="s">
        <v>1295</v>
      </c>
      <c r="O45" s="204">
        <v>20.41</v>
      </c>
      <c r="P45" s="203" t="s">
        <v>1296</v>
      </c>
      <c r="Q45" s="203" t="s">
        <v>1291</v>
      </c>
      <c r="R45" s="203" t="s">
        <v>1293</v>
      </c>
      <c r="S45" s="203" t="s">
        <v>1306</v>
      </c>
    </row>
    <row r="46" spans="1:19" s="203" customFormat="1">
      <c r="A46" s="203">
        <v>2</v>
      </c>
      <c r="B46" s="203" t="s">
        <v>39</v>
      </c>
      <c r="C46" s="203" t="s">
        <v>35</v>
      </c>
      <c r="D46" s="203" t="s">
        <v>20</v>
      </c>
      <c r="E46" s="203">
        <v>5</v>
      </c>
      <c r="G46" s="203">
        <v>1</v>
      </c>
      <c r="I46" s="203" t="s">
        <v>21</v>
      </c>
      <c r="J46" s="203" t="s">
        <v>61</v>
      </c>
      <c r="K46" s="203" t="s">
        <v>983</v>
      </c>
      <c r="M46" s="203" t="s">
        <v>1297</v>
      </c>
      <c r="O46" s="204">
        <v>17.55</v>
      </c>
      <c r="P46" s="203" t="s">
        <v>1298</v>
      </c>
      <c r="Q46" s="203" t="s">
        <v>1291</v>
      </c>
      <c r="R46" s="203" t="s">
        <v>1293</v>
      </c>
      <c r="S46" s="203" t="s">
        <v>1306</v>
      </c>
    </row>
    <row r="47" spans="1:19" s="203" customFormat="1">
      <c r="A47" s="203">
        <v>2</v>
      </c>
      <c r="B47" s="203" t="s">
        <v>39</v>
      </c>
      <c r="C47" s="203" t="s">
        <v>35</v>
      </c>
      <c r="D47" s="203" t="s">
        <v>20</v>
      </c>
      <c r="E47" s="203">
        <v>5</v>
      </c>
      <c r="G47" s="203">
        <v>1</v>
      </c>
      <c r="I47" s="203" t="s">
        <v>21</v>
      </c>
      <c r="J47" s="203" t="s">
        <v>61</v>
      </c>
      <c r="K47" s="203" t="s">
        <v>1214</v>
      </c>
      <c r="M47" s="203" t="s">
        <v>1299</v>
      </c>
      <c r="O47" s="204">
        <v>4.1100000000000003</v>
      </c>
      <c r="Q47" s="203" t="s">
        <v>1300</v>
      </c>
      <c r="R47" s="203" t="s">
        <v>1293</v>
      </c>
      <c r="S47" s="203" t="s">
        <v>1306</v>
      </c>
    </row>
    <row r="48" spans="1:19" s="203" customFormat="1">
      <c r="A48" s="203">
        <v>2</v>
      </c>
      <c r="B48" s="203" t="s">
        <v>39</v>
      </c>
      <c r="C48" s="203" t="s">
        <v>35</v>
      </c>
      <c r="D48" s="203" t="s">
        <v>20</v>
      </c>
      <c r="E48" s="203">
        <v>5</v>
      </c>
      <c r="G48" s="203">
        <v>1</v>
      </c>
      <c r="I48" s="203" t="s">
        <v>21</v>
      </c>
      <c r="J48" s="203" t="s">
        <v>61</v>
      </c>
      <c r="K48" s="203" t="s">
        <v>983</v>
      </c>
      <c r="M48" s="203" t="s">
        <v>1279</v>
      </c>
      <c r="O48" s="204">
        <v>1.1200000000000001</v>
      </c>
      <c r="Q48" s="203" t="s">
        <v>1300</v>
      </c>
      <c r="R48" s="203" t="s">
        <v>1293</v>
      </c>
      <c r="S48" s="203" t="s">
        <v>1306</v>
      </c>
    </row>
    <row r="49" spans="1:19" s="203" customFormat="1">
      <c r="A49" s="203">
        <v>2</v>
      </c>
      <c r="B49" s="203" t="s">
        <v>39</v>
      </c>
      <c r="C49" s="203" t="s">
        <v>35</v>
      </c>
      <c r="D49" s="203" t="s">
        <v>20</v>
      </c>
      <c r="E49" s="203">
        <v>5</v>
      </c>
      <c r="G49" s="203">
        <v>1</v>
      </c>
      <c r="I49" s="203" t="s">
        <v>21</v>
      </c>
      <c r="J49" s="203" t="s">
        <v>1281</v>
      </c>
      <c r="K49" s="203" t="s">
        <v>1282</v>
      </c>
      <c r="M49" s="203" t="s">
        <v>1301</v>
      </c>
      <c r="O49" s="204">
        <v>0.87</v>
      </c>
      <c r="P49" s="203" t="s">
        <v>1302</v>
      </c>
      <c r="Q49" s="203" t="s">
        <v>1291</v>
      </c>
      <c r="R49" s="203" t="s">
        <v>1273</v>
      </c>
      <c r="S49" s="203" t="s">
        <v>1306</v>
      </c>
    </row>
  </sheetData>
  <autoFilter ref="A1:R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="80" zoomScaleNormal="80" workbookViewId="0">
      <pane ySplit="1" topLeftCell="A2" activePane="bottomLeft" state="frozen"/>
      <selection pane="bottomLeft" activeCell="K22" sqref="K22"/>
    </sheetView>
  </sheetViews>
  <sheetFormatPr defaultRowHeight="14.5"/>
  <cols>
    <col min="1" max="1" width="9.453125" bestFit="1" customWidth="1"/>
    <col min="2" max="2" width="19.1796875" bestFit="1" customWidth="1"/>
    <col min="3" max="4" width="19.81640625" bestFit="1" customWidth="1"/>
    <col min="5" max="5" width="20.26953125" bestFit="1" customWidth="1"/>
    <col min="6" max="6" width="16.453125" bestFit="1" customWidth="1"/>
    <col min="7" max="7" width="8" bestFit="1" customWidth="1"/>
    <col min="8" max="8" width="15.26953125" bestFit="1" customWidth="1"/>
    <col min="9" max="9" width="13.1796875" bestFit="1" customWidth="1"/>
    <col min="10" max="10" width="19.54296875" bestFit="1" customWidth="1"/>
    <col min="11" max="11" width="20.1796875" bestFit="1" customWidth="1"/>
    <col min="12" max="12" width="17.26953125" bestFit="1" customWidth="1"/>
    <col min="13" max="13" width="31" bestFit="1" customWidth="1"/>
    <col min="14" max="14" width="16.26953125" bestFit="1" customWidth="1"/>
    <col min="15" max="15" width="10.1796875" bestFit="1" customWidth="1"/>
    <col min="16" max="16" width="104.81640625" bestFit="1" customWidth="1"/>
    <col min="17" max="17" width="14.1796875" bestFit="1" customWidth="1"/>
    <col min="18" max="18" width="99.816406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t="29">
      <c r="A2">
        <v>2</v>
      </c>
      <c r="B2" t="s">
        <v>39</v>
      </c>
      <c r="C2" t="s">
        <v>19</v>
      </c>
      <c r="D2" t="s">
        <v>1250</v>
      </c>
      <c r="F2" t="s">
        <v>1251</v>
      </c>
      <c r="G2">
        <v>1</v>
      </c>
      <c r="I2" t="s">
        <v>21</v>
      </c>
      <c r="J2" t="s">
        <v>61</v>
      </c>
      <c r="K2" t="s">
        <v>1214</v>
      </c>
      <c r="M2" t="s">
        <v>1307</v>
      </c>
      <c r="O2" s="312">
        <v>11.31</v>
      </c>
      <c r="P2" s="319" t="s">
        <v>1308</v>
      </c>
    </row>
    <row r="3" spans="1:18">
      <c r="A3">
        <v>2</v>
      </c>
      <c r="B3" t="s">
        <v>39</v>
      </c>
      <c r="C3" t="s">
        <v>19</v>
      </c>
      <c r="D3" t="s">
        <v>1250</v>
      </c>
      <c r="F3" t="s">
        <v>1251</v>
      </c>
      <c r="G3">
        <v>1</v>
      </c>
      <c r="I3" t="s">
        <v>21</v>
      </c>
      <c r="J3" t="s">
        <v>61</v>
      </c>
      <c r="K3" t="s">
        <v>983</v>
      </c>
      <c r="M3" t="s">
        <v>1309</v>
      </c>
      <c r="O3" s="312">
        <v>3.07</v>
      </c>
      <c r="P3" t="s">
        <v>1310</v>
      </c>
    </row>
    <row r="4" spans="1:18">
      <c r="A4">
        <v>2</v>
      </c>
      <c r="B4" t="s">
        <v>39</v>
      </c>
      <c r="C4" t="s">
        <v>19</v>
      </c>
      <c r="D4" t="s">
        <v>1250</v>
      </c>
      <c r="F4" t="s">
        <v>1251</v>
      </c>
      <c r="G4">
        <v>1</v>
      </c>
      <c r="I4" t="s">
        <v>21</v>
      </c>
      <c r="J4" t="s">
        <v>61</v>
      </c>
      <c r="K4" t="s">
        <v>1214</v>
      </c>
      <c r="M4" t="s">
        <v>1311</v>
      </c>
      <c r="O4" s="312">
        <v>1.91</v>
      </c>
      <c r="P4" t="s">
        <v>1312</v>
      </c>
    </row>
    <row r="5" spans="1:18">
      <c r="A5">
        <v>2</v>
      </c>
      <c r="B5" t="s">
        <v>39</v>
      </c>
      <c r="C5" t="s">
        <v>19</v>
      </c>
      <c r="D5" t="s">
        <v>1250</v>
      </c>
      <c r="F5" t="s">
        <v>1251</v>
      </c>
      <c r="G5">
        <v>1</v>
      </c>
      <c r="I5" t="s">
        <v>21</v>
      </c>
      <c r="J5" t="s">
        <v>61</v>
      </c>
      <c r="K5" t="s">
        <v>1214</v>
      </c>
      <c r="M5" t="s">
        <v>1313</v>
      </c>
      <c r="O5" s="312">
        <v>3.81</v>
      </c>
      <c r="P5" t="s">
        <v>1314</v>
      </c>
    </row>
    <row r="6" spans="1:18">
      <c r="A6">
        <v>2</v>
      </c>
      <c r="B6" t="s">
        <v>39</v>
      </c>
      <c r="C6" t="s">
        <v>19</v>
      </c>
      <c r="D6" t="s">
        <v>1250</v>
      </c>
      <c r="F6" t="s">
        <v>1251</v>
      </c>
      <c r="G6">
        <v>1</v>
      </c>
      <c r="I6" t="s">
        <v>21</v>
      </c>
      <c r="J6" t="s">
        <v>1281</v>
      </c>
      <c r="K6" t="s">
        <v>26</v>
      </c>
      <c r="M6" t="s">
        <v>1315</v>
      </c>
      <c r="O6" s="312">
        <v>2.5</v>
      </c>
      <c r="P6" t="s">
        <v>1316</v>
      </c>
      <c r="R6" s="319"/>
    </row>
    <row r="7" spans="1:18" ht="29">
      <c r="A7">
        <v>2</v>
      </c>
      <c r="B7" t="s">
        <v>39</v>
      </c>
      <c r="C7" t="s">
        <v>19</v>
      </c>
      <c r="D7" t="s">
        <v>1250</v>
      </c>
      <c r="F7" t="s">
        <v>1251</v>
      </c>
      <c r="G7">
        <v>1</v>
      </c>
      <c r="I7" t="s">
        <v>21</v>
      </c>
      <c r="J7" t="s">
        <v>1281</v>
      </c>
      <c r="K7" t="s">
        <v>1282</v>
      </c>
      <c r="M7" t="s">
        <v>442</v>
      </c>
      <c r="O7" s="285">
        <f>1.48*0.52486</f>
        <v>0.77679279999999995</v>
      </c>
      <c r="P7" t="s">
        <v>1285</v>
      </c>
      <c r="R7" s="319" t="s">
        <v>1284</v>
      </c>
    </row>
    <row r="8" spans="1:18" ht="29">
      <c r="A8">
        <v>2</v>
      </c>
      <c r="B8" t="s">
        <v>39</v>
      </c>
      <c r="C8" t="s">
        <v>19</v>
      </c>
      <c r="D8" t="s">
        <v>1250</v>
      </c>
      <c r="F8" t="s">
        <v>1251</v>
      </c>
      <c r="G8">
        <v>1</v>
      </c>
      <c r="I8" t="s">
        <v>21</v>
      </c>
      <c r="J8" t="s">
        <v>1281</v>
      </c>
      <c r="K8" t="s">
        <v>408</v>
      </c>
      <c r="M8" t="s">
        <v>442</v>
      </c>
      <c r="O8" s="285">
        <f>10.1*0.52486</f>
        <v>5.3010859999999997</v>
      </c>
      <c r="P8" s="203" t="s">
        <v>1283</v>
      </c>
      <c r="R8" s="319" t="s">
        <v>1284</v>
      </c>
    </row>
    <row r="9" spans="1:18" ht="29">
      <c r="A9">
        <v>2</v>
      </c>
      <c r="B9" t="s">
        <v>39</v>
      </c>
      <c r="C9" t="s">
        <v>35</v>
      </c>
      <c r="D9" t="s">
        <v>1250</v>
      </c>
      <c r="F9" t="s">
        <v>1251</v>
      </c>
      <c r="G9">
        <v>1</v>
      </c>
      <c r="I9" t="s">
        <v>21</v>
      </c>
      <c r="J9" t="s">
        <v>61</v>
      </c>
      <c r="K9" t="s">
        <v>1214</v>
      </c>
      <c r="M9" t="s">
        <v>1307</v>
      </c>
      <c r="O9" s="312">
        <v>11.31</v>
      </c>
      <c r="P9" s="319" t="s">
        <v>1308</v>
      </c>
    </row>
    <row r="10" spans="1:18">
      <c r="A10">
        <v>2</v>
      </c>
      <c r="B10" t="s">
        <v>39</v>
      </c>
      <c r="C10" t="s">
        <v>35</v>
      </c>
      <c r="D10" t="s">
        <v>1250</v>
      </c>
      <c r="F10" t="s">
        <v>1251</v>
      </c>
      <c r="G10">
        <v>1</v>
      </c>
      <c r="I10" t="s">
        <v>21</v>
      </c>
      <c r="J10" t="s">
        <v>61</v>
      </c>
      <c r="K10" t="s">
        <v>983</v>
      </c>
      <c r="M10" t="s">
        <v>1309</v>
      </c>
      <c r="O10" s="312">
        <v>3.07</v>
      </c>
      <c r="P10" t="s">
        <v>1310</v>
      </c>
    </row>
    <row r="11" spans="1:18">
      <c r="A11">
        <v>2</v>
      </c>
      <c r="B11" t="s">
        <v>39</v>
      </c>
      <c r="C11" t="s">
        <v>35</v>
      </c>
      <c r="D11" t="s">
        <v>1250</v>
      </c>
      <c r="F11" t="s">
        <v>1251</v>
      </c>
      <c r="G11">
        <v>1</v>
      </c>
      <c r="I11" t="s">
        <v>21</v>
      </c>
      <c r="J11" t="s">
        <v>61</v>
      </c>
      <c r="K11" t="s">
        <v>1214</v>
      </c>
      <c r="M11" t="s">
        <v>1311</v>
      </c>
      <c r="O11" s="312">
        <v>1.91</v>
      </c>
      <c r="P11" t="s">
        <v>1312</v>
      </c>
    </row>
    <row r="12" spans="1:18">
      <c r="A12">
        <v>2</v>
      </c>
      <c r="B12" t="s">
        <v>39</v>
      </c>
      <c r="C12" t="s">
        <v>35</v>
      </c>
      <c r="D12" t="s">
        <v>1250</v>
      </c>
      <c r="F12" t="s">
        <v>1251</v>
      </c>
      <c r="G12">
        <v>1</v>
      </c>
      <c r="I12" t="s">
        <v>21</v>
      </c>
      <c r="J12" t="s">
        <v>61</v>
      </c>
      <c r="K12" t="s">
        <v>1214</v>
      </c>
      <c r="M12" t="s">
        <v>1313</v>
      </c>
      <c r="O12" s="312">
        <v>3.81</v>
      </c>
      <c r="P12" t="s">
        <v>1314</v>
      </c>
    </row>
    <row r="13" spans="1:18">
      <c r="A13">
        <v>2</v>
      </c>
      <c r="B13" t="s">
        <v>39</v>
      </c>
      <c r="C13" t="s">
        <v>35</v>
      </c>
      <c r="D13" t="s">
        <v>1250</v>
      </c>
      <c r="F13" t="s">
        <v>1251</v>
      </c>
      <c r="G13">
        <v>1</v>
      </c>
      <c r="I13" t="s">
        <v>21</v>
      </c>
      <c r="J13" t="s">
        <v>1281</v>
      </c>
      <c r="K13" t="s">
        <v>26</v>
      </c>
      <c r="M13" t="s">
        <v>1315</v>
      </c>
      <c r="O13" s="312">
        <v>2.5</v>
      </c>
      <c r="P13" t="s">
        <v>1316</v>
      </c>
      <c r="R13" s="319"/>
    </row>
    <row r="14" spans="1:18" ht="29">
      <c r="A14">
        <v>2</v>
      </c>
      <c r="B14" t="s">
        <v>39</v>
      </c>
      <c r="C14" t="s">
        <v>35</v>
      </c>
      <c r="D14" t="s">
        <v>1250</v>
      </c>
      <c r="F14" t="s">
        <v>1251</v>
      </c>
      <c r="G14">
        <v>1</v>
      </c>
      <c r="I14" t="s">
        <v>21</v>
      </c>
      <c r="J14" t="s">
        <v>1281</v>
      </c>
      <c r="K14" t="s">
        <v>1282</v>
      </c>
      <c r="M14" t="s">
        <v>442</v>
      </c>
      <c r="O14" s="285">
        <f>1.48*0.52486</f>
        <v>0.77679279999999995</v>
      </c>
      <c r="P14" t="s">
        <v>1285</v>
      </c>
      <c r="R14" s="319" t="s">
        <v>1284</v>
      </c>
    </row>
    <row r="15" spans="1:18" ht="29">
      <c r="A15">
        <v>2</v>
      </c>
      <c r="B15" t="s">
        <v>39</v>
      </c>
      <c r="C15" t="s">
        <v>35</v>
      </c>
      <c r="D15" t="s">
        <v>1250</v>
      </c>
      <c r="F15" t="s">
        <v>1251</v>
      </c>
      <c r="G15">
        <v>1</v>
      </c>
      <c r="I15" t="s">
        <v>21</v>
      </c>
      <c r="J15" t="s">
        <v>1281</v>
      </c>
      <c r="K15" t="s">
        <v>408</v>
      </c>
      <c r="M15" t="s">
        <v>442</v>
      </c>
      <c r="O15" s="285">
        <f>10.1*0.52486</f>
        <v>5.3010859999999997</v>
      </c>
      <c r="P15" s="203" t="s">
        <v>1283</v>
      </c>
      <c r="R15" s="319" t="s">
        <v>1284</v>
      </c>
    </row>
  </sheetData>
  <autoFilter ref="A1:R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zoomScale="80" zoomScaleNormal="80" workbookViewId="0">
      <pane ySplit="1" topLeftCell="A2" activePane="bottomLeft" state="frozen"/>
      <selection pane="bottomLeft" activeCell="M84" sqref="M84"/>
    </sheetView>
  </sheetViews>
  <sheetFormatPr defaultRowHeight="14.5"/>
  <cols>
    <col min="2" max="2" width="9.2695312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8" max="8" width="12.1796875" bestFit="1" customWidth="1"/>
    <col min="9" max="9" width="23.453125" bestFit="1" customWidth="1"/>
    <col min="10" max="10" width="16.1796875" bestFit="1" customWidth="1"/>
    <col min="11" max="11" width="17" bestFit="1" customWidth="1"/>
    <col min="12" max="12" width="14.453125" bestFit="1" customWidth="1"/>
    <col min="13" max="13" width="45" bestFit="1" customWidth="1"/>
    <col min="14" max="14" width="12.81640625" bestFit="1" customWidth="1"/>
    <col min="15" max="15" width="8.81640625" bestFit="1" customWidth="1"/>
    <col min="16" max="16" width="68.1796875" customWidth="1"/>
    <col min="17" max="17" width="12.1796875" customWidth="1"/>
    <col min="18" max="18" width="63.81640625" bestFit="1" customWidth="1"/>
    <col min="19" max="19" width="46.81640625" customWidth="1"/>
    <col min="24" max="24" width="15.453125" customWidth="1"/>
  </cols>
  <sheetData>
    <row r="1" spans="1:24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5</v>
      </c>
      <c r="B2" t="s">
        <v>59</v>
      </c>
      <c r="G2">
        <v>1</v>
      </c>
      <c r="I2" t="s">
        <v>60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</row>
    <row r="3" spans="1:24">
      <c r="A3">
        <v>5</v>
      </c>
      <c r="B3" t="s">
        <v>59</v>
      </c>
      <c r="G3">
        <v>1</v>
      </c>
      <c r="I3" t="s">
        <v>60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</row>
    <row r="4" spans="1:24">
      <c r="A4">
        <v>5</v>
      </c>
      <c r="B4" t="s">
        <v>59</v>
      </c>
      <c r="G4">
        <v>1</v>
      </c>
      <c r="I4" t="s">
        <v>60</v>
      </c>
      <c r="J4" t="s">
        <v>61</v>
      </c>
      <c r="K4" t="s">
        <v>408</v>
      </c>
      <c r="L4" t="s">
        <v>32</v>
      </c>
      <c r="M4" t="s">
        <v>90</v>
      </c>
      <c r="O4" s="1">
        <f>U16</f>
        <v>9.1999999999999993</v>
      </c>
      <c r="P4" t="s">
        <v>76</v>
      </c>
      <c r="R4" t="s">
        <v>75</v>
      </c>
    </row>
    <row r="5" spans="1:24">
      <c r="A5">
        <v>5</v>
      </c>
      <c r="B5" t="s">
        <v>59</v>
      </c>
      <c r="G5">
        <v>1</v>
      </c>
      <c r="I5" t="s">
        <v>60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5</v>
      </c>
      <c r="B6" t="s">
        <v>59</v>
      </c>
      <c r="G6">
        <v>1</v>
      </c>
      <c r="I6" t="s">
        <v>60</v>
      </c>
      <c r="J6" t="s">
        <v>61</v>
      </c>
      <c r="K6" t="s">
        <v>408</v>
      </c>
      <c r="L6" t="s">
        <v>32</v>
      </c>
      <c r="M6" t="s">
        <v>162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5</v>
      </c>
      <c r="B7" t="s">
        <v>59</v>
      </c>
      <c r="G7">
        <v>1</v>
      </c>
      <c r="I7" t="s">
        <v>60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5</v>
      </c>
      <c r="B8" t="s">
        <v>59</v>
      </c>
      <c r="G8">
        <v>1</v>
      </c>
      <c r="I8" t="s">
        <v>60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5</v>
      </c>
      <c r="B9" t="s">
        <v>59</v>
      </c>
      <c r="G9">
        <v>1</v>
      </c>
      <c r="I9" t="s">
        <v>60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" thickBot="1">
      <c r="A10">
        <v>5</v>
      </c>
      <c r="B10" t="s">
        <v>59</v>
      </c>
      <c r="G10">
        <v>1</v>
      </c>
      <c r="I10" t="s">
        <v>60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" thickTop="1">
      <c r="A11">
        <v>5</v>
      </c>
      <c r="B11" t="s">
        <v>59</v>
      </c>
      <c r="G11">
        <v>1</v>
      </c>
      <c r="I11" t="s">
        <v>60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5">
      <c r="A12">
        <v>5</v>
      </c>
      <c r="B12" t="s">
        <v>59</v>
      </c>
      <c r="G12">
        <v>1</v>
      </c>
      <c r="I12" t="s">
        <v>60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247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5</v>
      </c>
      <c r="B13" t="s">
        <v>59</v>
      </c>
      <c r="G13">
        <v>1</v>
      </c>
      <c r="I13" t="s">
        <v>60</v>
      </c>
      <c r="J13" t="s">
        <v>61</v>
      </c>
      <c r="K13" t="s">
        <v>71</v>
      </c>
      <c r="L13" t="s">
        <v>33</v>
      </c>
      <c r="M13" t="s">
        <v>63</v>
      </c>
      <c r="O13" s="1">
        <f>T41*T42</f>
        <v>14.524999999999999</v>
      </c>
      <c r="P13" t="s">
        <v>248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 s="203">
        <v>5</v>
      </c>
      <c r="B14" s="203" t="s">
        <v>59</v>
      </c>
      <c r="C14" s="203"/>
      <c r="D14" s="203"/>
      <c r="E14" s="203"/>
      <c r="F14" s="203"/>
      <c r="G14" s="203">
        <v>1</v>
      </c>
      <c r="H14" s="203"/>
      <c r="I14" s="203" t="s">
        <v>60</v>
      </c>
      <c r="J14" s="203" t="s">
        <v>61</v>
      </c>
      <c r="K14" t="s">
        <v>71</v>
      </c>
      <c r="L14" t="s">
        <v>33</v>
      </c>
      <c r="M14" s="203" t="s">
        <v>64</v>
      </c>
      <c r="N14" s="203"/>
      <c r="O14" s="204">
        <f>T47*T51</f>
        <v>38.712499999999999</v>
      </c>
      <c r="P14" s="203" t="s">
        <v>249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5</v>
      </c>
      <c r="B15" t="s">
        <v>59</v>
      </c>
      <c r="G15">
        <v>1</v>
      </c>
      <c r="I15" t="s">
        <v>60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5</v>
      </c>
      <c r="B16" t="s">
        <v>59</v>
      </c>
      <c r="G16">
        <v>1</v>
      </c>
      <c r="I16" t="s">
        <v>60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5</v>
      </c>
      <c r="B17" t="s">
        <v>59</v>
      </c>
      <c r="G17">
        <v>1</v>
      </c>
      <c r="H17" s="265">
        <v>10</v>
      </c>
      <c r="I17" t="s">
        <v>60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1132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5</v>
      </c>
      <c r="B18" t="s">
        <v>59</v>
      </c>
      <c r="G18">
        <v>1</v>
      </c>
      <c r="H18" s="265">
        <v>13</v>
      </c>
      <c r="I18" t="s">
        <v>60</v>
      </c>
      <c r="J18" t="s">
        <v>29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1127</v>
      </c>
      <c r="Q18" t="s">
        <v>987</v>
      </c>
      <c r="S18" s="90"/>
      <c r="T18" s="91"/>
      <c r="U18" s="96"/>
      <c r="V18" s="96"/>
      <c r="W18" s="33"/>
      <c r="X18" s="94"/>
    </row>
    <row r="19" spans="1:24">
      <c r="A19">
        <v>5</v>
      </c>
      <c r="B19" t="s">
        <v>59</v>
      </c>
      <c r="G19">
        <v>1</v>
      </c>
      <c r="H19" s="265">
        <v>16</v>
      </c>
      <c r="I19" t="s">
        <v>60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1128</v>
      </c>
      <c r="Q19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5</v>
      </c>
      <c r="B20" t="s">
        <v>59</v>
      </c>
      <c r="G20">
        <v>1</v>
      </c>
      <c r="H20" s="265"/>
      <c r="I20" t="s">
        <v>60</v>
      </c>
      <c r="J20" t="s">
        <v>29</v>
      </c>
      <c r="K20" t="s">
        <v>408</v>
      </c>
      <c r="L20" t="s">
        <v>32</v>
      </c>
      <c r="M20" t="s">
        <v>237</v>
      </c>
      <c r="N20" s="265"/>
      <c r="O20" s="1">
        <f>U66*T9</f>
        <v>11</v>
      </c>
      <c r="P20" t="s">
        <v>250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5</v>
      </c>
      <c r="B21" t="s">
        <v>59</v>
      </c>
      <c r="G21">
        <v>1</v>
      </c>
      <c r="H21" s="265"/>
      <c r="I21" t="s">
        <v>60</v>
      </c>
      <c r="J21" t="s">
        <v>29</v>
      </c>
      <c r="K21" t="s">
        <v>408</v>
      </c>
      <c r="L21" t="s">
        <v>33</v>
      </c>
      <c r="M21" t="s">
        <v>237</v>
      </c>
      <c r="N21" s="265"/>
      <c r="O21" s="1">
        <f>V66*T9</f>
        <v>8.6</v>
      </c>
      <c r="P21" t="s">
        <v>255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5</v>
      </c>
      <c r="B22" t="s">
        <v>59</v>
      </c>
      <c r="G22">
        <v>1</v>
      </c>
      <c r="H22" s="265"/>
      <c r="I22" t="s">
        <v>60</v>
      </c>
      <c r="J22" t="s">
        <v>29</v>
      </c>
      <c r="K22" t="s">
        <v>408</v>
      </c>
      <c r="L22" t="s">
        <v>32</v>
      </c>
      <c r="M22" t="s">
        <v>238</v>
      </c>
      <c r="N22" s="265"/>
      <c r="O22" s="1">
        <f>U67*T9</f>
        <v>6.2</v>
      </c>
      <c r="P22" t="s">
        <v>256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5</v>
      </c>
      <c r="B23" t="s">
        <v>59</v>
      </c>
      <c r="G23">
        <v>1</v>
      </c>
      <c r="H23" s="265"/>
      <c r="I23" t="s">
        <v>60</v>
      </c>
      <c r="J23" t="s">
        <v>29</v>
      </c>
      <c r="K23" t="s">
        <v>408</v>
      </c>
      <c r="L23" t="s">
        <v>33</v>
      </c>
      <c r="M23" t="s">
        <v>238</v>
      </c>
      <c r="N23" s="265"/>
      <c r="O23" s="1">
        <f>V67*T9</f>
        <v>4</v>
      </c>
      <c r="P23" t="s">
        <v>251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5</v>
      </c>
      <c r="B24" t="s">
        <v>59</v>
      </c>
      <c r="G24">
        <v>1</v>
      </c>
      <c r="H24" s="265"/>
      <c r="I24" t="s">
        <v>60</v>
      </c>
      <c r="J24" t="s">
        <v>29</v>
      </c>
      <c r="K24" t="s">
        <v>408</v>
      </c>
      <c r="L24" t="s">
        <v>32</v>
      </c>
      <c r="M24" t="s">
        <v>239</v>
      </c>
      <c r="N24" s="265"/>
      <c r="O24" s="1">
        <f>U68*T9</f>
        <v>16.399999999999999</v>
      </c>
      <c r="P24" t="s">
        <v>252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5</v>
      </c>
      <c r="B25" t="s">
        <v>59</v>
      </c>
      <c r="G25">
        <v>1</v>
      </c>
      <c r="H25" s="265"/>
      <c r="I25" t="s">
        <v>60</v>
      </c>
      <c r="J25" t="s">
        <v>29</v>
      </c>
      <c r="K25" t="s">
        <v>408</v>
      </c>
      <c r="L25" t="s">
        <v>33</v>
      </c>
      <c r="M25" t="s">
        <v>239</v>
      </c>
      <c r="N25" s="265"/>
      <c r="O25" s="1">
        <f>V68*T9</f>
        <v>10.4</v>
      </c>
      <c r="P25" t="s">
        <v>257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5</v>
      </c>
      <c r="B26" t="s">
        <v>59</v>
      </c>
      <c r="G26">
        <v>1</v>
      </c>
      <c r="H26" s="265"/>
      <c r="I26" t="s">
        <v>60</v>
      </c>
      <c r="J26" t="s">
        <v>29</v>
      </c>
      <c r="K26" t="s">
        <v>408</v>
      </c>
      <c r="L26" t="s">
        <v>32</v>
      </c>
      <c r="M26" t="s">
        <v>240</v>
      </c>
      <c r="N26" s="265"/>
      <c r="O26" s="1">
        <f>T70*T8*T9</f>
        <v>9.3500000000000014</v>
      </c>
      <c r="P26" t="s">
        <v>258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5</v>
      </c>
      <c r="B27" t="s">
        <v>59</v>
      </c>
      <c r="G27">
        <v>1</v>
      </c>
      <c r="H27" s="265"/>
      <c r="I27" t="s">
        <v>60</v>
      </c>
      <c r="J27" t="s">
        <v>29</v>
      </c>
      <c r="K27" t="s">
        <v>408</v>
      </c>
      <c r="L27" t="s">
        <v>33</v>
      </c>
      <c r="M27" t="s">
        <v>240</v>
      </c>
      <c r="N27" s="265"/>
      <c r="O27" s="1">
        <f>T71*T8*T9</f>
        <v>14.350000000000001</v>
      </c>
      <c r="P27" t="s">
        <v>259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5</v>
      </c>
      <c r="B28" t="s">
        <v>59</v>
      </c>
      <c r="G28">
        <v>1</v>
      </c>
      <c r="H28" s="265"/>
      <c r="I28" t="s">
        <v>60</v>
      </c>
      <c r="J28" t="s">
        <v>25</v>
      </c>
      <c r="K28" t="s">
        <v>26</v>
      </c>
      <c r="L28" t="s">
        <v>32</v>
      </c>
      <c r="M28" t="s">
        <v>69</v>
      </c>
      <c r="N28" s="265"/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5</v>
      </c>
      <c r="B29" t="s">
        <v>59</v>
      </c>
      <c r="G29">
        <v>2</v>
      </c>
      <c r="H29" s="265"/>
      <c r="I29" t="s">
        <v>70</v>
      </c>
      <c r="J29" t="s">
        <v>22</v>
      </c>
      <c r="K29" t="s">
        <v>408</v>
      </c>
      <c r="L29" t="s">
        <v>32</v>
      </c>
      <c r="M29" t="s">
        <v>241</v>
      </c>
      <c r="N29" s="265"/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5</v>
      </c>
      <c r="B30" t="s">
        <v>59</v>
      </c>
      <c r="G30">
        <v>3</v>
      </c>
      <c r="H30" s="265"/>
      <c r="I30" t="s">
        <v>70</v>
      </c>
      <c r="J30" t="s">
        <v>22</v>
      </c>
      <c r="K30" t="s">
        <v>408</v>
      </c>
      <c r="L30" t="s">
        <v>32</v>
      </c>
      <c r="M30" t="s">
        <v>241</v>
      </c>
      <c r="N30" s="265"/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5</v>
      </c>
      <c r="B31" t="s">
        <v>59</v>
      </c>
      <c r="G31">
        <v>4</v>
      </c>
      <c r="H31" s="265"/>
      <c r="I31" t="s">
        <v>70</v>
      </c>
      <c r="J31" t="s">
        <v>22</v>
      </c>
      <c r="K31" t="s">
        <v>408</v>
      </c>
      <c r="L31" t="s">
        <v>32</v>
      </c>
      <c r="M31" t="s">
        <v>241</v>
      </c>
      <c r="N31" s="265"/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5</v>
      </c>
      <c r="B32" t="s">
        <v>59</v>
      </c>
      <c r="G32">
        <v>2</v>
      </c>
      <c r="H32" s="265"/>
      <c r="I32" t="s">
        <v>70</v>
      </c>
      <c r="J32" t="s">
        <v>22</v>
      </c>
      <c r="K32" t="s">
        <v>408</v>
      </c>
      <c r="L32" t="s">
        <v>33</v>
      </c>
      <c r="M32" t="s">
        <v>241</v>
      </c>
      <c r="N32" s="265"/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5</v>
      </c>
      <c r="B33" t="s">
        <v>59</v>
      </c>
      <c r="G33">
        <v>3</v>
      </c>
      <c r="H33" s="265"/>
      <c r="I33" t="s">
        <v>70</v>
      </c>
      <c r="J33" t="s">
        <v>22</v>
      </c>
      <c r="K33" t="s">
        <v>408</v>
      </c>
      <c r="L33" t="s">
        <v>33</v>
      </c>
      <c r="M33" t="s">
        <v>241</v>
      </c>
      <c r="N33" s="265"/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5</v>
      </c>
      <c r="B34" t="s">
        <v>59</v>
      </c>
      <c r="G34">
        <v>4</v>
      </c>
      <c r="H34" s="265"/>
      <c r="I34" t="s">
        <v>70</v>
      </c>
      <c r="J34" t="s">
        <v>22</v>
      </c>
      <c r="K34" t="s">
        <v>408</v>
      </c>
      <c r="L34" t="s">
        <v>33</v>
      </c>
      <c r="M34" t="s">
        <v>241</v>
      </c>
      <c r="N34" s="265"/>
      <c r="O34" s="1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5</v>
      </c>
      <c r="B35" t="s">
        <v>59</v>
      </c>
      <c r="G35">
        <v>2</v>
      </c>
      <c r="H35" s="265"/>
      <c r="I35" t="s">
        <v>70</v>
      </c>
      <c r="J35" t="s">
        <v>22</v>
      </c>
      <c r="K35" t="s">
        <v>71</v>
      </c>
      <c r="L35" t="s">
        <v>33</v>
      </c>
      <c r="M35" t="s">
        <v>72</v>
      </c>
      <c r="N35" s="265"/>
      <c r="O35" s="1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5</v>
      </c>
      <c r="B36" t="s">
        <v>59</v>
      </c>
      <c r="G36">
        <v>3</v>
      </c>
      <c r="H36" s="265"/>
      <c r="I36" t="s">
        <v>70</v>
      </c>
      <c r="J36" t="s">
        <v>22</v>
      </c>
      <c r="K36" t="s">
        <v>71</v>
      </c>
      <c r="L36" t="s">
        <v>33</v>
      </c>
      <c r="M36" t="s">
        <v>72</v>
      </c>
      <c r="N36" s="265"/>
      <c r="O36" s="1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5</v>
      </c>
      <c r="B37" t="s">
        <v>59</v>
      </c>
      <c r="G37">
        <v>4</v>
      </c>
      <c r="H37" s="265"/>
      <c r="I37" t="s">
        <v>70</v>
      </c>
      <c r="J37" t="s">
        <v>22</v>
      </c>
      <c r="K37" t="s">
        <v>71</v>
      </c>
      <c r="L37" t="s">
        <v>33</v>
      </c>
      <c r="M37" t="s">
        <v>72</v>
      </c>
      <c r="N37" s="265"/>
      <c r="O37" s="1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5</v>
      </c>
      <c r="B38" t="s">
        <v>59</v>
      </c>
      <c r="G38">
        <v>2</v>
      </c>
      <c r="H38" s="265"/>
      <c r="I38" t="s">
        <v>70</v>
      </c>
      <c r="J38" t="s">
        <v>22</v>
      </c>
      <c r="K38" t="s">
        <v>71</v>
      </c>
      <c r="L38" t="s">
        <v>33</v>
      </c>
      <c r="M38" t="s">
        <v>73</v>
      </c>
      <c r="N38" s="265"/>
      <c r="O38" s="1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5</v>
      </c>
      <c r="B39" t="s">
        <v>59</v>
      </c>
      <c r="G39">
        <v>3</v>
      </c>
      <c r="H39" s="265"/>
      <c r="I39" t="s">
        <v>70</v>
      </c>
      <c r="J39" t="s">
        <v>22</v>
      </c>
      <c r="K39" t="s">
        <v>71</v>
      </c>
      <c r="L39" t="s">
        <v>33</v>
      </c>
      <c r="M39" t="s">
        <v>73</v>
      </c>
      <c r="N39" s="265"/>
      <c r="O39" s="1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5</v>
      </c>
      <c r="B40" t="s">
        <v>59</v>
      </c>
      <c r="G40">
        <v>4</v>
      </c>
      <c r="H40" s="265"/>
      <c r="I40" t="s">
        <v>70</v>
      </c>
      <c r="J40" t="s">
        <v>22</v>
      </c>
      <c r="K40" t="s">
        <v>71</v>
      </c>
      <c r="L40" t="s">
        <v>33</v>
      </c>
      <c r="M40" t="s">
        <v>73</v>
      </c>
      <c r="N40" s="265"/>
      <c r="O40" s="1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5</v>
      </c>
      <c r="B41" t="s">
        <v>59</v>
      </c>
      <c r="G41">
        <v>2</v>
      </c>
      <c r="H41" s="265"/>
      <c r="I41" t="s">
        <v>70</v>
      </c>
      <c r="J41" t="s">
        <v>25</v>
      </c>
      <c r="K41" t="s">
        <v>26</v>
      </c>
      <c r="L41" t="s">
        <v>32</v>
      </c>
      <c r="M41" t="s">
        <v>27</v>
      </c>
      <c r="N41" s="265"/>
      <c r="O41" s="1">
        <f>T111</f>
        <v>1.9</v>
      </c>
      <c r="P41" t="s">
        <v>849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5</v>
      </c>
      <c r="B42" t="s">
        <v>59</v>
      </c>
      <c r="G42">
        <v>3</v>
      </c>
      <c r="H42" s="265"/>
      <c r="I42" t="s">
        <v>70</v>
      </c>
      <c r="J42" t="s">
        <v>25</v>
      </c>
      <c r="K42" t="s">
        <v>26</v>
      </c>
      <c r="L42" t="s">
        <v>32</v>
      </c>
      <c r="M42" t="s">
        <v>27</v>
      </c>
      <c r="N42" s="265"/>
      <c r="O42" s="1">
        <f>T111</f>
        <v>1.9</v>
      </c>
      <c r="P42" t="s">
        <v>849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5</v>
      </c>
      <c r="B43" t="s">
        <v>59</v>
      </c>
      <c r="G43">
        <v>4</v>
      </c>
      <c r="H43" s="265"/>
      <c r="I43" t="s">
        <v>70</v>
      </c>
      <c r="J43" t="s">
        <v>25</v>
      </c>
      <c r="K43" t="s">
        <v>26</v>
      </c>
      <c r="L43" t="s">
        <v>32</v>
      </c>
      <c r="M43" t="s">
        <v>27</v>
      </c>
      <c r="N43" s="265"/>
      <c r="O43" s="1">
        <f>T111</f>
        <v>1.9</v>
      </c>
      <c r="P43" t="s">
        <v>849</v>
      </c>
      <c r="R43" t="s">
        <v>75</v>
      </c>
      <c r="S43" s="116" t="s">
        <v>108</v>
      </c>
      <c r="T43" s="118"/>
      <c r="U43" s="13"/>
      <c r="V43" s="98">
        <f>T47*T51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5</v>
      </c>
      <c r="B44" t="s">
        <v>59</v>
      </c>
      <c r="G44">
        <v>2</v>
      </c>
      <c r="H44" s="265">
        <v>10</v>
      </c>
      <c r="I44" t="s">
        <v>70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1">
        <f>T114*T116</f>
        <v>18.999524999999998</v>
      </c>
      <c r="P44" t="s">
        <v>1129</v>
      </c>
      <c r="Q44" t="s">
        <v>987</v>
      </c>
      <c r="R44" t="s">
        <v>75</v>
      </c>
      <c r="S44" s="304"/>
      <c r="T44" s="118"/>
      <c r="U44" s="13"/>
      <c r="V44" s="98"/>
      <c r="W44" s="98"/>
      <c r="X44" s="99"/>
    </row>
    <row r="45" spans="1:24">
      <c r="A45">
        <v>5</v>
      </c>
      <c r="B45" t="s">
        <v>59</v>
      </c>
      <c r="G45">
        <v>3</v>
      </c>
      <c r="H45" s="265">
        <v>10</v>
      </c>
      <c r="I45" t="s">
        <v>70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1">
        <f>T114*T116</f>
        <v>18.999524999999998</v>
      </c>
      <c r="P45" t="s">
        <v>1130</v>
      </c>
      <c r="Q45" t="s">
        <v>987</v>
      </c>
      <c r="R45" t="s">
        <v>75</v>
      </c>
      <c r="S45" s="304"/>
      <c r="T45" s="118"/>
      <c r="U45" s="13"/>
      <c r="V45" s="98"/>
      <c r="W45" s="98"/>
      <c r="X45" s="99"/>
    </row>
    <row r="46" spans="1:24">
      <c r="A46">
        <v>5</v>
      </c>
      <c r="B46" t="s">
        <v>59</v>
      </c>
      <c r="G46">
        <v>4</v>
      </c>
      <c r="H46" s="265">
        <v>10</v>
      </c>
      <c r="I46" t="s">
        <v>70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1">
        <f>T114*T116</f>
        <v>18.999524999999998</v>
      </c>
      <c r="P46" t="s">
        <v>1131</v>
      </c>
      <c r="Q46" t="s">
        <v>987</v>
      </c>
      <c r="R46" t="s">
        <v>75</v>
      </c>
      <c r="S46" s="304"/>
      <c r="T46" s="118"/>
      <c r="U46" s="13"/>
      <c r="V46" s="98"/>
      <c r="W46" s="98"/>
      <c r="X46" s="99"/>
    </row>
    <row r="47" spans="1:24">
      <c r="A47">
        <v>5</v>
      </c>
      <c r="B47" t="s">
        <v>59</v>
      </c>
      <c r="G47">
        <v>2</v>
      </c>
      <c r="H47" s="265">
        <v>13</v>
      </c>
      <c r="I47" t="s">
        <v>70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1">
        <f>T114*T116</f>
        <v>18.999524999999998</v>
      </c>
      <c r="P47" t="s">
        <v>1129</v>
      </c>
      <c r="Q47" t="s">
        <v>987</v>
      </c>
      <c r="R47" t="s">
        <v>75</v>
      </c>
      <c r="S47" s="73" t="s">
        <v>105</v>
      </c>
      <c r="T47" s="30">
        <v>0.30969999999999998</v>
      </c>
      <c r="U47" s="13"/>
      <c r="V47" s="13"/>
      <c r="W47" s="13"/>
      <c r="X47" s="94" t="s">
        <v>99</v>
      </c>
    </row>
    <row r="48" spans="1:24">
      <c r="A48">
        <v>5</v>
      </c>
      <c r="B48" t="s">
        <v>59</v>
      </c>
      <c r="G48">
        <v>3</v>
      </c>
      <c r="H48" s="265">
        <v>13</v>
      </c>
      <c r="I48" t="s">
        <v>70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1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5</v>
      </c>
      <c r="B49" t="s">
        <v>59</v>
      </c>
      <c r="G49">
        <v>4</v>
      </c>
      <c r="H49" s="265">
        <v>13</v>
      </c>
      <c r="I49" t="s">
        <v>70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1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5</v>
      </c>
      <c r="B50" t="s">
        <v>59</v>
      </c>
      <c r="G50">
        <v>2</v>
      </c>
      <c r="H50" s="265">
        <v>16</v>
      </c>
      <c r="I50" t="s">
        <v>70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1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5</v>
      </c>
      <c r="B51" t="s">
        <v>59</v>
      </c>
      <c r="G51">
        <v>3</v>
      </c>
      <c r="H51" s="265">
        <v>16</v>
      </c>
      <c r="I51" t="s">
        <v>70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1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5</v>
      </c>
      <c r="B52" t="s">
        <v>59</v>
      </c>
      <c r="G52">
        <v>4</v>
      </c>
      <c r="H52" s="265">
        <v>16</v>
      </c>
      <c r="I52" t="s">
        <v>70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1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5</v>
      </c>
      <c r="B53" t="s">
        <v>59</v>
      </c>
      <c r="G53">
        <v>2</v>
      </c>
      <c r="H53" s="265"/>
      <c r="I53" t="s">
        <v>70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5</v>
      </c>
      <c r="B54" t="s">
        <v>59</v>
      </c>
      <c r="G54">
        <v>3</v>
      </c>
      <c r="I54" t="s">
        <v>70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5</v>
      </c>
      <c r="B55" t="s">
        <v>59</v>
      </c>
      <c r="G55">
        <v>4</v>
      </c>
      <c r="I55" t="s">
        <v>70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5</v>
      </c>
      <c r="B56" t="s">
        <v>59</v>
      </c>
      <c r="G56">
        <v>2</v>
      </c>
      <c r="I56" t="s">
        <v>70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253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5</v>
      </c>
      <c r="B57" t="s">
        <v>59</v>
      </c>
      <c r="G57">
        <v>3</v>
      </c>
      <c r="I57" t="s">
        <v>70</v>
      </c>
      <c r="J57" t="s">
        <v>29</v>
      </c>
      <c r="K57" t="s">
        <v>408</v>
      </c>
      <c r="L57" t="s">
        <v>32</v>
      </c>
      <c r="M57" t="s">
        <v>237</v>
      </c>
      <c r="O57" s="1">
        <f>U122*$T$95</f>
        <v>16.5</v>
      </c>
      <c r="P57" t="s">
        <v>253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5</v>
      </c>
      <c r="B58" t="s">
        <v>59</v>
      </c>
      <c r="G58">
        <v>4</v>
      </c>
      <c r="I58" t="s">
        <v>70</v>
      </c>
      <c r="J58" t="s">
        <v>29</v>
      </c>
      <c r="K58" t="s">
        <v>408</v>
      </c>
      <c r="L58" t="s">
        <v>32</v>
      </c>
      <c r="M58" t="s">
        <v>237</v>
      </c>
      <c r="O58" s="1">
        <f>U122*$T$95</f>
        <v>16.5</v>
      </c>
      <c r="P58" t="s">
        <v>253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5</v>
      </c>
      <c r="B59" t="s">
        <v>59</v>
      </c>
      <c r="G59">
        <v>2</v>
      </c>
      <c r="I59" t="s">
        <v>70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265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5</v>
      </c>
      <c r="B60" t="s">
        <v>59</v>
      </c>
      <c r="G60">
        <v>3</v>
      </c>
      <c r="I60" t="s">
        <v>70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265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5</v>
      </c>
      <c r="B61" t="s">
        <v>59</v>
      </c>
      <c r="G61">
        <v>4</v>
      </c>
      <c r="I61" t="s">
        <v>70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265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5</v>
      </c>
      <c r="B62" t="s">
        <v>59</v>
      </c>
      <c r="G62">
        <v>2</v>
      </c>
      <c r="I62" t="s">
        <v>70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266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5</v>
      </c>
      <c r="B63" t="s">
        <v>59</v>
      </c>
      <c r="G63">
        <v>3</v>
      </c>
      <c r="I63" t="s">
        <v>70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266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5</v>
      </c>
      <c r="B64" t="s">
        <v>59</v>
      </c>
      <c r="G64">
        <v>4</v>
      </c>
      <c r="I64" t="s">
        <v>70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266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5</v>
      </c>
      <c r="B65" t="s">
        <v>59</v>
      </c>
      <c r="G65">
        <v>2</v>
      </c>
      <c r="I65" t="s">
        <v>70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260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5</v>
      </c>
      <c r="B66" t="s">
        <v>59</v>
      </c>
      <c r="G66">
        <v>3</v>
      </c>
      <c r="I66" t="s">
        <v>70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260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5</v>
      </c>
      <c r="B67" t="s">
        <v>59</v>
      </c>
      <c r="G67">
        <v>4</v>
      </c>
      <c r="I67" t="s">
        <v>70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260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5</v>
      </c>
      <c r="B68" t="s">
        <v>59</v>
      </c>
      <c r="G68">
        <v>2</v>
      </c>
      <c r="I68" t="s">
        <v>70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261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5</v>
      </c>
      <c r="B69" t="s">
        <v>59</v>
      </c>
      <c r="G69">
        <v>3</v>
      </c>
      <c r="I69" t="s">
        <v>70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261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5</v>
      </c>
      <c r="B70" t="s">
        <v>59</v>
      </c>
      <c r="G70">
        <v>4</v>
      </c>
      <c r="I70" t="s">
        <v>70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261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5</v>
      </c>
      <c r="B71" t="s">
        <v>59</v>
      </c>
      <c r="G71">
        <v>2</v>
      </c>
      <c r="I71" t="s">
        <v>70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267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5</v>
      </c>
      <c r="B72" t="s">
        <v>59</v>
      </c>
      <c r="G72">
        <v>3</v>
      </c>
      <c r="I72" t="s">
        <v>70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267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5</v>
      </c>
      <c r="B73" t="s">
        <v>59</v>
      </c>
      <c r="G73">
        <v>4</v>
      </c>
      <c r="I73" t="s">
        <v>70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267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5</v>
      </c>
      <c r="B74" t="s">
        <v>59</v>
      </c>
      <c r="G74">
        <v>2</v>
      </c>
      <c r="I74" t="s">
        <v>70</v>
      </c>
      <c r="J74" t="s">
        <v>29</v>
      </c>
      <c r="K74" t="s">
        <v>408</v>
      </c>
      <c r="L74" t="s">
        <v>32</v>
      </c>
      <c r="M74" t="s">
        <v>240</v>
      </c>
      <c r="O74" s="1">
        <f>T126*T94*T95</f>
        <v>22.400000000000002</v>
      </c>
      <c r="P74" t="s">
        <v>1049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" thickBot="1">
      <c r="A75">
        <v>5</v>
      </c>
      <c r="B75" t="s">
        <v>59</v>
      </c>
      <c r="G75">
        <v>3</v>
      </c>
      <c r="I75" t="s">
        <v>70</v>
      </c>
      <c r="J75" t="s">
        <v>29</v>
      </c>
      <c r="K75" t="s">
        <v>408</v>
      </c>
      <c r="L75" t="s">
        <v>32</v>
      </c>
      <c r="M75" t="s">
        <v>240</v>
      </c>
      <c r="O75" s="1">
        <f>T126*T94*T95</f>
        <v>22.400000000000002</v>
      </c>
      <c r="P75" t="s">
        <v>1049</v>
      </c>
      <c r="R75" t="s">
        <v>75</v>
      </c>
      <c r="S75" s="74"/>
      <c r="T75" s="75"/>
      <c r="U75" s="75"/>
      <c r="V75" s="76"/>
      <c r="W75" s="77"/>
      <c r="X75" s="77"/>
    </row>
    <row r="76" spans="1:24" ht="15" thickTop="1">
      <c r="A76">
        <v>5</v>
      </c>
      <c r="B76" t="s">
        <v>59</v>
      </c>
      <c r="G76">
        <v>4</v>
      </c>
      <c r="I76" t="s">
        <v>70</v>
      </c>
      <c r="J76" t="s">
        <v>29</v>
      </c>
      <c r="K76" t="s">
        <v>408</v>
      </c>
      <c r="L76" t="s">
        <v>32</v>
      </c>
      <c r="M76" t="s">
        <v>240</v>
      </c>
      <c r="O76" s="1">
        <f>T126*T94*T95</f>
        <v>22.400000000000002</v>
      </c>
      <c r="P76" t="s">
        <v>1049</v>
      </c>
      <c r="R76" t="s">
        <v>75</v>
      </c>
      <c r="S76" s="78"/>
      <c r="T76" s="79"/>
      <c r="U76" s="79"/>
      <c r="V76" s="80"/>
      <c r="W76" s="81"/>
      <c r="X76" s="81"/>
    </row>
    <row r="77" spans="1:24" ht="15.5">
      <c r="A77">
        <v>5</v>
      </c>
      <c r="B77" t="s">
        <v>59</v>
      </c>
      <c r="G77">
        <v>2</v>
      </c>
      <c r="I77" t="s">
        <v>70</v>
      </c>
      <c r="J77" t="s">
        <v>29</v>
      </c>
      <c r="K77" t="s">
        <v>408</v>
      </c>
      <c r="L77" t="s">
        <v>33</v>
      </c>
      <c r="M77" t="s">
        <v>240</v>
      </c>
      <c r="O77" s="1">
        <f>T127*T94*T95</f>
        <v>34.4</v>
      </c>
      <c r="P77" t="s">
        <v>1050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5</v>
      </c>
      <c r="B78" t="s">
        <v>59</v>
      </c>
      <c r="G78">
        <v>3</v>
      </c>
      <c r="I78" t="s">
        <v>70</v>
      </c>
      <c r="J78" t="s">
        <v>29</v>
      </c>
      <c r="K78" t="s">
        <v>408</v>
      </c>
      <c r="L78" t="s">
        <v>33</v>
      </c>
      <c r="M78" t="s">
        <v>240</v>
      </c>
      <c r="O78" s="1">
        <f>T127*T94*T95</f>
        <v>34.4</v>
      </c>
      <c r="P78" t="s">
        <v>1050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5</v>
      </c>
      <c r="B79" t="s">
        <v>59</v>
      </c>
      <c r="G79">
        <v>4</v>
      </c>
      <c r="I79" t="s">
        <v>70</v>
      </c>
      <c r="J79" t="s">
        <v>29</v>
      </c>
      <c r="K79" t="s">
        <v>408</v>
      </c>
      <c r="L79" t="s">
        <v>33</v>
      </c>
      <c r="M79" t="s">
        <v>240</v>
      </c>
      <c r="O79" s="1">
        <f>T127*T94*T95</f>
        <v>34.4</v>
      </c>
      <c r="P79" t="s">
        <v>1050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9:24">
      <c r="S81" s="144"/>
      <c r="T81" s="138"/>
      <c r="U81" s="142"/>
      <c r="V81" s="143"/>
      <c r="W81" s="33"/>
      <c r="X81" s="67"/>
    </row>
    <row r="82" spans="19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9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9:24"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9:24">
      <c r="S85" s="68"/>
      <c r="T85" s="146"/>
      <c r="U85" s="13"/>
      <c r="V85" s="147"/>
      <c r="W85" s="100"/>
      <c r="X85" s="101"/>
    </row>
    <row r="86" spans="19:24">
      <c r="S86" s="68"/>
      <c r="T86" s="146"/>
      <c r="U86" s="13"/>
      <c r="V86" s="148" t="s">
        <v>194</v>
      </c>
      <c r="W86" s="148"/>
      <c r="X86" s="13"/>
    </row>
    <row r="87" spans="19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9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9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9:24" ht="15" thickBot="1">
      <c r="S90" s="74"/>
      <c r="T90" s="75"/>
      <c r="U90" s="75"/>
      <c r="V90" s="76"/>
      <c r="W90" s="77"/>
      <c r="X90" s="77"/>
    </row>
    <row r="91" spans="19:24" ht="15" thickTop="1">
      <c r="S91" s="78"/>
      <c r="T91" s="79"/>
      <c r="U91" s="79"/>
      <c r="V91" s="80"/>
      <c r="W91" s="81"/>
      <c r="X91" s="81"/>
    </row>
    <row r="92" spans="19:24" ht="15.5">
      <c r="S92" s="82" t="s">
        <v>197</v>
      </c>
      <c r="T92" s="67"/>
      <c r="U92" s="83"/>
      <c r="V92" s="83"/>
      <c r="W92" s="81"/>
      <c r="X92" s="81"/>
    </row>
    <row r="93" spans="19:24" ht="15.5">
      <c r="S93" s="82"/>
      <c r="T93" s="67"/>
      <c r="U93" s="83"/>
      <c r="V93" s="83"/>
      <c r="W93" s="81"/>
      <c r="X93" s="81"/>
    </row>
    <row r="94" spans="19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9:24">
      <c r="S95" s="156" t="s">
        <v>199</v>
      </c>
      <c r="T95" s="34">
        <v>3</v>
      </c>
      <c r="U95" s="67"/>
      <c r="V95" s="67"/>
      <c r="W95" s="67"/>
      <c r="X95" s="67"/>
    </row>
    <row r="96" spans="19:24" ht="26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" thickBot="1">
      <c r="S133" s="185"/>
      <c r="T133" s="186"/>
      <c r="U133" s="187"/>
      <c r="V133" s="188"/>
      <c r="W133" s="189"/>
      <c r="X133" s="190"/>
    </row>
    <row r="134" spans="19:24" ht="15" thickTop="1">
      <c r="S134" s="180"/>
      <c r="T134" s="181"/>
      <c r="U134" s="153"/>
      <c r="V134" s="182"/>
      <c r="W134" s="183"/>
      <c r="X134" s="184"/>
    </row>
    <row r="135" spans="19:24" ht="15.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19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19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19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19:24">
      <c r="S148" s="68"/>
      <c r="T148" s="68"/>
      <c r="U148" s="153"/>
      <c r="V148" s="147"/>
      <c r="W148" s="100"/>
      <c r="X148" s="101"/>
    </row>
    <row r="149" spans="19:24">
      <c r="S149" s="68"/>
      <c r="T149" s="68"/>
      <c r="U149" s="67"/>
      <c r="V149" s="85" t="s">
        <v>229</v>
      </c>
      <c r="W149" s="85"/>
      <c r="X149" s="85"/>
    </row>
    <row r="150" spans="19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19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19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</sheetData>
  <autoFilter ref="A1:X80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1" zoomScale="90" zoomScaleNormal="90" workbookViewId="0">
      <pane ySplit="1" topLeftCell="A2" activePane="bottomLeft" state="frozen"/>
      <selection pane="bottomLeft" activeCell="M61" sqref="M61"/>
    </sheetView>
  </sheetViews>
  <sheetFormatPr defaultRowHeight="14.5"/>
  <cols>
    <col min="1" max="1" width="6.1796875" bestFit="1" customWidth="1"/>
    <col min="2" max="2" width="18.2695312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60.1796875" bestFit="1" customWidth="1"/>
    <col min="14" max="14" width="12.81640625" bestFit="1" customWidth="1"/>
    <col min="15" max="15" width="8.81640625" bestFit="1" customWidth="1"/>
    <col min="16" max="16" width="86.7265625" bestFit="1" customWidth="1"/>
    <col min="17" max="17" width="11.1796875" bestFit="1" customWidth="1"/>
    <col min="18" max="18" width="62.5429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6</v>
      </c>
      <c r="B2" t="s">
        <v>268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357</v>
      </c>
      <c r="R2" t="s">
        <v>289</v>
      </c>
    </row>
    <row r="3" spans="1:18">
      <c r="A3">
        <v>6</v>
      </c>
      <c r="B3" t="s">
        <v>268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1">
        <v>20</v>
      </c>
      <c r="P3" t="s">
        <v>358</v>
      </c>
      <c r="R3" t="s">
        <v>289</v>
      </c>
    </row>
    <row r="4" spans="1:18">
      <c r="A4">
        <v>6</v>
      </c>
      <c r="B4" t="s">
        <v>268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1">
        <f>4*3.4/2.5</f>
        <v>5.4399999999999995</v>
      </c>
      <c r="P4" t="s">
        <v>283</v>
      </c>
      <c r="R4" t="s">
        <v>289</v>
      </c>
    </row>
    <row r="5" spans="1:18">
      <c r="A5">
        <v>6</v>
      </c>
      <c r="B5" t="s">
        <v>268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O5" s="1">
        <f>60*0.09/2.5</f>
        <v>2.1599999999999997</v>
      </c>
      <c r="P5" t="s">
        <v>284</v>
      </c>
      <c r="R5" t="s">
        <v>289</v>
      </c>
    </row>
    <row r="6" spans="1:18">
      <c r="A6">
        <v>6</v>
      </c>
      <c r="B6" t="s">
        <v>268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O6" s="1">
        <f>2.1*120/2.5</f>
        <v>100.8</v>
      </c>
      <c r="P6" t="s">
        <v>353</v>
      </c>
      <c r="R6" t="s">
        <v>289</v>
      </c>
    </row>
    <row r="7" spans="1:18">
      <c r="A7">
        <v>6</v>
      </c>
      <c r="B7" t="s">
        <v>268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O7" s="1">
        <f>4*3/4</f>
        <v>3</v>
      </c>
      <c r="P7" t="s">
        <v>1148</v>
      </c>
      <c r="R7" t="s">
        <v>289</v>
      </c>
    </row>
    <row r="8" spans="1:18">
      <c r="A8">
        <v>6</v>
      </c>
      <c r="B8" t="s">
        <v>268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1">
        <f>25/2.5</f>
        <v>10</v>
      </c>
      <c r="P8" t="s">
        <v>285</v>
      </c>
      <c r="R8" t="s">
        <v>289</v>
      </c>
    </row>
    <row r="9" spans="1:18">
      <c r="A9">
        <v>6</v>
      </c>
      <c r="B9" t="s">
        <v>268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1">
        <f>15/2.5</f>
        <v>6</v>
      </c>
      <c r="P9" t="s">
        <v>286</v>
      </c>
      <c r="R9" t="s">
        <v>289</v>
      </c>
    </row>
    <row r="10" spans="1:18">
      <c r="A10">
        <v>6</v>
      </c>
      <c r="B10" t="s">
        <v>268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1">
        <f>20/2.5</f>
        <v>8</v>
      </c>
      <c r="P10" t="s">
        <v>287</v>
      </c>
      <c r="R10" t="s">
        <v>289</v>
      </c>
    </row>
    <row r="11" spans="1:18">
      <c r="A11">
        <v>6</v>
      </c>
      <c r="B11" t="s">
        <v>268</v>
      </c>
      <c r="G11">
        <v>1</v>
      </c>
      <c r="H11" s="265">
        <v>1</v>
      </c>
      <c r="I11" s="265" t="s">
        <v>21</v>
      </c>
      <c r="J11" s="265" t="s">
        <v>22</v>
      </c>
      <c r="K11" s="265" t="s">
        <v>30</v>
      </c>
      <c r="L11" s="265" t="s">
        <v>33</v>
      </c>
      <c r="M11" s="265" t="s">
        <v>269</v>
      </c>
      <c r="N11" s="265">
        <f>3.2*0.05</f>
        <v>0.16000000000000003</v>
      </c>
      <c r="O11" s="279">
        <f>(8*14)/2.5*0.05</f>
        <v>2.2399999999999998</v>
      </c>
      <c r="P11" t="s">
        <v>1172</v>
      </c>
      <c r="R11" t="s">
        <v>289</v>
      </c>
    </row>
    <row r="12" spans="1:18">
      <c r="A12">
        <v>6</v>
      </c>
      <c r="B12" t="s">
        <v>268</v>
      </c>
      <c r="G12">
        <v>1</v>
      </c>
      <c r="H12" s="265">
        <v>2</v>
      </c>
      <c r="I12" s="265" t="s">
        <v>21</v>
      </c>
      <c r="J12" s="265" t="s">
        <v>22</v>
      </c>
      <c r="K12" s="265" t="s">
        <v>30</v>
      </c>
      <c r="L12" s="265" t="s">
        <v>33</v>
      </c>
      <c r="M12" s="265" t="s">
        <v>269</v>
      </c>
      <c r="N12" s="265">
        <f t="shared" ref="N12:N19" si="0">3.2*0.05</f>
        <v>0.16000000000000003</v>
      </c>
      <c r="O12" s="279">
        <f t="shared" ref="O12:O19" si="1">(8*14)/2.5*0.05</f>
        <v>2.2399999999999998</v>
      </c>
      <c r="P12" t="s">
        <v>1173</v>
      </c>
      <c r="R12" t="s">
        <v>289</v>
      </c>
    </row>
    <row r="13" spans="1:18">
      <c r="A13">
        <v>6</v>
      </c>
      <c r="B13" t="s">
        <v>268</v>
      </c>
      <c r="G13">
        <v>1</v>
      </c>
      <c r="H13" s="265">
        <v>3</v>
      </c>
      <c r="I13" s="265" t="s">
        <v>21</v>
      </c>
      <c r="J13" s="265" t="s">
        <v>22</v>
      </c>
      <c r="K13" s="265" t="s">
        <v>30</v>
      </c>
      <c r="L13" s="265" t="s">
        <v>33</v>
      </c>
      <c r="M13" s="265" t="s">
        <v>269</v>
      </c>
      <c r="N13" s="265">
        <f t="shared" si="0"/>
        <v>0.16000000000000003</v>
      </c>
      <c r="O13" s="279">
        <f t="shared" si="1"/>
        <v>2.2399999999999998</v>
      </c>
      <c r="P13" t="s">
        <v>1174</v>
      </c>
      <c r="R13" t="s">
        <v>289</v>
      </c>
    </row>
    <row r="14" spans="1:18">
      <c r="A14">
        <v>6</v>
      </c>
      <c r="B14" t="s">
        <v>268</v>
      </c>
      <c r="G14">
        <v>1</v>
      </c>
      <c r="H14" s="265">
        <v>4</v>
      </c>
      <c r="I14" s="265" t="s">
        <v>21</v>
      </c>
      <c r="J14" s="265" t="s">
        <v>22</v>
      </c>
      <c r="K14" s="265" t="s">
        <v>30</v>
      </c>
      <c r="L14" s="265" t="s">
        <v>33</v>
      </c>
      <c r="M14" s="265" t="s">
        <v>269</v>
      </c>
      <c r="N14" s="265">
        <f t="shared" si="0"/>
        <v>0.16000000000000003</v>
      </c>
      <c r="O14" s="279">
        <f t="shared" si="1"/>
        <v>2.2399999999999998</v>
      </c>
      <c r="P14" t="s">
        <v>1175</v>
      </c>
      <c r="R14" t="s">
        <v>289</v>
      </c>
    </row>
    <row r="15" spans="1:18">
      <c r="A15">
        <v>6</v>
      </c>
      <c r="B15" t="s">
        <v>268</v>
      </c>
      <c r="G15">
        <v>1</v>
      </c>
      <c r="H15" s="265">
        <v>5</v>
      </c>
      <c r="I15" s="265" t="s">
        <v>21</v>
      </c>
      <c r="J15" s="265" t="s">
        <v>22</v>
      </c>
      <c r="K15" s="265" t="s">
        <v>30</v>
      </c>
      <c r="L15" s="265" t="s">
        <v>33</v>
      </c>
      <c r="M15" s="265" t="s">
        <v>269</v>
      </c>
      <c r="N15" s="265">
        <f t="shared" si="0"/>
        <v>0.16000000000000003</v>
      </c>
      <c r="O15" s="279">
        <f t="shared" si="1"/>
        <v>2.2399999999999998</v>
      </c>
      <c r="P15" t="s">
        <v>1176</v>
      </c>
      <c r="R15" t="s">
        <v>289</v>
      </c>
    </row>
    <row r="16" spans="1:18">
      <c r="A16">
        <v>6</v>
      </c>
      <c r="B16" t="s">
        <v>268</v>
      </c>
      <c r="G16">
        <v>1</v>
      </c>
      <c r="H16" s="265">
        <v>6</v>
      </c>
      <c r="I16" s="265" t="s">
        <v>21</v>
      </c>
      <c r="J16" s="265" t="s">
        <v>22</v>
      </c>
      <c r="K16" s="265" t="s">
        <v>30</v>
      </c>
      <c r="L16" s="265" t="s">
        <v>33</v>
      </c>
      <c r="M16" s="265" t="s">
        <v>269</v>
      </c>
      <c r="N16" s="265">
        <f t="shared" si="0"/>
        <v>0.16000000000000003</v>
      </c>
      <c r="O16" s="279">
        <f t="shared" si="1"/>
        <v>2.2399999999999998</v>
      </c>
      <c r="P16" t="s">
        <v>1177</v>
      </c>
      <c r="R16" t="s">
        <v>289</v>
      </c>
    </row>
    <row r="17" spans="1:18">
      <c r="A17">
        <v>6</v>
      </c>
      <c r="B17" t="s">
        <v>268</v>
      </c>
      <c r="G17">
        <v>1</v>
      </c>
      <c r="H17" s="265">
        <v>7</v>
      </c>
      <c r="I17" s="265" t="s">
        <v>21</v>
      </c>
      <c r="J17" s="265" t="s">
        <v>22</v>
      </c>
      <c r="K17" s="265" t="s">
        <v>30</v>
      </c>
      <c r="L17" s="265" t="s">
        <v>33</v>
      </c>
      <c r="M17" s="265" t="s">
        <v>269</v>
      </c>
      <c r="N17" s="265">
        <f t="shared" si="0"/>
        <v>0.16000000000000003</v>
      </c>
      <c r="O17" s="279">
        <f t="shared" si="1"/>
        <v>2.2399999999999998</v>
      </c>
      <c r="P17" t="s">
        <v>1178</v>
      </c>
      <c r="R17" t="s">
        <v>289</v>
      </c>
    </row>
    <row r="18" spans="1:18">
      <c r="A18">
        <v>6</v>
      </c>
      <c r="B18" t="s">
        <v>268</v>
      </c>
      <c r="G18">
        <v>1</v>
      </c>
      <c r="H18" s="265">
        <v>8</v>
      </c>
      <c r="I18" s="265" t="s">
        <v>21</v>
      </c>
      <c r="J18" s="265" t="s">
        <v>22</v>
      </c>
      <c r="K18" s="265" t="s">
        <v>30</v>
      </c>
      <c r="L18" s="265" t="s">
        <v>33</v>
      </c>
      <c r="M18" s="265" t="s">
        <v>269</v>
      </c>
      <c r="N18" s="265">
        <f t="shared" si="0"/>
        <v>0.16000000000000003</v>
      </c>
      <c r="O18" s="279">
        <f t="shared" si="1"/>
        <v>2.2399999999999998</v>
      </c>
      <c r="P18" t="s">
        <v>1179</v>
      </c>
      <c r="R18" t="s">
        <v>289</v>
      </c>
    </row>
    <row r="19" spans="1:18">
      <c r="A19">
        <v>6</v>
      </c>
      <c r="B19" t="s">
        <v>268</v>
      </c>
      <c r="G19">
        <v>1</v>
      </c>
      <c r="H19" s="265">
        <v>9</v>
      </c>
      <c r="I19" s="265" t="s">
        <v>21</v>
      </c>
      <c r="J19" s="265" t="s">
        <v>22</v>
      </c>
      <c r="K19" s="265" t="s">
        <v>30</v>
      </c>
      <c r="L19" s="265" t="s">
        <v>33</v>
      </c>
      <c r="M19" s="265" t="s">
        <v>269</v>
      </c>
      <c r="N19" s="265">
        <f t="shared" si="0"/>
        <v>0.16000000000000003</v>
      </c>
      <c r="O19" s="279">
        <f t="shared" si="1"/>
        <v>2.2399999999999998</v>
      </c>
      <c r="P19" t="s">
        <v>1180</v>
      </c>
      <c r="R19" t="s">
        <v>289</v>
      </c>
    </row>
    <row r="20" spans="1:18">
      <c r="A20">
        <v>6</v>
      </c>
      <c r="B20" t="s">
        <v>268</v>
      </c>
      <c r="G20">
        <v>1</v>
      </c>
      <c r="H20" s="265">
        <v>10</v>
      </c>
      <c r="I20" s="265" t="s">
        <v>21</v>
      </c>
      <c r="J20" s="265" t="s">
        <v>22</v>
      </c>
      <c r="K20" s="265" t="s">
        <v>30</v>
      </c>
      <c r="L20" s="265" t="s">
        <v>33</v>
      </c>
      <c r="M20" s="265" t="s">
        <v>269</v>
      </c>
      <c r="N20" s="265">
        <f>3.2*0.1</f>
        <v>0.32000000000000006</v>
      </c>
      <c r="O20" s="279">
        <f>(8*14)/2.5*0.1</f>
        <v>4.4799999999999995</v>
      </c>
      <c r="P20" t="s">
        <v>1181</v>
      </c>
      <c r="R20" t="s">
        <v>289</v>
      </c>
    </row>
    <row r="21" spans="1:18">
      <c r="A21">
        <v>6</v>
      </c>
      <c r="B21" t="s">
        <v>268</v>
      </c>
      <c r="G21">
        <v>1</v>
      </c>
      <c r="H21" s="265">
        <v>11</v>
      </c>
      <c r="I21" s="265" t="s">
        <v>21</v>
      </c>
      <c r="J21" s="265" t="s">
        <v>22</v>
      </c>
      <c r="K21" s="265" t="s">
        <v>30</v>
      </c>
      <c r="L21" s="265" t="s">
        <v>33</v>
      </c>
      <c r="M21" s="265" t="s">
        <v>269</v>
      </c>
      <c r="N21" s="265">
        <f>3.2*0.1</f>
        <v>0.32000000000000006</v>
      </c>
      <c r="O21" s="279">
        <f>(8*14)/2.5*0.1</f>
        <v>4.4799999999999995</v>
      </c>
      <c r="P21" t="s">
        <v>1182</v>
      </c>
      <c r="R21" t="s">
        <v>289</v>
      </c>
    </row>
    <row r="22" spans="1:18">
      <c r="A22">
        <v>6</v>
      </c>
      <c r="B22" t="s">
        <v>268</v>
      </c>
      <c r="G22">
        <v>1</v>
      </c>
      <c r="H22" s="265">
        <v>12</v>
      </c>
      <c r="I22" s="265" t="s">
        <v>21</v>
      </c>
      <c r="J22" s="265" t="s">
        <v>22</v>
      </c>
      <c r="K22" s="265" t="s">
        <v>30</v>
      </c>
      <c r="L22" s="265" t="s">
        <v>33</v>
      </c>
      <c r="M22" s="265" t="s">
        <v>269</v>
      </c>
      <c r="N22" s="265">
        <v>0</v>
      </c>
      <c r="O22" s="279">
        <v>0</v>
      </c>
      <c r="P22" t="s">
        <v>288</v>
      </c>
      <c r="R22" t="s">
        <v>289</v>
      </c>
    </row>
    <row r="23" spans="1:18">
      <c r="A23">
        <v>6</v>
      </c>
      <c r="B23" t="s">
        <v>268</v>
      </c>
      <c r="G23">
        <v>1</v>
      </c>
      <c r="H23" s="265">
        <v>13</v>
      </c>
      <c r="I23" s="265" t="s">
        <v>21</v>
      </c>
      <c r="J23" s="265" t="s">
        <v>22</v>
      </c>
      <c r="K23" s="265" t="s">
        <v>30</v>
      </c>
      <c r="L23" s="265" t="s">
        <v>33</v>
      </c>
      <c r="M23" s="265" t="s">
        <v>269</v>
      </c>
      <c r="N23" s="265">
        <v>0</v>
      </c>
      <c r="O23" s="279">
        <v>0</v>
      </c>
      <c r="P23" t="s">
        <v>288</v>
      </c>
      <c r="R23" t="s">
        <v>289</v>
      </c>
    </row>
    <row r="24" spans="1:18">
      <c r="A24">
        <v>6</v>
      </c>
      <c r="B24" t="s">
        <v>268</v>
      </c>
      <c r="G24">
        <v>1</v>
      </c>
      <c r="H24" s="265">
        <v>14</v>
      </c>
      <c r="I24" s="265" t="s">
        <v>21</v>
      </c>
      <c r="J24" s="265" t="s">
        <v>22</v>
      </c>
      <c r="K24" s="265" t="s">
        <v>30</v>
      </c>
      <c r="L24" s="265" t="s">
        <v>33</v>
      </c>
      <c r="M24" s="265" t="s">
        <v>269</v>
      </c>
      <c r="N24" s="265">
        <v>0</v>
      </c>
      <c r="O24" s="279">
        <v>0</v>
      </c>
      <c r="P24" t="s">
        <v>288</v>
      </c>
      <c r="R24" t="s">
        <v>289</v>
      </c>
    </row>
    <row r="25" spans="1:18">
      <c r="A25">
        <v>6</v>
      </c>
      <c r="B25" t="s">
        <v>268</v>
      </c>
      <c r="G25">
        <v>1</v>
      </c>
      <c r="H25" s="265">
        <v>15</v>
      </c>
      <c r="I25" s="265" t="s">
        <v>21</v>
      </c>
      <c r="J25" s="265" t="s">
        <v>22</v>
      </c>
      <c r="K25" s="265" t="s">
        <v>30</v>
      </c>
      <c r="L25" s="265" t="s">
        <v>33</v>
      </c>
      <c r="M25" s="265" t="s">
        <v>269</v>
      </c>
      <c r="N25" s="265">
        <v>0</v>
      </c>
      <c r="O25" s="279">
        <v>0</v>
      </c>
      <c r="P25" t="s">
        <v>288</v>
      </c>
      <c r="R25" t="s">
        <v>289</v>
      </c>
    </row>
    <row r="26" spans="1:18">
      <c r="A26">
        <v>6</v>
      </c>
      <c r="B26" t="s">
        <v>268</v>
      </c>
      <c r="G26">
        <v>1</v>
      </c>
      <c r="H26" s="265">
        <v>16</v>
      </c>
      <c r="I26" s="265" t="s">
        <v>21</v>
      </c>
      <c r="J26" s="265" t="s">
        <v>22</v>
      </c>
      <c r="K26" s="265" t="s">
        <v>30</v>
      </c>
      <c r="L26" s="265" t="s">
        <v>33</v>
      </c>
      <c r="M26" s="265" t="s">
        <v>269</v>
      </c>
      <c r="N26" s="265">
        <f>3.2*0.1</f>
        <v>0.32000000000000006</v>
      </c>
      <c r="O26" s="279">
        <f>(8*14)/2.5*0.1</f>
        <v>4.4799999999999995</v>
      </c>
      <c r="P26" t="s">
        <v>1183</v>
      </c>
      <c r="R26" t="s">
        <v>289</v>
      </c>
    </row>
    <row r="27" spans="1:18">
      <c r="A27">
        <v>6</v>
      </c>
      <c r="B27" t="s">
        <v>268</v>
      </c>
      <c r="G27">
        <v>1</v>
      </c>
      <c r="H27" s="265">
        <v>17</v>
      </c>
      <c r="I27" s="265" t="s">
        <v>21</v>
      </c>
      <c r="J27" s="265" t="s">
        <v>22</v>
      </c>
      <c r="K27" s="265" t="s">
        <v>30</v>
      </c>
      <c r="L27" s="265" t="s">
        <v>33</v>
      </c>
      <c r="M27" s="265" t="s">
        <v>269</v>
      </c>
      <c r="N27" s="265">
        <v>0</v>
      </c>
      <c r="O27" s="279">
        <v>0</v>
      </c>
      <c r="P27" t="s">
        <v>288</v>
      </c>
      <c r="R27" t="s">
        <v>289</v>
      </c>
    </row>
    <row r="28" spans="1:18">
      <c r="A28">
        <v>6</v>
      </c>
      <c r="B28" t="s">
        <v>268</v>
      </c>
      <c r="G28">
        <v>1</v>
      </c>
      <c r="H28" s="265">
        <v>18</v>
      </c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269</v>
      </c>
      <c r="N28" s="265">
        <v>0</v>
      </c>
      <c r="O28" s="279">
        <v>0</v>
      </c>
      <c r="P28" t="s">
        <v>288</v>
      </c>
      <c r="R28" t="s">
        <v>289</v>
      </c>
    </row>
    <row r="29" spans="1:18">
      <c r="A29">
        <v>6</v>
      </c>
      <c r="B29" t="s">
        <v>268</v>
      </c>
      <c r="G29">
        <v>1</v>
      </c>
      <c r="H29" s="265">
        <v>19</v>
      </c>
      <c r="I29" s="265" t="s">
        <v>21</v>
      </c>
      <c r="J29" s="265" t="s">
        <v>22</v>
      </c>
      <c r="K29" s="265" t="s">
        <v>30</v>
      </c>
      <c r="L29" s="265" t="s">
        <v>33</v>
      </c>
      <c r="M29" s="265" t="s">
        <v>269</v>
      </c>
      <c r="N29" s="265">
        <v>0</v>
      </c>
      <c r="O29" s="279">
        <v>0</v>
      </c>
      <c r="P29" t="s">
        <v>288</v>
      </c>
      <c r="R29" t="s">
        <v>289</v>
      </c>
    </row>
    <row r="30" spans="1:18">
      <c r="A30">
        <v>6</v>
      </c>
      <c r="B30" t="s">
        <v>268</v>
      </c>
      <c r="G30">
        <v>1</v>
      </c>
      <c r="H30" s="265">
        <v>20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269</v>
      </c>
      <c r="N30" s="265">
        <v>0</v>
      </c>
      <c r="O30" s="279">
        <v>0</v>
      </c>
      <c r="P30" t="s">
        <v>288</v>
      </c>
      <c r="R30" t="s">
        <v>289</v>
      </c>
    </row>
    <row r="31" spans="1:18">
      <c r="A31">
        <v>6</v>
      </c>
      <c r="B31" t="s">
        <v>268</v>
      </c>
      <c r="G31">
        <v>1</v>
      </c>
      <c r="H31" s="265">
        <v>21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269</v>
      </c>
      <c r="N31" s="265">
        <v>0</v>
      </c>
      <c r="O31" s="279">
        <v>0</v>
      </c>
      <c r="P31" t="s">
        <v>288</v>
      </c>
      <c r="R31" t="s">
        <v>289</v>
      </c>
    </row>
    <row r="32" spans="1:18">
      <c r="A32">
        <v>6</v>
      </c>
      <c r="B32" t="s">
        <v>268</v>
      </c>
      <c r="G32">
        <v>1</v>
      </c>
      <c r="H32" s="265">
        <v>22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269</v>
      </c>
      <c r="N32" s="265">
        <f t="shared" ref="N32:N33" si="2">3.2*0.1</f>
        <v>0.32000000000000006</v>
      </c>
      <c r="O32" s="279">
        <f>(8*14)/2.5*0.1</f>
        <v>4.4799999999999995</v>
      </c>
      <c r="P32" t="s">
        <v>1183</v>
      </c>
      <c r="R32" t="s">
        <v>289</v>
      </c>
    </row>
    <row r="33" spans="1:18">
      <c r="A33">
        <v>6</v>
      </c>
      <c r="B33" t="s">
        <v>268</v>
      </c>
      <c r="G33">
        <v>1</v>
      </c>
      <c r="H33" s="265">
        <v>23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269</v>
      </c>
      <c r="N33" s="265">
        <f t="shared" si="2"/>
        <v>0.32000000000000006</v>
      </c>
      <c r="O33" s="279">
        <f>(8*14)/2.5*0.1</f>
        <v>4.4799999999999995</v>
      </c>
      <c r="P33" t="s">
        <v>1184</v>
      </c>
      <c r="R33" t="s">
        <v>289</v>
      </c>
    </row>
    <row r="34" spans="1:18">
      <c r="A34">
        <v>6</v>
      </c>
      <c r="B34" t="s">
        <v>268</v>
      </c>
      <c r="G34">
        <v>1</v>
      </c>
      <c r="H34" s="265">
        <v>24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269</v>
      </c>
      <c r="N34" s="265">
        <f>3.2*0.05</f>
        <v>0.16000000000000003</v>
      </c>
      <c r="O34" s="279">
        <f>(8*14)/2.5*0.05</f>
        <v>2.2399999999999998</v>
      </c>
      <c r="P34" t="s">
        <v>1185</v>
      </c>
      <c r="R34" t="s">
        <v>289</v>
      </c>
    </row>
    <row r="35" spans="1:18">
      <c r="A35">
        <v>6</v>
      </c>
      <c r="B35" t="s">
        <v>268</v>
      </c>
      <c r="G35">
        <v>1</v>
      </c>
      <c r="I35" t="s">
        <v>21</v>
      </c>
      <c r="J35" t="s">
        <v>22</v>
      </c>
      <c r="K35" t="s">
        <v>408</v>
      </c>
      <c r="L35" s="52" t="s">
        <v>32</v>
      </c>
      <c r="M35" t="s">
        <v>281</v>
      </c>
      <c r="O35" s="1">
        <f>65.1/2.5</f>
        <v>26.04</v>
      </c>
      <c r="P35" t="s">
        <v>354</v>
      </c>
      <c r="R35" t="s">
        <v>289</v>
      </c>
    </row>
    <row r="36" spans="1:18">
      <c r="A36">
        <v>6</v>
      </c>
      <c r="B36" t="s">
        <v>268</v>
      </c>
      <c r="G36">
        <v>1</v>
      </c>
      <c r="I36" t="s">
        <v>21</v>
      </c>
      <c r="J36" t="s">
        <v>22</v>
      </c>
      <c r="K36" t="s">
        <v>26</v>
      </c>
      <c r="L36" s="52" t="s">
        <v>32</v>
      </c>
      <c r="M36" t="s">
        <v>270</v>
      </c>
      <c r="O36" s="1">
        <f>108.2/2.5</f>
        <v>43.28</v>
      </c>
      <c r="P36" t="s">
        <v>356</v>
      </c>
      <c r="R36" t="s">
        <v>289</v>
      </c>
    </row>
    <row r="37" spans="1:18">
      <c r="A37">
        <v>6</v>
      </c>
      <c r="B37" t="s">
        <v>268</v>
      </c>
      <c r="G37">
        <v>1</v>
      </c>
      <c r="I37" t="s">
        <v>21</v>
      </c>
      <c r="J37" t="s">
        <v>22</v>
      </c>
      <c r="K37" t="s">
        <v>26</v>
      </c>
      <c r="L37" s="52" t="s">
        <v>32</v>
      </c>
      <c r="M37" t="s">
        <v>271</v>
      </c>
      <c r="O37" s="1">
        <f>12/2.5</f>
        <v>4.8</v>
      </c>
      <c r="P37" t="s">
        <v>355</v>
      </c>
      <c r="R37" t="s">
        <v>289</v>
      </c>
    </row>
    <row r="39" spans="1:18">
      <c r="O39" s="1"/>
    </row>
    <row r="40" spans="1:18">
      <c r="I40" t="s">
        <v>1147</v>
      </c>
    </row>
    <row r="41" spans="1:18">
      <c r="H41" t="s">
        <v>1155</v>
      </c>
      <c r="I41" t="s">
        <v>1152</v>
      </c>
    </row>
    <row r="42" spans="1:18">
      <c r="H42" t="s">
        <v>1157</v>
      </c>
      <c r="I42" t="s">
        <v>1153</v>
      </c>
    </row>
    <row r="43" spans="1:18">
      <c r="H43" s="313">
        <v>0.1</v>
      </c>
      <c r="I43" t="s">
        <v>1154</v>
      </c>
    </row>
    <row r="44" spans="1:18">
      <c r="H44" s="313" t="s">
        <v>1158</v>
      </c>
      <c r="I44" t="s">
        <v>1156</v>
      </c>
      <c r="L44" t="s">
        <v>1171</v>
      </c>
      <c r="M44" t="s">
        <v>1161</v>
      </c>
    </row>
    <row r="45" spans="1:18">
      <c r="K45">
        <v>1</v>
      </c>
      <c r="L45">
        <v>0.05</v>
      </c>
    </row>
    <row r="46" spans="1:18">
      <c r="K46">
        <v>2</v>
      </c>
      <c r="L46">
        <v>0.05</v>
      </c>
      <c r="M46" s="4"/>
    </row>
    <row r="47" spans="1:18">
      <c r="K47">
        <v>3</v>
      </c>
      <c r="L47">
        <v>0.05</v>
      </c>
    </row>
    <row r="48" spans="1:18">
      <c r="K48">
        <v>4</v>
      </c>
      <c r="L48">
        <v>0.05</v>
      </c>
    </row>
    <row r="49" spans="11:12">
      <c r="K49">
        <v>5</v>
      </c>
      <c r="L49">
        <v>0.05</v>
      </c>
    </row>
    <row r="50" spans="11:12">
      <c r="K50">
        <v>6</v>
      </c>
      <c r="L50">
        <v>0.05</v>
      </c>
    </row>
    <row r="51" spans="11:12">
      <c r="K51">
        <v>7</v>
      </c>
      <c r="L51">
        <v>0.05</v>
      </c>
    </row>
    <row r="52" spans="11:12">
      <c r="K52">
        <v>8</v>
      </c>
      <c r="L52">
        <v>0.05</v>
      </c>
    </row>
    <row r="53" spans="11:12">
      <c r="K53">
        <v>9</v>
      </c>
      <c r="L53">
        <v>0.05</v>
      </c>
    </row>
    <row r="54" spans="11:12">
      <c r="K54">
        <v>10</v>
      </c>
      <c r="L54">
        <v>0.1</v>
      </c>
    </row>
    <row r="55" spans="11:12">
      <c r="K55">
        <v>11</v>
      </c>
      <c r="L55">
        <v>0.1</v>
      </c>
    </row>
    <row r="56" spans="11:12">
      <c r="K56">
        <v>12</v>
      </c>
      <c r="L56">
        <v>0</v>
      </c>
    </row>
    <row r="57" spans="11:12">
      <c r="K57">
        <v>13</v>
      </c>
      <c r="L57">
        <v>0</v>
      </c>
    </row>
    <row r="58" spans="11:12">
      <c r="K58">
        <v>14</v>
      </c>
      <c r="L58">
        <v>0</v>
      </c>
    </row>
    <row r="59" spans="11:12">
      <c r="K59">
        <v>15</v>
      </c>
      <c r="L59">
        <v>0</v>
      </c>
    </row>
    <row r="60" spans="11:12">
      <c r="K60">
        <v>16</v>
      </c>
      <c r="L60">
        <v>0.1</v>
      </c>
    </row>
    <row r="61" spans="11:12">
      <c r="K61">
        <v>17</v>
      </c>
      <c r="L61">
        <v>0</v>
      </c>
    </row>
    <row r="62" spans="11:12">
      <c r="K62">
        <v>18</v>
      </c>
      <c r="L62">
        <v>0</v>
      </c>
    </row>
    <row r="63" spans="11:12">
      <c r="K63">
        <v>19</v>
      </c>
      <c r="L63">
        <v>0</v>
      </c>
    </row>
    <row r="64" spans="11:12">
      <c r="K64">
        <v>20</v>
      </c>
      <c r="L64">
        <v>0</v>
      </c>
    </row>
    <row r="65" spans="11:12">
      <c r="K65">
        <v>21</v>
      </c>
      <c r="L65">
        <v>0</v>
      </c>
    </row>
    <row r="66" spans="11:12">
      <c r="K66">
        <v>22</v>
      </c>
      <c r="L66">
        <v>0.1</v>
      </c>
    </row>
    <row r="67" spans="11:12">
      <c r="K67">
        <v>23</v>
      </c>
      <c r="L67">
        <v>0.1</v>
      </c>
    </row>
    <row r="68" spans="11:12">
      <c r="K68">
        <v>24</v>
      </c>
      <c r="L68">
        <v>0.05</v>
      </c>
    </row>
    <row r="70" spans="11:12">
      <c r="L70">
        <f>SUM(L45:L68)</f>
        <v>0.99999999999999989</v>
      </c>
    </row>
  </sheetData>
  <autoFilter ref="A1:R3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G1" zoomScale="90" zoomScaleNormal="90" workbookViewId="0">
      <pane ySplit="1" topLeftCell="A2" activePane="bottomLeft" state="frozen"/>
      <selection pane="bottomLeft" activeCell="G18" sqref="G18"/>
    </sheetView>
  </sheetViews>
  <sheetFormatPr defaultRowHeight="14.5"/>
  <cols>
    <col min="1" max="1" width="6.1796875" bestFit="1" customWidth="1"/>
    <col min="2" max="2" width="17.45312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60.1796875" bestFit="1" customWidth="1"/>
    <col min="14" max="14" width="12.81640625" bestFit="1" customWidth="1"/>
    <col min="15" max="15" width="8.81640625" bestFit="1" customWidth="1"/>
    <col min="16" max="16" width="130.26953125" bestFit="1" customWidth="1"/>
    <col min="17" max="17" width="11.1796875" bestFit="1" customWidth="1"/>
    <col min="18" max="18" width="62.5429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7</v>
      </c>
      <c r="B2" t="s">
        <v>290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272</v>
      </c>
      <c r="O2" s="1">
        <v>50</v>
      </c>
      <c r="P2" t="s">
        <v>282</v>
      </c>
      <c r="R2" s="3" t="s">
        <v>289</v>
      </c>
    </row>
    <row r="3" spans="1:18">
      <c r="A3">
        <v>7</v>
      </c>
      <c r="B3" t="s">
        <v>290</v>
      </c>
      <c r="G3">
        <v>1</v>
      </c>
      <c r="I3" t="s">
        <v>21</v>
      </c>
      <c r="J3" t="s">
        <v>22</v>
      </c>
      <c r="K3" t="s">
        <v>71</v>
      </c>
      <c r="L3" t="s">
        <v>33</v>
      </c>
      <c r="M3" t="s">
        <v>273</v>
      </c>
      <c r="O3" s="309">
        <f>20*(55/35)</f>
        <v>31.428571428571427</v>
      </c>
      <c r="P3" t="s">
        <v>291</v>
      </c>
      <c r="R3" t="s">
        <v>289</v>
      </c>
    </row>
    <row r="4" spans="1:18">
      <c r="A4">
        <v>7</v>
      </c>
      <c r="B4" t="s">
        <v>290</v>
      </c>
      <c r="G4">
        <v>1</v>
      </c>
      <c r="I4" t="s">
        <v>21</v>
      </c>
      <c r="J4" t="s">
        <v>22</v>
      </c>
      <c r="K4" t="s">
        <v>71</v>
      </c>
      <c r="L4" t="s">
        <v>33</v>
      </c>
      <c r="M4" t="s">
        <v>274</v>
      </c>
      <c r="O4" s="309">
        <f>4*3.4/2.5*(55/35)</f>
        <v>8.548571428571428</v>
      </c>
      <c r="P4" t="s">
        <v>292</v>
      </c>
      <c r="R4" t="s">
        <v>289</v>
      </c>
    </row>
    <row r="5" spans="1:18">
      <c r="A5">
        <v>7</v>
      </c>
      <c r="B5" t="s">
        <v>290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275</v>
      </c>
      <c r="N5" s="309"/>
      <c r="O5" s="312">
        <f>60*0.09/2.5*(55/35)</f>
        <v>3.3942857142857137</v>
      </c>
      <c r="P5" t="s">
        <v>293</v>
      </c>
      <c r="R5" t="s">
        <v>289</v>
      </c>
    </row>
    <row r="6" spans="1:18">
      <c r="A6">
        <v>7</v>
      </c>
      <c r="B6" t="s">
        <v>290</v>
      </c>
      <c r="G6">
        <v>1</v>
      </c>
      <c r="I6" t="s">
        <v>21</v>
      </c>
      <c r="J6" t="s">
        <v>22</v>
      </c>
      <c r="K6" t="s">
        <v>71</v>
      </c>
      <c r="L6" t="s">
        <v>33</v>
      </c>
      <c r="M6" t="s">
        <v>276</v>
      </c>
      <c r="N6" s="309"/>
      <c r="O6" s="312">
        <f>2.1*95/2.5*(55/35)</f>
        <v>125.39999999999999</v>
      </c>
      <c r="P6" t="s">
        <v>294</v>
      </c>
      <c r="R6" t="s">
        <v>289</v>
      </c>
    </row>
    <row r="7" spans="1:18">
      <c r="A7">
        <v>7</v>
      </c>
      <c r="B7" t="s">
        <v>290</v>
      </c>
      <c r="G7">
        <v>1</v>
      </c>
      <c r="I7" t="s">
        <v>21</v>
      </c>
      <c r="J7" t="s">
        <v>22</v>
      </c>
      <c r="K7" t="s">
        <v>71</v>
      </c>
      <c r="L7" t="s">
        <v>33</v>
      </c>
      <c r="M7" t="s">
        <v>277</v>
      </c>
      <c r="N7" s="303"/>
      <c r="O7" s="309">
        <f>3*4/4*(55/35)</f>
        <v>4.7142857142857144</v>
      </c>
      <c r="P7" t="s">
        <v>1149</v>
      </c>
      <c r="R7" t="s">
        <v>289</v>
      </c>
    </row>
    <row r="8" spans="1:18">
      <c r="A8">
        <v>7</v>
      </c>
      <c r="B8" t="s">
        <v>290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278</v>
      </c>
      <c r="O8" s="309">
        <f>25/2.5*(55/35)</f>
        <v>15.714285714285714</v>
      </c>
      <c r="P8" t="s">
        <v>295</v>
      </c>
      <c r="R8" t="s">
        <v>289</v>
      </c>
    </row>
    <row r="9" spans="1:18">
      <c r="A9">
        <v>7</v>
      </c>
      <c r="B9" t="s">
        <v>290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279</v>
      </c>
      <c r="O9" s="310">
        <f>15/2.5</f>
        <v>6</v>
      </c>
      <c r="P9" s="290" t="s">
        <v>1151</v>
      </c>
      <c r="R9" t="s">
        <v>289</v>
      </c>
    </row>
    <row r="10" spans="1:18">
      <c r="A10">
        <v>7</v>
      </c>
      <c r="B10" t="s">
        <v>290</v>
      </c>
      <c r="G10">
        <v>1</v>
      </c>
      <c r="I10" t="s">
        <v>21</v>
      </c>
      <c r="J10" t="s">
        <v>22</v>
      </c>
      <c r="K10" t="s">
        <v>26</v>
      </c>
      <c r="L10" t="s">
        <v>33</v>
      </c>
      <c r="M10" t="s">
        <v>280</v>
      </c>
      <c r="O10" s="309">
        <f>20/2.5*(55/35)</f>
        <v>12.571428571428571</v>
      </c>
      <c r="P10" t="s">
        <v>296</v>
      </c>
      <c r="R10" t="s">
        <v>289</v>
      </c>
    </row>
    <row r="11" spans="1:18">
      <c r="A11">
        <v>7</v>
      </c>
      <c r="B11" t="s">
        <v>290</v>
      </c>
      <c r="G11">
        <v>1</v>
      </c>
      <c r="H11" s="263"/>
      <c r="I11" t="s">
        <v>21</v>
      </c>
      <c r="J11" t="s">
        <v>22</v>
      </c>
      <c r="K11" t="s">
        <v>30</v>
      </c>
      <c r="L11" s="52" t="s">
        <v>33</v>
      </c>
      <c r="M11" t="s">
        <v>269</v>
      </c>
      <c r="N11" s="290">
        <f>8/2.5</f>
        <v>3.2</v>
      </c>
      <c r="O11" s="310">
        <f>8*14/2.5</f>
        <v>44.8</v>
      </c>
      <c r="P11" s="290" t="s">
        <v>288</v>
      </c>
      <c r="R11" t="s">
        <v>289</v>
      </c>
    </row>
    <row r="12" spans="1:18">
      <c r="A12">
        <v>7</v>
      </c>
      <c r="B12" t="s">
        <v>290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281</v>
      </c>
      <c r="N12" s="265"/>
      <c r="O12" s="310">
        <v>26.04</v>
      </c>
      <c r="P12" s="290" t="s">
        <v>1150</v>
      </c>
      <c r="R12" t="s">
        <v>289</v>
      </c>
    </row>
    <row r="13" spans="1:18">
      <c r="A13">
        <v>7</v>
      </c>
      <c r="B13" t="s">
        <v>290</v>
      </c>
      <c r="G13">
        <v>1</v>
      </c>
      <c r="I13" t="s">
        <v>21</v>
      </c>
      <c r="J13" t="s">
        <v>22</v>
      </c>
      <c r="K13" t="s">
        <v>26</v>
      </c>
      <c r="L13" s="52" t="s">
        <v>32</v>
      </c>
      <c r="M13" t="s">
        <v>270</v>
      </c>
      <c r="O13" s="309">
        <f>108.2/2.5*(55/35)</f>
        <v>68.011428571428567</v>
      </c>
      <c r="P13" t="s">
        <v>297</v>
      </c>
      <c r="R13" t="s">
        <v>289</v>
      </c>
    </row>
    <row r="14" spans="1:18">
      <c r="A14">
        <v>7</v>
      </c>
      <c r="B14" t="s">
        <v>290</v>
      </c>
      <c r="G14">
        <v>1</v>
      </c>
      <c r="I14" t="s">
        <v>21</v>
      </c>
      <c r="J14" t="s">
        <v>22</v>
      </c>
      <c r="K14" t="s">
        <v>26</v>
      </c>
      <c r="L14" s="52" t="s">
        <v>32</v>
      </c>
      <c r="M14" t="s">
        <v>271</v>
      </c>
      <c r="O14" s="309">
        <f>12/2.5*(55/35)</f>
        <v>7.5428571428571427</v>
      </c>
      <c r="P14" t="s">
        <v>297</v>
      </c>
      <c r="R14" t="s">
        <v>289</v>
      </c>
    </row>
    <row r="19" spans="7:7">
      <c r="G19" s="313"/>
    </row>
    <row r="20" spans="7:7">
      <c r="G20" s="313"/>
    </row>
  </sheetData>
  <autoFilter ref="A1:R14"/>
  <hyperlinks>
    <hyperlink ref="R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02"/>
  <sheetViews>
    <sheetView zoomScale="80" zoomScaleNormal="80" workbookViewId="0">
      <pane ySplit="1" topLeftCell="A2" activePane="bottomLeft" state="frozen"/>
      <selection pane="bottomLeft" activeCell="M10" sqref="M10"/>
    </sheetView>
  </sheetViews>
  <sheetFormatPr defaultRowHeight="14.5"/>
  <cols>
    <col min="1" max="1" width="6.1796875" bestFit="1" customWidth="1"/>
    <col min="2" max="2" width="9.453125" bestFit="1" customWidth="1"/>
    <col min="3" max="3" width="8.81640625" bestFit="1" customWidth="1"/>
    <col min="8" max="8" width="12.1796875" bestFit="1" customWidth="1"/>
    <col min="9" max="9" width="13.453125" bestFit="1" customWidth="1"/>
    <col min="10" max="10" width="23.81640625" bestFit="1" customWidth="1"/>
    <col min="11" max="11" width="17.26953125" bestFit="1" customWidth="1"/>
    <col min="12" max="12" width="14.453125" bestFit="1" customWidth="1"/>
    <col min="13" max="13" width="45" bestFit="1" customWidth="1"/>
    <col min="14" max="14" width="12.81640625" bestFit="1" customWidth="1"/>
    <col min="15" max="15" width="8.81640625" bestFit="1" customWidth="1"/>
    <col min="16" max="16" width="74.81640625" bestFit="1" customWidth="1"/>
    <col min="17" max="17" width="11.7265625" customWidth="1"/>
    <col min="18" max="18" width="63.81640625" bestFit="1" customWidth="1"/>
    <col min="19" max="19" width="38.26953125" customWidth="1"/>
    <col min="20" max="20" width="14.81640625" customWidth="1"/>
    <col min="21" max="21" width="15.7265625" customWidth="1"/>
    <col min="22" max="22" width="18.81640625" customWidth="1"/>
    <col min="23" max="23" width="16.54296875" customWidth="1"/>
    <col min="24" max="24" width="12.453125" bestFit="1" customWidth="1"/>
    <col min="25" max="25" width="11.5429687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4">
      <c r="A2">
        <v>8</v>
      </c>
      <c r="B2" t="s">
        <v>298</v>
      </c>
      <c r="G2">
        <v>1</v>
      </c>
      <c r="I2" t="s">
        <v>299</v>
      </c>
      <c r="J2" t="s">
        <v>61</v>
      </c>
      <c r="K2" t="s">
        <v>408</v>
      </c>
      <c r="L2" t="s">
        <v>32</v>
      </c>
      <c r="M2" t="s">
        <v>232</v>
      </c>
      <c r="O2" s="1">
        <f>U15</f>
        <v>2.2000000000000002</v>
      </c>
      <c r="R2" t="s">
        <v>75</v>
      </c>
      <c r="S2" s="62"/>
      <c r="T2" s="205"/>
      <c r="U2" s="205"/>
      <c r="V2" s="205"/>
      <c r="W2" s="13"/>
      <c r="X2" s="13"/>
    </row>
    <row r="3" spans="1:24">
      <c r="A3">
        <v>8</v>
      </c>
      <c r="B3" t="s">
        <v>298</v>
      </c>
      <c r="G3">
        <v>1</v>
      </c>
      <c r="I3" t="s">
        <v>299</v>
      </c>
      <c r="J3" t="s">
        <v>61</v>
      </c>
      <c r="K3" t="s">
        <v>408</v>
      </c>
      <c r="L3" t="s">
        <v>33</v>
      </c>
      <c r="M3" t="s">
        <v>232</v>
      </c>
      <c r="O3" s="1">
        <f>V15</f>
        <v>2</v>
      </c>
      <c r="R3" t="s">
        <v>75</v>
      </c>
      <c r="S3" s="62"/>
      <c r="T3" s="205"/>
      <c r="U3" s="13"/>
      <c r="V3" s="13"/>
      <c r="W3" s="13"/>
      <c r="X3" s="13"/>
    </row>
    <row r="4" spans="1:24">
      <c r="A4">
        <v>8</v>
      </c>
      <c r="B4" t="s">
        <v>298</v>
      </c>
      <c r="G4">
        <v>1</v>
      </c>
      <c r="I4" t="s">
        <v>299</v>
      </c>
      <c r="J4" t="s">
        <v>61</v>
      </c>
      <c r="K4" t="s">
        <v>408</v>
      </c>
      <c r="L4" t="s">
        <v>32</v>
      </c>
      <c r="M4" t="s">
        <v>304</v>
      </c>
      <c r="O4" s="1">
        <f>U16</f>
        <v>9.1999999999999993</v>
      </c>
      <c r="P4" t="s">
        <v>76</v>
      </c>
      <c r="R4" t="s">
        <v>75</v>
      </c>
      <c r="S4" s="64"/>
      <c r="T4" s="65"/>
      <c r="U4" s="66"/>
      <c r="V4" s="67"/>
      <c r="W4" s="68"/>
      <c r="X4" s="67"/>
    </row>
    <row r="5" spans="1:24">
      <c r="A5">
        <v>8</v>
      </c>
      <c r="B5" t="s">
        <v>298</v>
      </c>
      <c r="G5">
        <v>1</v>
      </c>
      <c r="I5" t="s">
        <v>299</v>
      </c>
      <c r="J5" t="s">
        <v>61</v>
      </c>
      <c r="K5" t="s">
        <v>408</v>
      </c>
      <c r="L5" t="s">
        <v>33</v>
      </c>
      <c r="M5" t="s">
        <v>233</v>
      </c>
      <c r="O5" s="1">
        <f>V16</f>
        <v>6.8</v>
      </c>
      <c r="P5" t="s">
        <v>76</v>
      </c>
      <c r="R5" t="s">
        <v>75</v>
      </c>
      <c r="S5" s="62" t="s">
        <v>79</v>
      </c>
      <c r="T5" s="9" t="s">
        <v>82</v>
      </c>
      <c r="U5" s="10"/>
      <c r="V5" s="11"/>
      <c r="W5" s="13"/>
      <c r="X5" s="13"/>
    </row>
    <row r="6" spans="1:24">
      <c r="A6">
        <v>8</v>
      </c>
      <c r="B6" t="s">
        <v>298</v>
      </c>
      <c r="G6">
        <v>1</v>
      </c>
      <c r="I6" t="s">
        <v>299</v>
      </c>
      <c r="J6" t="s">
        <v>61</v>
      </c>
      <c r="K6" t="s">
        <v>408</v>
      </c>
      <c r="L6" t="s">
        <v>32</v>
      </c>
      <c r="M6" t="s">
        <v>234</v>
      </c>
      <c r="O6" s="1">
        <f>U17</f>
        <v>2</v>
      </c>
      <c r="R6" t="s">
        <v>75</v>
      </c>
      <c r="S6" s="62" t="s">
        <v>83</v>
      </c>
      <c r="T6" s="63">
        <v>10</v>
      </c>
      <c r="U6" s="13"/>
      <c r="V6" s="13"/>
      <c r="W6" s="13"/>
      <c r="X6" s="13"/>
    </row>
    <row r="7" spans="1:24">
      <c r="A7">
        <v>8</v>
      </c>
      <c r="B7" t="s">
        <v>298</v>
      </c>
      <c r="G7">
        <v>1</v>
      </c>
      <c r="I7" t="s">
        <v>299</v>
      </c>
      <c r="J7" t="s">
        <v>61</v>
      </c>
      <c r="K7" t="s">
        <v>408</v>
      </c>
      <c r="L7" t="s">
        <v>33</v>
      </c>
      <c r="M7" t="s">
        <v>234</v>
      </c>
      <c r="O7" s="1">
        <f>V17</f>
        <v>1.6</v>
      </c>
      <c r="R7" t="s">
        <v>75</v>
      </c>
      <c r="S7" s="64" t="s">
        <v>152</v>
      </c>
      <c r="T7" s="65"/>
      <c r="U7" s="66"/>
      <c r="V7" s="67"/>
      <c r="W7" s="68"/>
      <c r="X7" s="67"/>
    </row>
    <row r="8" spans="1:24">
      <c r="A8">
        <v>8</v>
      </c>
      <c r="B8" t="s">
        <v>298</v>
      </c>
      <c r="G8">
        <v>1</v>
      </c>
      <c r="I8" t="s">
        <v>299</v>
      </c>
      <c r="J8" t="s">
        <v>61</v>
      </c>
      <c r="K8" t="s">
        <v>408</v>
      </c>
      <c r="L8" t="s">
        <v>32</v>
      </c>
      <c r="M8" t="s">
        <v>235</v>
      </c>
      <c r="O8" s="1">
        <f>U19</f>
        <v>2.1</v>
      </c>
      <c r="R8" t="s">
        <v>75</v>
      </c>
      <c r="S8" s="69" t="s">
        <v>153</v>
      </c>
      <c r="T8" s="70">
        <v>2.5</v>
      </c>
      <c r="U8" s="71" t="s">
        <v>154</v>
      </c>
      <c r="V8" s="72"/>
      <c r="W8" s="73" t="s">
        <v>155</v>
      </c>
      <c r="X8" s="67"/>
    </row>
    <row r="9" spans="1:24">
      <c r="A9">
        <v>8</v>
      </c>
      <c r="B9" t="s">
        <v>298</v>
      </c>
      <c r="G9">
        <v>1</v>
      </c>
      <c r="I9" t="s">
        <v>299</v>
      </c>
      <c r="J9" t="s">
        <v>61</v>
      </c>
      <c r="K9" t="s">
        <v>408</v>
      </c>
      <c r="L9" t="s">
        <v>33</v>
      </c>
      <c r="M9" t="s">
        <v>235</v>
      </c>
      <c r="O9" s="1">
        <f>V19</f>
        <v>1.5</v>
      </c>
      <c r="R9" t="s">
        <v>75</v>
      </c>
      <c r="S9" s="69" t="s">
        <v>156</v>
      </c>
      <c r="T9" s="70">
        <v>2</v>
      </c>
      <c r="U9" s="67"/>
      <c r="V9" s="67"/>
      <c r="W9" s="67"/>
      <c r="X9" s="67"/>
    </row>
    <row r="10" spans="1:24" ht="15" thickBot="1">
      <c r="A10">
        <v>8</v>
      </c>
      <c r="B10" t="s">
        <v>298</v>
      </c>
      <c r="G10">
        <v>1</v>
      </c>
      <c r="I10" t="s">
        <v>299</v>
      </c>
      <c r="J10" t="s">
        <v>61</v>
      </c>
      <c r="K10" t="s">
        <v>408</v>
      </c>
      <c r="L10" t="s">
        <v>32</v>
      </c>
      <c r="M10" t="s">
        <v>236</v>
      </c>
      <c r="O10" s="1">
        <f>U20</f>
        <v>4.5</v>
      </c>
      <c r="R10" t="s">
        <v>75</v>
      </c>
      <c r="S10" s="74"/>
      <c r="T10" s="75"/>
      <c r="U10" s="75"/>
      <c r="V10" s="76"/>
      <c r="W10" s="77"/>
      <c r="X10" s="77"/>
    </row>
    <row r="11" spans="1:24" ht="15" thickTop="1">
      <c r="A11">
        <v>8</v>
      </c>
      <c r="B11" t="s">
        <v>298</v>
      </c>
      <c r="G11">
        <v>1</v>
      </c>
      <c r="I11" t="s">
        <v>299</v>
      </c>
      <c r="J11" t="s">
        <v>61</v>
      </c>
      <c r="K11" t="s">
        <v>408</v>
      </c>
      <c r="L11" t="s">
        <v>33</v>
      </c>
      <c r="M11" t="s">
        <v>236</v>
      </c>
      <c r="O11" s="1">
        <f>V20</f>
        <v>4</v>
      </c>
      <c r="R11" t="s">
        <v>75</v>
      </c>
      <c r="S11" s="78"/>
      <c r="T11" s="79"/>
      <c r="U11" s="79"/>
      <c r="V11" s="80"/>
      <c r="W11" s="81"/>
      <c r="X11" s="81"/>
    </row>
    <row r="12" spans="1:24" ht="15.5">
      <c r="A12">
        <v>8</v>
      </c>
      <c r="B12" t="s">
        <v>298</v>
      </c>
      <c r="G12">
        <v>1</v>
      </c>
      <c r="I12" t="s">
        <v>299</v>
      </c>
      <c r="J12" t="s">
        <v>61</v>
      </c>
      <c r="K12" t="s">
        <v>71</v>
      </c>
      <c r="L12" t="s">
        <v>33</v>
      </c>
      <c r="M12" t="s">
        <v>62</v>
      </c>
      <c r="O12" s="1">
        <f>T28*T27</f>
        <v>57.15</v>
      </c>
      <c r="P12" t="s">
        <v>338</v>
      </c>
      <c r="R12" t="s">
        <v>75</v>
      </c>
      <c r="S12" s="82" t="s">
        <v>157</v>
      </c>
      <c r="T12" s="67"/>
      <c r="U12" s="83"/>
      <c r="V12" s="83"/>
      <c r="W12" s="83"/>
      <c r="X12" s="68"/>
    </row>
    <row r="13" spans="1:24">
      <c r="A13">
        <v>8</v>
      </c>
      <c r="B13" t="s">
        <v>298</v>
      </c>
      <c r="G13">
        <v>1</v>
      </c>
      <c r="I13" t="s">
        <v>299</v>
      </c>
      <c r="J13" t="s">
        <v>61</v>
      </c>
      <c r="K13" t="s">
        <v>71</v>
      </c>
      <c r="L13" t="s">
        <v>33</v>
      </c>
      <c r="M13" t="s">
        <v>63</v>
      </c>
      <c r="O13" s="1">
        <f>T42*T41</f>
        <v>14.524999999999999</v>
      </c>
      <c r="P13" t="s">
        <v>339</v>
      </c>
      <c r="R13" t="s">
        <v>75</v>
      </c>
      <c r="S13" s="84"/>
      <c r="T13" s="84"/>
      <c r="U13" s="85" t="s">
        <v>158</v>
      </c>
      <c r="V13" s="85"/>
      <c r="W13" s="68"/>
      <c r="X13" s="62" t="s">
        <v>85</v>
      </c>
    </row>
    <row r="14" spans="1:24">
      <c r="A14">
        <v>8</v>
      </c>
      <c r="B14" t="s">
        <v>298</v>
      </c>
      <c r="G14">
        <v>1</v>
      </c>
      <c r="I14" t="s">
        <v>299</v>
      </c>
      <c r="J14" t="s">
        <v>61</v>
      </c>
      <c r="K14" t="s">
        <v>71</v>
      </c>
      <c r="L14" t="s">
        <v>33</v>
      </c>
      <c r="M14" t="s">
        <v>64</v>
      </c>
      <c r="O14" s="1">
        <f>T51*T44</f>
        <v>38.712499999999999</v>
      </c>
      <c r="P14" t="s">
        <v>340</v>
      </c>
      <c r="R14" t="s">
        <v>75</v>
      </c>
      <c r="S14" s="86" t="s">
        <v>159</v>
      </c>
      <c r="T14" s="87"/>
      <c r="U14" s="88" t="s">
        <v>32</v>
      </c>
      <c r="V14" s="88" t="s">
        <v>33</v>
      </c>
      <c r="W14" s="89" t="s">
        <v>87</v>
      </c>
      <c r="X14" s="89" t="s">
        <v>88</v>
      </c>
    </row>
    <row r="15" spans="1:24">
      <c r="A15">
        <v>8</v>
      </c>
      <c r="B15" t="s">
        <v>298</v>
      </c>
      <c r="G15">
        <v>1</v>
      </c>
      <c r="I15" t="s">
        <v>299</v>
      </c>
      <c r="J15" t="s">
        <v>61</v>
      </c>
      <c r="K15" t="s">
        <v>71</v>
      </c>
      <c r="L15" t="s">
        <v>33</v>
      </c>
      <c r="M15" t="s">
        <v>65</v>
      </c>
      <c r="O15" s="1">
        <f>V54</f>
        <v>18.2</v>
      </c>
      <c r="R15" t="s">
        <v>75</v>
      </c>
      <c r="S15" s="90" t="s">
        <v>160</v>
      </c>
      <c r="T15" s="91"/>
      <c r="U15" s="92">
        <v>2.2000000000000002</v>
      </c>
      <c r="V15" s="93">
        <v>2</v>
      </c>
      <c r="W15" s="33">
        <f t="shared" ref="W15:W21" si="0">V15+U15</f>
        <v>4.2</v>
      </c>
      <c r="X15" s="94">
        <f>T$6*W15</f>
        <v>42</v>
      </c>
    </row>
    <row r="16" spans="1:24">
      <c r="A16">
        <v>8</v>
      </c>
      <c r="B16" t="s">
        <v>298</v>
      </c>
      <c r="G16">
        <v>1</v>
      </c>
      <c r="I16" t="s">
        <v>299</v>
      </c>
      <c r="J16" t="s">
        <v>61</v>
      </c>
      <c r="K16" t="s">
        <v>71</v>
      </c>
      <c r="L16" t="s">
        <v>33</v>
      </c>
      <c r="M16" t="s">
        <v>66</v>
      </c>
      <c r="O16" s="1">
        <f>V55</f>
        <v>20</v>
      </c>
      <c r="R16" t="s">
        <v>75</v>
      </c>
      <c r="S16" s="90" t="s">
        <v>161</v>
      </c>
      <c r="T16" s="91"/>
      <c r="U16" s="95">
        <v>9.1999999999999993</v>
      </c>
      <c r="V16" s="95">
        <v>6.8</v>
      </c>
      <c r="W16" s="33">
        <f t="shared" si="0"/>
        <v>16</v>
      </c>
      <c r="X16" s="94">
        <f t="shared" ref="X16:X22" si="1">T$6*W16</f>
        <v>160</v>
      </c>
    </row>
    <row r="17" spans="1:24">
      <c r="A17">
        <v>8</v>
      </c>
      <c r="B17" t="s">
        <v>298</v>
      </c>
      <c r="G17">
        <v>1</v>
      </c>
      <c r="H17" s="265">
        <v>10</v>
      </c>
      <c r="I17" t="s">
        <v>299</v>
      </c>
      <c r="J17" t="s">
        <v>22</v>
      </c>
      <c r="K17" t="s">
        <v>30</v>
      </c>
      <c r="L17" t="s">
        <v>33</v>
      </c>
      <c r="M17" t="s">
        <v>67</v>
      </c>
      <c r="N17" s="307">
        <f>T58</f>
        <v>1</v>
      </c>
      <c r="O17" s="1">
        <f>T58*T60</f>
        <v>14.25</v>
      </c>
      <c r="P17" t="s">
        <v>231</v>
      </c>
      <c r="Q17" t="s">
        <v>987</v>
      </c>
      <c r="R17" t="s">
        <v>75</v>
      </c>
      <c r="S17" s="90" t="s">
        <v>162</v>
      </c>
      <c r="T17" s="91"/>
      <c r="U17" s="96">
        <v>2</v>
      </c>
      <c r="V17" s="96">
        <v>1.6</v>
      </c>
      <c r="W17" s="33">
        <f t="shared" si="0"/>
        <v>3.6</v>
      </c>
      <c r="X17" s="94">
        <f t="shared" si="1"/>
        <v>36</v>
      </c>
    </row>
    <row r="18" spans="1:24">
      <c r="A18">
        <v>8</v>
      </c>
      <c r="B18" t="s">
        <v>298</v>
      </c>
      <c r="G18">
        <v>1</v>
      </c>
      <c r="H18" s="265">
        <v>13</v>
      </c>
      <c r="I18" t="s">
        <v>299</v>
      </c>
      <c r="J18" t="s">
        <v>22</v>
      </c>
      <c r="K18" t="s">
        <v>30</v>
      </c>
      <c r="L18" t="s">
        <v>33</v>
      </c>
      <c r="M18" t="s">
        <v>68</v>
      </c>
      <c r="N18" s="307">
        <f>T59</f>
        <v>1.5</v>
      </c>
      <c r="O18" s="1">
        <f>T59*T60</f>
        <v>21.375</v>
      </c>
      <c r="P18" t="s">
        <v>1133</v>
      </c>
      <c r="Q18" s="203" t="s">
        <v>987</v>
      </c>
      <c r="R18" t="s">
        <v>75</v>
      </c>
      <c r="S18" s="90"/>
      <c r="T18" s="91"/>
      <c r="U18" s="96"/>
      <c r="V18" s="96"/>
      <c r="W18" s="33"/>
      <c r="X18" s="94"/>
    </row>
    <row r="19" spans="1:24">
      <c r="A19">
        <v>8</v>
      </c>
      <c r="B19" t="s">
        <v>298</v>
      </c>
      <c r="G19">
        <v>1</v>
      </c>
      <c r="H19" s="265">
        <v>16</v>
      </c>
      <c r="I19" t="s">
        <v>299</v>
      </c>
      <c r="J19" t="s">
        <v>29</v>
      </c>
      <c r="K19" t="s">
        <v>30</v>
      </c>
      <c r="L19" t="s">
        <v>33</v>
      </c>
      <c r="M19" t="s">
        <v>68</v>
      </c>
      <c r="N19" s="307">
        <f>T59</f>
        <v>1.5</v>
      </c>
      <c r="O19" s="1">
        <f>T59*T60</f>
        <v>21.375</v>
      </c>
      <c r="P19" t="s">
        <v>1134</v>
      </c>
      <c r="Q19" s="203" t="s">
        <v>987</v>
      </c>
      <c r="R19" t="s">
        <v>75</v>
      </c>
      <c r="S19" s="90" t="s">
        <v>163</v>
      </c>
      <c r="T19" s="91"/>
      <c r="U19" s="96">
        <v>2.1</v>
      </c>
      <c r="V19" s="96">
        <v>1.5</v>
      </c>
      <c r="W19" s="33">
        <f t="shared" si="0"/>
        <v>3.6</v>
      </c>
      <c r="X19" s="94">
        <f t="shared" si="1"/>
        <v>36</v>
      </c>
    </row>
    <row r="20" spans="1:24">
      <c r="A20">
        <v>8</v>
      </c>
      <c r="B20" t="s">
        <v>298</v>
      </c>
      <c r="G20">
        <v>1</v>
      </c>
      <c r="I20" t="s">
        <v>299</v>
      </c>
      <c r="J20" t="s">
        <v>29</v>
      </c>
      <c r="K20" t="s">
        <v>408</v>
      </c>
      <c r="L20" t="s">
        <v>32</v>
      </c>
      <c r="M20" t="s">
        <v>237</v>
      </c>
      <c r="O20" s="1">
        <f>U66*T9</f>
        <v>11</v>
      </c>
      <c r="P20" t="s">
        <v>301</v>
      </c>
      <c r="R20" t="s">
        <v>75</v>
      </c>
      <c r="S20" s="90" t="s">
        <v>164</v>
      </c>
      <c r="T20" s="91"/>
      <c r="U20" s="96">
        <v>4.5</v>
      </c>
      <c r="V20" s="96">
        <v>4</v>
      </c>
      <c r="W20" s="33">
        <f t="shared" si="0"/>
        <v>8.5</v>
      </c>
      <c r="X20" s="94">
        <f t="shared" si="1"/>
        <v>85</v>
      </c>
    </row>
    <row r="21" spans="1:24">
      <c r="A21">
        <v>8</v>
      </c>
      <c r="B21" t="s">
        <v>298</v>
      </c>
      <c r="G21">
        <v>1</v>
      </c>
      <c r="I21" t="s">
        <v>299</v>
      </c>
      <c r="J21" t="s">
        <v>29</v>
      </c>
      <c r="K21" t="s">
        <v>408</v>
      </c>
      <c r="L21" t="s">
        <v>33</v>
      </c>
      <c r="M21" t="s">
        <v>237</v>
      </c>
      <c r="O21" s="1">
        <f>V66*T9</f>
        <v>8.6</v>
      </c>
      <c r="P21" t="s">
        <v>341</v>
      </c>
      <c r="R21" t="s">
        <v>75</v>
      </c>
      <c r="S21" s="90" t="s">
        <v>26</v>
      </c>
      <c r="T21" s="91"/>
      <c r="U21" s="97">
        <v>0</v>
      </c>
      <c r="V21" s="97">
        <v>0</v>
      </c>
      <c r="W21" s="98">
        <f t="shared" si="0"/>
        <v>0</v>
      </c>
      <c r="X21" s="94">
        <f t="shared" si="1"/>
        <v>0</v>
      </c>
    </row>
    <row r="22" spans="1:24">
      <c r="A22">
        <v>8</v>
      </c>
      <c r="B22" t="s">
        <v>298</v>
      </c>
      <c r="G22">
        <v>1</v>
      </c>
      <c r="I22" t="s">
        <v>299</v>
      </c>
      <c r="J22" t="s">
        <v>29</v>
      </c>
      <c r="K22" t="s">
        <v>408</v>
      </c>
      <c r="L22" t="s">
        <v>32</v>
      </c>
      <c r="M22" t="s">
        <v>238</v>
      </c>
      <c r="O22" s="1">
        <f>U67*T9</f>
        <v>6.2</v>
      </c>
      <c r="P22" t="s">
        <v>344</v>
      </c>
      <c r="R22" t="s">
        <v>75</v>
      </c>
      <c r="S22" s="68" t="s">
        <v>96</v>
      </c>
      <c r="T22" s="68"/>
      <c r="U22" s="33">
        <f>SUM(U15:U21)</f>
        <v>20</v>
      </c>
      <c r="V22" s="33">
        <f>SUM(V15:V21)</f>
        <v>15.9</v>
      </c>
      <c r="W22" s="100">
        <f>SUM(W15:W21)</f>
        <v>35.900000000000006</v>
      </c>
      <c r="X22" s="94">
        <f t="shared" si="1"/>
        <v>359.00000000000006</v>
      </c>
    </row>
    <row r="23" spans="1:24">
      <c r="A23">
        <v>8</v>
      </c>
      <c r="B23" t="s">
        <v>298</v>
      </c>
      <c r="G23">
        <v>1</v>
      </c>
      <c r="I23" t="s">
        <v>299</v>
      </c>
      <c r="J23" t="s">
        <v>29</v>
      </c>
      <c r="K23" t="s">
        <v>408</v>
      </c>
      <c r="L23" t="s">
        <v>33</v>
      </c>
      <c r="M23" t="s">
        <v>238</v>
      </c>
      <c r="O23" s="1">
        <f>V67*T9</f>
        <v>4</v>
      </c>
      <c r="P23" t="s">
        <v>343</v>
      </c>
      <c r="R23" t="s">
        <v>75</v>
      </c>
      <c r="S23" s="68" t="s">
        <v>149</v>
      </c>
      <c r="T23" s="68"/>
      <c r="U23" s="94">
        <f>T6*U22</f>
        <v>200</v>
      </c>
      <c r="V23" s="94">
        <f>T6*V22</f>
        <v>159</v>
      </c>
      <c r="W23" s="101">
        <f>T6*W22</f>
        <v>359.00000000000006</v>
      </c>
      <c r="X23" s="94"/>
    </row>
    <row r="24" spans="1:24">
      <c r="A24">
        <v>8</v>
      </c>
      <c r="B24" t="s">
        <v>298</v>
      </c>
      <c r="G24">
        <v>1</v>
      </c>
      <c r="I24" t="s">
        <v>299</v>
      </c>
      <c r="J24" t="s">
        <v>29</v>
      </c>
      <c r="K24" t="s">
        <v>408</v>
      </c>
      <c r="L24" t="s">
        <v>32</v>
      </c>
      <c r="M24" t="s">
        <v>239</v>
      </c>
      <c r="O24" s="1">
        <f>U68*T9</f>
        <v>16.399999999999999</v>
      </c>
      <c r="P24" t="s">
        <v>342</v>
      </c>
      <c r="R24" t="s">
        <v>75</v>
      </c>
      <c r="S24" s="103"/>
      <c r="T24" s="91"/>
      <c r="U24" s="104"/>
      <c r="V24" s="104"/>
      <c r="W24" s="67"/>
      <c r="X24" s="67"/>
    </row>
    <row r="25" spans="1:24">
      <c r="A25">
        <v>8</v>
      </c>
      <c r="B25" t="s">
        <v>298</v>
      </c>
      <c r="G25">
        <v>1</v>
      </c>
      <c r="I25" t="s">
        <v>299</v>
      </c>
      <c r="J25" t="s">
        <v>29</v>
      </c>
      <c r="K25" t="s">
        <v>408</v>
      </c>
      <c r="L25" t="s">
        <v>33</v>
      </c>
      <c r="M25" t="s">
        <v>239</v>
      </c>
      <c r="O25" s="1">
        <f>V68*T9</f>
        <v>10.4</v>
      </c>
      <c r="P25" t="s">
        <v>345</v>
      </c>
      <c r="R25" t="s">
        <v>75</v>
      </c>
      <c r="S25" s="86" t="s">
        <v>165</v>
      </c>
      <c r="T25" s="91"/>
      <c r="U25" s="91"/>
      <c r="V25" s="91"/>
      <c r="W25" s="67"/>
      <c r="X25" s="67"/>
    </row>
    <row r="26" spans="1:24">
      <c r="A26">
        <v>8</v>
      </c>
      <c r="B26" t="s">
        <v>298</v>
      </c>
      <c r="G26">
        <v>1</v>
      </c>
      <c r="I26" t="s">
        <v>299</v>
      </c>
      <c r="J26" t="s">
        <v>29</v>
      </c>
      <c r="K26" t="s">
        <v>408</v>
      </c>
      <c r="L26" t="s">
        <v>32</v>
      </c>
      <c r="M26" t="s">
        <v>240</v>
      </c>
      <c r="O26" s="1">
        <f>T70*T8*T9</f>
        <v>9.3500000000000014</v>
      </c>
      <c r="P26" t="s">
        <v>346</v>
      </c>
      <c r="R26" t="s">
        <v>75</v>
      </c>
      <c r="S26" s="105" t="s">
        <v>166</v>
      </c>
      <c r="T26" s="91"/>
      <c r="U26" s="106"/>
      <c r="V26" s="107">
        <f>T28*T27</f>
        <v>57.15</v>
      </c>
      <c r="W26" s="33">
        <f>V26</f>
        <v>57.15</v>
      </c>
      <c r="X26" s="94">
        <f>W26*T6</f>
        <v>571.5</v>
      </c>
    </row>
    <row r="27" spans="1:24">
      <c r="A27">
        <v>8</v>
      </c>
      <c r="B27" t="s">
        <v>298</v>
      </c>
      <c r="G27">
        <v>1</v>
      </c>
      <c r="I27" t="s">
        <v>299</v>
      </c>
      <c r="J27" t="s">
        <v>29</v>
      </c>
      <c r="K27" t="s">
        <v>408</v>
      </c>
      <c r="L27" t="s">
        <v>33</v>
      </c>
      <c r="M27" t="s">
        <v>240</v>
      </c>
      <c r="O27" s="1">
        <f>T71*T8*T9</f>
        <v>14.350000000000001</v>
      </c>
      <c r="P27" t="s">
        <v>347</v>
      </c>
      <c r="R27" t="s">
        <v>75</v>
      </c>
      <c r="S27" s="73" t="s">
        <v>105</v>
      </c>
      <c r="T27" s="30">
        <v>3.81</v>
      </c>
      <c r="U27" s="13"/>
      <c r="V27" s="13"/>
      <c r="W27" s="13"/>
      <c r="X27" s="94" t="s">
        <v>99</v>
      </c>
    </row>
    <row r="28" spans="1:24">
      <c r="A28">
        <v>8</v>
      </c>
      <c r="B28" t="s">
        <v>298</v>
      </c>
      <c r="G28">
        <v>1</v>
      </c>
      <c r="I28" t="s">
        <v>299</v>
      </c>
      <c r="J28" t="s">
        <v>29</v>
      </c>
      <c r="K28" t="s">
        <v>26</v>
      </c>
      <c r="L28" t="s">
        <v>32</v>
      </c>
      <c r="M28" t="s">
        <v>69</v>
      </c>
      <c r="O28" s="1">
        <f>U63</f>
        <v>118</v>
      </c>
      <c r="P28" t="s">
        <v>254</v>
      </c>
      <c r="R28" t="s">
        <v>75</v>
      </c>
      <c r="S28" s="73" t="s">
        <v>106</v>
      </c>
      <c r="T28" s="108">
        <v>15</v>
      </c>
      <c r="U28" s="13"/>
      <c r="V28" s="13"/>
      <c r="W28" s="13"/>
      <c r="X28" s="94" t="s">
        <v>167</v>
      </c>
    </row>
    <row r="29" spans="1:24">
      <c r="A29">
        <v>8</v>
      </c>
      <c r="B29" t="s">
        <v>298</v>
      </c>
      <c r="G29">
        <v>2</v>
      </c>
      <c r="I29" t="s">
        <v>300</v>
      </c>
      <c r="J29" t="s">
        <v>22</v>
      </c>
      <c r="K29" t="s">
        <v>408</v>
      </c>
      <c r="L29" t="s">
        <v>32</v>
      </c>
      <c r="M29" t="s">
        <v>241</v>
      </c>
      <c r="O29" s="1">
        <f>U101</f>
        <v>2</v>
      </c>
      <c r="P29" t="s">
        <v>77</v>
      </c>
      <c r="R29" t="s">
        <v>75</v>
      </c>
      <c r="S29" s="105" t="s">
        <v>168</v>
      </c>
      <c r="T29" s="91"/>
      <c r="U29" s="91"/>
      <c r="V29" s="107">
        <f>T31*T30</f>
        <v>0</v>
      </c>
      <c r="W29" s="33">
        <f>V29</f>
        <v>0</v>
      </c>
      <c r="X29" s="94">
        <f>W29*T6</f>
        <v>0</v>
      </c>
    </row>
    <row r="30" spans="1:24">
      <c r="A30">
        <v>8</v>
      </c>
      <c r="B30" t="s">
        <v>298</v>
      </c>
      <c r="G30">
        <v>3</v>
      </c>
      <c r="I30" t="s">
        <v>300</v>
      </c>
      <c r="J30" t="s">
        <v>22</v>
      </c>
      <c r="K30" t="s">
        <v>408</v>
      </c>
      <c r="L30" t="s">
        <v>32</v>
      </c>
      <c r="M30" t="s">
        <v>241</v>
      </c>
      <c r="O30" s="1">
        <f>U101</f>
        <v>2</v>
      </c>
      <c r="P30" t="s">
        <v>77</v>
      </c>
      <c r="R30" t="s">
        <v>75</v>
      </c>
      <c r="S30" s="73" t="s">
        <v>105</v>
      </c>
      <c r="T30" s="30">
        <v>0</v>
      </c>
      <c r="U30" s="13"/>
      <c r="V30" s="13"/>
      <c r="W30" s="13"/>
      <c r="X30" s="94" t="s">
        <v>99</v>
      </c>
    </row>
    <row r="31" spans="1:24">
      <c r="A31">
        <v>8</v>
      </c>
      <c r="B31" t="s">
        <v>298</v>
      </c>
      <c r="G31">
        <v>4</v>
      </c>
      <c r="I31" t="s">
        <v>300</v>
      </c>
      <c r="J31" t="s">
        <v>22</v>
      </c>
      <c r="K31" t="s">
        <v>408</v>
      </c>
      <c r="L31" t="s">
        <v>32</v>
      </c>
      <c r="M31" t="s">
        <v>241</v>
      </c>
      <c r="O31" s="1">
        <f>U101</f>
        <v>2</v>
      </c>
      <c r="P31" t="s">
        <v>77</v>
      </c>
      <c r="R31" t="s">
        <v>75</v>
      </c>
      <c r="S31" s="73" t="s">
        <v>106</v>
      </c>
      <c r="T31" s="108">
        <v>0</v>
      </c>
      <c r="U31" s="13"/>
      <c r="V31" s="13"/>
      <c r="W31" s="13"/>
      <c r="X31" s="94" t="s">
        <v>167</v>
      </c>
    </row>
    <row r="32" spans="1:24">
      <c r="A32">
        <v>8</v>
      </c>
      <c r="B32" t="s">
        <v>298</v>
      </c>
      <c r="G32">
        <v>2</v>
      </c>
      <c r="I32" t="s">
        <v>300</v>
      </c>
      <c r="J32" t="s">
        <v>22</v>
      </c>
      <c r="K32" t="s">
        <v>408</v>
      </c>
      <c r="L32" t="s">
        <v>33</v>
      </c>
      <c r="M32" t="s">
        <v>241</v>
      </c>
      <c r="O32" s="1">
        <f>V101</f>
        <v>1.6</v>
      </c>
      <c r="P32" t="s">
        <v>78</v>
      </c>
      <c r="R32" t="s">
        <v>75</v>
      </c>
      <c r="S32" s="105" t="s">
        <v>169</v>
      </c>
      <c r="T32" s="91"/>
      <c r="U32" s="91"/>
      <c r="V32" s="109">
        <f>T34*T33</f>
        <v>0</v>
      </c>
      <c r="W32" s="98">
        <f>V32</f>
        <v>0</v>
      </c>
      <c r="X32" s="99">
        <f>W32*T6</f>
        <v>0</v>
      </c>
    </row>
    <row r="33" spans="1:24">
      <c r="A33">
        <v>8</v>
      </c>
      <c r="B33" t="s">
        <v>298</v>
      </c>
      <c r="G33">
        <v>3</v>
      </c>
      <c r="I33" t="s">
        <v>300</v>
      </c>
      <c r="J33" t="s">
        <v>22</v>
      </c>
      <c r="K33" t="s">
        <v>408</v>
      </c>
      <c r="L33" t="s">
        <v>33</v>
      </c>
      <c r="M33" t="s">
        <v>241</v>
      </c>
      <c r="O33" s="1">
        <f>V101</f>
        <v>1.6</v>
      </c>
      <c r="P33" t="s">
        <v>78</v>
      </c>
      <c r="R33" t="s">
        <v>75</v>
      </c>
      <c r="S33" s="73" t="s">
        <v>105</v>
      </c>
      <c r="T33" s="30">
        <v>0</v>
      </c>
      <c r="U33" s="13"/>
      <c r="V33" s="13"/>
      <c r="W33" s="13"/>
      <c r="X33" s="94" t="s">
        <v>99</v>
      </c>
    </row>
    <row r="34" spans="1:24">
      <c r="A34">
        <v>8</v>
      </c>
      <c r="B34" t="s">
        <v>298</v>
      </c>
      <c r="G34">
        <v>4</v>
      </c>
      <c r="I34" t="s">
        <v>300</v>
      </c>
      <c r="J34" t="s">
        <v>22</v>
      </c>
      <c r="K34" t="s">
        <v>408</v>
      </c>
      <c r="L34" t="s">
        <v>33</v>
      </c>
      <c r="M34" t="s">
        <v>241</v>
      </c>
      <c r="O34" s="279">
        <f>V101</f>
        <v>1.6</v>
      </c>
      <c r="P34" t="s">
        <v>78</v>
      </c>
      <c r="R34" t="s">
        <v>75</v>
      </c>
      <c r="S34" s="73" t="s">
        <v>106</v>
      </c>
      <c r="T34" s="108">
        <v>0</v>
      </c>
      <c r="U34" s="13"/>
      <c r="V34" s="110"/>
      <c r="W34" s="110"/>
      <c r="X34" s="110"/>
    </row>
    <row r="35" spans="1:24">
      <c r="A35">
        <v>8</v>
      </c>
      <c r="B35" t="s">
        <v>298</v>
      </c>
      <c r="G35">
        <v>2</v>
      </c>
      <c r="I35" t="s">
        <v>300</v>
      </c>
      <c r="J35" t="s">
        <v>22</v>
      </c>
      <c r="K35" t="s">
        <v>71</v>
      </c>
      <c r="L35" t="s">
        <v>33</v>
      </c>
      <c r="M35" t="s">
        <v>72</v>
      </c>
      <c r="O35" s="279">
        <f>T105*T106*T94</f>
        <v>21.600654061372438</v>
      </c>
      <c r="P35" t="s">
        <v>262</v>
      </c>
      <c r="R35" t="s">
        <v>75</v>
      </c>
      <c r="S35" s="86" t="s">
        <v>170</v>
      </c>
      <c r="T35" s="87"/>
      <c r="U35" s="87"/>
      <c r="V35" s="111">
        <f>V26+V29+V32</f>
        <v>57.15</v>
      </c>
      <c r="W35" s="112">
        <f>V35</f>
        <v>57.15</v>
      </c>
      <c r="X35" s="101">
        <f>W35*T6</f>
        <v>571.5</v>
      </c>
    </row>
    <row r="36" spans="1:24">
      <c r="A36">
        <v>8</v>
      </c>
      <c r="B36" t="s">
        <v>298</v>
      </c>
      <c r="G36">
        <v>3</v>
      </c>
      <c r="I36" t="s">
        <v>300</v>
      </c>
      <c r="J36" t="s">
        <v>22</v>
      </c>
      <c r="K36" t="s">
        <v>71</v>
      </c>
      <c r="L36" t="s">
        <v>33</v>
      </c>
      <c r="M36" t="s">
        <v>72</v>
      </c>
      <c r="O36" s="279">
        <f>T105*T106*T94</f>
        <v>21.600654061372438</v>
      </c>
      <c r="P36" t="s">
        <v>262</v>
      </c>
      <c r="R36" t="s">
        <v>75</v>
      </c>
      <c r="S36" s="103"/>
      <c r="T36" s="91"/>
      <c r="U36" s="91"/>
      <c r="V36" s="113"/>
      <c r="W36" s="114"/>
      <c r="X36" s="94"/>
    </row>
    <row r="37" spans="1:24">
      <c r="A37">
        <v>8</v>
      </c>
      <c r="B37" t="s">
        <v>298</v>
      </c>
      <c r="G37">
        <v>4</v>
      </c>
      <c r="I37" t="s">
        <v>300</v>
      </c>
      <c r="J37" t="s">
        <v>22</v>
      </c>
      <c r="K37" t="s">
        <v>71</v>
      </c>
      <c r="L37" t="s">
        <v>33</v>
      </c>
      <c r="M37" t="s">
        <v>72</v>
      </c>
      <c r="O37" s="279">
        <f>T105*T106*T94</f>
        <v>21.600654061372438</v>
      </c>
      <c r="P37" t="s">
        <v>262</v>
      </c>
      <c r="R37" t="s">
        <v>75</v>
      </c>
      <c r="S37" s="115" t="s">
        <v>104</v>
      </c>
      <c r="T37" s="91"/>
      <c r="U37" s="91"/>
      <c r="V37" s="107">
        <f>T38*T39</f>
        <v>0</v>
      </c>
      <c r="W37" s="33">
        <f>V37</f>
        <v>0</v>
      </c>
      <c r="X37" s="94">
        <f>W37*T6</f>
        <v>0</v>
      </c>
    </row>
    <row r="38" spans="1:24">
      <c r="A38">
        <v>8</v>
      </c>
      <c r="B38" t="s">
        <v>298</v>
      </c>
      <c r="G38">
        <v>2</v>
      </c>
      <c r="I38" t="s">
        <v>300</v>
      </c>
      <c r="J38" t="s">
        <v>22</v>
      </c>
      <c r="K38" t="s">
        <v>71</v>
      </c>
      <c r="L38" t="s">
        <v>33</v>
      </c>
      <c r="M38" t="s">
        <v>73</v>
      </c>
      <c r="O38" s="279">
        <f>T108*T109*T94</f>
        <v>61.945000000000007</v>
      </c>
      <c r="P38" t="s">
        <v>263</v>
      </c>
      <c r="R38" t="s">
        <v>75</v>
      </c>
      <c r="S38" s="73" t="s">
        <v>105</v>
      </c>
      <c r="T38" s="30">
        <v>0.38</v>
      </c>
      <c r="U38" s="13"/>
      <c r="V38" s="13"/>
      <c r="W38" s="13"/>
      <c r="X38" s="94" t="s">
        <v>99</v>
      </c>
    </row>
    <row r="39" spans="1:24">
      <c r="A39">
        <v>8</v>
      </c>
      <c r="B39" t="s">
        <v>298</v>
      </c>
      <c r="G39">
        <v>3</v>
      </c>
      <c r="I39" t="s">
        <v>300</v>
      </c>
      <c r="J39" t="s">
        <v>22</v>
      </c>
      <c r="K39" t="s">
        <v>71</v>
      </c>
      <c r="L39" t="s">
        <v>33</v>
      </c>
      <c r="M39" t="s">
        <v>73</v>
      </c>
      <c r="O39" s="279">
        <f>T108*T109*T94</f>
        <v>61.945000000000007</v>
      </c>
      <c r="P39" t="s">
        <v>263</v>
      </c>
      <c r="R39" t="s">
        <v>75</v>
      </c>
      <c r="S39" s="73" t="s">
        <v>106</v>
      </c>
      <c r="T39" s="108">
        <v>0</v>
      </c>
      <c r="U39" s="13"/>
      <c r="V39" s="13"/>
      <c r="W39" s="13"/>
      <c r="X39" s="94" t="s">
        <v>167</v>
      </c>
    </row>
    <row r="40" spans="1:24">
      <c r="A40">
        <v>8</v>
      </c>
      <c r="B40" t="s">
        <v>298</v>
      </c>
      <c r="G40">
        <v>4</v>
      </c>
      <c r="I40" t="s">
        <v>300</v>
      </c>
      <c r="J40" t="s">
        <v>22</v>
      </c>
      <c r="K40" t="s">
        <v>71</v>
      </c>
      <c r="L40" t="s">
        <v>33</v>
      </c>
      <c r="M40" t="s">
        <v>73</v>
      </c>
      <c r="O40" s="279">
        <f>T108*T109*T94</f>
        <v>61.945000000000007</v>
      </c>
      <c r="P40" t="s">
        <v>263</v>
      </c>
      <c r="R40" t="s">
        <v>75</v>
      </c>
      <c r="S40" s="116" t="s">
        <v>171</v>
      </c>
      <c r="T40" s="117"/>
      <c r="U40" s="13"/>
      <c r="V40" s="33">
        <f>T41*T42</f>
        <v>14.524999999999999</v>
      </c>
      <c r="W40" s="33">
        <f>V40</f>
        <v>14.524999999999999</v>
      </c>
      <c r="X40" s="94">
        <f>W40*T6</f>
        <v>145.25</v>
      </c>
    </row>
    <row r="41" spans="1:24">
      <c r="A41">
        <v>8</v>
      </c>
      <c r="B41" t="s">
        <v>298</v>
      </c>
      <c r="G41">
        <v>2</v>
      </c>
      <c r="I41" t="s">
        <v>300</v>
      </c>
      <c r="J41" t="s">
        <v>25</v>
      </c>
      <c r="K41" t="s">
        <v>26</v>
      </c>
      <c r="L41" t="s">
        <v>33</v>
      </c>
      <c r="M41" t="s">
        <v>27</v>
      </c>
      <c r="O41" s="1">
        <f>T111</f>
        <v>1.9</v>
      </c>
      <c r="P41" t="s">
        <v>859</v>
      </c>
      <c r="R41" t="s">
        <v>75</v>
      </c>
      <c r="S41" s="73" t="s">
        <v>105</v>
      </c>
      <c r="T41" s="30">
        <v>0.41499999999999998</v>
      </c>
      <c r="U41" s="13"/>
      <c r="V41" s="13"/>
      <c r="W41" s="13"/>
      <c r="X41" s="94" t="s">
        <v>99</v>
      </c>
    </row>
    <row r="42" spans="1:24">
      <c r="A42">
        <v>8</v>
      </c>
      <c r="B42" t="s">
        <v>298</v>
      </c>
      <c r="G42">
        <v>3</v>
      </c>
      <c r="I42" t="s">
        <v>300</v>
      </c>
      <c r="J42" t="s">
        <v>25</v>
      </c>
      <c r="K42" t="s">
        <v>26</v>
      </c>
      <c r="L42" t="s">
        <v>33</v>
      </c>
      <c r="M42" t="s">
        <v>27</v>
      </c>
      <c r="O42" s="1">
        <f>T111</f>
        <v>1.9</v>
      </c>
      <c r="P42" t="s">
        <v>859</v>
      </c>
      <c r="R42" t="s">
        <v>75</v>
      </c>
      <c r="S42" s="73" t="s">
        <v>106</v>
      </c>
      <c r="T42" s="108">
        <v>35</v>
      </c>
      <c r="U42" s="13"/>
      <c r="V42" s="13"/>
      <c r="W42" s="13"/>
      <c r="X42" s="94" t="s">
        <v>167</v>
      </c>
    </row>
    <row r="43" spans="1:24">
      <c r="A43">
        <v>8</v>
      </c>
      <c r="B43" t="s">
        <v>298</v>
      </c>
      <c r="G43">
        <v>4</v>
      </c>
      <c r="I43" t="s">
        <v>300</v>
      </c>
      <c r="J43" t="s">
        <v>25</v>
      </c>
      <c r="K43" t="s">
        <v>26</v>
      </c>
      <c r="L43" t="s">
        <v>33</v>
      </c>
      <c r="M43" t="s">
        <v>27</v>
      </c>
      <c r="O43" s="1">
        <f>T111</f>
        <v>1.9</v>
      </c>
      <c r="P43" t="s">
        <v>859</v>
      </c>
      <c r="R43" t="s">
        <v>75</v>
      </c>
      <c r="S43" s="116" t="s">
        <v>108</v>
      </c>
      <c r="T43" s="118"/>
      <c r="U43" s="13"/>
      <c r="V43" s="98">
        <f>T44*T51</f>
        <v>38.712499999999999</v>
      </c>
      <c r="W43" s="98">
        <f>V43</f>
        <v>38.712499999999999</v>
      </c>
      <c r="X43" s="99">
        <f>W43*T6</f>
        <v>387.125</v>
      </c>
    </row>
    <row r="44" spans="1:24">
      <c r="A44">
        <v>8</v>
      </c>
      <c r="B44" t="s">
        <v>298</v>
      </c>
      <c r="G44">
        <v>2</v>
      </c>
      <c r="H44" s="265">
        <v>10</v>
      </c>
      <c r="I44" t="s">
        <v>300</v>
      </c>
      <c r="J44" t="s">
        <v>29</v>
      </c>
      <c r="K44" t="s">
        <v>30</v>
      </c>
      <c r="L44" t="s">
        <v>33</v>
      </c>
      <c r="M44" t="s">
        <v>68</v>
      </c>
      <c r="N44" s="308">
        <f>T114</f>
        <v>1.3332999999999999</v>
      </c>
      <c r="O44" s="279">
        <f>T114*T116</f>
        <v>18.999524999999998</v>
      </c>
      <c r="P44" t="s">
        <v>1129</v>
      </c>
      <c r="Q44" t="s">
        <v>987</v>
      </c>
      <c r="R44" t="s">
        <v>75</v>
      </c>
      <c r="S44" s="73" t="s">
        <v>105</v>
      </c>
      <c r="T44" s="30">
        <v>0.30969999999999998</v>
      </c>
      <c r="U44" s="13"/>
      <c r="V44" s="13"/>
      <c r="W44" s="13"/>
      <c r="X44" s="94" t="s">
        <v>99</v>
      </c>
    </row>
    <row r="45" spans="1:24">
      <c r="A45">
        <v>8</v>
      </c>
      <c r="B45" t="s">
        <v>298</v>
      </c>
      <c r="G45">
        <v>3</v>
      </c>
      <c r="H45" s="265">
        <v>10</v>
      </c>
      <c r="I45" t="s">
        <v>300</v>
      </c>
      <c r="J45" t="s">
        <v>29</v>
      </c>
      <c r="K45" t="s">
        <v>30</v>
      </c>
      <c r="L45" t="s">
        <v>33</v>
      </c>
      <c r="M45" t="s">
        <v>68</v>
      </c>
      <c r="N45" s="308">
        <f>T114</f>
        <v>1.3332999999999999</v>
      </c>
      <c r="O45" s="279">
        <f>T114*T116</f>
        <v>18.999524999999998</v>
      </c>
      <c r="P45" t="s">
        <v>1130</v>
      </c>
      <c r="Q45" t="s">
        <v>987</v>
      </c>
      <c r="R45" t="s">
        <v>75</v>
      </c>
      <c r="S45" s="73"/>
      <c r="T45" s="30"/>
      <c r="U45" s="13"/>
      <c r="V45" s="13"/>
      <c r="W45" s="13"/>
      <c r="X45" s="94"/>
    </row>
    <row r="46" spans="1:24">
      <c r="A46">
        <v>8</v>
      </c>
      <c r="B46" t="s">
        <v>298</v>
      </c>
      <c r="G46">
        <v>4</v>
      </c>
      <c r="H46" s="265">
        <v>10</v>
      </c>
      <c r="I46" t="s">
        <v>300</v>
      </c>
      <c r="J46" t="s">
        <v>29</v>
      </c>
      <c r="K46" t="s">
        <v>30</v>
      </c>
      <c r="L46" t="s">
        <v>33</v>
      </c>
      <c r="M46" t="s">
        <v>68</v>
      </c>
      <c r="N46" s="308">
        <f>T114</f>
        <v>1.3332999999999999</v>
      </c>
      <c r="O46" s="279">
        <f>T114*T116</f>
        <v>18.999524999999998</v>
      </c>
      <c r="P46" t="s">
        <v>1131</v>
      </c>
      <c r="Q46" t="s">
        <v>987</v>
      </c>
      <c r="R46" t="s">
        <v>75</v>
      </c>
      <c r="S46" s="73"/>
      <c r="T46" s="30"/>
      <c r="U46" s="13"/>
      <c r="V46" s="13"/>
      <c r="W46" s="13"/>
      <c r="X46" s="94"/>
    </row>
    <row r="47" spans="1:24">
      <c r="A47">
        <v>8</v>
      </c>
      <c r="B47" t="s">
        <v>298</v>
      </c>
      <c r="G47">
        <v>2</v>
      </c>
      <c r="H47" s="265">
        <v>13</v>
      </c>
      <c r="I47" t="s">
        <v>300</v>
      </c>
      <c r="J47" t="s">
        <v>29</v>
      </c>
      <c r="K47" t="s">
        <v>30</v>
      </c>
      <c r="L47" t="s">
        <v>33</v>
      </c>
      <c r="M47" t="s">
        <v>68</v>
      </c>
      <c r="N47" s="308">
        <f>T114</f>
        <v>1.3332999999999999</v>
      </c>
      <c r="O47" s="279">
        <f>T114*T116</f>
        <v>18.999524999999998</v>
      </c>
      <c r="P47" t="s">
        <v>1129</v>
      </c>
      <c r="Q47" t="s">
        <v>987</v>
      </c>
      <c r="R47" t="s">
        <v>75</v>
      </c>
      <c r="S47" s="73"/>
      <c r="T47" s="30"/>
      <c r="U47" s="13"/>
      <c r="V47" s="13"/>
      <c r="W47" s="13"/>
      <c r="X47" s="94"/>
    </row>
    <row r="48" spans="1:24">
      <c r="A48">
        <v>8</v>
      </c>
      <c r="B48" t="s">
        <v>298</v>
      </c>
      <c r="G48">
        <v>3</v>
      </c>
      <c r="H48" s="265">
        <v>13</v>
      </c>
      <c r="I48" t="s">
        <v>300</v>
      </c>
      <c r="J48" t="s">
        <v>29</v>
      </c>
      <c r="K48" t="s">
        <v>30</v>
      </c>
      <c r="L48" t="s">
        <v>33</v>
      </c>
      <c r="M48" t="s">
        <v>68</v>
      </c>
      <c r="N48" s="308">
        <f>T114</f>
        <v>1.3332999999999999</v>
      </c>
      <c r="O48" s="279">
        <f>T114*T116</f>
        <v>18.999524999999998</v>
      </c>
      <c r="P48" t="s">
        <v>1130</v>
      </c>
      <c r="Q48" t="s">
        <v>987</v>
      </c>
      <c r="R48" t="s">
        <v>75</v>
      </c>
      <c r="S48" s="73"/>
      <c r="T48" s="30"/>
      <c r="U48" s="13"/>
      <c r="V48" s="13"/>
      <c r="W48" s="13"/>
      <c r="X48" s="94"/>
    </row>
    <row r="49" spans="1:24">
      <c r="A49">
        <v>8</v>
      </c>
      <c r="B49" t="s">
        <v>298</v>
      </c>
      <c r="G49">
        <v>4</v>
      </c>
      <c r="H49" s="265">
        <v>13</v>
      </c>
      <c r="I49" t="s">
        <v>300</v>
      </c>
      <c r="J49" t="s">
        <v>29</v>
      </c>
      <c r="K49" t="s">
        <v>30</v>
      </c>
      <c r="L49" t="s">
        <v>33</v>
      </c>
      <c r="M49" t="s">
        <v>68</v>
      </c>
      <c r="N49" s="308">
        <f>T114</f>
        <v>1.3332999999999999</v>
      </c>
      <c r="O49" s="279">
        <f>T114*T116</f>
        <v>18.999524999999998</v>
      </c>
      <c r="P49" t="s">
        <v>1131</v>
      </c>
      <c r="Q49" t="s">
        <v>987</v>
      </c>
      <c r="R49" t="s">
        <v>75</v>
      </c>
      <c r="S49" s="73"/>
      <c r="T49" s="30"/>
      <c r="U49" s="13"/>
      <c r="V49" s="13"/>
      <c r="W49" s="13"/>
      <c r="X49" s="94"/>
    </row>
    <row r="50" spans="1:24">
      <c r="A50">
        <v>8</v>
      </c>
      <c r="B50" t="s">
        <v>298</v>
      </c>
      <c r="G50">
        <v>2</v>
      </c>
      <c r="H50" s="265">
        <v>16</v>
      </c>
      <c r="I50" t="s">
        <v>300</v>
      </c>
      <c r="J50" t="s">
        <v>29</v>
      </c>
      <c r="K50" t="s">
        <v>30</v>
      </c>
      <c r="L50" t="s">
        <v>33</v>
      </c>
      <c r="M50" t="s">
        <v>68</v>
      </c>
      <c r="N50" s="308">
        <f>T114</f>
        <v>1.3332999999999999</v>
      </c>
      <c r="O50" s="279">
        <f>T114*T116</f>
        <v>18.999524999999998</v>
      </c>
      <c r="P50" t="s">
        <v>1129</v>
      </c>
      <c r="Q50" t="s">
        <v>987</v>
      </c>
      <c r="R50" t="s">
        <v>75</v>
      </c>
      <c r="S50" s="73"/>
      <c r="T50" s="30"/>
      <c r="U50" s="13"/>
      <c r="V50" s="13"/>
      <c r="W50" s="13"/>
      <c r="X50" s="94"/>
    </row>
    <row r="51" spans="1:24">
      <c r="A51">
        <v>8</v>
      </c>
      <c r="B51" t="s">
        <v>298</v>
      </c>
      <c r="G51">
        <v>3</v>
      </c>
      <c r="H51" s="265">
        <v>16</v>
      </c>
      <c r="I51" t="s">
        <v>300</v>
      </c>
      <c r="J51" t="s">
        <v>29</v>
      </c>
      <c r="K51" t="s">
        <v>30</v>
      </c>
      <c r="L51" t="s">
        <v>33</v>
      </c>
      <c r="M51" t="s">
        <v>68</v>
      </c>
      <c r="N51" s="308">
        <f>T114</f>
        <v>1.3332999999999999</v>
      </c>
      <c r="O51" s="279">
        <f>T114*T116</f>
        <v>18.999524999999998</v>
      </c>
      <c r="P51" t="s">
        <v>1130</v>
      </c>
      <c r="Q51" t="s">
        <v>987</v>
      </c>
      <c r="R51" t="s">
        <v>75</v>
      </c>
      <c r="S51" s="73" t="s">
        <v>106</v>
      </c>
      <c r="T51" s="108">
        <v>125</v>
      </c>
      <c r="U51" s="13"/>
      <c r="V51" s="110"/>
      <c r="W51" s="110"/>
      <c r="X51" s="110"/>
    </row>
    <row r="52" spans="1:24">
      <c r="A52">
        <v>8</v>
      </c>
      <c r="B52" t="s">
        <v>298</v>
      </c>
      <c r="G52">
        <v>4</v>
      </c>
      <c r="H52" s="265">
        <v>16</v>
      </c>
      <c r="I52" t="s">
        <v>300</v>
      </c>
      <c r="J52" t="s">
        <v>29</v>
      </c>
      <c r="K52" t="s">
        <v>30</v>
      </c>
      <c r="L52" t="s">
        <v>33</v>
      </c>
      <c r="M52" t="s">
        <v>68</v>
      </c>
      <c r="N52" s="308">
        <f>T114</f>
        <v>1.3332999999999999</v>
      </c>
      <c r="O52" s="279">
        <f>T114*T116</f>
        <v>18.999524999999998</v>
      </c>
      <c r="P52" t="s">
        <v>1131</v>
      </c>
      <c r="Q52" t="s">
        <v>987</v>
      </c>
      <c r="R52" t="s">
        <v>75</v>
      </c>
      <c r="S52" s="78" t="s">
        <v>172</v>
      </c>
      <c r="T52" s="119"/>
      <c r="U52" s="79"/>
      <c r="V52" s="120">
        <f>V37+V43+V40</f>
        <v>53.237499999999997</v>
      </c>
      <c r="W52" s="112">
        <f>V52</f>
        <v>53.237499999999997</v>
      </c>
      <c r="X52" s="101">
        <f>$T6*W52</f>
        <v>532.375</v>
      </c>
    </row>
    <row r="53" spans="1:24">
      <c r="A53">
        <v>8</v>
      </c>
      <c r="B53" t="s">
        <v>298</v>
      </c>
      <c r="G53">
        <v>2</v>
      </c>
      <c r="I53" t="s">
        <v>300</v>
      </c>
      <c r="J53" t="s">
        <v>25</v>
      </c>
      <c r="K53" t="s">
        <v>26</v>
      </c>
      <c r="L53" t="s">
        <v>32</v>
      </c>
      <c r="M53" t="s">
        <v>69</v>
      </c>
      <c r="O53" s="1">
        <f>U119</f>
        <v>118</v>
      </c>
      <c r="P53" t="s">
        <v>264</v>
      </c>
      <c r="R53" t="s">
        <v>75</v>
      </c>
      <c r="S53" s="73"/>
      <c r="T53" s="121"/>
      <c r="U53" s="13"/>
      <c r="V53" s="13"/>
      <c r="W53" s="13"/>
      <c r="X53" s="94"/>
    </row>
    <row r="54" spans="1:24">
      <c r="A54">
        <v>8</v>
      </c>
      <c r="B54" t="s">
        <v>298</v>
      </c>
      <c r="G54">
        <v>3</v>
      </c>
      <c r="I54" t="s">
        <v>300</v>
      </c>
      <c r="J54" t="s">
        <v>25</v>
      </c>
      <c r="K54" t="s">
        <v>26</v>
      </c>
      <c r="L54" t="s">
        <v>32</v>
      </c>
      <c r="M54" t="s">
        <v>69</v>
      </c>
      <c r="O54" s="1">
        <f>U119</f>
        <v>118</v>
      </c>
      <c r="P54" t="s">
        <v>264</v>
      </c>
      <c r="R54" t="s">
        <v>75</v>
      </c>
      <c r="S54" s="103" t="s">
        <v>110</v>
      </c>
      <c r="T54" s="91"/>
      <c r="U54" s="122"/>
      <c r="V54" s="123">
        <v>18.2</v>
      </c>
      <c r="W54" s="67"/>
      <c r="X54" s="94">
        <f>V54*T6</f>
        <v>182</v>
      </c>
    </row>
    <row r="55" spans="1:24">
      <c r="A55">
        <v>8</v>
      </c>
      <c r="B55" t="s">
        <v>298</v>
      </c>
      <c r="G55">
        <v>4</v>
      </c>
      <c r="I55" t="s">
        <v>300</v>
      </c>
      <c r="J55" t="s">
        <v>25</v>
      </c>
      <c r="K55" t="s">
        <v>26</v>
      </c>
      <c r="L55" t="s">
        <v>32</v>
      </c>
      <c r="M55" t="s">
        <v>69</v>
      </c>
      <c r="O55" s="1">
        <f>U119</f>
        <v>118</v>
      </c>
      <c r="P55" t="s">
        <v>264</v>
      </c>
      <c r="R55" t="s">
        <v>75</v>
      </c>
      <c r="S55" s="103" t="s">
        <v>173</v>
      </c>
      <c r="T55" s="91"/>
      <c r="U55" s="124"/>
      <c r="V55" s="123">
        <v>20</v>
      </c>
      <c r="W55" s="67"/>
      <c r="X55" s="94">
        <f>V55*T6</f>
        <v>200</v>
      </c>
    </row>
    <row r="56" spans="1:24">
      <c r="A56">
        <v>8</v>
      </c>
      <c r="B56" t="s">
        <v>298</v>
      </c>
      <c r="G56">
        <v>2</v>
      </c>
      <c r="I56" t="s">
        <v>300</v>
      </c>
      <c r="J56" t="s">
        <v>29</v>
      </c>
      <c r="K56" t="s">
        <v>408</v>
      </c>
      <c r="L56" t="s">
        <v>32</v>
      </c>
      <c r="M56" t="s">
        <v>237</v>
      </c>
      <c r="O56" s="1">
        <f>U122*T95</f>
        <v>16.5</v>
      </c>
      <c r="P56" t="s">
        <v>302</v>
      </c>
      <c r="R56" t="s">
        <v>75</v>
      </c>
      <c r="S56" s="103"/>
      <c r="T56" s="91"/>
      <c r="U56" s="124"/>
      <c r="V56" s="104"/>
      <c r="W56" s="67"/>
      <c r="X56" s="67"/>
    </row>
    <row r="57" spans="1:24">
      <c r="A57">
        <v>8</v>
      </c>
      <c r="B57" t="s">
        <v>298</v>
      </c>
      <c r="G57">
        <v>3</v>
      </c>
      <c r="I57" t="s">
        <v>300</v>
      </c>
      <c r="J57" t="s">
        <v>29</v>
      </c>
      <c r="K57" t="s">
        <v>408</v>
      </c>
      <c r="L57" t="s">
        <v>32</v>
      </c>
      <c r="M57" t="s">
        <v>237</v>
      </c>
      <c r="O57" s="1">
        <f>U122*T95</f>
        <v>16.5</v>
      </c>
      <c r="P57" t="s">
        <v>302</v>
      </c>
      <c r="R57" t="s">
        <v>75</v>
      </c>
      <c r="S57" s="125" t="s">
        <v>174</v>
      </c>
      <c r="T57" s="91"/>
      <c r="U57" s="67"/>
      <c r="V57" s="67"/>
      <c r="W57" s="67"/>
      <c r="X57" s="67"/>
    </row>
    <row r="58" spans="1:24">
      <c r="A58">
        <v>8</v>
      </c>
      <c r="B58" t="s">
        <v>298</v>
      </c>
      <c r="G58">
        <v>4</v>
      </c>
      <c r="I58" t="s">
        <v>300</v>
      </c>
      <c r="J58" t="s">
        <v>29</v>
      </c>
      <c r="K58" t="s">
        <v>408</v>
      </c>
      <c r="L58" t="s">
        <v>32</v>
      </c>
      <c r="M58" t="s">
        <v>237</v>
      </c>
      <c r="O58" s="1">
        <f>U122*T95</f>
        <v>16.5</v>
      </c>
      <c r="P58" t="s">
        <v>302</v>
      </c>
      <c r="R58" t="s">
        <v>75</v>
      </c>
      <c r="S58" s="73" t="s">
        <v>175</v>
      </c>
      <c r="T58" s="126">
        <v>1</v>
      </c>
      <c r="U58" s="33">
        <f>T58*T60+T59*T60*T9</f>
        <v>57</v>
      </c>
      <c r="V58" s="102" t="s">
        <v>98</v>
      </c>
      <c r="W58" s="33">
        <f>U58</f>
        <v>57</v>
      </c>
      <c r="X58" s="94">
        <f>W58*T6</f>
        <v>570</v>
      </c>
    </row>
    <row r="59" spans="1:24">
      <c r="A59">
        <v>8</v>
      </c>
      <c r="B59" t="s">
        <v>298</v>
      </c>
      <c r="G59">
        <v>2</v>
      </c>
      <c r="I59" t="s">
        <v>300</v>
      </c>
      <c r="J59" t="s">
        <v>29</v>
      </c>
      <c r="K59" t="s">
        <v>408</v>
      </c>
      <c r="L59" t="s">
        <v>33</v>
      </c>
      <c r="M59" t="s">
        <v>237</v>
      </c>
      <c r="O59" s="1">
        <f>V122*T95</f>
        <v>12.899999999999999</v>
      </c>
      <c r="P59" t="s">
        <v>348</v>
      </c>
      <c r="R59" t="s">
        <v>75</v>
      </c>
      <c r="S59" s="73" t="s">
        <v>176</v>
      </c>
      <c r="T59" s="126">
        <v>1.5</v>
      </c>
      <c r="U59" s="127"/>
      <c r="V59" s="127"/>
      <c r="W59" s="127"/>
      <c r="X59" s="127"/>
    </row>
    <row r="60" spans="1:24">
      <c r="A60">
        <v>8</v>
      </c>
      <c r="B60" t="s">
        <v>298</v>
      </c>
      <c r="G60">
        <v>3</v>
      </c>
      <c r="I60" t="s">
        <v>300</v>
      </c>
      <c r="J60" t="s">
        <v>29</v>
      </c>
      <c r="K60" t="s">
        <v>408</v>
      </c>
      <c r="L60" t="s">
        <v>33</v>
      </c>
      <c r="M60" t="s">
        <v>237</v>
      </c>
      <c r="O60" s="1">
        <f>V122*T95</f>
        <v>12.899999999999999</v>
      </c>
      <c r="P60" t="s">
        <v>348</v>
      </c>
      <c r="R60" t="s">
        <v>75</v>
      </c>
      <c r="S60" s="73" t="s">
        <v>129</v>
      </c>
      <c r="T60" s="30">
        <v>14.25</v>
      </c>
      <c r="U60" s="13"/>
      <c r="V60" s="13"/>
      <c r="W60" s="13" t="s">
        <v>99</v>
      </c>
      <c r="X60" s="94" t="s">
        <v>99</v>
      </c>
    </row>
    <row r="61" spans="1:24">
      <c r="A61">
        <v>8</v>
      </c>
      <c r="B61" t="s">
        <v>298</v>
      </c>
      <c r="G61">
        <v>4</v>
      </c>
      <c r="I61" t="s">
        <v>300</v>
      </c>
      <c r="J61" t="s">
        <v>29</v>
      </c>
      <c r="K61" t="s">
        <v>408</v>
      </c>
      <c r="L61" t="s">
        <v>33</v>
      </c>
      <c r="M61" t="s">
        <v>237</v>
      </c>
      <c r="O61" s="1">
        <f>V122*T95</f>
        <v>12.899999999999999</v>
      </c>
      <c r="P61" t="s">
        <v>348</v>
      </c>
      <c r="R61" t="s">
        <v>75</v>
      </c>
      <c r="S61" s="103"/>
      <c r="T61" s="91"/>
      <c r="U61" s="106"/>
      <c r="V61" s="104"/>
      <c r="W61" s="67"/>
      <c r="X61" s="67"/>
    </row>
    <row r="62" spans="1:24">
      <c r="A62">
        <v>8</v>
      </c>
      <c r="B62" t="s">
        <v>298</v>
      </c>
      <c r="G62">
        <v>2</v>
      </c>
      <c r="I62" t="s">
        <v>300</v>
      </c>
      <c r="J62" t="s">
        <v>29</v>
      </c>
      <c r="K62" t="s">
        <v>408</v>
      </c>
      <c r="L62" t="s">
        <v>32</v>
      </c>
      <c r="M62" t="s">
        <v>238</v>
      </c>
      <c r="O62" s="1">
        <f>U123*T95</f>
        <v>9.3000000000000007</v>
      </c>
      <c r="P62" t="s">
        <v>349</v>
      </c>
      <c r="R62" t="s">
        <v>75</v>
      </c>
      <c r="S62" s="68" t="s">
        <v>34</v>
      </c>
      <c r="T62" s="68"/>
      <c r="U62" s="13"/>
      <c r="V62" s="13"/>
      <c r="W62" s="13"/>
      <c r="X62" s="94" t="s">
        <v>99</v>
      </c>
    </row>
    <row r="63" spans="1:24">
      <c r="A63">
        <v>8</v>
      </c>
      <c r="B63" t="s">
        <v>298</v>
      </c>
      <c r="G63">
        <v>3</v>
      </c>
      <c r="I63" t="s">
        <v>300</v>
      </c>
      <c r="J63" t="s">
        <v>29</v>
      </c>
      <c r="K63" t="s">
        <v>408</v>
      </c>
      <c r="L63" t="s">
        <v>32</v>
      </c>
      <c r="M63" t="s">
        <v>238</v>
      </c>
      <c r="O63" s="1">
        <f>U123*T95</f>
        <v>9.3000000000000007</v>
      </c>
      <c r="P63" t="s">
        <v>349</v>
      </c>
      <c r="R63" t="s">
        <v>75</v>
      </c>
      <c r="S63" s="13" t="s">
        <v>177</v>
      </c>
      <c r="T63" s="13"/>
      <c r="U63" s="128">
        <v>118</v>
      </c>
      <c r="V63" s="102" t="s">
        <v>98</v>
      </c>
      <c r="W63" s="98">
        <f>U63</f>
        <v>118</v>
      </c>
      <c r="X63" s="99">
        <f>$T$6*W63</f>
        <v>1180</v>
      </c>
    </row>
    <row r="64" spans="1:24">
      <c r="A64">
        <v>8</v>
      </c>
      <c r="B64" t="s">
        <v>298</v>
      </c>
      <c r="G64">
        <v>4</v>
      </c>
      <c r="I64" t="s">
        <v>300</v>
      </c>
      <c r="J64" t="s">
        <v>29</v>
      </c>
      <c r="K64" t="s">
        <v>408</v>
      </c>
      <c r="L64" t="s">
        <v>32</v>
      </c>
      <c r="M64" t="s">
        <v>238</v>
      </c>
      <c r="O64" s="1">
        <f>U123*T95</f>
        <v>9.3000000000000007</v>
      </c>
      <c r="P64" t="s">
        <v>349</v>
      </c>
      <c r="R64" t="s">
        <v>75</v>
      </c>
      <c r="S64" s="13"/>
      <c r="T64" s="13"/>
      <c r="U64" s="110"/>
      <c r="V64" s="110"/>
      <c r="W64" s="110"/>
      <c r="X64" s="110"/>
    </row>
    <row r="65" spans="1:24">
      <c r="A65">
        <v>8</v>
      </c>
      <c r="B65" t="s">
        <v>298</v>
      </c>
      <c r="G65">
        <v>2</v>
      </c>
      <c r="I65" t="s">
        <v>300</v>
      </c>
      <c r="J65" t="s">
        <v>29</v>
      </c>
      <c r="K65" t="s">
        <v>408</v>
      </c>
      <c r="L65" t="s">
        <v>33</v>
      </c>
      <c r="M65" t="s">
        <v>238</v>
      </c>
      <c r="O65" s="1">
        <f>V123*T95</f>
        <v>6</v>
      </c>
      <c r="P65" t="s">
        <v>303</v>
      </c>
      <c r="R65" t="s">
        <v>75</v>
      </c>
      <c r="S65" s="86" t="s">
        <v>178</v>
      </c>
      <c r="T65" s="91"/>
      <c r="U65" s="67"/>
      <c r="V65" s="91"/>
      <c r="W65" s="91"/>
      <c r="X65" s="33"/>
    </row>
    <row r="66" spans="1:24">
      <c r="A66">
        <v>8</v>
      </c>
      <c r="B66" t="s">
        <v>298</v>
      </c>
      <c r="G66">
        <v>3</v>
      </c>
      <c r="I66" t="s">
        <v>300</v>
      </c>
      <c r="J66" t="s">
        <v>29</v>
      </c>
      <c r="K66" t="s">
        <v>408</v>
      </c>
      <c r="L66" t="s">
        <v>33</v>
      </c>
      <c r="M66" t="s">
        <v>238</v>
      </c>
      <c r="O66" s="1">
        <f>V123*T95</f>
        <v>6</v>
      </c>
      <c r="P66" t="s">
        <v>303</v>
      </c>
      <c r="R66" t="s">
        <v>75</v>
      </c>
      <c r="S66" s="90" t="s">
        <v>179</v>
      </c>
      <c r="T66" s="91"/>
      <c r="U66" s="92">
        <v>5.5</v>
      </c>
      <c r="V66" s="92">
        <v>4.3</v>
      </c>
      <c r="W66" s="33">
        <f>V66+U66</f>
        <v>9.8000000000000007</v>
      </c>
      <c r="X66" s="94">
        <f>$T$6*W66</f>
        <v>98</v>
      </c>
    </row>
    <row r="67" spans="1:24">
      <c r="A67">
        <v>8</v>
      </c>
      <c r="B67" t="s">
        <v>298</v>
      </c>
      <c r="G67">
        <v>4</v>
      </c>
      <c r="I67" t="s">
        <v>300</v>
      </c>
      <c r="J67" t="s">
        <v>29</v>
      </c>
      <c r="K67" t="s">
        <v>408</v>
      </c>
      <c r="L67" t="s">
        <v>33</v>
      </c>
      <c r="M67" t="s">
        <v>238</v>
      </c>
      <c r="O67" s="1">
        <f>V123*T95</f>
        <v>6</v>
      </c>
      <c r="P67" t="s">
        <v>303</v>
      </c>
      <c r="R67" t="s">
        <v>75</v>
      </c>
      <c r="S67" s="90" t="s">
        <v>180</v>
      </c>
      <c r="T67" s="91"/>
      <c r="U67" s="129">
        <v>3.1</v>
      </c>
      <c r="V67" s="129">
        <v>2</v>
      </c>
      <c r="W67" s="33">
        <f>V67+U67</f>
        <v>5.0999999999999996</v>
      </c>
      <c r="X67" s="94">
        <f t="shared" ref="X67:X69" si="2">$T$6*W67</f>
        <v>51</v>
      </c>
    </row>
    <row r="68" spans="1:24">
      <c r="A68">
        <v>8</v>
      </c>
      <c r="B68" t="s">
        <v>298</v>
      </c>
      <c r="G68">
        <v>2</v>
      </c>
      <c r="I68" t="s">
        <v>300</v>
      </c>
      <c r="J68" t="s">
        <v>29</v>
      </c>
      <c r="K68" t="s">
        <v>408</v>
      </c>
      <c r="L68" t="s">
        <v>32</v>
      </c>
      <c r="M68" t="s">
        <v>239</v>
      </c>
      <c r="O68" s="1">
        <f>U124*T95</f>
        <v>24.599999999999998</v>
      </c>
      <c r="P68" t="s">
        <v>305</v>
      </c>
      <c r="R68" t="s">
        <v>75</v>
      </c>
      <c r="S68" s="90" t="s">
        <v>181</v>
      </c>
      <c r="T68" s="91"/>
      <c r="U68" s="123">
        <v>8.1999999999999993</v>
      </c>
      <c r="V68" s="123">
        <v>5.2</v>
      </c>
      <c r="W68" s="33">
        <f>V68+U68</f>
        <v>13.399999999999999</v>
      </c>
      <c r="X68" s="94">
        <f t="shared" si="2"/>
        <v>134</v>
      </c>
    </row>
    <row r="69" spans="1:24">
      <c r="A69">
        <v>8</v>
      </c>
      <c r="B69" t="s">
        <v>298</v>
      </c>
      <c r="G69">
        <v>3</v>
      </c>
      <c r="I69" t="s">
        <v>300</v>
      </c>
      <c r="J69" t="s">
        <v>29</v>
      </c>
      <c r="K69" t="s">
        <v>408</v>
      </c>
      <c r="L69" t="s">
        <v>32</v>
      </c>
      <c r="M69" t="s">
        <v>239</v>
      </c>
      <c r="O69" s="1">
        <f>U124*T95</f>
        <v>24.599999999999998</v>
      </c>
      <c r="P69" t="s">
        <v>305</v>
      </c>
      <c r="R69" t="s">
        <v>75</v>
      </c>
      <c r="S69" s="90" t="s">
        <v>182</v>
      </c>
      <c r="T69" s="91"/>
      <c r="U69" s="130">
        <f>T70*T8</f>
        <v>4.6750000000000007</v>
      </c>
      <c r="V69" s="130">
        <f>T71*T8</f>
        <v>7.1750000000000007</v>
      </c>
      <c r="W69" s="33">
        <f>V69+U69</f>
        <v>11.850000000000001</v>
      </c>
      <c r="X69" s="94">
        <f t="shared" si="2"/>
        <v>118.50000000000001</v>
      </c>
    </row>
    <row r="70" spans="1:24">
      <c r="A70">
        <v>8</v>
      </c>
      <c r="B70" t="s">
        <v>298</v>
      </c>
      <c r="G70">
        <v>4</v>
      </c>
      <c r="I70" t="s">
        <v>300</v>
      </c>
      <c r="J70" t="s">
        <v>29</v>
      </c>
      <c r="K70" t="s">
        <v>408</v>
      </c>
      <c r="L70" t="s">
        <v>32</v>
      </c>
      <c r="M70" t="s">
        <v>239</v>
      </c>
      <c r="O70" s="1">
        <f>U124*T95</f>
        <v>24.599999999999998</v>
      </c>
      <c r="P70" t="s">
        <v>305</v>
      </c>
      <c r="R70" t="s">
        <v>75</v>
      </c>
      <c r="S70" s="131" t="s">
        <v>183</v>
      </c>
      <c r="T70" s="132">
        <v>1.87</v>
      </c>
      <c r="U70" s="133"/>
      <c r="V70" s="133"/>
      <c r="W70" s="98"/>
      <c r="X70" s="99"/>
    </row>
    <row r="71" spans="1:24">
      <c r="A71">
        <v>8</v>
      </c>
      <c r="B71" t="s">
        <v>298</v>
      </c>
      <c r="G71">
        <v>2</v>
      </c>
      <c r="I71" t="s">
        <v>300</v>
      </c>
      <c r="J71" t="s">
        <v>29</v>
      </c>
      <c r="K71" t="s">
        <v>408</v>
      </c>
      <c r="L71" t="s">
        <v>33</v>
      </c>
      <c r="M71" t="s">
        <v>239</v>
      </c>
      <c r="O71" s="1">
        <f>V124*T95</f>
        <v>15.600000000000001</v>
      </c>
      <c r="P71" t="s">
        <v>350</v>
      </c>
      <c r="R71" t="s">
        <v>75</v>
      </c>
      <c r="S71" s="131" t="s">
        <v>184</v>
      </c>
      <c r="T71" s="132">
        <v>2.87</v>
      </c>
      <c r="U71" s="133"/>
      <c r="V71" s="133"/>
      <c r="W71" s="98"/>
      <c r="X71" s="99"/>
    </row>
    <row r="72" spans="1:24">
      <c r="A72">
        <v>8</v>
      </c>
      <c r="B72" t="s">
        <v>298</v>
      </c>
      <c r="G72">
        <v>3</v>
      </c>
      <c r="I72" t="s">
        <v>300</v>
      </c>
      <c r="J72" t="s">
        <v>29</v>
      </c>
      <c r="K72" t="s">
        <v>408</v>
      </c>
      <c r="L72" t="s">
        <v>33</v>
      </c>
      <c r="M72" t="s">
        <v>239</v>
      </c>
      <c r="O72" s="1">
        <f>V124*T95</f>
        <v>15.600000000000001</v>
      </c>
      <c r="P72" t="s">
        <v>350</v>
      </c>
      <c r="R72" t="s">
        <v>75</v>
      </c>
      <c r="S72" s="90" t="s">
        <v>26</v>
      </c>
      <c r="T72" s="134"/>
      <c r="U72" s="97">
        <v>0</v>
      </c>
      <c r="V72" s="97">
        <v>0</v>
      </c>
      <c r="W72" s="98">
        <f>V72+U72</f>
        <v>0</v>
      </c>
      <c r="X72" s="99">
        <f>$T$6*W72</f>
        <v>0</v>
      </c>
    </row>
    <row r="73" spans="1:24">
      <c r="A73">
        <v>8</v>
      </c>
      <c r="B73" t="s">
        <v>298</v>
      </c>
      <c r="G73">
        <v>4</v>
      </c>
      <c r="I73" t="s">
        <v>300</v>
      </c>
      <c r="J73" t="s">
        <v>29</v>
      </c>
      <c r="K73" t="s">
        <v>408</v>
      </c>
      <c r="L73" t="s">
        <v>33</v>
      </c>
      <c r="M73" t="s">
        <v>239</v>
      </c>
      <c r="O73" s="1">
        <f>V124*T95</f>
        <v>15.600000000000001</v>
      </c>
      <c r="P73" t="s">
        <v>350</v>
      </c>
      <c r="R73" t="s">
        <v>75</v>
      </c>
      <c r="S73" s="135" t="s">
        <v>185</v>
      </c>
      <c r="T73" s="133"/>
      <c r="U73" s="133">
        <f>IF(T9&gt;0, U74/T9, 0)</f>
        <v>19.137499999999996</v>
      </c>
      <c r="V73" s="133">
        <f>IF(T9&gt;0, V74/T9, 0)</f>
        <v>15.0875</v>
      </c>
      <c r="W73" s="33"/>
      <c r="X73" s="94"/>
    </row>
    <row r="74" spans="1:24">
      <c r="A74">
        <v>8</v>
      </c>
      <c r="B74" t="s">
        <v>298</v>
      </c>
      <c r="G74">
        <v>2</v>
      </c>
      <c r="I74" t="s">
        <v>300</v>
      </c>
      <c r="J74" t="s">
        <v>29</v>
      </c>
      <c r="K74" t="s">
        <v>408</v>
      </c>
      <c r="L74" t="s">
        <v>32</v>
      </c>
      <c r="M74" t="s">
        <v>240</v>
      </c>
      <c r="O74" s="279">
        <f>T126*T94*T95</f>
        <v>22.400000000000002</v>
      </c>
      <c r="P74" t="s">
        <v>351</v>
      </c>
      <c r="R74" t="s">
        <v>75</v>
      </c>
      <c r="S74" s="86" t="s">
        <v>186</v>
      </c>
      <c r="T74" s="87"/>
      <c r="U74" s="87">
        <f>((U66+U67+U68+U72)*$T$9)+(U69)</f>
        <v>38.274999999999991</v>
      </c>
      <c r="V74" s="87">
        <f>((V66+V67+V68+V72)*$T$9)+(V69)</f>
        <v>30.175000000000001</v>
      </c>
      <c r="W74" s="100">
        <f>V74+U74</f>
        <v>68.449999999999989</v>
      </c>
      <c r="X74" s="101">
        <f>$T$6*W74</f>
        <v>684.49999999999989</v>
      </c>
    </row>
    <row r="75" spans="1:24" ht="15" thickBot="1">
      <c r="A75">
        <v>8</v>
      </c>
      <c r="B75" t="s">
        <v>298</v>
      </c>
      <c r="G75">
        <v>3</v>
      </c>
      <c r="I75" t="s">
        <v>300</v>
      </c>
      <c r="J75" t="s">
        <v>29</v>
      </c>
      <c r="K75" t="s">
        <v>408</v>
      </c>
      <c r="L75" t="s">
        <v>32</v>
      </c>
      <c r="M75" t="s">
        <v>240</v>
      </c>
      <c r="O75" s="279">
        <f>T126*T94*T95</f>
        <v>22.400000000000002</v>
      </c>
      <c r="P75" t="s">
        <v>351</v>
      </c>
      <c r="R75" t="s">
        <v>75</v>
      </c>
      <c r="S75" s="74"/>
      <c r="T75" s="75"/>
      <c r="U75" s="75"/>
      <c r="V75" s="76"/>
      <c r="W75" s="77"/>
      <c r="X75" s="77"/>
    </row>
    <row r="76" spans="1:24" ht="15" thickTop="1">
      <c r="A76">
        <v>8</v>
      </c>
      <c r="B76" t="s">
        <v>298</v>
      </c>
      <c r="G76">
        <v>4</v>
      </c>
      <c r="I76" t="s">
        <v>300</v>
      </c>
      <c r="J76" t="s">
        <v>29</v>
      </c>
      <c r="K76" t="s">
        <v>408</v>
      </c>
      <c r="L76" t="s">
        <v>32</v>
      </c>
      <c r="M76" t="s">
        <v>240</v>
      </c>
      <c r="O76" s="279">
        <f>T126*T94*T95</f>
        <v>22.400000000000002</v>
      </c>
      <c r="P76" t="s">
        <v>351</v>
      </c>
      <c r="R76" t="s">
        <v>75</v>
      </c>
      <c r="S76" s="78"/>
      <c r="T76" s="79"/>
      <c r="U76" s="79"/>
      <c r="V76" s="80"/>
      <c r="W76" s="81"/>
      <c r="X76" s="81"/>
    </row>
    <row r="77" spans="1:24" ht="15.5">
      <c r="A77">
        <v>8</v>
      </c>
      <c r="B77" t="s">
        <v>298</v>
      </c>
      <c r="G77">
        <v>2</v>
      </c>
      <c r="I77" t="s">
        <v>300</v>
      </c>
      <c r="J77" t="s">
        <v>29</v>
      </c>
      <c r="K77" t="s">
        <v>408</v>
      </c>
      <c r="L77" t="s">
        <v>33</v>
      </c>
      <c r="M77" t="s">
        <v>240</v>
      </c>
      <c r="O77" s="279">
        <f>T127*T94*T95</f>
        <v>34.4</v>
      </c>
      <c r="P77" t="s">
        <v>352</v>
      </c>
      <c r="R77" t="s">
        <v>75</v>
      </c>
      <c r="S77" s="82" t="s">
        <v>187</v>
      </c>
      <c r="T77" s="82"/>
      <c r="U77" s="82"/>
      <c r="V77" s="80"/>
      <c r="W77" s="81"/>
      <c r="X77" s="81"/>
    </row>
    <row r="78" spans="1:24">
      <c r="A78">
        <v>8</v>
      </c>
      <c r="B78" t="s">
        <v>298</v>
      </c>
      <c r="G78">
        <v>3</v>
      </c>
      <c r="I78" t="s">
        <v>300</v>
      </c>
      <c r="J78" t="s">
        <v>29</v>
      </c>
      <c r="K78" t="s">
        <v>408</v>
      </c>
      <c r="L78" t="s">
        <v>33</v>
      </c>
      <c r="M78" t="s">
        <v>240</v>
      </c>
      <c r="O78" s="279">
        <f>T127*T94*T95</f>
        <v>34.4</v>
      </c>
      <c r="P78" t="s">
        <v>352</v>
      </c>
      <c r="R78" t="s">
        <v>75</v>
      </c>
      <c r="S78" s="67"/>
      <c r="T78" s="67"/>
      <c r="U78" s="136" t="s">
        <v>188</v>
      </c>
      <c r="V78" s="136"/>
      <c r="W78" s="136"/>
      <c r="X78" s="62" t="s">
        <v>85</v>
      </c>
    </row>
    <row r="79" spans="1:24">
      <c r="A79">
        <v>8</v>
      </c>
      <c r="B79" t="s">
        <v>298</v>
      </c>
      <c r="G79">
        <v>4</v>
      </c>
      <c r="I79" t="s">
        <v>300</v>
      </c>
      <c r="J79" t="s">
        <v>29</v>
      </c>
      <c r="K79" t="s">
        <v>408</v>
      </c>
      <c r="L79" t="s">
        <v>33</v>
      </c>
      <c r="M79" t="s">
        <v>240</v>
      </c>
      <c r="O79" s="279">
        <f>T127*T94*T95</f>
        <v>34.4</v>
      </c>
      <c r="P79" t="s">
        <v>352</v>
      </c>
      <c r="R79" t="s">
        <v>75</v>
      </c>
      <c r="S79" s="137" t="s">
        <v>189</v>
      </c>
      <c r="T79" s="138"/>
      <c r="U79" s="139" t="s">
        <v>32</v>
      </c>
      <c r="V79" s="139" t="s">
        <v>33</v>
      </c>
      <c r="W79" s="140" t="s">
        <v>87</v>
      </c>
      <c r="X79" s="89" t="s">
        <v>88</v>
      </c>
    </row>
    <row r="80" spans="1:24">
      <c r="S80" s="141" t="s">
        <v>190</v>
      </c>
      <c r="T80" s="138"/>
      <c r="U80" s="142">
        <f>U22+U58+U63+U74</f>
        <v>233.27499999999998</v>
      </c>
      <c r="V80" s="143">
        <f>V22+V35+V52+V54+V55+V74</f>
        <v>194.66249999999999</v>
      </c>
      <c r="W80" s="33">
        <f>SUM(U80:V80)</f>
        <v>427.9375</v>
      </c>
      <c r="X80" s="94">
        <f>$T$6*W80</f>
        <v>4279.375</v>
      </c>
    </row>
    <row r="81" spans="13:24">
      <c r="S81" s="144"/>
      <c r="T81" s="138"/>
      <c r="U81" s="142"/>
      <c r="V81" s="143"/>
      <c r="W81" s="33"/>
      <c r="X81" s="67"/>
    </row>
    <row r="82" spans="13:24">
      <c r="S82" s="68" t="s">
        <v>191</v>
      </c>
      <c r="T82" s="13"/>
      <c r="U82" s="13"/>
      <c r="V82" s="13"/>
      <c r="W82" s="140" t="s">
        <v>87</v>
      </c>
      <c r="X82" s="89" t="s">
        <v>88</v>
      </c>
    </row>
    <row r="83" spans="13:24">
      <c r="S83" s="145" t="s">
        <v>192</v>
      </c>
      <c r="T83" s="21">
        <v>0</v>
      </c>
      <c r="U83" s="13" t="s">
        <v>193</v>
      </c>
      <c r="V83" s="13"/>
      <c r="W83" s="33">
        <f>T83*T8</f>
        <v>0</v>
      </c>
      <c r="X83" s="94">
        <f>W83*T$9</f>
        <v>0</v>
      </c>
    </row>
    <row r="84" spans="13:24">
      <c r="M84" t="s">
        <v>987</v>
      </c>
      <c r="S84" s="68" t="s">
        <v>145</v>
      </c>
      <c r="T84" s="146"/>
      <c r="U84" s="13"/>
      <c r="V84" s="147"/>
      <c r="W84" s="100">
        <f>SUM(W83:W83)</f>
        <v>0</v>
      </c>
      <c r="X84" s="101">
        <f>W84*T6</f>
        <v>0</v>
      </c>
    </row>
    <row r="85" spans="13:24">
      <c r="S85" s="68"/>
      <c r="T85" s="146"/>
      <c r="U85" s="13"/>
      <c r="V85" s="147"/>
      <c r="W85" s="100"/>
      <c r="X85" s="101"/>
    </row>
    <row r="86" spans="13:24">
      <c r="S86" s="68"/>
      <c r="T86" s="146"/>
      <c r="U86" s="13"/>
      <c r="V86" s="148" t="s">
        <v>194</v>
      </c>
      <c r="W86" s="148"/>
      <c r="X86" s="13"/>
    </row>
    <row r="87" spans="13:24">
      <c r="S87" s="68"/>
      <c r="T87" s="13"/>
      <c r="U87" s="13"/>
      <c r="V87" s="149" t="s">
        <v>33</v>
      </c>
      <c r="W87" s="150" t="s">
        <v>87</v>
      </c>
      <c r="X87" s="151" t="s">
        <v>195</v>
      </c>
    </row>
    <row r="88" spans="13:24">
      <c r="S88" s="68"/>
      <c r="T88" s="146"/>
      <c r="U88" s="13"/>
      <c r="V88" s="139" t="s">
        <v>38</v>
      </c>
      <c r="W88" s="140" t="s">
        <v>38</v>
      </c>
      <c r="X88" s="152" t="s">
        <v>88</v>
      </c>
    </row>
    <row r="89" spans="13:24">
      <c r="S89" s="68" t="s">
        <v>196</v>
      </c>
      <c r="T89" s="68"/>
      <c r="U89" s="153"/>
      <c r="V89" s="100">
        <f>W84-V80</f>
        <v>-194.66249999999999</v>
      </c>
      <c r="W89" s="100">
        <f>W84-W80</f>
        <v>-427.9375</v>
      </c>
      <c r="X89" s="101">
        <f>X84-X80</f>
        <v>-4279.375</v>
      </c>
    </row>
    <row r="90" spans="13:24" ht="15" thickBot="1">
      <c r="S90" s="74"/>
      <c r="T90" s="75"/>
      <c r="U90" s="75"/>
      <c r="V90" s="76"/>
      <c r="W90" s="77"/>
      <c r="X90" s="77"/>
    </row>
    <row r="91" spans="13:24" ht="15" thickTop="1">
      <c r="S91" s="78"/>
      <c r="T91" s="79"/>
      <c r="U91" s="79"/>
      <c r="V91" s="80"/>
      <c r="W91" s="81"/>
      <c r="X91" s="81"/>
    </row>
    <row r="92" spans="13:24" ht="15.5">
      <c r="S92" s="82" t="s">
        <v>197</v>
      </c>
      <c r="T92" s="67"/>
      <c r="U92" s="83"/>
      <c r="V92" s="83"/>
      <c r="W92" s="81"/>
      <c r="X92" s="81"/>
    </row>
    <row r="93" spans="13:24" ht="15.5">
      <c r="S93" s="82"/>
      <c r="T93" s="67"/>
      <c r="U93" s="83"/>
      <c r="V93" s="83"/>
      <c r="W93" s="81"/>
      <c r="X93" s="81"/>
    </row>
    <row r="94" spans="13:24">
      <c r="S94" s="154" t="s">
        <v>198</v>
      </c>
      <c r="T94" s="155">
        <v>4</v>
      </c>
      <c r="U94" s="66" t="s">
        <v>154</v>
      </c>
      <c r="V94" s="67"/>
      <c r="W94" s="68"/>
      <c r="X94" s="67"/>
    </row>
    <row r="95" spans="13:24">
      <c r="S95" s="156" t="s">
        <v>199</v>
      </c>
      <c r="T95" s="34">
        <v>3</v>
      </c>
      <c r="U95" s="67"/>
      <c r="V95" s="67"/>
      <c r="W95" s="67"/>
      <c r="X95" s="67"/>
    </row>
    <row r="96" spans="13:24" ht="26">
      <c r="S96" s="157" t="s">
        <v>200</v>
      </c>
      <c r="T96" s="158"/>
      <c r="U96" s="79"/>
      <c r="V96" s="80"/>
      <c r="W96" s="81"/>
      <c r="X96" s="81"/>
    </row>
    <row r="97" spans="19:24">
      <c r="S97" s="159" t="s">
        <v>201</v>
      </c>
      <c r="T97" s="160">
        <v>3</v>
      </c>
      <c r="U97" s="66" t="s">
        <v>202</v>
      </c>
      <c r="V97" s="67"/>
      <c r="W97" s="68"/>
      <c r="X97" s="67"/>
    </row>
    <row r="98" spans="19:24">
      <c r="S98" s="73"/>
      <c r="T98" s="161"/>
      <c r="U98" s="85" t="s">
        <v>158</v>
      </c>
      <c r="V98" s="85"/>
      <c r="W98" s="68"/>
      <c r="X98" s="62" t="s">
        <v>85</v>
      </c>
    </row>
    <row r="99" spans="19:24">
      <c r="S99" s="138"/>
      <c r="T99" s="138"/>
      <c r="U99" s="139" t="s">
        <v>32</v>
      </c>
      <c r="V99" s="139" t="s">
        <v>33</v>
      </c>
      <c r="W99" s="89" t="s">
        <v>87</v>
      </c>
      <c r="X99" s="89" t="s">
        <v>88</v>
      </c>
    </row>
    <row r="100" spans="19:24">
      <c r="S100" s="68" t="s">
        <v>203</v>
      </c>
      <c r="T100" s="138"/>
      <c r="U100" s="138"/>
      <c r="V100" s="138"/>
      <c r="W100" s="67"/>
      <c r="X100" s="67"/>
    </row>
    <row r="101" spans="19:24">
      <c r="S101" s="144" t="s">
        <v>204</v>
      </c>
      <c r="T101" s="138"/>
      <c r="U101" s="162">
        <v>2</v>
      </c>
      <c r="V101" s="163">
        <v>1.6</v>
      </c>
      <c r="W101" s="114">
        <f>SUM(U101:V101)</f>
        <v>3.6</v>
      </c>
      <c r="X101" s="94">
        <f>W101*$T$6</f>
        <v>36</v>
      </c>
    </row>
    <row r="102" spans="19:24">
      <c r="S102" s="144"/>
      <c r="T102" s="138"/>
      <c r="U102" s="164"/>
      <c r="V102" s="165"/>
      <c r="W102" s="67"/>
      <c r="X102" s="94"/>
    </row>
    <row r="103" spans="19:24">
      <c r="S103" s="166" t="s">
        <v>205</v>
      </c>
      <c r="T103" s="67"/>
      <c r="U103" s="167"/>
      <c r="V103" s="167"/>
      <c r="W103" s="67"/>
      <c r="X103" s="94"/>
    </row>
    <row r="104" spans="19:24">
      <c r="S104" s="168" t="s">
        <v>206</v>
      </c>
      <c r="T104" s="138"/>
      <c r="U104" s="164"/>
      <c r="V104" s="169">
        <f>V101+(T105*$B$97*T106)+(T108*$B$97*T109)</f>
        <v>1.6</v>
      </c>
      <c r="W104" s="114">
        <f>V104</f>
        <v>1.6</v>
      </c>
      <c r="X104" s="94">
        <f>W104*$T$6</f>
        <v>16</v>
      </c>
    </row>
    <row r="105" spans="19:24">
      <c r="S105" s="170" t="s">
        <v>207</v>
      </c>
      <c r="T105" s="171">
        <v>13</v>
      </c>
      <c r="U105" s="172" t="s">
        <v>208</v>
      </c>
      <c r="V105" s="167"/>
      <c r="W105" s="67"/>
      <c r="X105" s="67"/>
    </row>
    <row r="106" spans="19:24">
      <c r="S106" s="170" t="s">
        <v>209</v>
      </c>
      <c r="T106" s="173">
        <v>0.41539719348793153</v>
      </c>
      <c r="U106" s="167"/>
      <c r="V106" s="167"/>
      <c r="W106" s="67"/>
      <c r="X106" s="67"/>
    </row>
    <row r="107" spans="19:24">
      <c r="S107" s="168" t="s">
        <v>74</v>
      </c>
      <c r="T107" s="67"/>
      <c r="U107" s="167"/>
      <c r="V107" s="167"/>
      <c r="W107" s="67"/>
      <c r="X107" s="67"/>
    </row>
    <row r="108" spans="19:24">
      <c r="S108" s="170" t="s">
        <v>207</v>
      </c>
      <c r="T108" s="171">
        <v>50</v>
      </c>
      <c r="U108" s="172" t="s">
        <v>208</v>
      </c>
      <c r="V108" s="167"/>
      <c r="W108" s="67"/>
      <c r="X108" s="67"/>
    </row>
    <row r="109" spans="19:24">
      <c r="S109" s="170" t="s">
        <v>209</v>
      </c>
      <c r="T109" s="173">
        <v>0.30972500000000003</v>
      </c>
      <c r="U109" s="67"/>
      <c r="V109" s="66"/>
      <c r="W109" s="67"/>
      <c r="X109" s="67"/>
    </row>
    <row r="110" spans="19:24">
      <c r="S110" s="170"/>
      <c r="T110" s="67"/>
      <c r="U110" s="67"/>
      <c r="V110" s="66"/>
      <c r="W110" s="67"/>
      <c r="X110" s="67"/>
    </row>
    <row r="111" spans="19:24">
      <c r="S111" s="166" t="s">
        <v>27</v>
      </c>
      <c r="T111" s="173">
        <v>1.9</v>
      </c>
      <c r="U111" s="67"/>
      <c r="V111" s="174">
        <f>T111</f>
        <v>1.9</v>
      </c>
      <c r="W111" s="114">
        <f>V111</f>
        <v>1.9</v>
      </c>
      <c r="X111" s="114">
        <f>W111*$T$6</f>
        <v>19</v>
      </c>
    </row>
    <row r="112" spans="19:24">
      <c r="S112" s="175"/>
      <c r="T112" s="91"/>
      <c r="U112" s="91"/>
      <c r="V112" s="91"/>
      <c r="W112" s="33"/>
      <c r="X112" s="94"/>
    </row>
    <row r="113" spans="19:24">
      <c r="S113" s="68" t="s">
        <v>30</v>
      </c>
      <c r="T113" s="127"/>
      <c r="U113" s="176">
        <f>(T114*T116*T95)+(T115*T116)</f>
        <v>56.998574999999995</v>
      </c>
      <c r="V113" s="177" t="s">
        <v>150</v>
      </c>
      <c r="W113" s="176">
        <f>U113</f>
        <v>56.998574999999995</v>
      </c>
      <c r="X113" s="94">
        <f>$T$6*W113</f>
        <v>569.98574999999994</v>
      </c>
    </row>
    <row r="114" spans="19:24">
      <c r="S114" s="73" t="s">
        <v>210</v>
      </c>
      <c r="T114" s="178">
        <v>1.3332999999999999</v>
      </c>
      <c r="U114" s="127"/>
      <c r="V114" s="127"/>
      <c r="W114" s="127"/>
      <c r="X114" s="127"/>
    </row>
    <row r="115" spans="19:24">
      <c r="S115" s="179" t="s">
        <v>211</v>
      </c>
      <c r="T115" s="178">
        <v>0</v>
      </c>
      <c r="U115" s="127"/>
      <c r="V115" s="127"/>
      <c r="W115" s="127"/>
      <c r="X115" s="127"/>
    </row>
    <row r="116" spans="19:24">
      <c r="S116" s="73" t="s">
        <v>212</v>
      </c>
      <c r="T116" s="30">
        <v>14.25</v>
      </c>
      <c r="U116" s="127"/>
      <c r="V116" s="127"/>
      <c r="W116" s="127"/>
      <c r="X116" s="127"/>
    </row>
    <row r="117" spans="19:24">
      <c r="S117" s="67"/>
      <c r="T117" s="67"/>
      <c r="U117" s="91"/>
      <c r="V117" s="91"/>
      <c r="W117" s="67"/>
      <c r="X117" s="67"/>
    </row>
    <row r="118" spans="19:24">
      <c r="S118" s="68" t="s">
        <v>34</v>
      </c>
      <c r="T118" s="68"/>
      <c r="U118" s="13"/>
      <c r="V118" s="13"/>
      <c r="W118" s="13"/>
      <c r="X118" s="94" t="s">
        <v>99</v>
      </c>
    </row>
    <row r="119" spans="19:24">
      <c r="S119" s="13" t="s">
        <v>177</v>
      </c>
      <c r="T119" s="13"/>
      <c r="U119" s="21">
        <v>118</v>
      </c>
      <c r="V119" s="102" t="s">
        <v>98</v>
      </c>
      <c r="W119" s="33">
        <f>U119</f>
        <v>118</v>
      </c>
      <c r="X119" s="94">
        <f>$T$6*W119</f>
        <v>1180</v>
      </c>
    </row>
    <row r="120" spans="19:24">
      <c r="S120" s="180"/>
      <c r="T120" s="181"/>
      <c r="U120" s="153"/>
      <c r="V120" s="182"/>
      <c r="W120" s="183"/>
      <c r="X120" s="184"/>
    </row>
    <row r="121" spans="19:24">
      <c r="S121" s="86" t="s">
        <v>178</v>
      </c>
      <c r="T121" s="91"/>
      <c r="U121" s="67"/>
      <c r="V121" s="91"/>
      <c r="W121" s="91"/>
      <c r="X121" s="33"/>
    </row>
    <row r="122" spans="19:24">
      <c r="S122" s="90" t="s">
        <v>213</v>
      </c>
      <c r="T122" s="91"/>
      <c r="U122" s="92">
        <v>5.5</v>
      </c>
      <c r="V122" s="92">
        <v>4.3</v>
      </c>
      <c r="W122" s="33">
        <f>V122+U122</f>
        <v>9.8000000000000007</v>
      </c>
      <c r="X122" s="94">
        <f>$T$6*W122</f>
        <v>98</v>
      </c>
    </row>
    <row r="123" spans="19:24">
      <c r="S123" s="90" t="s">
        <v>180</v>
      </c>
      <c r="T123" s="91"/>
      <c r="U123" s="129">
        <v>3.1</v>
      </c>
      <c r="V123" s="129">
        <v>2</v>
      </c>
      <c r="W123" s="33">
        <f>V123+U123</f>
        <v>5.0999999999999996</v>
      </c>
      <c r="X123" s="94">
        <f t="shared" ref="X123:X125" si="3">$T$6*W123</f>
        <v>51</v>
      </c>
    </row>
    <row r="124" spans="19:24">
      <c r="S124" s="90" t="s">
        <v>181</v>
      </c>
      <c r="T124" s="91"/>
      <c r="U124" s="123">
        <v>8.1999999999999993</v>
      </c>
      <c r="V124" s="123">
        <v>5.2</v>
      </c>
      <c r="W124" s="33">
        <f>V124+U124</f>
        <v>13.399999999999999</v>
      </c>
      <c r="X124" s="94">
        <f t="shared" si="3"/>
        <v>134</v>
      </c>
    </row>
    <row r="125" spans="19:24">
      <c r="S125" s="90" t="s">
        <v>182</v>
      </c>
      <c r="T125" s="91"/>
      <c r="U125" s="130">
        <f>T126*T94</f>
        <v>7.4666666666666677</v>
      </c>
      <c r="V125" s="130">
        <f>T127*T94</f>
        <v>11.466666666666667</v>
      </c>
      <c r="W125" s="33">
        <f>V125+U125</f>
        <v>18.933333333333334</v>
      </c>
      <c r="X125" s="94">
        <f t="shared" si="3"/>
        <v>189.33333333333334</v>
      </c>
    </row>
    <row r="126" spans="19:24">
      <c r="S126" s="131" t="s">
        <v>183</v>
      </c>
      <c r="T126" s="132">
        <v>1.8666666666666669</v>
      </c>
      <c r="U126" s="133"/>
      <c r="V126" s="133"/>
      <c r="W126" s="33"/>
      <c r="X126" s="94"/>
    </row>
    <row r="127" spans="19:24">
      <c r="S127" s="131" t="s">
        <v>184</v>
      </c>
      <c r="T127" s="132">
        <v>2.8666666666666667</v>
      </c>
      <c r="U127" s="133"/>
      <c r="V127" s="133"/>
      <c r="W127" s="33"/>
      <c r="X127" s="94"/>
    </row>
    <row r="128" spans="19:24">
      <c r="S128" s="90" t="s">
        <v>26</v>
      </c>
      <c r="T128" s="134"/>
      <c r="U128" s="97">
        <v>0</v>
      </c>
      <c r="V128" s="97">
        <v>0</v>
      </c>
      <c r="W128" s="98">
        <f>V128+U128</f>
        <v>0</v>
      </c>
      <c r="X128" s="99">
        <f>$T$6*W128</f>
        <v>0</v>
      </c>
    </row>
    <row r="129" spans="19:24">
      <c r="S129" s="135" t="s">
        <v>185</v>
      </c>
      <c r="T129" s="133"/>
      <c r="U129" s="133">
        <f>IF(T95&gt;0,U130/T95,0)</f>
        <v>2.4888888888888894</v>
      </c>
      <c r="V129" s="133">
        <f>IF(T95&gt;0,V130/T95,0)</f>
        <v>3.8222222222222224</v>
      </c>
      <c r="W129" s="33"/>
      <c r="X129" s="94"/>
    </row>
    <row r="130" spans="19:24">
      <c r="S130" s="86" t="s">
        <v>214</v>
      </c>
      <c r="T130" s="87"/>
      <c r="U130" s="87">
        <f>((U122+U123+U124+U128)*$B$98)+(U125)</f>
        <v>7.4666666666666677</v>
      </c>
      <c r="V130" s="87">
        <f>((V122+V123+V124+V128)*$B$98)+V125</f>
        <v>11.466666666666667</v>
      </c>
      <c r="W130" s="100">
        <f>V130+U130</f>
        <v>18.933333333333334</v>
      </c>
      <c r="X130" s="101">
        <f>$T$6*W130</f>
        <v>189.33333333333334</v>
      </c>
    </row>
    <row r="131" spans="19:24">
      <c r="S131" s="86"/>
      <c r="T131" s="87"/>
      <c r="U131" s="87"/>
      <c r="V131" s="87"/>
      <c r="W131" s="100"/>
      <c r="X131" s="101"/>
    </row>
    <row r="132" spans="19:24">
      <c r="S132" s="86" t="s">
        <v>215</v>
      </c>
      <c r="T132" s="87"/>
      <c r="U132" s="87">
        <f>U101+U113+U119+U130</f>
        <v>184.46524166666666</v>
      </c>
      <c r="V132" s="87">
        <f>V104+V130+V111</f>
        <v>14.966666666666667</v>
      </c>
      <c r="W132" s="100">
        <f>V132+U132</f>
        <v>199.43190833333333</v>
      </c>
      <c r="X132" s="101">
        <f>$T$6*W132</f>
        <v>1994.3190833333333</v>
      </c>
    </row>
    <row r="133" spans="19:24" ht="15" thickBot="1">
      <c r="S133" s="185"/>
      <c r="T133" s="186"/>
      <c r="U133" s="187"/>
      <c r="V133" s="188"/>
      <c r="W133" s="189"/>
      <c r="X133" s="190"/>
    </row>
    <row r="134" spans="19:24" ht="15" thickTop="1">
      <c r="S134" s="180"/>
      <c r="T134" s="181"/>
      <c r="U134" s="153"/>
      <c r="V134" s="182"/>
      <c r="W134" s="183"/>
      <c r="X134" s="184"/>
    </row>
    <row r="135" spans="19:24" ht="15.5">
      <c r="S135" s="191" t="str">
        <f>CONCATENATE("Average Costs and Returns Over ",W135," Years")</f>
        <v>Average Costs and Returns Over 4 Years</v>
      </c>
      <c r="T135" s="13"/>
      <c r="U135" s="82"/>
      <c r="V135" s="192">
        <f>T97+1</f>
        <v>4</v>
      </c>
      <c r="W135" s="193" t="str">
        <f>FIXED(V135,0)</f>
        <v>4</v>
      </c>
      <c r="X135" s="94"/>
    </row>
    <row r="136" spans="19:24">
      <c r="S136" s="194" t="s">
        <v>216</v>
      </c>
      <c r="T136" s="91"/>
      <c r="U136" s="91"/>
      <c r="V136" s="91"/>
      <c r="W136" s="67"/>
      <c r="X136" s="195" t="s">
        <v>217</v>
      </c>
    </row>
    <row r="137" spans="19:24">
      <c r="S137" s="103"/>
      <c r="T137" s="91"/>
      <c r="U137" s="67"/>
      <c r="V137" s="196" t="s">
        <v>218</v>
      </c>
      <c r="W137" s="67"/>
      <c r="X137" s="195" t="s">
        <v>189</v>
      </c>
    </row>
    <row r="138" spans="19:24">
      <c r="S138" s="137" t="s">
        <v>219</v>
      </c>
      <c r="T138" s="138"/>
      <c r="U138" s="139" t="s">
        <v>32</v>
      </c>
      <c r="V138" s="139" t="s">
        <v>33</v>
      </c>
      <c r="W138" s="140" t="s">
        <v>87</v>
      </c>
      <c r="X138" s="89" t="s">
        <v>88</v>
      </c>
    </row>
    <row r="139" spans="19:24">
      <c r="S139" s="141" t="s">
        <v>220</v>
      </c>
      <c r="T139" s="138"/>
      <c r="U139" s="142">
        <f>(U80+(U132*T97))/(1+T97)</f>
        <v>196.66768124999999</v>
      </c>
      <c r="V139" s="143">
        <f>(V80+(V104+V130+V111)*T97)/(1+T97)</f>
        <v>59.890625</v>
      </c>
      <c r="W139" s="100">
        <f>SUM(U139:V139)</f>
        <v>256.55830624999999</v>
      </c>
      <c r="X139" s="101">
        <f>$T$6*W139</f>
        <v>2565.5830624999999</v>
      </c>
    </row>
    <row r="140" spans="19:24">
      <c r="S140" s="144" t="s">
        <v>221</v>
      </c>
      <c r="T140" s="138"/>
      <c r="U140" s="197">
        <f>IF(T97&gt;0,(U80+(U132*T97))/(T8+(T94*T97)),0)</f>
        <v>54.25315344827586</v>
      </c>
      <c r="V140" s="197">
        <f>IF(T97&gt;0,(V80+(V132*T97))/(T8+(T94*T97)),0)</f>
        <v>16.521551724137932</v>
      </c>
      <c r="W140" s="100">
        <f>SUM(U140:V140)</f>
        <v>70.774705172413789</v>
      </c>
      <c r="X140" s="67"/>
    </row>
    <row r="141" spans="19:24">
      <c r="S141" s="138"/>
      <c r="T141" s="138"/>
      <c r="U141" s="198"/>
      <c r="V141" s="167"/>
      <c r="W141" s="67"/>
      <c r="X141" s="67"/>
    </row>
    <row r="142" spans="19:24">
      <c r="S142" s="103"/>
      <c r="T142" s="91"/>
      <c r="U142" s="91"/>
      <c r="V142" s="91"/>
      <c r="W142" s="199" t="s">
        <v>222</v>
      </c>
      <c r="X142" s="199"/>
    </row>
    <row r="143" spans="19:24">
      <c r="S143" s="13"/>
      <c r="T143" s="13"/>
      <c r="U143" s="13"/>
      <c r="V143" s="89"/>
      <c r="W143" s="89" t="s">
        <v>223</v>
      </c>
      <c r="X143" s="89" t="s">
        <v>88</v>
      </c>
    </row>
    <row r="144" spans="19:24">
      <c r="S144" s="68" t="s">
        <v>224</v>
      </c>
      <c r="T144" s="13"/>
      <c r="U144" s="13"/>
      <c r="V144" s="94" t="s">
        <v>99</v>
      </c>
      <c r="W144" s="94"/>
      <c r="X144" s="94"/>
    </row>
    <row r="145" spans="7:24">
      <c r="S145" s="200" t="s">
        <v>225</v>
      </c>
      <c r="T145" s="21">
        <v>0</v>
      </c>
      <c r="U145" s="201" t="s">
        <v>226</v>
      </c>
      <c r="V145" s="147" t="s">
        <v>99</v>
      </c>
      <c r="W145" s="98">
        <f>((T145*T94*T97)+(T83*T8))/(1+T97)</f>
        <v>0</v>
      </c>
      <c r="X145" s="99">
        <f>W145*T$9</f>
        <v>0</v>
      </c>
    </row>
    <row r="146" spans="7:24">
      <c r="S146" s="202" t="s">
        <v>227</v>
      </c>
      <c r="T146" s="146" t="str">
        <f>CONCATENATE(T94,U94)</f>
        <v>4 tons / acre / year</v>
      </c>
      <c r="U146" s="13"/>
      <c r="V146" s="147"/>
      <c r="W146" s="33"/>
      <c r="X146" s="94"/>
    </row>
    <row r="147" spans="7:24">
      <c r="S147" s="68" t="s">
        <v>228</v>
      </c>
      <c r="T147" s="68"/>
      <c r="U147" s="153"/>
      <c r="V147" s="147" t="s">
        <v>99</v>
      </c>
      <c r="W147" s="100">
        <f>W145</f>
        <v>0</v>
      </c>
      <c r="X147" s="101">
        <f>W147*T$9</f>
        <v>0</v>
      </c>
    </row>
    <row r="148" spans="7:24">
      <c r="S148" s="68"/>
      <c r="T148" s="68"/>
      <c r="U148" s="153"/>
      <c r="V148" s="147"/>
      <c r="W148" s="100"/>
      <c r="X148" s="101"/>
    </row>
    <row r="149" spans="7:24">
      <c r="S149" s="68"/>
      <c r="T149" s="68"/>
      <c r="U149" s="67"/>
      <c r="V149" s="85" t="s">
        <v>229</v>
      </c>
      <c r="W149" s="85"/>
      <c r="X149" s="85"/>
    </row>
    <row r="150" spans="7:24">
      <c r="S150" s="73"/>
      <c r="T150" s="68"/>
      <c r="U150" s="139"/>
      <c r="V150" s="149" t="s">
        <v>33</v>
      </c>
      <c r="W150" s="150" t="s">
        <v>87</v>
      </c>
      <c r="X150" s="151" t="s">
        <v>195</v>
      </c>
    </row>
    <row r="151" spans="7:24">
      <c r="S151" s="73"/>
      <c r="T151" s="68"/>
      <c r="U151" s="139"/>
      <c r="V151" s="139" t="s">
        <v>38</v>
      </c>
      <c r="W151" s="140" t="s">
        <v>38</v>
      </c>
      <c r="X151" s="89" t="s">
        <v>88</v>
      </c>
    </row>
    <row r="152" spans="7:24">
      <c r="S152" s="68" t="s">
        <v>230</v>
      </c>
      <c r="T152" s="68"/>
      <c r="U152" s="153"/>
      <c r="V152" s="100">
        <f>W147-V139</f>
        <v>-59.890625</v>
      </c>
      <c r="W152" s="100">
        <f>W147-W139</f>
        <v>-256.55830624999999</v>
      </c>
      <c r="X152" s="101">
        <f>X147-X139</f>
        <v>-2565.5830624999999</v>
      </c>
    </row>
    <row r="157" spans="7:24">
      <c r="G157">
        <v>3</v>
      </c>
    </row>
    <row r="158" spans="7:24">
      <c r="G158">
        <v>4</v>
      </c>
    </row>
    <row r="159" spans="7:24">
      <c r="G159">
        <v>5</v>
      </c>
    </row>
    <row r="160" spans="7:24">
      <c r="G160">
        <v>6</v>
      </c>
    </row>
    <row r="161" spans="7:7">
      <c r="G161">
        <v>7</v>
      </c>
    </row>
    <row r="162" spans="7:7">
      <c r="G162">
        <v>8</v>
      </c>
    </row>
    <row r="163" spans="7:7">
      <c r="G163">
        <v>9</v>
      </c>
    </row>
    <row r="164" spans="7:7">
      <c r="G164">
        <v>10</v>
      </c>
    </row>
    <row r="165" spans="7:7">
      <c r="G165">
        <v>11</v>
      </c>
    </row>
    <row r="166" spans="7:7">
      <c r="G166">
        <v>2</v>
      </c>
    </row>
    <row r="167" spans="7:7">
      <c r="G167">
        <v>3</v>
      </c>
    </row>
    <row r="168" spans="7:7">
      <c r="G168">
        <v>4</v>
      </c>
    </row>
    <row r="169" spans="7:7">
      <c r="G169">
        <v>5</v>
      </c>
    </row>
    <row r="170" spans="7:7">
      <c r="G170">
        <v>6</v>
      </c>
    </row>
    <row r="171" spans="7:7">
      <c r="G171">
        <v>7</v>
      </c>
    </row>
    <row r="172" spans="7:7">
      <c r="G172">
        <v>8</v>
      </c>
    </row>
    <row r="173" spans="7:7">
      <c r="G173">
        <v>9</v>
      </c>
    </row>
    <row r="174" spans="7:7">
      <c r="G174">
        <v>10</v>
      </c>
    </row>
    <row r="175" spans="7:7">
      <c r="G175">
        <v>11</v>
      </c>
    </row>
    <row r="176" spans="7:7">
      <c r="G176">
        <v>2</v>
      </c>
    </row>
    <row r="177" spans="7:7">
      <c r="G177">
        <v>3</v>
      </c>
    </row>
    <row r="178" spans="7:7">
      <c r="G178">
        <v>4</v>
      </c>
    </row>
    <row r="179" spans="7:7">
      <c r="G179">
        <v>5</v>
      </c>
    </row>
    <row r="180" spans="7:7">
      <c r="G180">
        <v>6</v>
      </c>
    </row>
    <row r="181" spans="7:7">
      <c r="G181">
        <v>7</v>
      </c>
    </row>
    <row r="182" spans="7:7">
      <c r="G182">
        <v>8</v>
      </c>
    </row>
    <row r="183" spans="7:7">
      <c r="G183">
        <v>9</v>
      </c>
    </row>
    <row r="184" spans="7:7">
      <c r="G184">
        <v>10</v>
      </c>
    </row>
    <row r="185" spans="7:7">
      <c r="G185">
        <v>11</v>
      </c>
    </row>
    <row r="186" spans="7:7">
      <c r="G186">
        <v>2</v>
      </c>
    </row>
    <row r="187" spans="7:7">
      <c r="G187">
        <v>3</v>
      </c>
    </row>
    <row r="188" spans="7:7">
      <c r="G188">
        <v>4</v>
      </c>
    </row>
    <row r="189" spans="7:7">
      <c r="G189">
        <v>5</v>
      </c>
    </row>
    <row r="190" spans="7:7">
      <c r="G190">
        <v>6</v>
      </c>
    </row>
    <row r="191" spans="7:7">
      <c r="G191">
        <v>7</v>
      </c>
    </row>
    <row r="192" spans="7:7">
      <c r="G192">
        <v>8</v>
      </c>
    </row>
    <row r="193" spans="7:7">
      <c r="G193">
        <v>9</v>
      </c>
    </row>
    <row r="194" spans="7:7">
      <c r="G194">
        <v>10</v>
      </c>
    </row>
    <row r="195" spans="7:7">
      <c r="G195">
        <v>11</v>
      </c>
    </row>
    <row r="196" spans="7:7">
      <c r="G196">
        <v>2</v>
      </c>
    </row>
    <row r="197" spans="7:7">
      <c r="G197">
        <v>3</v>
      </c>
    </row>
    <row r="198" spans="7:7">
      <c r="G198">
        <v>4</v>
      </c>
    </row>
    <row r="199" spans="7:7">
      <c r="G199">
        <v>5</v>
      </c>
    </row>
    <row r="200" spans="7:7">
      <c r="G200">
        <v>6</v>
      </c>
    </row>
    <row r="201" spans="7:7">
      <c r="G201">
        <v>7</v>
      </c>
    </row>
    <row r="202" spans="7:7">
      <c r="G202">
        <v>8</v>
      </c>
    </row>
    <row r="203" spans="7:7">
      <c r="G203">
        <v>9</v>
      </c>
    </row>
    <row r="204" spans="7:7">
      <c r="G204">
        <v>10</v>
      </c>
    </row>
    <row r="205" spans="7:7">
      <c r="G205">
        <v>11</v>
      </c>
    </row>
    <row r="206" spans="7:7">
      <c r="G206">
        <v>2</v>
      </c>
    </row>
    <row r="207" spans="7:7">
      <c r="G207">
        <v>3</v>
      </c>
    </row>
    <row r="208" spans="7:7">
      <c r="G208">
        <v>4</v>
      </c>
    </row>
    <row r="209" spans="7:7">
      <c r="G209">
        <v>5</v>
      </c>
    </row>
    <row r="210" spans="7:7">
      <c r="G210">
        <v>6</v>
      </c>
    </row>
    <row r="211" spans="7:7">
      <c r="G211">
        <v>7</v>
      </c>
    </row>
    <row r="212" spans="7:7">
      <c r="G212">
        <v>8</v>
      </c>
    </row>
    <row r="213" spans="7:7">
      <c r="G213">
        <v>9</v>
      </c>
    </row>
    <row r="214" spans="7:7">
      <c r="G214">
        <v>10</v>
      </c>
    </row>
    <row r="215" spans="7:7">
      <c r="G215">
        <v>11</v>
      </c>
    </row>
    <row r="216" spans="7:7">
      <c r="G216">
        <v>2</v>
      </c>
    </row>
    <row r="217" spans="7:7">
      <c r="G217">
        <v>3</v>
      </c>
    </row>
    <row r="218" spans="7:7">
      <c r="G218">
        <v>4</v>
      </c>
    </row>
    <row r="219" spans="7:7">
      <c r="G219">
        <v>5</v>
      </c>
    </row>
    <row r="220" spans="7:7">
      <c r="G220">
        <v>6</v>
      </c>
    </row>
    <row r="221" spans="7:7">
      <c r="G221">
        <v>7</v>
      </c>
    </row>
    <row r="222" spans="7:7">
      <c r="G222">
        <v>8</v>
      </c>
    </row>
    <row r="223" spans="7:7">
      <c r="G223">
        <v>9</v>
      </c>
    </row>
    <row r="224" spans="7:7">
      <c r="G224">
        <v>10</v>
      </c>
    </row>
    <row r="225" spans="7:7">
      <c r="G225">
        <v>11</v>
      </c>
    </row>
    <row r="226" spans="7:7">
      <c r="G226">
        <v>2</v>
      </c>
    </row>
    <row r="227" spans="7:7">
      <c r="G227">
        <v>3</v>
      </c>
    </row>
    <row r="228" spans="7:7">
      <c r="G228">
        <v>4</v>
      </c>
    </row>
    <row r="229" spans="7:7">
      <c r="G229">
        <v>5</v>
      </c>
    </row>
    <row r="230" spans="7:7">
      <c r="G230">
        <v>6</v>
      </c>
    </row>
    <row r="231" spans="7:7">
      <c r="G231">
        <v>7</v>
      </c>
    </row>
    <row r="232" spans="7:7">
      <c r="G232">
        <v>8</v>
      </c>
    </row>
    <row r="233" spans="7:7">
      <c r="G233">
        <v>9</v>
      </c>
    </row>
    <row r="234" spans="7:7">
      <c r="G234">
        <v>10</v>
      </c>
    </row>
    <row r="235" spans="7:7">
      <c r="G235">
        <v>11</v>
      </c>
    </row>
    <row r="237" spans="7:7">
      <c r="G237">
        <v>1</v>
      </c>
    </row>
    <row r="238" spans="7:7">
      <c r="G238">
        <v>1</v>
      </c>
    </row>
    <row r="239" spans="7:7">
      <c r="G239">
        <v>1</v>
      </c>
    </row>
    <row r="240" spans="7:7">
      <c r="G240">
        <v>1</v>
      </c>
    </row>
    <row r="241" spans="7:7">
      <c r="G241">
        <v>1</v>
      </c>
    </row>
    <row r="242" spans="7:7">
      <c r="G242">
        <v>2</v>
      </c>
    </row>
    <row r="243" spans="7:7">
      <c r="G243">
        <v>3</v>
      </c>
    </row>
    <row r="244" spans="7:7">
      <c r="G244">
        <v>4</v>
      </c>
    </row>
    <row r="245" spans="7:7">
      <c r="G245">
        <v>5</v>
      </c>
    </row>
    <row r="246" spans="7:7">
      <c r="G246">
        <v>6</v>
      </c>
    </row>
    <row r="247" spans="7:7">
      <c r="G247">
        <v>7</v>
      </c>
    </row>
    <row r="248" spans="7:7">
      <c r="G248">
        <v>1</v>
      </c>
    </row>
    <row r="249" spans="7:7">
      <c r="G249">
        <v>2</v>
      </c>
    </row>
    <row r="250" spans="7:7">
      <c r="G250">
        <v>3</v>
      </c>
    </row>
    <row r="251" spans="7:7">
      <c r="G251">
        <v>4</v>
      </c>
    </row>
    <row r="252" spans="7:7">
      <c r="G252">
        <v>5</v>
      </c>
    </row>
    <row r="253" spans="7:7">
      <c r="G253">
        <v>6</v>
      </c>
    </row>
    <row r="254" spans="7:7">
      <c r="G254">
        <v>7</v>
      </c>
    </row>
    <row r="255" spans="7:7">
      <c r="G255">
        <v>1</v>
      </c>
    </row>
    <row r="256" spans="7:7">
      <c r="G256">
        <v>2</v>
      </c>
    </row>
    <row r="257" spans="7:7">
      <c r="G257">
        <v>3</v>
      </c>
    </row>
    <row r="258" spans="7:7">
      <c r="G258">
        <v>4</v>
      </c>
    </row>
    <row r="259" spans="7:7">
      <c r="G259">
        <v>5</v>
      </c>
    </row>
    <row r="260" spans="7:7">
      <c r="G260">
        <v>6</v>
      </c>
    </row>
    <row r="261" spans="7:7">
      <c r="G261">
        <v>7</v>
      </c>
    </row>
    <row r="262" spans="7:7">
      <c r="G262">
        <v>1</v>
      </c>
    </row>
    <row r="263" spans="7:7">
      <c r="G263">
        <v>2</v>
      </c>
    </row>
    <row r="264" spans="7:7">
      <c r="G264">
        <v>3</v>
      </c>
    </row>
    <row r="265" spans="7:7">
      <c r="G265">
        <v>4</v>
      </c>
    </row>
    <row r="266" spans="7:7">
      <c r="G266">
        <v>5</v>
      </c>
    </row>
    <row r="267" spans="7:7">
      <c r="G267">
        <v>6</v>
      </c>
    </row>
    <row r="268" spans="7:7">
      <c r="G268">
        <v>7</v>
      </c>
    </row>
    <row r="269" spans="7:7">
      <c r="G269">
        <v>2</v>
      </c>
    </row>
    <row r="270" spans="7:7">
      <c r="G270">
        <v>3</v>
      </c>
    </row>
    <row r="271" spans="7:7">
      <c r="G271">
        <v>4</v>
      </c>
    </row>
    <row r="272" spans="7:7">
      <c r="G272">
        <v>5</v>
      </c>
    </row>
    <row r="273" spans="7:7">
      <c r="G273">
        <v>6</v>
      </c>
    </row>
    <row r="274" spans="7:7">
      <c r="G274">
        <v>7</v>
      </c>
    </row>
    <row r="275" spans="7:7">
      <c r="G275">
        <v>2</v>
      </c>
    </row>
    <row r="276" spans="7:7">
      <c r="G276">
        <v>3</v>
      </c>
    </row>
    <row r="277" spans="7:7">
      <c r="G277">
        <v>4</v>
      </c>
    </row>
    <row r="278" spans="7:7">
      <c r="G278">
        <v>5</v>
      </c>
    </row>
    <row r="279" spans="7:7">
      <c r="G279">
        <v>6</v>
      </c>
    </row>
    <row r="280" spans="7:7">
      <c r="G280">
        <v>7</v>
      </c>
    </row>
    <row r="281" spans="7:7">
      <c r="G281">
        <v>2</v>
      </c>
    </row>
    <row r="282" spans="7:7">
      <c r="G282">
        <v>3</v>
      </c>
    </row>
    <row r="283" spans="7:7">
      <c r="G283">
        <v>4</v>
      </c>
    </row>
    <row r="284" spans="7:7">
      <c r="G284">
        <v>5</v>
      </c>
    </row>
    <row r="285" spans="7:7">
      <c r="G285">
        <v>6</v>
      </c>
    </row>
    <row r="286" spans="7:7">
      <c r="G286">
        <v>7</v>
      </c>
    </row>
    <row r="287" spans="7:7">
      <c r="G287">
        <v>2</v>
      </c>
    </row>
    <row r="288" spans="7:7">
      <c r="G288">
        <v>3</v>
      </c>
    </row>
    <row r="289" spans="7:7">
      <c r="G289">
        <v>4</v>
      </c>
    </row>
    <row r="290" spans="7:7">
      <c r="G290">
        <v>5</v>
      </c>
    </row>
    <row r="291" spans="7:7">
      <c r="G291">
        <v>6</v>
      </c>
    </row>
    <row r="292" spans="7:7">
      <c r="G292">
        <v>7</v>
      </c>
    </row>
    <row r="293" spans="7:7">
      <c r="G293">
        <v>2</v>
      </c>
    </row>
    <row r="294" spans="7:7">
      <c r="G294">
        <v>3</v>
      </c>
    </row>
    <row r="295" spans="7:7">
      <c r="G295">
        <v>4</v>
      </c>
    </row>
    <row r="296" spans="7:7">
      <c r="G296">
        <v>5</v>
      </c>
    </row>
    <row r="297" spans="7:7">
      <c r="G297">
        <v>6</v>
      </c>
    </row>
    <row r="298" spans="7:7">
      <c r="G298">
        <v>7</v>
      </c>
    </row>
    <row r="299" spans="7:7">
      <c r="G299">
        <v>2</v>
      </c>
    </row>
    <row r="300" spans="7:7">
      <c r="G300">
        <v>3</v>
      </c>
    </row>
    <row r="301" spans="7:7">
      <c r="G301">
        <v>4</v>
      </c>
    </row>
    <row r="302" spans="7:7">
      <c r="G302">
        <v>5</v>
      </c>
    </row>
    <row r="303" spans="7:7">
      <c r="G303">
        <v>6</v>
      </c>
    </row>
    <row r="304" spans="7:7">
      <c r="G304">
        <v>7</v>
      </c>
    </row>
    <row r="305" spans="7:7">
      <c r="G305">
        <v>7</v>
      </c>
    </row>
    <row r="306" spans="7:7">
      <c r="G306">
        <v>7</v>
      </c>
    </row>
    <row r="307" spans="7:7">
      <c r="G307">
        <v>7</v>
      </c>
    </row>
    <row r="368" spans="7:7">
      <c r="G368">
        <v>1</v>
      </c>
    </row>
    <row r="369" spans="7:7">
      <c r="G369">
        <v>1</v>
      </c>
    </row>
    <row r="370" spans="7:7">
      <c r="G370">
        <v>1</v>
      </c>
    </row>
    <row r="371" spans="7:7">
      <c r="G371">
        <v>1</v>
      </c>
    </row>
    <row r="372" spans="7:7">
      <c r="G372">
        <v>1</v>
      </c>
    </row>
    <row r="373" spans="7:7">
      <c r="G373">
        <v>1</v>
      </c>
    </row>
    <row r="374" spans="7:7">
      <c r="G374">
        <v>1</v>
      </c>
    </row>
    <row r="375" spans="7:7">
      <c r="G375">
        <v>1</v>
      </c>
    </row>
    <row r="376" spans="7:7">
      <c r="G376">
        <v>1</v>
      </c>
    </row>
    <row r="377" spans="7:7">
      <c r="G377">
        <v>1</v>
      </c>
    </row>
    <row r="378" spans="7:7">
      <c r="G378">
        <v>1</v>
      </c>
    </row>
    <row r="379" spans="7:7">
      <c r="G379">
        <v>1</v>
      </c>
    </row>
    <row r="380" spans="7:7">
      <c r="G380">
        <v>1</v>
      </c>
    </row>
    <row r="381" spans="7:7">
      <c r="G381">
        <v>1</v>
      </c>
    </row>
    <row r="382" spans="7:7">
      <c r="G382">
        <v>1</v>
      </c>
    </row>
    <row r="383" spans="7:7">
      <c r="G383">
        <v>1</v>
      </c>
    </row>
    <row r="385" spans="7:7">
      <c r="G385">
        <v>0</v>
      </c>
    </row>
    <row r="386" spans="7:7">
      <c r="G386">
        <v>0</v>
      </c>
    </row>
    <row r="387" spans="7:7">
      <c r="G387">
        <v>0</v>
      </c>
    </row>
    <row r="388" spans="7:7">
      <c r="G388">
        <v>0</v>
      </c>
    </row>
    <row r="389" spans="7:7">
      <c r="G389">
        <v>0</v>
      </c>
    </row>
    <row r="390" spans="7:7">
      <c r="G390">
        <v>0</v>
      </c>
    </row>
    <row r="391" spans="7:7">
      <c r="G391">
        <v>0</v>
      </c>
    </row>
    <row r="392" spans="7:7">
      <c r="G392">
        <v>0</v>
      </c>
    </row>
    <row r="393" spans="7:7">
      <c r="G393">
        <v>0</v>
      </c>
    </row>
    <row r="394" spans="7:7">
      <c r="G394">
        <v>0</v>
      </c>
    </row>
    <row r="395" spans="7:7">
      <c r="G395">
        <v>0</v>
      </c>
    </row>
    <row r="396" spans="7:7">
      <c r="G396">
        <v>0</v>
      </c>
    </row>
    <row r="397" spans="7:7">
      <c r="G397">
        <v>1</v>
      </c>
    </row>
    <row r="398" spans="7:7">
      <c r="G398">
        <v>2</v>
      </c>
    </row>
    <row r="399" spans="7:7">
      <c r="G399">
        <v>3</v>
      </c>
    </row>
    <row r="400" spans="7:7">
      <c r="G400">
        <v>1</v>
      </c>
    </row>
    <row r="401" spans="7:7">
      <c r="G401">
        <v>2</v>
      </c>
    </row>
    <row r="402" spans="7:7">
      <c r="G402">
        <v>3</v>
      </c>
    </row>
    <row r="403" spans="7:7">
      <c r="G403">
        <v>1</v>
      </c>
    </row>
    <row r="404" spans="7:7">
      <c r="G404">
        <v>2</v>
      </c>
    </row>
    <row r="405" spans="7:7">
      <c r="G405">
        <v>3</v>
      </c>
    </row>
    <row r="406" spans="7:7">
      <c r="G406">
        <v>1</v>
      </c>
    </row>
    <row r="407" spans="7:7">
      <c r="G407">
        <v>2</v>
      </c>
    </row>
    <row r="408" spans="7:7">
      <c r="G408">
        <v>3</v>
      </c>
    </row>
    <row r="409" spans="7:7">
      <c r="G409">
        <v>1</v>
      </c>
    </row>
    <row r="410" spans="7:7">
      <c r="G410">
        <v>2</v>
      </c>
    </row>
    <row r="411" spans="7:7">
      <c r="G411">
        <v>3</v>
      </c>
    </row>
    <row r="412" spans="7:7">
      <c r="G412">
        <v>1</v>
      </c>
    </row>
    <row r="413" spans="7:7">
      <c r="G413">
        <v>2</v>
      </c>
    </row>
    <row r="414" spans="7:7">
      <c r="G414">
        <v>3</v>
      </c>
    </row>
    <row r="415" spans="7:7">
      <c r="G415">
        <v>1</v>
      </c>
    </row>
    <row r="416" spans="7:7">
      <c r="G416">
        <v>2</v>
      </c>
    </row>
    <row r="417" spans="7:7">
      <c r="G417">
        <v>3</v>
      </c>
    </row>
    <row r="418" spans="7:7">
      <c r="G418">
        <v>1</v>
      </c>
    </row>
    <row r="419" spans="7:7">
      <c r="G419">
        <v>2</v>
      </c>
    </row>
    <row r="420" spans="7:7">
      <c r="G420">
        <v>3</v>
      </c>
    </row>
    <row r="421" spans="7:7">
      <c r="G421">
        <v>1</v>
      </c>
    </row>
    <row r="422" spans="7:7">
      <c r="G422">
        <v>2</v>
      </c>
    </row>
    <row r="423" spans="7:7">
      <c r="G423">
        <v>3</v>
      </c>
    </row>
    <row r="424" spans="7:7">
      <c r="G424">
        <v>1</v>
      </c>
    </row>
    <row r="425" spans="7:7">
      <c r="G425">
        <v>1</v>
      </c>
    </row>
    <row r="426" spans="7:7">
      <c r="G426">
        <v>1</v>
      </c>
    </row>
    <row r="427" spans="7:7">
      <c r="G427">
        <v>2</v>
      </c>
    </row>
    <row r="428" spans="7:7">
      <c r="G428">
        <v>2</v>
      </c>
    </row>
    <row r="429" spans="7:7">
      <c r="G429">
        <v>2</v>
      </c>
    </row>
    <row r="430" spans="7:7">
      <c r="G430">
        <v>3</v>
      </c>
    </row>
    <row r="431" spans="7:7">
      <c r="G431">
        <v>3</v>
      </c>
    </row>
    <row r="432" spans="7:7">
      <c r="G432">
        <v>3</v>
      </c>
    </row>
    <row r="433" spans="7:7">
      <c r="G433">
        <v>1</v>
      </c>
    </row>
    <row r="434" spans="7:7">
      <c r="G434">
        <v>2</v>
      </c>
    </row>
    <row r="435" spans="7:7">
      <c r="G435">
        <v>3</v>
      </c>
    </row>
    <row r="436" spans="7:7">
      <c r="G436">
        <v>1</v>
      </c>
    </row>
    <row r="437" spans="7:7">
      <c r="G437">
        <v>2</v>
      </c>
    </row>
    <row r="438" spans="7:7">
      <c r="G438">
        <v>3</v>
      </c>
    </row>
    <row r="439" spans="7:7">
      <c r="G439">
        <v>1</v>
      </c>
    </row>
    <row r="440" spans="7:7">
      <c r="G440">
        <v>2</v>
      </c>
    </row>
    <row r="441" spans="7:7">
      <c r="G441">
        <v>3</v>
      </c>
    </row>
    <row r="443" spans="7:7">
      <c r="G443">
        <v>1</v>
      </c>
    </row>
    <row r="444" spans="7:7">
      <c r="G444">
        <v>1</v>
      </c>
    </row>
    <row r="445" spans="7:7">
      <c r="G445">
        <v>1</v>
      </c>
    </row>
    <row r="446" spans="7:7">
      <c r="G446">
        <v>1</v>
      </c>
    </row>
    <row r="447" spans="7:7">
      <c r="G447">
        <v>1</v>
      </c>
    </row>
    <row r="448" spans="7:7">
      <c r="G448">
        <v>1</v>
      </c>
    </row>
    <row r="449" spans="7:7">
      <c r="G449">
        <v>1</v>
      </c>
    </row>
    <row r="450" spans="7:7">
      <c r="G450">
        <v>1</v>
      </c>
    </row>
    <row r="451" spans="7:7">
      <c r="G451">
        <v>1</v>
      </c>
    </row>
    <row r="452" spans="7:7">
      <c r="G452">
        <v>1</v>
      </c>
    </row>
    <row r="453" spans="7:7">
      <c r="G453">
        <v>1</v>
      </c>
    </row>
    <row r="454" spans="7:7">
      <c r="G454">
        <v>1</v>
      </c>
    </row>
    <row r="455" spans="7:7">
      <c r="G455">
        <v>1</v>
      </c>
    </row>
    <row r="456" spans="7:7">
      <c r="G456">
        <v>1</v>
      </c>
    </row>
    <row r="457" spans="7:7">
      <c r="G457">
        <v>1</v>
      </c>
    </row>
    <row r="458" spans="7:7">
      <c r="G458">
        <v>1</v>
      </c>
    </row>
    <row r="459" spans="7:7">
      <c r="G459">
        <v>1</v>
      </c>
    </row>
    <row r="460" spans="7:7">
      <c r="G460">
        <v>1</v>
      </c>
    </row>
    <row r="461" spans="7:7">
      <c r="G461">
        <v>1</v>
      </c>
    </row>
    <row r="462" spans="7:7">
      <c r="G462">
        <v>1</v>
      </c>
    </row>
    <row r="464" spans="7:7">
      <c r="G464">
        <v>1</v>
      </c>
    </row>
    <row r="465" spans="7:7">
      <c r="G465">
        <v>1</v>
      </c>
    </row>
    <row r="466" spans="7:7">
      <c r="G466">
        <v>1</v>
      </c>
    </row>
    <row r="467" spans="7:7">
      <c r="G467">
        <v>1</v>
      </c>
    </row>
    <row r="468" spans="7:7">
      <c r="G468">
        <v>1</v>
      </c>
    </row>
    <row r="469" spans="7:7">
      <c r="G469">
        <v>1</v>
      </c>
    </row>
    <row r="470" spans="7:7">
      <c r="G470">
        <v>1</v>
      </c>
    </row>
    <row r="471" spans="7:7">
      <c r="G471">
        <v>1</v>
      </c>
    </row>
    <row r="472" spans="7:7">
      <c r="G472">
        <v>1</v>
      </c>
    </row>
    <row r="473" spans="7:7">
      <c r="G473">
        <v>1</v>
      </c>
    </row>
    <row r="474" spans="7:7">
      <c r="G474">
        <v>1</v>
      </c>
    </row>
    <row r="475" spans="7:7">
      <c r="G475">
        <v>1</v>
      </c>
    </row>
    <row r="476" spans="7:7">
      <c r="G476">
        <v>1</v>
      </c>
    </row>
    <row r="477" spans="7:7">
      <c r="G477">
        <v>1</v>
      </c>
    </row>
    <row r="478" spans="7:7">
      <c r="G478">
        <v>1</v>
      </c>
    </row>
    <row r="479" spans="7:7">
      <c r="G479">
        <v>1</v>
      </c>
    </row>
    <row r="480" spans="7:7">
      <c r="G480">
        <v>1</v>
      </c>
    </row>
    <row r="481" spans="7:7">
      <c r="G481">
        <v>1</v>
      </c>
    </row>
    <row r="482" spans="7:7">
      <c r="G482">
        <v>1</v>
      </c>
    </row>
    <row r="483" spans="7:7">
      <c r="G483">
        <v>1</v>
      </c>
    </row>
    <row r="484" spans="7:7">
      <c r="G484">
        <v>1</v>
      </c>
    </row>
    <row r="485" spans="7:7">
      <c r="G485">
        <v>1</v>
      </c>
    </row>
    <row r="486" spans="7:7">
      <c r="G486">
        <v>1</v>
      </c>
    </row>
    <row r="487" spans="7:7">
      <c r="G487">
        <v>1</v>
      </c>
    </row>
    <row r="488" spans="7:7">
      <c r="G488">
        <v>1</v>
      </c>
    </row>
    <row r="489" spans="7:7">
      <c r="G489">
        <v>1</v>
      </c>
    </row>
    <row r="490" spans="7:7">
      <c r="G490">
        <v>1</v>
      </c>
    </row>
    <row r="491" spans="7:7">
      <c r="G491">
        <v>1</v>
      </c>
    </row>
    <row r="492" spans="7:7">
      <c r="G492">
        <v>1</v>
      </c>
    </row>
    <row r="493" spans="7:7">
      <c r="G493">
        <v>1</v>
      </c>
    </row>
    <row r="494" spans="7:7">
      <c r="G494">
        <v>1</v>
      </c>
    </row>
    <row r="495" spans="7:7">
      <c r="G495">
        <v>1</v>
      </c>
    </row>
    <row r="496" spans="7:7">
      <c r="G496">
        <v>1</v>
      </c>
    </row>
    <row r="497" spans="7:7">
      <c r="G497">
        <v>1</v>
      </c>
    </row>
    <row r="498" spans="7:7">
      <c r="G498">
        <v>1</v>
      </c>
    </row>
    <row r="499" spans="7:7">
      <c r="G499">
        <v>1</v>
      </c>
    </row>
    <row r="500" spans="7:7">
      <c r="G500">
        <v>1</v>
      </c>
    </row>
    <row r="501" spans="7:7">
      <c r="G501">
        <v>1</v>
      </c>
    </row>
    <row r="502" spans="7:7">
      <c r="G502">
        <v>1</v>
      </c>
    </row>
    <row r="503" spans="7:7">
      <c r="G503">
        <v>1</v>
      </c>
    </row>
    <row r="504" spans="7:7">
      <c r="G504">
        <v>1</v>
      </c>
    </row>
    <row r="505" spans="7:7">
      <c r="G505">
        <v>1</v>
      </c>
    </row>
    <row r="506" spans="7:7">
      <c r="G506">
        <v>1</v>
      </c>
    </row>
    <row r="507" spans="7:7">
      <c r="G507">
        <v>1</v>
      </c>
    </row>
    <row r="508" spans="7:7">
      <c r="G508">
        <v>2</v>
      </c>
    </row>
    <row r="509" spans="7:7">
      <c r="G509">
        <v>2</v>
      </c>
    </row>
    <row r="510" spans="7:7">
      <c r="G510">
        <v>2</v>
      </c>
    </row>
    <row r="511" spans="7:7">
      <c r="G511">
        <v>2</v>
      </c>
    </row>
    <row r="512" spans="7:7">
      <c r="G512">
        <v>2</v>
      </c>
    </row>
    <row r="513" spans="7:7">
      <c r="G513">
        <v>2</v>
      </c>
    </row>
    <row r="514" spans="7:7">
      <c r="G514">
        <v>2</v>
      </c>
    </row>
    <row r="515" spans="7:7">
      <c r="G515">
        <v>2</v>
      </c>
    </row>
    <row r="516" spans="7:7">
      <c r="G516">
        <v>2</v>
      </c>
    </row>
    <row r="517" spans="7:7">
      <c r="G517">
        <v>2</v>
      </c>
    </row>
    <row r="518" spans="7:7">
      <c r="G518">
        <v>2</v>
      </c>
    </row>
    <row r="519" spans="7:7">
      <c r="G519">
        <v>2</v>
      </c>
    </row>
    <row r="520" spans="7:7">
      <c r="G520">
        <v>2</v>
      </c>
    </row>
    <row r="521" spans="7:7">
      <c r="G521">
        <v>2</v>
      </c>
    </row>
    <row r="522" spans="7:7">
      <c r="G522">
        <v>2</v>
      </c>
    </row>
    <row r="523" spans="7:7">
      <c r="G523">
        <v>2</v>
      </c>
    </row>
    <row r="524" spans="7:7">
      <c r="G524">
        <v>2</v>
      </c>
    </row>
    <row r="525" spans="7:7">
      <c r="G525">
        <v>2</v>
      </c>
    </row>
    <row r="526" spans="7:7">
      <c r="G526">
        <v>2</v>
      </c>
    </row>
    <row r="527" spans="7:7">
      <c r="G527">
        <v>2</v>
      </c>
    </row>
    <row r="528" spans="7:7">
      <c r="G528">
        <v>2</v>
      </c>
    </row>
    <row r="529" spans="7:7">
      <c r="G529">
        <v>2</v>
      </c>
    </row>
    <row r="530" spans="7:7">
      <c r="G530">
        <v>2</v>
      </c>
    </row>
    <row r="531" spans="7:7">
      <c r="G531">
        <v>2</v>
      </c>
    </row>
    <row r="532" spans="7:7">
      <c r="G532">
        <v>2</v>
      </c>
    </row>
    <row r="533" spans="7:7">
      <c r="G533">
        <v>2</v>
      </c>
    </row>
    <row r="534" spans="7:7">
      <c r="G534">
        <v>2</v>
      </c>
    </row>
    <row r="535" spans="7:7">
      <c r="G535">
        <v>2</v>
      </c>
    </row>
    <row r="536" spans="7:7">
      <c r="G536">
        <v>2</v>
      </c>
    </row>
    <row r="537" spans="7:7">
      <c r="G537">
        <v>2</v>
      </c>
    </row>
    <row r="538" spans="7:7">
      <c r="G538">
        <v>2</v>
      </c>
    </row>
    <row r="539" spans="7:7">
      <c r="G539">
        <v>3</v>
      </c>
    </row>
    <row r="540" spans="7:7">
      <c r="G540">
        <v>3</v>
      </c>
    </row>
    <row r="541" spans="7:7">
      <c r="G541">
        <v>3</v>
      </c>
    </row>
    <row r="542" spans="7:7">
      <c r="G542">
        <v>3</v>
      </c>
    </row>
    <row r="543" spans="7:7">
      <c r="G543">
        <v>3</v>
      </c>
    </row>
    <row r="544" spans="7:7">
      <c r="G544">
        <v>3</v>
      </c>
    </row>
    <row r="545" spans="7:7">
      <c r="G545">
        <v>3</v>
      </c>
    </row>
    <row r="546" spans="7:7">
      <c r="G546">
        <v>3</v>
      </c>
    </row>
    <row r="547" spans="7:7">
      <c r="G547">
        <v>3</v>
      </c>
    </row>
    <row r="548" spans="7:7">
      <c r="G548">
        <v>3</v>
      </c>
    </row>
    <row r="549" spans="7:7">
      <c r="G549">
        <v>3</v>
      </c>
    </row>
    <row r="550" spans="7:7">
      <c r="G550">
        <v>3</v>
      </c>
    </row>
    <row r="551" spans="7:7">
      <c r="G551">
        <v>3</v>
      </c>
    </row>
    <row r="552" spans="7:7">
      <c r="G552">
        <v>3</v>
      </c>
    </row>
    <row r="553" spans="7:7">
      <c r="G553">
        <v>3</v>
      </c>
    </row>
    <row r="554" spans="7:7">
      <c r="G554">
        <v>3</v>
      </c>
    </row>
    <row r="555" spans="7:7">
      <c r="G555">
        <v>3</v>
      </c>
    </row>
    <row r="556" spans="7:7">
      <c r="G556">
        <v>3</v>
      </c>
    </row>
    <row r="557" spans="7:7">
      <c r="G557">
        <v>3</v>
      </c>
    </row>
    <row r="558" spans="7:7">
      <c r="G558">
        <v>3</v>
      </c>
    </row>
    <row r="559" spans="7:7">
      <c r="G559">
        <v>3</v>
      </c>
    </row>
    <row r="560" spans="7:7">
      <c r="G560">
        <v>3</v>
      </c>
    </row>
    <row r="561" spans="7:7">
      <c r="G561">
        <v>3</v>
      </c>
    </row>
    <row r="562" spans="7:7">
      <c r="G562">
        <v>3</v>
      </c>
    </row>
    <row r="563" spans="7:7">
      <c r="G563">
        <v>3</v>
      </c>
    </row>
    <row r="564" spans="7:7">
      <c r="G564">
        <v>3</v>
      </c>
    </row>
    <row r="565" spans="7:7">
      <c r="G565">
        <v>3</v>
      </c>
    </row>
    <row r="566" spans="7:7">
      <c r="G566">
        <v>3</v>
      </c>
    </row>
    <row r="567" spans="7:7">
      <c r="G567">
        <v>3</v>
      </c>
    </row>
    <row r="568" spans="7:7">
      <c r="G568">
        <v>3</v>
      </c>
    </row>
    <row r="569" spans="7:7">
      <c r="G569">
        <v>3</v>
      </c>
    </row>
    <row r="570" spans="7:7">
      <c r="G570">
        <v>3</v>
      </c>
    </row>
    <row r="571" spans="7:7">
      <c r="G571">
        <v>3</v>
      </c>
    </row>
    <row r="572" spans="7:7">
      <c r="G572">
        <v>3</v>
      </c>
    </row>
    <row r="573" spans="7:7">
      <c r="G573">
        <v>3</v>
      </c>
    </row>
    <row r="574" spans="7:7">
      <c r="G574">
        <v>3</v>
      </c>
    </row>
    <row r="575" spans="7:7">
      <c r="G575">
        <v>3</v>
      </c>
    </row>
    <row r="576" spans="7:7">
      <c r="G576">
        <v>3</v>
      </c>
    </row>
    <row r="577" spans="7:7">
      <c r="G577">
        <v>3</v>
      </c>
    </row>
    <row r="578" spans="7:7">
      <c r="G578">
        <v>3</v>
      </c>
    </row>
    <row r="579" spans="7:7">
      <c r="G579">
        <v>4</v>
      </c>
    </row>
    <row r="580" spans="7:7">
      <c r="G580">
        <v>5</v>
      </c>
    </row>
    <row r="581" spans="7:7">
      <c r="G581">
        <v>6</v>
      </c>
    </row>
    <row r="582" spans="7:7">
      <c r="G582">
        <v>7</v>
      </c>
    </row>
    <row r="583" spans="7:7">
      <c r="G583">
        <v>8</v>
      </c>
    </row>
    <row r="584" spans="7:7">
      <c r="G584">
        <v>9</v>
      </c>
    </row>
    <row r="585" spans="7:7">
      <c r="G585">
        <v>10</v>
      </c>
    </row>
    <row r="586" spans="7:7">
      <c r="G586">
        <v>11</v>
      </c>
    </row>
    <row r="587" spans="7:7">
      <c r="G587">
        <v>12</v>
      </c>
    </row>
    <row r="588" spans="7:7">
      <c r="G588">
        <v>13</v>
      </c>
    </row>
    <row r="589" spans="7:7">
      <c r="G589">
        <v>14</v>
      </c>
    </row>
    <row r="590" spans="7:7">
      <c r="G590">
        <v>15</v>
      </c>
    </row>
    <row r="591" spans="7:7">
      <c r="G591">
        <v>16</v>
      </c>
    </row>
    <row r="592" spans="7:7">
      <c r="G592">
        <v>17</v>
      </c>
    </row>
    <row r="593" spans="7:7">
      <c r="G593">
        <v>18</v>
      </c>
    </row>
    <row r="594" spans="7:7">
      <c r="G594">
        <v>19</v>
      </c>
    </row>
    <row r="595" spans="7:7">
      <c r="G595">
        <v>20</v>
      </c>
    </row>
    <row r="596" spans="7:7">
      <c r="G596">
        <v>21</v>
      </c>
    </row>
    <row r="597" spans="7:7">
      <c r="G597">
        <v>22</v>
      </c>
    </row>
    <row r="598" spans="7:7">
      <c r="G598">
        <v>4</v>
      </c>
    </row>
    <row r="599" spans="7:7">
      <c r="G599">
        <v>5</v>
      </c>
    </row>
    <row r="600" spans="7:7">
      <c r="G600">
        <v>6</v>
      </c>
    </row>
    <row r="601" spans="7:7">
      <c r="G601">
        <v>7</v>
      </c>
    </row>
    <row r="602" spans="7:7">
      <c r="G602">
        <v>8</v>
      </c>
    </row>
    <row r="603" spans="7:7">
      <c r="G603">
        <v>9</v>
      </c>
    </row>
    <row r="604" spans="7:7">
      <c r="G604">
        <v>10</v>
      </c>
    </row>
    <row r="605" spans="7:7">
      <c r="G605">
        <v>11</v>
      </c>
    </row>
    <row r="606" spans="7:7">
      <c r="G606">
        <v>12</v>
      </c>
    </row>
    <row r="607" spans="7:7">
      <c r="G607">
        <v>13</v>
      </c>
    </row>
    <row r="608" spans="7:7">
      <c r="G608">
        <v>14</v>
      </c>
    </row>
    <row r="609" spans="7:7">
      <c r="G609">
        <v>15</v>
      </c>
    </row>
    <row r="610" spans="7:7">
      <c r="G610">
        <v>16</v>
      </c>
    </row>
    <row r="611" spans="7:7">
      <c r="G611">
        <v>17</v>
      </c>
    </row>
    <row r="612" spans="7:7">
      <c r="G612">
        <v>18</v>
      </c>
    </row>
    <row r="613" spans="7:7">
      <c r="G613">
        <v>19</v>
      </c>
    </row>
    <row r="614" spans="7:7">
      <c r="G614">
        <v>20</v>
      </c>
    </row>
    <row r="615" spans="7:7">
      <c r="G615">
        <v>21</v>
      </c>
    </row>
    <row r="616" spans="7:7">
      <c r="G616">
        <v>22</v>
      </c>
    </row>
    <row r="617" spans="7:7">
      <c r="G617">
        <v>4</v>
      </c>
    </row>
    <row r="618" spans="7:7">
      <c r="G618">
        <v>5</v>
      </c>
    </row>
    <row r="619" spans="7:7">
      <c r="G619">
        <v>6</v>
      </c>
    </row>
    <row r="620" spans="7:7">
      <c r="G620">
        <v>7</v>
      </c>
    </row>
    <row r="621" spans="7:7">
      <c r="G621">
        <v>8</v>
      </c>
    </row>
    <row r="622" spans="7:7">
      <c r="G622">
        <v>9</v>
      </c>
    </row>
    <row r="623" spans="7:7">
      <c r="G623">
        <v>10</v>
      </c>
    </row>
    <row r="624" spans="7:7">
      <c r="G624">
        <v>11</v>
      </c>
    </row>
    <row r="625" spans="7:7">
      <c r="G625">
        <v>12</v>
      </c>
    </row>
    <row r="626" spans="7:7">
      <c r="G626">
        <v>13</v>
      </c>
    </row>
    <row r="627" spans="7:7">
      <c r="G627">
        <v>14</v>
      </c>
    </row>
    <row r="628" spans="7:7">
      <c r="G628">
        <v>15</v>
      </c>
    </row>
    <row r="629" spans="7:7">
      <c r="G629">
        <v>16</v>
      </c>
    </row>
    <row r="630" spans="7:7">
      <c r="G630">
        <v>17</v>
      </c>
    </row>
    <row r="631" spans="7:7">
      <c r="G631">
        <v>18</v>
      </c>
    </row>
    <row r="632" spans="7:7">
      <c r="G632">
        <v>19</v>
      </c>
    </row>
    <row r="633" spans="7:7">
      <c r="G633">
        <v>20</v>
      </c>
    </row>
    <row r="634" spans="7:7">
      <c r="G634">
        <v>21</v>
      </c>
    </row>
    <row r="635" spans="7:7">
      <c r="G635">
        <v>22</v>
      </c>
    </row>
    <row r="636" spans="7:7">
      <c r="G636">
        <v>4</v>
      </c>
    </row>
    <row r="637" spans="7:7">
      <c r="G637">
        <v>5</v>
      </c>
    </row>
    <row r="638" spans="7:7">
      <c r="G638">
        <v>6</v>
      </c>
    </row>
    <row r="639" spans="7:7">
      <c r="G639">
        <v>7</v>
      </c>
    </row>
    <row r="640" spans="7:7">
      <c r="G640">
        <v>8</v>
      </c>
    </row>
    <row r="641" spans="7:7">
      <c r="G641">
        <v>9</v>
      </c>
    </row>
    <row r="642" spans="7:7">
      <c r="G642">
        <v>10</v>
      </c>
    </row>
    <row r="643" spans="7:7">
      <c r="G643">
        <v>11</v>
      </c>
    </row>
    <row r="644" spans="7:7">
      <c r="G644">
        <v>12</v>
      </c>
    </row>
    <row r="645" spans="7:7">
      <c r="G645">
        <v>13</v>
      </c>
    </row>
    <row r="646" spans="7:7">
      <c r="G646">
        <v>14</v>
      </c>
    </row>
    <row r="647" spans="7:7">
      <c r="G647">
        <v>15</v>
      </c>
    </row>
    <row r="648" spans="7:7">
      <c r="G648">
        <v>16</v>
      </c>
    </row>
    <row r="649" spans="7:7">
      <c r="G649">
        <v>17</v>
      </c>
    </row>
    <row r="650" spans="7:7">
      <c r="G650">
        <v>18</v>
      </c>
    </row>
    <row r="651" spans="7:7">
      <c r="G651">
        <v>19</v>
      </c>
    </row>
    <row r="652" spans="7:7">
      <c r="G652">
        <v>20</v>
      </c>
    </row>
    <row r="653" spans="7:7">
      <c r="G653">
        <v>21</v>
      </c>
    </row>
    <row r="654" spans="7:7">
      <c r="G654">
        <v>22</v>
      </c>
    </row>
    <row r="655" spans="7:7">
      <c r="G655">
        <v>4</v>
      </c>
    </row>
    <row r="656" spans="7:7">
      <c r="G656">
        <v>5</v>
      </c>
    </row>
    <row r="657" spans="7:7">
      <c r="G657">
        <v>6</v>
      </c>
    </row>
    <row r="658" spans="7:7">
      <c r="G658">
        <v>7</v>
      </c>
    </row>
    <row r="659" spans="7:7">
      <c r="G659">
        <v>8</v>
      </c>
    </row>
    <row r="660" spans="7:7">
      <c r="G660">
        <v>9</v>
      </c>
    </row>
    <row r="661" spans="7:7">
      <c r="G661">
        <v>10</v>
      </c>
    </row>
    <row r="662" spans="7:7">
      <c r="G662">
        <v>11</v>
      </c>
    </row>
    <row r="663" spans="7:7">
      <c r="G663">
        <v>12</v>
      </c>
    </row>
    <row r="664" spans="7:7">
      <c r="G664">
        <v>13</v>
      </c>
    </row>
    <row r="665" spans="7:7">
      <c r="G665">
        <v>14</v>
      </c>
    </row>
    <row r="666" spans="7:7">
      <c r="G666">
        <v>15</v>
      </c>
    </row>
    <row r="667" spans="7:7">
      <c r="G667">
        <v>16</v>
      </c>
    </row>
    <row r="668" spans="7:7">
      <c r="G668">
        <v>17</v>
      </c>
    </row>
    <row r="669" spans="7:7">
      <c r="G669">
        <v>18</v>
      </c>
    </row>
    <row r="670" spans="7:7">
      <c r="G670">
        <v>19</v>
      </c>
    </row>
    <row r="671" spans="7:7">
      <c r="G671">
        <v>20</v>
      </c>
    </row>
    <row r="672" spans="7:7">
      <c r="G672">
        <v>21</v>
      </c>
    </row>
    <row r="673" spans="7:7">
      <c r="G673">
        <v>22</v>
      </c>
    </row>
    <row r="674" spans="7:7">
      <c r="G674">
        <v>4</v>
      </c>
    </row>
    <row r="675" spans="7:7">
      <c r="G675">
        <v>5</v>
      </c>
    </row>
    <row r="676" spans="7:7">
      <c r="G676">
        <v>6</v>
      </c>
    </row>
    <row r="677" spans="7:7">
      <c r="G677">
        <v>7</v>
      </c>
    </row>
    <row r="678" spans="7:7">
      <c r="G678">
        <v>8</v>
      </c>
    </row>
    <row r="679" spans="7:7">
      <c r="G679">
        <v>9</v>
      </c>
    </row>
    <row r="680" spans="7:7">
      <c r="G680">
        <v>10</v>
      </c>
    </row>
    <row r="681" spans="7:7">
      <c r="G681">
        <v>11</v>
      </c>
    </row>
    <row r="682" spans="7:7">
      <c r="G682">
        <v>12</v>
      </c>
    </row>
    <row r="683" spans="7:7">
      <c r="G683">
        <v>13</v>
      </c>
    </row>
    <row r="684" spans="7:7">
      <c r="G684">
        <v>14</v>
      </c>
    </row>
    <row r="685" spans="7:7">
      <c r="G685">
        <v>15</v>
      </c>
    </row>
    <row r="686" spans="7:7">
      <c r="G686">
        <v>16</v>
      </c>
    </row>
    <row r="687" spans="7:7">
      <c r="G687">
        <v>17</v>
      </c>
    </row>
    <row r="688" spans="7:7">
      <c r="G688">
        <v>18</v>
      </c>
    </row>
    <row r="689" spans="7:7">
      <c r="G689">
        <v>19</v>
      </c>
    </row>
    <row r="690" spans="7:7">
      <c r="G690">
        <v>20</v>
      </c>
    </row>
    <row r="691" spans="7:7">
      <c r="G691">
        <v>21</v>
      </c>
    </row>
    <row r="692" spans="7:7">
      <c r="G692">
        <v>22</v>
      </c>
    </row>
    <row r="693" spans="7:7">
      <c r="G693">
        <v>4</v>
      </c>
    </row>
    <row r="694" spans="7:7">
      <c r="G694">
        <v>5</v>
      </c>
    </row>
    <row r="695" spans="7:7">
      <c r="G695">
        <v>6</v>
      </c>
    </row>
    <row r="696" spans="7:7">
      <c r="G696">
        <v>7</v>
      </c>
    </row>
    <row r="697" spans="7:7">
      <c r="G697">
        <v>8</v>
      </c>
    </row>
    <row r="698" spans="7:7">
      <c r="G698">
        <v>9</v>
      </c>
    </row>
    <row r="699" spans="7:7">
      <c r="G699">
        <v>10</v>
      </c>
    </row>
    <row r="700" spans="7:7">
      <c r="G700">
        <v>11</v>
      </c>
    </row>
    <row r="701" spans="7:7">
      <c r="G701">
        <v>12</v>
      </c>
    </row>
    <row r="702" spans="7:7">
      <c r="G702">
        <v>13</v>
      </c>
    </row>
    <row r="703" spans="7:7">
      <c r="G703">
        <v>14</v>
      </c>
    </row>
    <row r="704" spans="7:7">
      <c r="G704">
        <v>15</v>
      </c>
    </row>
    <row r="705" spans="7:7">
      <c r="G705">
        <v>16</v>
      </c>
    </row>
    <row r="706" spans="7:7">
      <c r="G706">
        <v>17</v>
      </c>
    </row>
    <row r="707" spans="7:7">
      <c r="G707">
        <v>18</v>
      </c>
    </row>
    <row r="708" spans="7:7">
      <c r="G708">
        <v>19</v>
      </c>
    </row>
    <row r="709" spans="7:7">
      <c r="G709">
        <v>20</v>
      </c>
    </row>
    <row r="710" spans="7:7">
      <c r="G710">
        <v>21</v>
      </c>
    </row>
    <row r="711" spans="7:7">
      <c r="G711">
        <v>22</v>
      </c>
    </row>
    <row r="712" spans="7:7">
      <c r="G712">
        <v>4</v>
      </c>
    </row>
    <row r="713" spans="7:7">
      <c r="G713">
        <v>5</v>
      </c>
    </row>
    <row r="714" spans="7:7">
      <c r="G714">
        <v>6</v>
      </c>
    </row>
    <row r="715" spans="7:7">
      <c r="G715">
        <v>7</v>
      </c>
    </row>
    <row r="716" spans="7:7">
      <c r="G716">
        <v>8</v>
      </c>
    </row>
    <row r="717" spans="7:7">
      <c r="G717">
        <v>9</v>
      </c>
    </row>
    <row r="718" spans="7:7">
      <c r="G718">
        <v>10</v>
      </c>
    </row>
    <row r="719" spans="7:7">
      <c r="G719">
        <v>11</v>
      </c>
    </row>
    <row r="720" spans="7:7">
      <c r="G720">
        <v>12</v>
      </c>
    </row>
    <row r="721" spans="7:7">
      <c r="G721">
        <v>13</v>
      </c>
    </row>
    <row r="722" spans="7:7">
      <c r="G722">
        <v>14</v>
      </c>
    </row>
    <row r="723" spans="7:7">
      <c r="G723">
        <v>15</v>
      </c>
    </row>
    <row r="724" spans="7:7">
      <c r="G724">
        <v>16</v>
      </c>
    </row>
    <row r="725" spans="7:7">
      <c r="G725">
        <v>17</v>
      </c>
    </row>
    <row r="726" spans="7:7">
      <c r="G726">
        <v>18</v>
      </c>
    </row>
    <row r="727" spans="7:7">
      <c r="G727">
        <v>19</v>
      </c>
    </row>
    <row r="728" spans="7:7">
      <c r="G728">
        <v>20</v>
      </c>
    </row>
    <row r="729" spans="7:7">
      <c r="G729">
        <v>21</v>
      </c>
    </row>
    <row r="730" spans="7:7">
      <c r="G730">
        <v>22</v>
      </c>
    </row>
    <row r="731" spans="7:7">
      <c r="G731">
        <v>4</v>
      </c>
    </row>
    <row r="732" spans="7:7">
      <c r="G732">
        <v>5</v>
      </c>
    </row>
    <row r="733" spans="7:7">
      <c r="G733">
        <v>6</v>
      </c>
    </row>
    <row r="734" spans="7:7">
      <c r="G734">
        <v>7</v>
      </c>
    </row>
    <row r="735" spans="7:7">
      <c r="G735">
        <v>8</v>
      </c>
    </row>
    <row r="736" spans="7:7">
      <c r="G736">
        <v>9</v>
      </c>
    </row>
    <row r="737" spans="7:7">
      <c r="G737">
        <v>10</v>
      </c>
    </row>
    <row r="738" spans="7:7">
      <c r="G738">
        <v>11</v>
      </c>
    </row>
    <row r="739" spans="7:7">
      <c r="G739">
        <v>12</v>
      </c>
    </row>
    <row r="740" spans="7:7">
      <c r="G740">
        <v>13</v>
      </c>
    </row>
    <row r="741" spans="7:7">
      <c r="G741">
        <v>14</v>
      </c>
    </row>
    <row r="742" spans="7:7">
      <c r="G742">
        <v>15</v>
      </c>
    </row>
    <row r="743" spans="7:7">
      <c r="G743">
        <v>16</v>
      </c>
    </row>
    <row r="744" spans="7:7">
      <c r="G744">
        <v>17</v>
      </c>
    </row>
    <row r="745" spans="7:7">
      <c r="G745">
        <v>18</v>
      </c>
    </row>
    <row r="746" spans="7:7">
      <c r="G746">
        <v>19</v>
      </c>
    </row>
    <row r="747" spans="7:7">
      <c r="G747">
        <v>20</v>
      </c>
    </row>
    <row r="748" spans="7:7">
      <c r="G748">
        <v>21</v>
      </c>
    </row>
    <row r="749" spans="7:7">
      <c r="G749">
        <v>22</v>
      </c>
    </row>
    <row r="750" spans="7:7">
      <c r="G750">
        <v>4</v>
      </c>
    </row>
    <row r="751" spans="7:7">
      <c r="G751">
        <v>5</v>
      </c>
    </row>
    <row r="752" spans="7:7">
      <c r="G752">
        <v>6</v>
      </c>
    </row>
    <row r="753" spans="7:7">
      <c r="G753">
        <v>7</v>
      </c>
    </row>
    <row r="754" spans="7:7">
      <c r="G754">
        <v>8</v>
      </c>
    </row>
    <row r="755" spans="7:7">
      <c r="G755">
        <v>9</v>
      </c>
    </row>
    <row r="756" spans="7:7">
      <c r="G756">
        <v>10</v>
      </c>
    </row>
    <row r="757" spans="7:7">
      <c r="G757">
        <v>11</v>
      </c>
    </row>
    <row r="758" spans="7:7">
      <c r="G758">
        <v>12</v>
      </c>
    </row>
    <row r="759" spans="7:7">
      <c r="G759">
        <v>13</v>
      </c>
    </row>
    <row r="760" spans="7:7">
      <c r="G760">
        <v>14</v>
      </c>
    </row>
    <row r="761" spans="7:7">
      <c r="G761">
        <v>15</v>
      </c>
    </row>
    <row r="762" spans="7:7">
      <c r="G762">
        <v>16</v>
      </c>
    </row>
    <row r="763" spans="7:7">
      <c r="G763">
        <v>17</v>
      </c>
    </row>
    <row r="764" spans="7:7">
      <c r="G764">
        <v>18</v>
      </c>
    </row>
    <row r="765" spans="7:7">
      <c r="G765">
        <v>19</v>
      </c>
    </row>
    <row r="766" spans="7:7">
      <c r="G766">
        <v>20</v>
      </c>
    </row>
    <row r="767" spans="7:7">
      <c r="G767">
        <v>21</v>
      </c>
    </row>
    <row r="768" spans="7:7">
      <c r="G768">
        <v>22</v>
      </c>
    </row>
    <row r="769" spans="7:7">
      <c r="G769">
        <v>4</v>
      </c>
    </row>
    <row r="770" spans="7:7">
      <c r="G770">
        <v>5</v>
      </c>
    </row>
    <row r="771" spans="7:7">
      <c r="G771">
        <v>6</v>
      </c>
    </row>
    <row r="772" spans="7:7">
      <c r="G772">
        <v>7</v>
      </c>
    </row>
    <row r="773" spans="7:7">
      <c r="G773">
        <v>8</v>
      </c>
    </row>
    <row r="774" spans="7:7">
      <c r="G774">
        <v>9</v>
      </c>
    </row>
    <row r="775" spans="7:7">
      <c r="G775">
        <v>10</v>
      </c>
    </row>
    <row r="776" spans="7:7">
      <c r="G776">
        <v>11</v>
      </c>
    </row>
    <row r="777" spans="7:7">
      <c r="G777">
        <v>12</v>
      </c>
    </row>
    <row r="778" spans="7:7">
      <c r="G778">
        <v>13</v>
      </c>
    </row>
    <row r="779" spans="7:7">
      <c r="G779">
        <v>14</v>
      </c>
    </row>
    <row r="780" spans="7:7">
      <c r="G780">
        <v>15</v>
      </c>
    </row>
    <row r="781" spans="7:7">
      <c r="G781">
        <v>16</v>
      </c>
    </row>
    <row r="782" spans="7:7">
      <c r="G782">
        <v>17</v>
      </c>
    </row>
    <row r="783" spans="7:7">
      <c r="G783">
        <v>18</v>
      </c>
    </row>
    <row r="784" spans="7:7">
      <c r="G784">
        <v>19</v>
      </c>
    </row>
    <row r="785" spans="7:7">
      <c r="G785">
        <v>20</v>
      </c>
    </row>
    <row r="786" spans="7:7">
      <c r="G786">
        <v>21</v>
      </c>
    </row>
    <row r="787" spans="7:7">
      <c r="G787">
        <v>22</v>
      </c>
    </row>
    <row r="788" spans="7:7">
      <c r="G788">
        <v>4</v>
      </c>
    </row>
    <row r="789" spans="7:7">
      <c r="G789">
        <v>5</v>
      </c>
    </row>
    <row r="790" spans="7:7">
      <c r="G790">
        <v>6</v>
      </c>
    </row>
    <row r="791" spans="7:7">
      <c r="G791">
        <v>7</v>
      </c>
    </row>
    <row r="792" spans="7:7">
      <c r="G792">
        <v>8</v>
      </c>
    </row>
    <row r="793" spans="7:7">
      <c r="G793">
        <v>9</v>
      </c>
    </row>
    <row r="794" spans="7:7">
      <c r="G794">
        <v>10</v>
      </c>
    </row>
    <row r="795" spans="7:7">
      <c r="G795">
        <v>11</v>
      </c>
    </row>
    <row r="796" spans="7:7">
      <c r="G796">
        <v>12</v>
      </c>
    </row>
    <row r="797" spans="7:7">
      <c r="G797">
        <v>13</v>
      </c>
    </row>
    <row r="798" spans="7:7">
      <c r="G798">
        <v>14</v>
      </c>
    </row>
    <row r="799" spans="7:7">
      <c r="G799">
        <v>15</v>
      </c>
    </row>
    <row r="800" spans="7:7">
      <c r="G800">
        <v>16</v>
      </c>
    </row>
    <row r="801" spans="7:7">
      <c r="G801">
        <v>17</v>
      </c>
    </row>
    <row r="802" spans="7:7">
      <c r="G802">
        <v>18</v>
      </c>
    </row>
    <row r="803" spans="7:7">
      <c r="G803">
        <v>19</v>
      </c>
    </row>
    <row r="804" spans="7:7">
      <c r="G804">
        <v>20</v>
      </c>
    </row>
    <row r="805" spans="7:7">
      <c r="G805">
        <v>21</v>
      </c>
    </row>
    <row r="806" spans="7:7">
      <c r="G806">
        <v>22</v>
      </c>
    </row>
    <row r="807" spans="7:7">
      <c r="G807">
        <v>4</v>
      </c>
    </row>
    <row r="808" spans="7:7">
      <c r="G808">
        <v>5</v>
      </c>
    </row>
    <row r="809" spans="7:7">
      <c r="G809">
        <v>6</v>
      </c>
    </row>
    <row r="810" spans="7:7">
      <c r="G810">
        <v>7</v>
      </c>
    </row>
    <row r="811" spans="7:7">
      <c r="G811">
        <v>8</v>
      </c>
    </row>
    <row r="812" spans="7:7">
      <c r="G812">
        <v>9</v>
      </c>
    </row>
    <row r="813" spans="7:7">
      <c r="G813">
        <v>10</v>
      </c>
    </row>
    <row r="814" spans="7:7">
      <c r="G814">
        <v>11</v>
      </c>
    </row>
    <row r="815" spans="7:7">
      <c r="G815">
        <v>12</v>
      </c>
    </row>
    <row r="816" spans="7:7">
      <c r="G816">
        <v>13</v>
      </c>
    </row>
    <row r="817" spans="7:7">
      <c r="G817">
        <v>14</v>
      </c>
    </row>
    <row r="818" spans="7:7">
      <c r="G818">
        <v>15</v>
      </c>
    </row>
    <row r="819" spans="7:7">
      <c r="G819">
        <v>16</v>
      </c>
    </row>
    <row r="820" spans="7:7">
      <c r="G820">
        <v>17</v>
      </c>
    </row>
    <row r="821" spans="7:7">
      <c r="G821">
        <v>18</v>
      </c>
    </row>
    <row r="822" spans="7:7">
      <c r="G822">
        <v>19</v>
      </c>
    </row>
    <row r="823" spans="7:7">
      <c r="G823">
        <v>20</v>
      </c>
    </row>
    <row r="824" spans="7:7">
      <c r="G824">
        <v>21</v>
      </c>
    </row>
    <row r="825" spans="7:7">
      <c r="G825">
        <v>22</v>
      </c>
    </row>
    <row r="826" spans="7:7">
      <c r="G826">
        <v>4</v>
      </c>
    </row>
    <row r="827" spans="7:7">
      <c r="G827">
        <v>5</v>
      </c>
    </row>
    <row r="828" spans="7:7">
      <c r="G828">
        <v>6</v>
      </c>
    </row>
    <row r="829" spans="7:7">
      <c r="G829">
        <v>7</v>
      </c>
    </row>
    <row r="830" spans="7:7">
      <c r="G830">
        <v>8</v>
      </c>
    </row>
    <row r="831" spans="7:7">
      <c r="G831">
        <v>9</v>
      </c>
    </row>
    <row r="832" spans="7:7">
      <c r="G832">
        <v>10</v>
      </c>
    </row>
    <row r="833" spans="7:7">
      <c r="G833">
        <v>11</v>
      </c>
    </row>
    <row r="834" spans="7:7">
      <c r="G834">
        <v>12</v>
      </c>
    </row>
    <row r="835" spans="7:7">
      <c r="G835">
        <v>13</v>
      </c>
    </row>
    <row r="836" spans="7:7">
      <c r="G836">
        <v>14</v>
      </c>
    </row>
    <row r="837" spans="7:7">
      <c r="G837">
        <v>15</v>
      </c>
    </row>
    <row r="838" spans="7:7">
      <c r="G838">
        <v>16</v>
      </c>
    </row>
    <row r="839" spans="7:7">
      <c r="G839">
        <v>17</v>
      </c>
    </row>
    <row r="840" spans="7:7">
      <c r="G840">
        <v>18</v>
      </c>
    </row>
    <row r="841" spans="7:7">
      <c r="G841">
        <v>19</v>
      </c>
    </row>
    <row r="842" spans="7:7">
      <c r="G842">
        <v>20</v>
      </c>
    </row>
    <row r="843" spans="7:7">
      <c r="G843">
        <v>21</v>
      </c>
    </row>
    <row r="844" spans="7:7">
      <c r="G844">
        <v>22</v>
      </c>
    </row>
    <row r="845" spans="7:7">
      <c r="G845">
        <v>4</v>
      </c>
    </row>
    <row r="846" spans="7:7">
      <c r="G846">
        <v>5</v>
      </c>
    </row>
    <row r="847" spans="7:7">
      <c r="G847">
        <v>6</v>
      </c>
    </row>
    <row r="848" spans="7:7">
      <c r="G848">
        <v>7</v>
      </c>
    </row>
    <row r="849" spans="7:7">
      <c r="G849">
        <v>8</v>
      </c>
    </row>
    <row r="850" spans="7:7">
      <c r="G850">
        <v>9</v>
      </c>
    </row>
    <row r="851" spans="7:7">
      <c r="G851">
        <v>10</v>
      </c>
    </row>
    <row r="852" spans="7:7">
      <c r="G852">
        <v>11</v>
      </c>
    </row>
    <row r="853" spans="7:7">
      <c r="G853">
        <v>12</v>
      </c>
    </row>
    <row r="854" spans="7:7">
      <c r="G854">
        <v>13</v>
      </c>
    </row>
    <row r="855" spans="7:7">
      <c r="G855">
        <v>14</v>
      </c>
    </row>
    <row r="856" spans="7:7">
      <c r="G856">
        <v>15</v>
      </c>
    </row>
    <row r="857" spans="7:7">
      <c r="G857">
        <v>16</v>
      </c>
    </row>
    <row r="858" spans="7:7">
      <c r="G858">
        <v>17</v>
      </c>
    </row>
    <row r="859" spans="7:7">
      <c r="G859">
        <v>18</v>
      </c>
    </row>
    <row r="860" spans="7:7">
      <c r="G860">
        <v>19</v>
      </c>
    </row>
    <row r="861" spans="7:7">
      <c r="G861">
        <v>20</v>
      </c>
    </row>
    <row r="862" spans="7:7">
      <c r="G862">
        <v>21</v>
      </c>
    </row>
    <row r="863" spans="7:7">
      <c r="G863">
        <v>22</v>
      </c>
    </row>
    <row r="864" spans="7:7">
      <c r="G864">
        <v>4</v>
      </c>
    </row>
    <row r="865" spans="7:7">
      <c r="G865">
        <v>5</v>
      </c>
    </row>
    <row r="866" spans="7:7">
      <c r="G866">
        <v>6</v>
      </c>
    </row>
    <row r="867" spans="7:7">
      <c r="G867">
        <v>7</v>
      </c>
    </row>
    <row r="868" spans="7:7">
      <c r="G868">
        <v>8</v>
      </c>
    </row>
    <row r="869" spans="7:7">
      <c r="G869">
        <v>9</v>
      </c>
    </row>
    <row r="870" spans="7:7">
      <c r="G870">
        <v>10</v>
      </c>
    </row>
    <row r="871" spans="7:7">
      <c r="G871">
        <v>11</v>
      </c>
    </row>
    <row r="872" spans="7:7">
      <c r="G872">
        <v>12</v>
      </c>
    </row>
    <row r="873" spans="7:7">
      <c r="G873">
        <v>13</v>
      </c>
    </row>
    <row r="874" spans="7:7">
      <c r="G874">
        <v>14</v>
      </c>
    </row>
    <row r="875" spans="7:7">
      <c r="G875">
        <v>15</v>
      </c>
    </row>
    <row r="876" spans="7:7">
      <c r="G876">
        <v>16</v>
      </c>
    </row>
    <row r="877" spans="7:7">
      <c r="G877">
        <v>17</v>
      </c>
    </row>
    <row r="878" spans="7:7">
      <c r="G878">
        <v>18</v>
      </c>
    </row>
    <row r="879" spans="7:7">
      <c r="G879">
        <v>19</v>
      </c>
    </row>
    <row r="880" spans="7:7">
      <c r="G880">
        <v>20</v>
      </c>
    </row>
    <row r="881" spans="7:7">
      <c r="G881">
        <v>21</v>
      </c>
    </row>
    <row r="882" spans="7:7">
      <c r="G882">
        <v>22</v>
      </c>
    </row>
    <row r="883" spans="7:7">
      <c r="G883">
        <v>4</v>
      </c>
    </row>
    <row r="884" spans="7:7">
      <c r="G884">
        <v>5</v>
      </c>
    </row>
    <row r="885" spans="7:7">
      <c r="G885">
        <v>6</v>
      </c>
    </row>
    <row r="886" spans="7:7">
      <c r="G886">
        <v>7</v>
      </c>
    </row>
    <row r="887" spans="7:7">
      <c r="G887">
        <v>8</v>
      </c>
    </row>
    <row r="888" spans="7:7">
      <c r="G888">
        <v>9</v>
      </c>
    </row>
    <row r="889" spans="7:7">
      <c r="G889">
        <v>10</v>
      </c>
    </row>
    <row r="890" spans="7:7">
      <c r="G890">
        <v>11</v>
      </c>
    </row>
    <row r="891" spans="7:7">
      <c r="G891">
        <v>12</v>
      </c>
    </row>
    <row r="892" spans="7:7">
      <c r="G892">
        <v>13</v>
      </c>
    </row>
    <row r="893" spans="7:7">
      <c r="G893">
        <v>14</v>
      </c>
    </row>
    <row r="894" spans="7:7">
      <c r="G894">
        <v>15</v>
      </c>
    </row>
    <row r="895" spans="7:7">
      <c r="G895">
        <v>16</v>
      </c>
    </row>
    <row r="896" spans="7:7">
      <c r="G896">
        <v>17</v>
      </c>
    </row>
    <row r="897" spans="7:7">
      <c r="G897">
        <v>18</v>
      </c>
    </row>
    <row r="898" spans="7:7">
      <c r="G898">
        <v>19</v>
      </c>
    </row>
    <row r="899" spans="7:7">
      <c r="G899">
        <v>20</v>
      </c>
    </row>
    <row r="900" spans="7:7">
      <c r="G900">
        <v>21</v>
      </c>
    </row>
    <row r="901" spans="7:7">
      <c r="G901">
        <v>22</v>
      </c>
    </row>
    <row r="902" spans="7:7">
      <c r="G902">
        <v>4</v>
      </c>
    </row>
    <row r="903" spans="7:7">
      <c r="G903">
        <v>5</v>
      </c>
    </row>
    <row r="904" spans="7:7">
      <c r="G904">
        <v>6</v>
      </c>
    </row>
    <row r="905" spans="7:7">
      <c r="G905">
        <v>7</v>
      </c>
    </row>
    <row r="906" spans="7:7">
      <c r="G906">
        <v>8</v>
      </c>
    </row>
    <row r="907" spans="7:7">
      <c r="G907">
        <v>9</v>
      </c>
    </row>
    <row r="908" spans="7:7">
      <c r="G908">
        <v>10</v>
      </c>
    </row>
    <row r="909" spans="7:7">
      <c r="G909">
        <v>11</v>
      </c>
    </row>
    <row r="910" spans="7:7">
      <c r="G910">
        <v>12</v>
      </c>
    </row>
    <row r="911" spans="7:7">
      <c r="G911">
        <v>13</v>
      </c>
    </row>
    <row r="912" spans="7:7">
      <c r="G912">
        <v>14</v>
      </c>
    </row>
    <row r="913" spans="7:7">
      <c r="G913">
        <v>15</v>
      </c>
    </row>
    <row r="914" spans="7:7">
      <c r="G914">
        <v>16</v>
      </c>
    </row>
    <row r="915" spans="7:7">
      <c r="G915">
        <v>17</v>
      </c>
    </row>
    <row r="916" spans="7:7">
      <c r="G916">
        <v>18</v>
      </c>
    </row>
    <row r="917" spans="7:7">
      <c r="G917">
        <v>19</v>
      </c>
    </row>
    <row r="918" spans="7:7">
      <c r="G918">
        <v>20</v>
      </c>
    </row>
    <row r="919" spans="7:7">
      <c r="G919">
        <v>21</v>
      </c>
    </row>
    <row r="920" spans="7:7">
      <c r="G920">
        <v>22</v>
      </c>
    </row>
    <row r="921" spans="7:7">
      <c r="G921">
        <v>4</v>
      </c>
    </row>
    <row r="922" spans="7:7">
      <c r="G922">
        <v>5</v>
      </c>
    </row>
    <row r="923" spans="7:7">
      <c r="G923">
        <v>6</v>
      </c>
    </row>
    <row r="924" spans="7:7">
      <c r="G924">
        <v>7</v>
      </c>
    </row>
    <row r="925" spans="7:7">
      <c r="G925">
        <v>8</v>
      </c>
    </row>
    <row r="926" spans="7:7">
      <c r="G926">
        <v>9</v>
      </c>
    </row>
    <row r="927" spans="7:7">
      <c r="G927">
        <v>10</v>
      </c>
    </row>
    <row r="928" spans="7:7">
      <c r="G928">
        <v>11</v>
      </c>
    </row>
    <row r="929" spans="7:7">
      <c r="G929">
        <v>12</v>
      </c>
    </row>
    <row r="930" spans="7:7">
      <c r="G930">
        <v>13</v>
      </c>
    </row>
    <row r="931" spans="7:7">
      <c r="G931">
        <v>14</v>
      </c>
    </row>
    <row r="932" spans="7:7">
      <c r="G932">
        <v>15</v>
      </c>
    </row>
    <row r="933" spans="7:7">
      <c r="G933">
        <v>16</v>
      </c>
    </row>
    <row r="934" spans="7:7">
      <c r="G934">
        <v>17</v>
      </c>
    </row>
    <row r="935" spans="7:7">
      <c r="G935">
        <v>18</v>
      </c>
    </row>
    <row r="936" spans="7:7">
      <c r="G936">
        <v>19</v>
      </c>
    </row>
    <row r="937" spans="7:7">
      <c r="G937">
        <v>20</v>
      </c>
    </row>
    <row r="938" spans="7:7">
      <c r="G938">
        <v>21</v>
      </c>
    </row>
    <row r="939" spans="7:7">
      <c r="G939">
        <v>22</v>
      </c>
    </row>
    <row r="940" spans="7:7">
      <c r="G940">
        <v>4</v>
      </c>
    </row>
    <row r="941" spans="7:7">
      <c r="G941">
        <v>5</v>
      </c>
    </row>
    <row r="942" spans="7:7">
      <c r="G942">
        <v>6</v>
      </c>
    </row>
    <row r="943" spans="7:7">
      <c r="G943">
        <v>7</v>
      </c>
    </row>
    <row r="944" spans="7:7">
      <c r="G944">
        <v>8</v>
      </c>
    </row>
    <row r="945" spans="7:7">
      <c r="G945">
        <v>9</v>
      </c>
    </row>
    <row r="946" spans="7:7">
      <c r="G946">
        <v>10</v>
      </c>
    </row>
    <row r="947" spans="7:7">
      <c r="G947">
        <v>11</v>
      </c>
    </row>
    <row r="948" spans="7:7">
      <c r="G948">
        <v>12</v>
      </c>
    </row>
    <row r="949" spans="7:7">
      <c r="G949">
        <v>13</v>
      </c>
    </row>
    <row r="950" spans="7:7">
      <c r="G950">
        <v>14</v>
      </c>
    </row>
    <row r="951" spans="7:7">
      <c r="G951">
        <v>15</v>
      </c>
    </row>
    <row r="952" spans="7:7">
      <c r="G952">
        <v>16</v>
      </c>
    </row>
    <row r="953" spans="7:7">
      <c r="G953">
        <v>17</v>
      </c>
    </row>
    <row r="954" spans="7:7">
      <c r="G954">
        <v>18</v>
      </c>
    </row>
    <row r="955" spans="7:7">
      <c r="G955">
        <v>19</v>
      </c>
    </row>
    <row r="956" spans="7:7">
      <c r="G956">
        <v>20</v>
      </c>
    </row>
    <row r="957" spans="7:7">
      <c r="G957">
        <v>21</v>
      </c>
    </row>
    <row r="958" spans="7:7">
      <c r="G958">
        <v>22</v>
      </c>
    </row>
    <row r="959" spans="7:7">
      <c r="G959">
        <v>4</v>
      </c>
    </row>
    <row r="960" spans="7:7">
      <c r="G960">
        <v>5</v>
      </c>
    </row>
    <row r="961" spans="7:7">
      <c r="G961">
        <v>6</v>
      </c>
    </row>
    <row r="962" spans="7:7">
      <c r="G962">
        <v>7</v>
      </c>
    </row>
    <row r="963" spans="7:7">
      <c r="G963">
        <v>8</v>
      </c>
    </row>
    <row r="964" spans="7:7">
      <c r="G964">
        <v>9</v>
      </c>
    </row>
    <row r="965" spans="7:7">
      <c r="G965">
        <v>10</v>
      </c>
    </row>
    <row r="966" spans="7:7">
      <c r="G966">
        <v>11</v>
      </c>
    </row>
    <row r="967" spans="7:7">
      <c r="G967">
        <v>12</v>
      </c>
    </row>
    <row r="968" spans="7:7">
      <c r="G968">
        <v>13</v>
      </c>
    </row>
    <row r="969" spans="7:7">
      <c r="G969">
        <v>14</v>
      </c>
    </row>
    <row r="970" spans="7:7">
      <c r="G970">
        <v>15</v>
      </c>
    </row>
    <row r="971" spans="7:7">
      <c r="G971">
        <v>16</v>
      </c>
    </row>
    <row r="972" spans="7:7">
      <c r="G972">
        <v>17</v>
      </c>
    </row>
    <row r="973" spans="7:7">
      <c r="G973">
        <v>18</v>
      </c>
    </row>
    <row r="974" spans="7:7">
      <c r="G974">
        <v>19</v>
      </c>
    </row>
    <row r="975" spans="7:7">
      <c r="G975">
        <v>20</v>
      </c>
    </row>
    <row r="976" spans="7:7">
      <c r="G976">
        <v>21</v>
      </c>
    </row>
    <row r="977" spans="7:7">
      <c r="G977">
        <v>22</v>
      </c>
    </row>
    <row r="978" spans="7:7">
      <c r="G978">
        <v>4</v>
      </c>
    </row>
    <row r="979" spans="7:7">
      <c r="G979">
        <v>5</v>
      </c>
    </row>
    <row r="980" spans="7:7">
      <c r="G980">
        <v>6</v>
      </c>
    </row>
    <row r="981" spans="7:7">
      <c r="G981">
        <v>7</v>
      </c>
    </row>
    <row r="982" spans="7:7">
      <c r="G982">
        <v>8</v>
      </c>
    </row>
    <row r="983" spans="7:7">
      <c r="G983">
        <v>9</v>
      </c>
    </row>
    <row r="984" spans="7:7">
      <c r="G984">
        <v>10</v>
      </c>
    </row>
    <row r="985" spans="7:7">
      <c r="G985">
        <v>11</v>
      </c>
    </row>
    <row r="986" spans="7:7">
      <c r="G986">
        <v>12</v>
      </c>
    </row>
    <row r="987" spans="7:7">
      <c r="G987">
        <v>13</v>
      </c>
    </row>
    <row r="988" spans="7:7">
      <c r="G988">
        <v>14</v>
      </c>
    </row>
    <row r="989" spans="7:7">
      <c r="G989">
        <v>15</v>
      </c>
    </row>
    <row r="990" spans="7:7">
      <c r="G990">
        <v>16</v>
      </c>
    </row>
    <row r="991" spans="7:7">
      <c r="G991">
        <v>17</v>
      </c>
    </row>
    <row r="992" spans="7:7">
      <c r="G992">
        <v>18</v>
      </c>
    </row>
    <row r="993" spans="7:7">
      <c r="G993">
        <v>19</v>
      </c>
    </row>
    <row r="994" spans="7:7">
      <c r="G994">
        <v>20</v>
      </c>
    </row>
    <row r="995" spans="7:7">
      <c r="G995">
        <v>21</v>
      </c>
    </row>
    <row r="996" spans="7:7">
      <c r="G996">
        <v>22</v>
      </c>
    </row>
    <row r="997" spans="7:7">
      <c r="G997">
        <v>4</v>
      </c>
    </row>
    <row r="998" spans="7:7">
      <c r="G998">
        <v>5</v>
      </c>
    </row>
    <row r="999" spans="7:7">
      <c r="G999">
        <v>6</v>
      </c>
    </row>
    <row r="1000" spans="7:7">
      <c r="G1000">
        <v>7</v>
      </c>
    </row>
    <row r="1001" spans="7:7">
      <c r="G1001">
        <v>8</v>
      </c>
    </row>
    <row r="1002" spans="7:7">
      <c r="G1002">
        <v>9</v>
      </c>
    </row>
    <row r="1003" spans="7:7">
      <c r="G1003">
        <v>10</v>
      </c>
    </row>
    <row r="1004" spans="7:7">
      <c r="G1004">
        <v>11</v>
      </c>
    </row>
    <row r="1005" spans="7:7">
      <c r="G1005">
        <v>12</v>
      </c>
    </row>
    <row r="1006" spans="7:7">
      <c r="G1006">
        <v>13</v>
      </c>
    </row>
    <row r="1007" spans="7:7">
      <c r="G1007">
        <v>14</v>
      </c>
    </row>
    <row r="1008" spans="7:7">
      <c r="G1008">
        <v>15</v>
      </c>
    </row>
    <row r="1009" spans="7:7">
      <c r="G1009">
        <v>16</v>
      </c>
    </row>
    <row r="1010" spans="7:7">
      <c r="G1010">
        <v>17</v>
      </c>
    </row>
    <row r="1011" spans="7:7">
      <c r="G1011">
        <v>18</v>
      </c>
    </row>
    <row r="1012" spans="7:7">
      <c r="G1012">
        <v>19</v>
      </c>
    </row>
    <row r="1013" spans="7:7">
      <c r="G1013">
        <v>20</v>
      </c>
    </row>
    <row r="1014" spans="7:7">
      <c r="G1014">
        <v>21</v>
      </c>
    </row>
    <row r="1015" spans="7:7">
      <c r="G1015">
        <v>22</v>
      </c>
    </row>
    <row r="1016" spans="7:7">
      <c r="G1016">
        <v>4</v>
      </c>
    </row>
    <row r="1017" spans="7:7">
      <c r="G1017">
        <v>5</v>
      </c>
    </row>
    <row r="1018" spans="7:7">
      <c r="G1018">
        <v>6</v>
      </c>
    </row>
    <row r="1019" spans="7:7">
      <c r="G1019">
        <v>7</v>
      </c>
    </row>
    <row r="1020" spans="7:7">
      <c r="G1020">
        <v>8</v>
      </c>
    </row>
    <row r="1021" spans="7:7">
      <c r="G1021">
        <v>9</v>
      </c>
    </row>
    <row r="1022" spans="7:7">
      <c r="G1022">
        <v>10</v>
      </c>
    </row>
    <row r="1023" spans="7:7">
      <c r="G1023">
        <v>11</v>
      </c>
    </row>
    <row r="1024" spans="7:7">
      <c r="G1024">
        <v>12</v>
      </c>
    </row>
    <row r="1025" spans="7:7">
      <c r="G1025">
        <v>13</v>
      </c>
    </row>
    <row r="1026" spans="7:7">
      <c r="G1026">
        <v>14</v>
      </c>
    </row>
    <row r="1027" spans="7:7">
      <c r="G1027">
        <v>15</v>
      </c>
    </row>
    <row r="1028" spans="7:7">
      <c r="G1028">
        <v>16</v>
      </c>
    </row>
    <row r="1029" spans="7:7">
      <c r="G1029">
        <v>17</v>
      </c>
    </row>
    <row r="1030" spans="7:7">
      <c r="G1030">
        <v>18</v>
      </c>
    </row>
    <row r="1031" spans="7:7">
      <c r="G1031">
        <v>19</v>
      </c>
    </row>
    <row r="1032" spans="7:7">
      <c r="G1032">
        <v>20</v>
      </c>
    </row>
    <row r="1033" spans="7:7">
      <c r="G1033">
        <v>21</v>
      </c>
    </row>
    <row r="1034" spans="7:7">
      <c r="G1034">
        <v>22</v>
      </c>
    </row>
    <row r="1035" spans="7:7">
      <c r="G1035">
        <v>4</v>
      </c>
    </row>
    <row r="1036" spans="7:7">
      <c r="G1036">
        <v>5</v>
      </c>
    </row>
    <row r="1037" spans="7:7">
      <c r="G1037">
        <v>6</v>
      </c>
    </row>
    <row r="1038" spans="7:7">
      <c r="G1038">
        <v>7</v>
      </c>
    </row>
    <row r="1039" spans="7:7">
      <c r="G1039">
        <v>8</v>
      </c>
    </row>
    <row r="1040" spans="7:7">
      <c r="G1040">
        <v>9</v>
      </c>
    </row>
    <row r="1041" spans="7:7">
      <c r="G1041">
        <v>10</v>
      </c>
    </row>
    <row r="1042" spans="7:7">
      <c r="G1042">
        <v>11</v>
      </c>
    </row>
    <row r="1043" spans="7:7">
      <c r="G1043">
        <v>12</v>
      </c>
    </row>
    <row r="1044" spans="7:7">
      <c r="G1044">
        <v>13</v>
      </c>
    </row>
    <row r="1045" spans="7:7">
      <c r="G1045">
        <v>14</v>
      </c>
    </row>
    <row r="1046" spans="7:7">
      <c r="G1046">
        <v>15</v>
      </c>
    </row>
    <row r="1047" spans="7:7">
      <c r="G1047">
        <v>16</v>
      </c>
    </row>
    <row r="1048" spans="7:7">
      <c r="G1048">
        <v>17</v>
      </c>
    </row>
    <row r="1049" spans="7:7">
      <c r="G1049">
        <v>18</v>
      </c>
    </row>
    <row r="1050" spans="7:7">
      <c r="G1050">
        <v>19</v>
      </c>
    </row>
    <row r="1051" spans="7:7">
      <c r="G1051">
        <v>20</v>
      </c>
    </row>
    <row r="1052" spans="7:7">
      <c r="G1052">
        <v>21</v>
      </c>
    </row>
    <row r="1053" spans="7:7">
      <c r="G1053">
        <v>22</v>
      </c>
    </row>
    <row r="1054" spans="7:7">
      <c r="G1054">
        <v>4</v>
      </c>
    </row>
    <row r="1055" spans="7:7">
      <c r="G1055">
        <v>5</v>
      </c>
    </row>
    <row r="1056" spans="7:7">
      <c r="G1056">
        <v>6</v>
      </c>
    </row>
    <row r="1057" spans="7:7">
      <c r="G1057">
        <v>7</v>
      </c>
    </row>
    <row r="1058" spans="7:7">
      <c r="G1058">
        <v>8</v>
      </c>
    </row>
    <row r="1059" spans="7:7">
      <c r="G1059">
        <v>9</v>
      </c>
    </row>
    <row r="1060" spans="7:7">
      <c r="G1060">
        <v>10</v>
      </c>
    </row>
    <row r="1061" spans="7:7">
      <c r="G1061">
        <v>11</v>
      </c>
    </row>
    <row r="1062" spans="7:7">
      <c r="G1062">
        <v>12</v>
      </c>
    </row>
    <row r="1063" spans="7:7">
      <c r="G1063">
        <v>13</v>
      </c>
    </row>
    <row r="1064" spans="7:7">
      <c r="G1064">
        <v>14</v>
      </c>
    </row>
    <row r="1065" spans="7:7">
      <c r="G1065">
        <v>15</v>
      </c>
    </row>
    <row r="1066" spans="7:7">
      <c r="G1066">
        <v>16</v>
      </c>
    </row>
    <row r="1067" spans="7:7">
      <c r="G1067">
        <v>17</v>
      </c>
    </row>
    <row r="1068" spans="7:7">
      <c r="G1068">
        <v>18</v>
      </c>
    </row>
    <row r="1069" spans="7:7">
      <c r="G1069">
        <v>19</v>
      </c>
    </row>
    <row r="1070" spans="7:7">
      <c r="G1070">
        <v>20</v>
      </c>
    </row>
    <row r="1071" spans="7:7">
      <c r="G1071">
        <v>21</v>
      </c>
    </row>
    <row r="1072" spans="7:7">
      <c r="G1072">
        <v>22</v>
      </c>
    </row>
    <row r="1073" spans="7:7">
      <c r="G1073">
        <v>4</v>
      </c>
    </row>
    <row r="1074" spans="7:7">
      <c r="G1074">
        <v>5</v>
      </c>
    </row>
    <row r="1075" spans="7:7">
      <c r="G1075">
        <v>6</v>
      </c>
    </row>
    <row r="1076" spans="7:7">
      <c r="G1076">
        <v>7</v>
      </c>
    </row>
    <row r="1077" spans="7:7">
      <c r="G1077">
        <v>8</v>
      </c>
    </row>
    <row r="1078" spans="7:7">
      <c r="G1078">
        <v>9</v>
      </c>
    </row>
    <row r="1079" spans="7:7">
      <c r="G1079">
        <v>10</v>
      </c>
    </row>
    <row r="1080" spans="7:7">
      <c r="G1080">
        <v>11</v>
      </c>
    </row>
    <row r="1081" spans="7:7">
      <c r="G1081">
        <v>12</v>
      </c>
    </row>
    <row r="1082" spans="7:7">
      <c r="G1082">
        <v>13</v>
      </c>
    </row>
    <row r="1083" spans="7:7">
      <c r="G1083">
        <v>14</v>
      </c>
    </row>
    <row r="1084" spans="7:7">
      <c r="G1084">
        <v>15</v>
      </c>
    </row>
    <row r="1085" spans="7:7">
      <c r="G1085">
        <v>16</v>
      </c>
    </row>
    <row r="1086" spans="7:7">
      <c r="G1086">
        <v>17</v>
      </c>
    </row>
    <row r="1087" spans="7:7">
      <c r="G1087">
        <v>18</v>
      </c>
    </row>
    <row r="1088" spans="7:7">
      <c r="G1088">
        <v>19</v>
      </c>
    </row>
    <row r="1089" spans="7:7">
      <c r="G1089">
        <v>20</v>
      </c>
    </row>
    <row r="1090" spans="7:7">
      <c r="G1090">
        <v>21</v>
      </c>
    </row>
    <row r="1091" spans="7:7">
      <c r="G1091">
        <v>22</v>
      </c>
    </row>
    <row r="1092" spans="7:7">
      <c r="G1092">
        <v>4</v>
      </c>
    </row>
    <row r="1093" spans="7:7">
      <c r="G1093">
        <v>5</v>
      </c>
    </row>
    <row r="1094" spans="7:7">
      <c r="G1094">
        <v>6</v>
      </c>
    </row>
    <row r="1095" spans="7:7">
      <c r="G1095">
        <v>7</v>
      </c>
    </row>
    <row r="1096" spans="7:7">
      <c r="G1096">
        <v>8</v>
      </c>
    </row>
    <row r="1097" spans="7:7">
      <c r="G1097">
        <v>9</v>
      </c>
    </row>
    <row r="1098" spans="7:7">
      <c r="G1098">
        <v>10</v>
      </c>
    </row>
    <row r="1099" spans="7:7">
      <c r="G1099">
        <v>11</v>
      </c>
    </row>
    <row r="1100" spans="7:7">
      <c r="G1100">
        <v>12</v>
      </c>
    </row>
    <row r="1101" spans="7:7">
      <c r="G1101">
        <v>13</v>
      </c>
    </row>
    <row r="1102" spans="7:7">
      <c r="G1102">
        <v>14</v>
      </c>
    </row>
    <row r="1103" spans="7:7">
      <c r="G1103">
        <v>15</v>
      </c>
    </row>
    <row r="1104" spans="7:7">
      <c r="G1104">
        <v>16</v>
      </c>
    </row>
    <row r="1105" spans="7:7">
      <c r="G1105">
        <v>17</v>
      </c>
    </row>
    <row r="1106" spans="7:7">
      <c r="G1106">
        <v>18</v>
      </c>
    </row>
    <row r="1107" spans="7:7">
      <c r="G1107">
        <v>19</v>
      </c>
    </row>
    <row r="1108" spans="7:7">
      <c r="G1108">
        <v>20</v>
      </c>
    </row>
    <row r="1109" spans="7:7">
      <c r="G1109">
        <v>21</v>
      </c>
    </row>
    <row r="1110" spans="7:7">
      <c r="G1110">
        <v>22</v>
      </c>
    </row>
    <row r="1111" spans="7:7">
      <c r="G1111">
        <v>4</v>
      </c>
    </row>
    <row r="1112" spans="7:7">
      <c r="G1112">
        <v>5</v>
      </c>
    </row>
    <row r="1113" spans="7:7">
      <c r="G1113">
        <v>6</v>
      </c>
    </row>
    <row r="1114" spans="7:7">
      <c r="G1114">
        <v>7</v>
      </c>
    </row>
    <row r="1115" spans="7:7">
      <c r="G1115">
        <v>8</v>
      </c>
    </row>
    <row r="1116" spans="7:7">
      <c r="G1116">
        <v>9</v>
      </c>
    </row>
    <row r="1117" spans="7:7">
      <c r="G1117">
        <v>10</v>
      </c>
    </row>
    <row r="1118" spans="7:7">
      <c r="G1118">
        <v>11</v>
      </c>
    </row>
    <row r="1119" spans="7:7">
      <c r="G1119">
        <v>12</v>
      </c>
    </row>
    <row r="1120" spans="7:7">
      <c r="G1120">
        <v>13</v>
      </c>
    </row>
    <row r="1121" spans="7:7">
      <c r="G1121">
        <v>14</v>
      </c>
    </row>
    <row r="1122" spans="7:7">
      <c r="G1122">
        <v>15</v>
      </c>
    </row>
    <row r="1123" spans="7:7">
      <c r="G1123">
        <v>16</v>
      </c>
    </row>
    <row r="1124" spans="7:7">
      <c r="G1124">
        <v>17</v>
      </c>
    </row>
    <row r="1125" spans="7:7">
      <c r="G1125">
        <v>18</v>
      </c>
    </row>
    <row r="1126" spans="7:7">
      <c r="G1126">
        <v>19</v>
      </c>
    </row>
    <row r="1127" spans="7:7">
      <c r="G1127">
        <v>20</v>
      </c>
    </row>
    <row r="1128" spans="7:7">
      <c r="G1128">
        <v>21</v>
      </c>
    </row>
    <row r="1129" spans="7:7">
      <c r="G1129">
        <v>22</v>
      </c>
    </row>
    <row r="1130" spans="7:7">
      <c r="G1130">
        <v>4</v>
      </c>
    </row>
    <row r="1131" spans="7:7">
      <c r="G1131">
        <v>5</v>
      </c>
    </row>
    <row r="1132" spans="7:7">
      <c r="G1132">
        <v>6</v>
      </c>
    </row>
    <row r="1133" spans="7:7">
      <c r="G1133">
        <v>7</v>
      </c>
    </row>
    <row r="1134" spans="7:7">
      <c r="G1134">
        <v>8</v>
      </c>
    </row>
    <row r="1135" spans="7:7">
      <c r="G1135">
        <v>9</v>
      </c>
    </row>
    <row r="1136" spans="7:7">
      <c r="G1136">
        <v>10</v>
      </c>
    </row>
    <row r="1137" spans="7:7">
      <c r="G1137">
        <v>11</v>
      </c>
    </row>
    <row r="1138" spans="7:7">
      <c r="G1138">
        <v>12</v>
      </c>
    </row>
    <row r="1139" spans="7:7">
      <c r="G1139">
        <v>13</v>
      </c>
    </row>
    <row r="1140" spans="7:7">
      <c r="G1140">
        <v>14</v>
      </c>
    </row>
    <row r="1141" spans="7:7">
      <c r="G1141">
        <v>15</v>
      </c>
    </row>
    <row r="1142" spans="7:7">
      <c r="G1142">
        <v>16</v>
      </c>
    </row>
    <row r="1143" spans="7:7">
      <c r="G1143">
        <v>17</v>
      </c>
    </row>
    <row r="1144" spans="7:7">
      <c r="G1144">
        <v>18</v>
      </c>
    </row>
    <row r="1145" spans="7:7">
      <c r="G1145">
        <v>19</v>
      </c>
    </row>
    <row r="1146" spans="7:7">
      <c r="G1146">
        <v>20</v>
      </c>
    </row>
    <row r="1147" spans="7:7">
      <c r="G1147">
        <v>21</v>
      </c>
    </row>
    <row r="1148" spans="7:7">
      <c r="G1148">
        <v>22</v>
      </c>
    </row>
    <row r="1149" spans="7:7">
      <c r="G1149">
        <v>4</v>
      </c>
    </row>
    <row r="1150" spans="7:7">
      <c r="G1150">
        <v>5</v>
      </c>
    </row>
    <row r="1151" spans="7:7">
      <c r="G1151">
        <v>6</v>
      </c>
    </row>
    <row r="1152" spans="7:7">
      <c r="G1152">
        <v>7</v>
      </c>
    </row>
    <row r="1153" spans="7:7">
      <c r="G1153">
        <v>8</v>
      </c>
    </row>
    <row r="1154" spans="7:7">
      <c r="G1154">
        <v>9</v>
      </c>
    </row>
    <row r="1155" spans="7:7">
      <c r="G1155">
        <v>10</v>
      </c>
    </row>
    <row r="1156" spans="7:7">
      <c r="G1156">
        <v>11</v>
      </c>
    </row>
    <row r="1157" spans="7:7">
      <c r="G1157">
        <v>12</v>
      </c>
    </row>
    <row r="1158" spans="7:7">
      <c r="G1158">
        <v>13</v>
      </c>
    </row>
    <row r="1159" spans="7:7">
      <c r="G1159">
        <v>14</v>
      </c>
    </row>
    <row r="1160" spans="7:7">
      <c r="G1160">
        <v>15</v>
      </c>
    </row>
    <row r="1161" spans="7:7">
      <c r="G1161">
        <v>16</v>
      </c>
    </row>
    <row r="1162" spans="7:7">
      <c r="G1162">
        <v>17</v>
      </c>
    </row>
    <row r="1163" spans="7:7">
      <c r="G1163">
        <v>18</v>
      </c>
    </row>
    <row r="1164" spans="7:7">
      <c r="G1164">
        <v>19</v>
      </c>
    </row>
    <row r="1165" spans="7:7">
      <c r="G1165">
        <v>20</v>
      </c>
    </row>
    <row r="1166" spans="7:7">
      <c r="G1166">
        <v>21</v>
      </c>
    </row>
    <row r="1167" spans="7:7">
      <c r="G1167">
        <v>22</v>
      </c>
    </row>
    <row r="1168" spans="7:7">
      <c r="G1168">
        <v>4</v>
      </c>
    </row>
    <row r="1169" spans="7:7">
      <c r="G1169">
        <v>5</v>
      </c>
    </row>
    <row r="1170" spans="7:7">
      <c r="G1170">
        <v>6</v>
      </c>
    </row>
    <row r="1171" spans="7:7">
      <c r="G1171">
        <v>7</v>
      </c>
    </row>
    <row r="1172" spans="7:7">
      <c r="G1172">
        <v>8</v>
      </c>
    </row>
    <row r="1173" spans="7:7">
      <c r="G1173">
        <v>9</v>
      </c>
    </row>
    <row r="1174" spans="7:7">
      <c r="G1174">
        <v>10</v>
      </c>
    </row>
    <row r="1175" spans="7:7">
      <c r="G1175">
        <v>11</v>
      </c>
    </row>
    <row r="1176" spans="7:7">
      <c r="G1176">
        <v>12</v>
      </c>
    </row>
    <row r="1177" spans="7:7">
      <c r="G1177">
        <v>13</v>
      </c>
    </row>
    <row r="1178" spans="7:7">
      <c r="G1178">
        <v>14</v>
      </c>
    </row>
    <row r="1179" spans="7:7">
      <c r="G1179">
        <v>15</v>
      </c>
    </row>
    <row r="1180" spans="7:7">
      <c r="G1180">
        <v>16</v>
      </c>
    </row>
    <row r="1181" spans="7:7">
      <c r="G1181">
        <v>17</v>
      </c>
    </row>
    <row r="1182" spans="7:7">
      <c r="G1182">
        <v>18</v>
      </c>
    </row>
    <row r="1183" spans="7:7">
      <c r="G1183">
        <v>19</v>
      </c>
    </row>
    <row r="1184" spans="7:7">
      <c r="G1184">
        <v>20</v>
      </c>
    </row>
    <row r="1185" spans="7:7">
      <c r="G1185">
        <v>21</v>
      </c>
    </row>
    <row r="1186" spans="7:7">
      <c r="G1186">
        <v>22</v>
      </c>
    </row>
    <row r="1187" spans="7:7">
      <c r="G1187">
        <v>4</v>
      </c>
    </row>
    <row r="1188" spans="7:7">
      <c r="G1188">
        <v>5</v>
      </c>
    </row>
    <row r="1189" spans="7:7">
      <c r="G1189">
        <v>6</v>
      </c>
    </row>
    <row r="1190" spans="7:7">
      <c r="G1190">
        <v>7</v>
      </c>
    </row>
    <row r="1191" spans="7:7">
      <c r="G1191">
        <v>8</v>
      </c>
    </row>
    <row r="1192" spans="7:7">
      <c r="G1192">
        <v>9</v>
      </c>
    </row>
    <row r="1193" spans="7:7">
      <c r="G1193">
        <v>10</v>
      </c>
    </row>
    <row r="1194" spans="7:7">
      <c r="G1194">
        <v>11</v>
      </c>
    </row>
    <row r="1195" spans="7:7">
      <c r="G1195">
        <v>12</v>
      </c>
    </row>
    <row r="1196" spans="7:7">
      <c r="G1196">
        <v>13</v>
      </c>
    </row>
    <row r="1197" spans="7:7">
      <c r="G1197">
        <v>14</v>
      </c>
    </row>
    <row r="1198" spans="7:7">
      <c r="G1198">
        <v>15</v>
      </c>
    </row>
    <row r="1199" spans="7:7">
      <c r="G1199">
        <v>16</v>
      </c>
    </row>
    <row r="1200" spans="7:7">
      <c r="G1200">
        <v>17</v>
      </c>
    </row>
    <row r="1201" spans="7:7">
      <c r="G1201">
        <v>18</v>
      </c>
    </row>
    <row r="1202" spans="7:7">
      <c r="G1202">
        <v>19</v>
      </c>
    </row>
    <row r="1203" spans="7:7">
      <c r="G1203">
        <v>20</v>
      </c>
    </row>
    <row r="1204" spans="7:7">
      <c r="G1204">
        <v>21</v>
      </c>
    </row>
    <row r="1205" spans="7:7">
      <c r="G1205">
        <v>22</v>
      </c>
    </row>
    <row r="1206" spans="7:7">
      <c r="G1206">
        <v>4</v>
      </c>
    </row>
    <row r="1207" spans="7:7">
      <c r="G1207">
        <v>5</v>
      </c>
    </row>
    <row r="1208" spans="7:7">
      <c r="G1208">
        <v>6</v>
      </c>
    </row>
    <row r="1209" spans="7:7">
      <c r="G1209">
        <v>7</v>
      </c>
    </row>
    <row r="1210" spans="7:7">
      <c r="G1210">
        <v>8</v>
      </c>
    </row>
    <row r="1211" spans="7:7">
      <c r="G1211">
        <v>9</v>
      </c>
    </row>
    <row r="1212" spans="7:7">
      <c r="G1212">
        <v>10</v>
      </c>
    </row>
    <row r="1213" spans="7:7">
      <c r="G1213">
        <v>11</v>
      </c>
    </row>
    <row r="1214" spans="7:7">
      <c r="G1214">
        <v>12</v>
      </c>
    </row>
    <row r="1215" spans="7:7">
      <c r="G1215">
        <v>13</v>
      </c>
    </row>
    <row r="1216" spans="7:7">
      <c r="G1216">
        <v>14</v>
      </c>
    </row>
    <row r="1217" spans="7:7">
      <c r="G1217">
        <v>15</v>
      </c>
    </row>
    <row r="1218" spans="7:7">
      <c r="G1218">
        <v>16</v>
      </c>
    </row>
    <row r="1219" spans="7:7">
      <c r="G1219">
        <v>17</v>
      </c>
    </row>
    <row r="1220" spans="7:7">
      <c r="G1220">
        <v>18</v>
      </c>
    </row>
    <row r="1221" spans="7:7">
      <c r="G1221">
        <v>19</v>
      </c>
    </row>
    <row r="1222" spans="7:7">
      <c r="G1222">
        <v>20</v>
      </c>
    </row>
    <row r="1223" spans="7:7">
      <c r="G1223">
        <v>21</v>
      </c>
    </row>
    <row r="1224" spans="7:7">
      <c r="G1224">
        <v>22</v>
      </c>
    </row>
    <row r="1225" spans="7:7">
      <c r="G1225">
        <v>4</v>
      </c>
    </row>
    <row r="1226" spans="7:7">
      <c r="G1226">
        <v>5</v>
      </c>
    </row>
    <row r="1227" spans="7:7">
      <c r="G1227">
        <v>6</v>
      </c>
    </row>
    <row r="1228" spans="7:7">
      <c r="G1228">
        <v>7</v>
      </c>
    </row>
    <row r="1229" spans="7:7">
      <c r="G1229">
        <v>8</v>
      </c>
    </row>
    <row r="1230" spans="7:7">
      <c r="G1230">
        <v>9</v>
      </c>
    </row>
    <row r="1231" spans="7:7">
      <c r="G1231">
        <v>10</v>
      </c>
    </row>
    <row r="1232" spans="7:7">
      <c r="G1232">
        <v>11</v>
      </c>
    </row>
    <row r="1233" spans="7:7">
      <c r="G1233">
        <v>12</v>
      </c>
    </row>
    <row r="1234" spans="7:7">
      <c r="G1234">
        <v>13</v>
      </c>
    </row>
    <row r="1235" spans="7:7">
      <c r="G1235">
        <v>14</v>
      </c>
    </row>
    <row r="1236" spans="7:7">
      <c r="G1236">
        <v>15</v>
      </c>
    </row>
    <row r="1237" spans="7:7">
      <c r="G1237">
        <v>16</v>
      </c>
    </row>
    <row r="1238" spans="7:7">
      <c r="G1238">
        <v>17</v>
      </c>
    </row>
    <row r="1239" spans="7:7">
      <c r="G1239">
        <v>18</v>
      </c>
    </row>
    <row r="1240" spans="7:7">
      <c r="G1240">
        <v>19</v>
      </c>
    </row>
    <row r="1241" spans="7:7">
      <c r="G1241">
        <v>20</v>
      </c>
    </row>
    <row r="1242" spans="7:7">
      <c r="G1242">
        <v>21</v>
      </c>
    </row>
    <row r="1243" spans="7:7">
      <c r="G1243">
        <v>22</v>
      </c>
    </row>
    <row r="1244" spans="7:7">
      <c r="G1244">
        <v>4</v>
      </c>
    </row>
    <row r="1245" spans="7:7">
      <c r="G1245">
        <v>5</v>
      </c>
    </row>
    <row r="1246" spans="7:7">
      <c r="G1246">
        <v>6</v>
      </c>
    </row>
    <row r="1247" spans="7:7">
      <c r="G1247">
        <v>7</v>
      </c>
    </row>
    <row r="1248" spans="7:7">
      <c r="G1248">
        <v>8</v>
      </c>
    </row>
    <row r="1249" spans="7:7">
      <c r="G1249">
        <v>9</v>
      </c>
    </row>
    <row r="1250" spans="7:7">
      <c r="G1250">
        <v>10</v>
      </c>
    </row>
    <row r="1251" spans="7:7">
      <c r="G1251">
        <v>11</v>
      </c>
    </row>
    <row r="1252" spans="7:7">
      <c r="G1252">
        <v>12</v>
      </c>
    </row>
    <row r="1253" spans="7:7">
      <c r="G1253">
        <v>13</v>
      </c>
    </row>
    <row r="1254" spans="7:7">
      <c r="G1254">
        <v>14</v>
      </c>
    </row>
    <row r="1255" spans="7:7">
      <c r="G1255">
        <v>15</v>
      </c>
    </row>
    <row r="1256" spans="7:7">
      <c r="G1256">
        <v>16</v>
      </c>
    </row>
    <row r="1257" spans="7:7">
      <c r="G1257">
        <v>17</v>
      </c>
    </row>
    <row r="1258" spans="7:7">
      <c r="G1258">
        <v>18</v>
      </c>
    </row>
    <row r="1259" spans="7:7">
      <c r="G1259">
        <v>19</v>
      </c>
    </row>
    <row r="1260" spans="7:7">
      <c r="G1260">
        <v>20</v>
      </c>
    </row>
    <row r="1261" spans="7:7">
      <c r="G1261">
        <v>21</v>
      </c>
    </row>
    <row r="1262" spans="7:7">
      <c r="G1262">
        <v>22</v>
      </c>
    </row>
    <row r="1263" spans="7:7">
      <c r="G1263">
        <v>4</v>
      </c>
    </row>
    <row r="1264" spans="7:7">
      <c r="G1264">
        <v>5</v>
      </c>
    </row>
    <row r="1265" spans="7:7">
      <c r="G1265">
        <v>6</v>
      </c>
    </row>
    <row r="1266" spans="7:7">
      <c r="G1266">
        <v>7</v>
      </c>
    </row>
    <row r="1267" spans="7:7">
      <c r="G1267">
        <v>8</v>
      </c>
    </row>
    <row r="1268" spans="7:7">
      <c r="G1268">
        <v>9</v>
      </c>
    </row>
    <row r="1269" spans="7:7">
      <c r="G1269">
        <v>10</v>
      </c>
    </row>
    <row r="1270" spans="7:7">
      <c r="G1270">
        <v>11</v>
      </c>
    </row>
    <row r="1271" spans="7:7">
      <c r="G1271">
        <v>12</v>
      </c>
    </row>
    <row r="1272" spans="7:7">
      <c r="G1272">
        <v>13</v>
      </c>
    </row>
    <row r="1273" spans="7:7">
      <c r="G1273">
        <v>14</v>
      </c>
    </row>
    <row r="1274" spans="7:7">
      <c r="G1274">
        <v>15</v>
      </c>
    </row>
    <row r="1275" spans="7:7">
      <c r="G1275">
        <v>16</v>
      </c>
    </row>
    <row r="1276" spans="7:7">
      <c r="G1276">
        <v>17</v>
      </c>
    </row>
    <row r="1277" spans="7:7">
      <c r="G1277">
        <v>18</v>
      </c>
    </row>
    <row r="1278" spans="7:7">
      <c r="G1278">
        <v>19</v>
      </c>
    </row>
    <row r="1279" spans="7:7">
      <c r="G1279">
        <v>20</v>
      </c>
    </row>
    <row r="1280" spans="7:7">
      <c r="G1280">
        <v>21</v>
      </c>
    </row>
    <row r="1281" spans="7:7">
      <c r="G1281">
        <v>22</v>
      </c>
    </row>
    <row r="1282" spans="7:7">
      <c r="G1282">
        <v>4</v>
      </c>
    </row>
    <row r="1283" spans="7:7">
      <c r="G1283">
        <v>5</v>
      </c>
    </row>
    <row r="1284" spans="7:7">
      <c r="G1284">
        <v>6</v>
      </c>
    </row>
    <row r="1285" spans="7:7">
      <c r="G1285">
        <v>7</v>
      </c>
    </row>
    <row r="1286" spans="7:7">
      <c r="G1286">
        <v>8</v>
      </c>
    </row>
    <row r="1287" spans="7:7">
      <c r="G1287">
        <v>9</v>
      </c>
    </row>
    <row r="1288" spans="7:7">
      <c r="G1288">
        <v>10</v>
      </c>
    </row>
    <row r="1289" spans="7:7">
      <c r="G1289">
        <v>11</v>
      </c>
    </row>
    <row r="1290" spans="7:7">
      <c r="G1290">
        <v>12</v>
      </c>
    </row>
    <row r="1291" spans="7:7">
      <c r="G1291">
        <v>13</v>
      </c>
    </row>
    <row r="1292" spans="7:7">
      <c r="G1292">
        <v>14</v>
      </c>
    </row>
    <row r="1293" spans="7:7">
      <c r="G1293">
        <v>15</v>
      </c>
    </row>
    <row r="1294" spans="7:7">
      <c r="G1294">
        <v>16</v>
      </c>
    </row>
    <row r="1295" spans="7:7">
      <c r="G1295">
        <v>17</v>
      </c>
    </row>
    <row r="1296" spans="7:7">
      <c r="G1296">
        <v>18</v>
      </c>
    </row>
    <row r="1297" spans="7:7">
      <c r="G1297">
        <v>19</v>
      </c>
    </row>
    <row r="1298" spans="7:7">
      <c r="G1298">
        <v>20</v>
      </c>
    </row>
    <row r="1299" spans="7:7">
      <c r="G1299">
        <v>21</v>
      </c>
    </row>
    <row r="1300" spans="7:7">
      <c r="G1300">
        <v>22</v>
      </c>
    </row>
    <row r="1301" spans="7:7">
      <c r="G1301">
        <v>4</v>
      </c>
    </row>
    <row r="1302" spans="7:7">
      <c r="G1302">
        <v>5</v>
      </c>
    </row>
    <row r="1303" spans="7:7">
      <c r="G1303">
        <v>6</v>
      </c>
    </row>
    <row r="1304" spans="7:7">
      <c r="G1304">
        <v>7</v>
      </c>
    </row>
    <row r="1305" spans="7:7">
      <c r="G1305">
        <v>8</v>
      </c>
    </row>
    <row r="1306" spans="7:7">
      <c r="G1306">
        <v>9</v>
      </c>
    </row>
    <row r="1307" spans="7:7">
      <c r="G1307">
        <v>10</v>
      </c>
    </row>
    <row r="1308" spans="7:7">
      <c r="G1308">
        <v>11</v>
      </c>
    </row>
    <row r="1309" spans="7:7">
      <c r="G1309">
        <v>12</v>
      </c>
    </row>
    <row r="1310" spans="7:7">
      <c r="G1310">
        <v>13</v>
      </c>
    </row>
    <row r="1311" spans="7:7">
      <c r="G1311">
        <v>14</v>
      </c>
    </row>
    <row r="1312" spans="7:7">
      <c r="G1312">
        <v>15</v>
      </c>
    </row>
    <row r="1313" spans="7:7">
      <c r="G1313">
        <v>16</v>
      </c>
    </row>
    <row r="1314" spans="7:7">
      <c r="G1314">
        <v>17</v>
      </c>
    </row>
    <row r="1315" spans="7:7">
      <c r="G1315">
        <v>18</v>
      </c>
    </row>
    <row r="1316" spans="7:7">
      <c r="G1316">
        <v>19</v>
      </c>
    </row>
    <row r="1317" spans="7:7">
      <c r="G1317">
        <v>20</v>
      </c>
    </row>
    <row r="1318" spans="7:7">
      <c r="G1318">
        <v>21</v>
      </c>
    </row>
    <row r="1319" spans="7:7">
      <c r="G1319">
        <v>22</v>
      </c>
    </row>
    <row r="1320" spans="7:7">
      <c r="G1320">
        <v>4</v>
      </c>
    </row>
    <row r="1321" spans="7:7">
      <c r="G1321">
        <v>5</v>
      </c>
    </row>
    <row r="1322" spans="7:7">
      <c r="G1322">
        <v>6</v>
      </c>
    </row>
    <row r="1323" spans="7:7">
      <c r="G1323">
        <v>7</v>
      </c>
    </row>
    <row r="1324" spans="7:7">
      <c r="G1324">
        <v>8</v>
      </c>
    </row>
    <row r="1325" spans="7:7">
      <c r="G1325">
        <v>9</v>
      </c>
    </row>
    <row r="1326" spans="7:7">
      <c r="G1326">
        <v>10</v>
      </c>
    </row>
    <row r="1327" spans="7:7">
      <c r="G1327">
        <v>11</v>
      </c>
    </row>
    <row r="1328" spans="7:7">
      <c r="G1328">
        <v>12</v>
      </c>
    </row>
    <row r="1329" spans="7:7">
      <c r="G1329">
        <v>13</v>
      </c>
    </row>
    <row r="1330" spans="7:7">
      <c r="G1330">
        <v>14</v>
      </c>
    </row>
    <row r="1331" spans="7:7">
      <c r="G1331">
        <v>15</v>
      </c>
    </row>
    <row r="1332" spans="7:7">
      <c r="G1332">
        <v>16</v>
      </c>
    </row>
    <row r="1333" spans="7:7">
      <c r="G1333">
        <v>17</v>
      </c>
    </row>
    <row r="1334" spans="7:7">
      <c r="G1334">
        <v>18</v>
      </c>
    </row>
    <row r="1335" spans="7:7">
      <c r="G1335">
        <v>19</v>
      </c>
    </row>
    <row r="1336" spans="7:7">
      <c r="G1336">
        <v>20</v>
      </c>
    </row>
    <row r="1337" spans="7:7">
      <c r="G1337">
        <v>21</v>
      </c>
    </row>
    <row r="1338" spans="7:7">
      <c r="G1338">
        <v>22</v>
      </c>
    </row>
    <row r="1339" spans="7:7">
      <c r="G1339">
        <v>4</v>
      </c>
    </row>
    <row r="1340" spans="7:7">
      <c r="G1340">
        <v>5</v>
      </c>
    </row>
    <row r="1341" spans="7:7">
      <c r="G1341">
        <v>6</v>
      </c>
    </row>
    <row r="1342" spans="7:7">
      <c r="G1342">
        <v>7</v>
      </c>
    </row>
    <row r="1343" spans="7:7">
      <c r="G1343">
        <v>8</v>
      </c>
    </row>
    <row r="1344" spans="7:7">
      <c r="G1344">
        <v>9</v>
      </c>
    </row>
    <row r="1345" spans="7:7">
      <c r="G1345">
        <v>10</v>
      </c>
    </row>
    <row r="1346" spans="7:7">
      <c r="G1346">
        <v>11</v>
      </c>
    </row>
    <row r="1347" spans="7:7">
      <c r="G1347">
        <v>12</v>
      </c>
    </row>
    <row r="1348" spans="7:7">
      <c r="G1348">
        <v>13</v>
      </c>
    </row>
    <row r="1349" spans="7:7">
      <c r="G1349">
        <v>14</v>
      </c>
    </row>
    <row r="1350" spans="7:7">
      <c r="G1350">
        <v>15</v>
      </c>
    </row>
    <row r="1351" spans="7:7">
      <c r="G1351">
        <v>16</v>
      </c>
    </row>
    <row r="1352" spans="7:7">
      <c r="G1352">
        <v>17</v>
      </c>
    </row>
    <row r="1353" spans="7:7">
      <c r="G1353">
        <v>18</v>
      </c>
    </row>
    <row r="1354" spans="7:7">
      <c r="G1354">
        <v>19</v>
      </c>
    </row>
    <row r="1355" spans="7:7">
      <c r="G1355">
        <v>20</v>
      </c>
    </row>
    <row r="1356" spans="7:7">
      <c r="G1356">
        <v>21</v>
      </c>
    </row>
    <row r="1357" spans="7:7">
      <c r="G1357">
        <v>22</v>
      </c>
    </row>
    <row r="1358" spans="7:7">
      <c r="G1358">
        <v>4</v>
      </c>
    </row>
    <row r="1359" spans="7:7">
      <c r="G1359">
        <v>5</v>
      </c>
    </row>
    <row r="1360" spans="7:7">
      <c r="G1360">
        <v>6</v>
      </c>
    </row>
    <row r="1361" spans="7:7">
      <c r="G1361">
        <v>7</v>
      </c>
    </row>
    <row r="1362" spans="7:7">
      <c r="G1362">
        <v>8</v>
      </c>
    </row>
    <row r="1363" spans="7:7">
      <c r="G1363">
        <v>9</v>
      </c>
    </row>
    <row r="1364" spans="7:7">
      <c r="G1364">
        <v>10</v>
      </c>
    </row>
    <row r="1365" spans="7:7">
      <c r="G1365">
        <v>11</v>
      </c>
    </row>
    <row r="1366" spans="7:7">
      <c r="G1366">
        <v>12</v>
      </c>
    </row>
    <row r="1367" spans="7:7">
      <c r="G1367">
        <v>13</v>
      </c>
    </row>
    <row r="1368" spans="7:7">
      <c r="G1368">
        <v>14</v>
      </c>
    </row>
    <row r="1369" spans="7:7">
      <c r="G1369">
        <v>15</v>
      </c>
    </row>
    <row r="1370" spans="7:7">
      <c r="G1370">
        <v>16</v>
      </c>
    </row>
    <row r="1371" spans="7:7">
      <c r="G1371">
        <v>17</v>
      </c>
    </row>
    <row r="1372" spans="7:7">
      <c r="G1372">
        <v>18</v>
      </c>
    </row>
    <row r="1373" spans="7:7">
      <c r="G1373">
        <v>19</v>
      </c>
    </row>
    <row r="1374" spans="7:7">
      <c r="G1374">
        <v>20</v>
      </c>
    </row>
    <row r="1375" spans="7:7">
      <c r="G1375">
        <v>21</v>
      </c>
    </row>
    <row r="1376" spans="7:7">
      <c r="G1376">
        <v>22</v>
      </c>
    </row>
    <row r="1377" spans="7:7">
      <c r="G1377">
        <v>4</v>
      </c>
    </row>
    <row r="1378" spans="7:7">
      <c r="G1378">
        <v>5</v>
      </c>
    </row>
    <row r="1379" spans="7:7">
      <c r="G1379">
        <v>6</v>
      </c>
    </row>
    <row r="1380" spans="7:7">
      <c r="G1380">
        <v>7</v>
      </c>
    </row>
    <row r="1381" spans="7:7">
      <c r="G1381">
        <v>8</v>
      </c>
    </row>
    <row r="1382" spans="7:7">
      <c r="G1382">
        <v>9</v>
      </c>
    </row>
    <row r="1383" spans="7:7">
      <c r="G1383">
        <v>10</v>
      </c>
    </row>
    <row r="1384" spans="7:7">
      <c r="G1384">
        <v>11</v>
      </c>
    </row>
    <row r="1385" spans="7:7">
      <c r="G1385">
        <v>12</v>
      </c>
    </row>
    <row r="1386" spans="7:7">
      <c r="G1386">
        <v>13</v>
      </c>
    </row>
    <row r="1387" spans="7:7">
      <c r="G1387">
        <v>14</v>
      </c>
    </row>
    <row r="1388" spans="7:7">
      <c r="G1388">
        <v>15</v>
      </c>
    </row>
    <row r="1389" spans="7:7">
      <c r="G1389">
        <v>16</v>
      </c>
    </row>
    <row r="1390" spans="7:7">
      <c r="G1390">
        <v>17</v>
      </c>
    </row>
    <row r="1391" spans="7:7">
      <c r="G1391">
        <v>18</v>
      </c>
    </row>
    <row r="1392" spans="7:7">
      <c r="G1392">
        <v>19</v>
      </c>
    </row>
    <row r="1393" spans="7:7">
      <c r="G1393">
        <v>20</v>
      </c>
    </row>
    <row r="1394" spans="7:7">
      <c r="G1394">
        <v>21</v>
      </c>
    </row>
    <row r="1395" spans="7:7">
      <c r="G1395">
        <v>22</v>
      </c>
    </row>
    <row r="1396" spans="7:7">
      <c r="G1396">
        <v>4</v>
      </c>
    </row>
    <row r="1397" spans="7:7">
      <c r="G1397">
        <v>5</v>
      </c>
    </row>
    <row r="1398" spans="7:7">
      <c r="G1398">
        <v>6</v>
      </c>
    </row>
    <row r="1399" spans="7:7">
      <c r="G1399">
        <v>7</v>
      </c>
    </row>
    <row r="1400" spans="7:7">
      <c r="G1400">
        <v>8</v>
      </c>
    </row>
    <row r="1401" spans="7:7">
      <c r="G1401">
        <v>9</v>
      </c>
    </row>
    <row r="1402" spans="7:7">
      <c r="G1402">
        <v>10</v>
      </c>
    </row>
    <row r="1403" spans="7:7">
      <c r="G1403">
        <v>11</v>
      </c>
    </row>
    <row r="1404" spans="7:7">
      <c r="G1404">
        <v>12</v>
      </c>
    </row>
    <row r="1405" spans="7:7">
      <c r="G1405">
        <v>13</v>
      </c>
    </row>
    <row r="1406" spans="7:7">
      <c r="G1406">
        <v>14</v>
      </c>
    </row>
    <row r="1407" spans="7:7">
      <c r="G1407">
        <v>15</v>
      </c>
    </row>
    <row r="1408" spans="7:7">
      <c r="G1408">
        <v>16</v>
      </c>
    </row>
    <row r="1409" spans="7:7">
      <c r="G1409">
        <v>17</v>
      </c>
    </row>
    <row r="1410" spans="7:7">
      <c r="G1410">
        <v>18</v>
      </c>
    </row>
    <row r="1411" spans="7:7">
      <c r="G1411">
        <v>19</v>
      </c>
    </row>
    <row r="1412" spans="7:7">
      <c r="G1412">
        <v>20</v>
      </c>
    </row>
    <row r="1413" spans="7:7">
      <c r="G1413">
        <v>21</v>
      </c>
    </row>
    <row r="1414" spans="7:7">
      <c r="G1414">
        <v>22</v>
      </c>
    </row>
    <row r="1415" spans="7:7">
      <c r="G1415">
        <v>4</v>
      </c>
    </row>
    <row r="1416" spans="7:7">
      <c r="G1416">
        <v>5</v>
      </c>
    </row>
    <row r="1417" spans="7:7">
      <c r="G1417">
        <v>6</v>
      </c>
    </row>
    <row r="1418" spans="7:7">
      <c r="G1418">
        <v>7</v>
      </c>
    </row>
    <row r="1419" spans="7:7">
      <c r="G1419">
        <v>8</v>
      </c>
    </row>
    <row r="1420" spans="7:7">
      <c r="G1420">
        <v>9</v>
      </c>
    </row>
    <row r="1421" spans="7:7">
      <c r="G1421">
        <v>10</v>
      </c>
    </row>
    <row r="1422" spans="7:7">
      <c r="G1422">
        <v>11</v>
      </c>
    </row>
    <row r="1423" spans="7:7">
      <c r="G1423">
        <v>12</v>
      </c>
    </row>
    <row r="1424" spans="7:7">
      <c r="G1424">
        <v>13</v>
      </c>
    </row>
    <row r="1425" spans="7:7">
      <c r="G1425">
        <v>14</v>
      </c>
    </row>
    <row r="1426" spans="7:7">
      <c r="G1426">
        <v>15</v>
      </c>
    </row>
    <row r="1427" spans="7:7">
      <c r="G1427">
        <v>16</v>
      </c>
    </row>
    <row r="1428" spans="7:7">
      <c r="G1428">
        <v>17</v>
      </c>
    </row>
    <row r="1429" spans="7:7">
      <c r="G1429">
        <v>18</v>
      </c>
    </row>
    <row r="1430" spans="7:7">
      <c r="G1430">
        <v>19</v>
      </c>
    </row>
    <row r="1431" spans="7:7">
      <c r="G1431">
        <v>20</v>
      </c>
    </row>
    <row r="1432" spans="7:7">
      <c r="G1432">
        <v>21</v>
      </c>
    </row>
    <row r="1433" spans="7:7">
      <c r="G1433">
        <v>22</v>
      </c>
    </row>
    <row r="1434" spans="7:7">
      <c r="G1434">
        <v>4</v>
      </c>
    </row>
    <row r="1435" spans="7:7">
      <c r="G1435">
        <v>5</v>
      </c>
    </row>
    <row r="1436" spans="7:7">
      <c r="G1436">
        <v>6</v>
      </c>
    </row>
    <row r="1437" spans="7:7">
      <c r="G1437">
        <v>7</v>
      </c>
    </row>
    <row r="1438" spans="7:7">
      <c r="G1438">
        <v>8</v>
      </c>
    </row>
    <row r="1439" spans="7:7">
      <c r="G1439">
        <v>9</v>
      </c>
    </row>
    <row r="1440" spans="7:7">
      <c r="G1440">
        <v>10</v>
      </c>
    </row>
    <row r="1441" spans="7:7">
      <c r="G1441">
        <v>11</v>
      </c>
    </row>
    <row r="1442" spans="7:7">
      <c r="G1442">
        <v>12</v>
      </c>
    </row>
    <row r="1443" spans="7:7">
      <c r="G1443">
        <v>13</v>
      </c>
    </row>
    <row r="1444" spans="7:7">
      <c r="G1444">
        <v>14</v>
      </c>
    </row>
    <row r="1445" spans="7:7">
      <c r="G1445">
        <v>15</v>
      </c>
    </row>
    <row r="1446" spans="7:7">
      <c r="G1446">
        <v>16</v>
      </c>
    </row>
    <row r="1447" spans="7:7">
      <c r="G1447">
        <v>17</v>
      </c>
    </row>
    <row r="1448" spans="7:7">
      <c r="G1448">
        <v>18</v>
      </c>
    </row>
    <row r="1449" spans="7:7">
      <c r="G1449">
        <v>19</v>
      </c>
    </row>
    <row r="1450" spans="7:7">
      <c r="G1450">
        <v>20</v>
      </c>
    </row>
    <row r="1451" spans="7:7">
      <c r="G1451">
        <v>21</v>
      </c>
    </row>
    <row r="1452" spans="7:7">
      <c r="G1452">
        <v>22</v>
      </c>
    </row>
    <row r="1453" spans="7:7">
      <c r="G1453">
        <v>4</v>
      </c>
    </row>
    <row r="1454" spans="7:7">
      <c r="G1454">
        <v>5</v>
      </c>
    </row>
    <row r="1455" spans="7:7">
      <c r="G1455">
        <v>6</v>
      </c>
    </row>
    <row r="1456" spans="7:7">
      <c r="G1456">
        <v>7</v>
      </c>
    </row>
    <row r="1457" spans="7:7">
      <c r="G1457">
        <v>8</v>
      </c>
    </row>
    <row r="1458" spans="7:7">
      <c r="G1458">
        <v>9</v>
      </c>
    </row>
    <row r="1459" spans="7:7">
      <c r="G1459">
        <v>10</v>
      </c>
    </row>
    <row r="1460" spans="7:7">
      <c r="G1460">
        <v>11</v>
      </c>
    </row>
    <row r="1461" spans="7:7">
      <c r="G1461">
        <v>12</v>
      </c>
    </row>
    <row r="1462" spans="7:7">
      <c r="G1462">
        <v>13</v>
      </c>
    </row>
    <row r="1463" spans="7:7">
      <c r="G1463">
        <v>14</v>
      </c>
    </row>
    <row r="1464" spans="7:7">
      <c r="G1464">
        <v>15</v>
      </c>
    </row>
    <row r="1465" spans="7:7">
      <c r="G1465">
        <v>16</v>
      </c>
    </row>
    <row r="1466" spans="7:7">
      <c r="G1466">
        <v>17</v>
      </c>
    </row>
    <row r="1467" spans="7:7">
      <c r="G1467">
        <v>18</v>
      </c>
    </row>
    <row r="1468" spans="7:7">
      <c r="G1468">
        <v>19</v>
      </c>
    </row>
    <row r="1469" spans="7:7">
      <c r="G1469">
        <v>20</v>
      </c>
    </row>
    <row r="1470" spans="7:7">
      <c r="G1470">
        <v>21</v>
      </c>
    </row>
    <row r="1471" spans="7:7">
      <c r="G1471">
        <v>22</v>
      </c>
    </row>
    <row r="1472" spans="7:7">
      <c r="G1472">
        <v>4</v>
      </c>
    </row>
    <row r="1473" spans="7:7">
      <c r="G1473">
        <v>5</v>
      </c>
    </row>
    <row r="1474" spans="7:7">
      <c r="G1474">
        <v>6</v>
      </c>
    </row>
    <row r="1475" spans="7:7">
      <c r="G1475">
        <v>7</v>
      </c>
    </row>
    <row r="1476" spans="7:7">
      <c r="G1476">
        <v>8</v>
      </c>
    </row>
    <row r="1477" spans="7:7">
      <c r="G1477">
        <v>9</v>
      </c>
    </row>
    <row r="1478" spans="7:7">
      <c r="G1478">
        <v>10</v>
      </c>
    </row>
    <row r="1479" spans="7:7">
      <c r="G1479">
        <v>11</v>
      </c>
    </row>
    <row r="1480" spans="7:7">
      <c r="G1480">
        <v>12</v>
      </c>
    </row>
    <row r="1481" spans="7:7">
      <c r="G1481">
        <v>13</v>
      </c>
    </row>
    <row r="1482" spans="7:7">
      <c r="G1482">
        <v>14</v>
      </c>
    </row>
    <row r="1483" spans="7:7">
      <c r="G1483">
        <v>15</v>
      </c>
    </row>
    <row r="1484" spans="7:7">
      <c r="G1484">
        <v>16</v>
      </c>
    </row>
    <row r="1485" spans="7:7">
      <c r="G1485">
        <v>17</v>
      </c>
    </row>
    <row r="1486" spans="7:7">
      <c r="G1486">
        <v>18</v>
      </c>
    </row>
    <row r="1487" spans="7:7">
      <c r="G1487">
        <v>19</v>
      </c>
    </row>
    <row r="1488" spans="7:7">
      <c r="G1488">
        <v>20</v>
      </c>
    </row>
    <row r="1489" spans="7:7">
      <c r="G1489">
        <v>21</v>
      </c>
    </row>
    <row r="1490" spans="7:7">
      <c r="G1490">
        <v>22</v>
      </c>
    </row>
    <row r="1491" spans="7:7">
      <c r="G1491">
        <v>4</v>
      </c>
    </row>
    <row r="1492" spans="7:7">
      <c r="G1492">
        <v>5</v>
      </c>
    </row>
    <row r="1493" spans="7:7">
      <c r="G1493">
        <v>6</v>
      </c>
    </row>
    <row r="1494" spans="7:7">
      <c r="G1494">
        <v>7</v>
      </c>
    </row>
    <row r="1495" spans="7:7">
      <c r="G1495">
        <v>8</v>
      </c>
    </row>
    <row r="1496" spans="7:7">
      <c r="G1496">
        <v>9</v>
      </c>
    </row>
    <row r="1497" spans="7:7">
      <c r="G1497">
        <v>10</v>
      </c>
    </row>
    <row r="1498" spans="7:7">
      <c r="G1498">
        <v>11</v>
      </c>
    </row>
    <row r="1499" spans="7:7">
      <c r="G1499">
        <v>12</v>
      </c>
    </row>
    <row r="1500" spans="7:7">
      <c r="G1500">
        <v>13</v>
      </c>
    </row>
    <row r="1501" spans="7:7">
      <c r="G1501">
        <v>14</v>
      </c>
    </row>
    <row r="1502" spans="7:7">
      <c r="G1502">
        <v>15</v>
      </c>
    </row>
    <row r="1503" spans="7:7">
      <c r="G1503">
        <v>16</v>
      </c>
    </row>
    <row r="1504" spans="7:7">
      <c r="G1504">
        <v>17</v>
      </c>
    </row>
    <row r="1505" spans="7:7">
      <c r="G1505">
        <v>18</v>
      </c>
    </row>
    <row r="1506" spans="7:7">
      <c r="G1506">
        <v>19</v>
      </c>
    </row>
    <row r="1507" spans="7:7">
      <c r="G1507">
        <v>20</v>
      </c>
    </row>
    <row r="1508" spans="7:7">
      <c r="G1508">
        <v>21</v>
      </c>
    </row>
    <row r="1509" spans="7:7">
      <c r="G1509">
        <v>22</v>
      </c>
    </row>
    <row r="1510" spans="7:7">
      <c r="G1510">
        <v>4</v>
      </c>
    </row>
    <row r="1511" spans="7:7">
      <c r="G1511">
        <v>5</v>
      </c>
    </row>
    <row r="1512" spans="7:7">
      <c r="G1512">
        <v>6</v>
      </c>
    </row>
    <row r="1513" spans="7:7">
      <c r="G1513">
        <v>7</v>
      </c>
    </row>
    <row r="1514" spans="7:7">
      <c r="G1514">
        <v>8</v>
      </c>
    </row>
    <row r="1515" spans="7:7">
      <c r="G1515">
        <v>9</v>
      </c>
    </row>
    <row r="1516" spans="7:7">
      <c r="G1516">
        <v>10</v>
      </c>
    </row>
    <row r="1517" spans="7:7">
      <c r="G1517">
        <v>11</v>
      </c>
    </row>
    <row r="1518" spans="7:7">
      <c r="G1518">
        <v>12</v>
      </c>
    </row>
    <row r="1519" spans="7:7">
      <c r="G1519">
        <v>13</v>
      </c>
    </row>
    <row r="1520" spans="7:7">
      <c r="G1520">
        <v>14</v>
      </c>
    </row>
    <row r="1521" spans="7:7">
      <c r="G1521">
        <v>15</v>
      </c>
    </row>
    <row r="1522" spans="7:7">
      <c r="G1522">
        <v>16</v>
      </c>
    </row>
    <row r="1523" spans="7:7">
      <c r="G1523">
        <v>17</v>
      </c>
    </row>
    <row r="1524" spans="7:7">
      <c r="G1524">
        <v>18</v>
      </c>
    </row>
    <row r="1525" spans="7:7">
      <c r="G1525">
        <v>19</v>
      </c>
    </row>
    <row r="1526" spans="7:7">
      <c r="G1526">
        <v>20</v>
      </c>
    </row>
    <row r="1527" spans="7:7">
      <c r="G1527">
        <v>21</v>
      </c>
    </row>
    <row r="1528" spans="7:7">
      <c r="G1528">
        <v>22</v>
      </c>
    </row>
    <row r="1529" spans="7:7">
      <c r="G1529">
        <v>4</v>
      </c>
    </row>
    <row r="1530" spans="7:7">
      <c r="G1530">
        <v>5</v>
      </c>
    </row>
    <row r="1531" spans="7:7">
      <c r="G1531">
        <v>6</v>
      </c>
    </row>
    <row r="1532" spans="7:7">
      <c r="G1532">
        <v>7</v>
      </c>
    </row>
    <row r="1533" spans="7:7">
      <c r="G1533">
        <v>8</v>
      </c>
    </row>
    <row r="1534" spans="7:7">
      <c r="G1534">
        <v>9</v>
      </c>
    </row>
    <row r="1535" spans="7:7">
      <c r="G1535">
        <v>10</v>
      </c>
    </row>
    <row r="1536" spans="7:7">
      <c r="G1536">
        <v>11</v>
      </c>
    </row>
    <row r="1537" spans="7:7">
      <c r="G1537">
        <v>12</v>
      </c>
    </row>
    <row r="1538" spans="7:7">
      <c r="G1538">
        <v>13</v>
      </c>
    </row>
    <row r="1539" spans="7:7">
      <c r="G1539">
        <v>14</v>
      </c>
    </row>
    <row r="1540" spans="7:7">
      <c r="G1540">
        <v>15</v>
      </c>
    </row>
    <row r="1541" spans="7:7">
      <c r="G1541">
        <v>16</v>
      </c>
    </row>
    <row r="1542" spans="7:7">
      <c r="G1542">
        <v>17</v>
      </c>
    </row>
    <row r="1543" spans="7:7">
      <c r="G1543">
        <v>18</v>
      </c>
    </row>
    <row r="1544" spans="7:7">
      <c r="G1544">
        <v>19</v>
      </c>
    </row>
    <row r="1545" spans="7:7">
      <c r="G1545">
        <v>20</v>
      </c>
    </row>
    <row r="1546" spans="7:7">
      <c r="G1546">
        <v>21</v>
      </c>
    </row>
    <row r="1547" spans="7:7">
      <c r="G1547">
        <v>22</v>
      </c>
    </row>
    <row r="1548" spans="7:7">
      <c r="G1548">
        <v>4</v>
      </c>
    </row>
    <row r="1549" spans="7:7">
      <c r="G1549">
        <v>5</v>
      </c>
    </row>
    <row r="1550" spans="7:7">
      <c r="G1550">
        <v>6</v>
      </c>
    </row>
    <row r="1551" spans="7:7">
      <c r="G1551">
        <v>7</v>
      </c>
    </row>
    <row r="1552" spans="7:7">
      <c r="G1552">
        <v>8</v>
      </c>
    </row>
    <row r="1553" spans="7:7">
      <c r="G1553">
        <v>9</v>
      </c>
    </row>
    <row r="1554" spans="7:7">
      <c r="G1554">
        <v>10</v>
      </c>
    </row>
    <row r="1555" spans="7:7">
      <c r="G1555">
        <v>11</v>
      </c>
    </row>
    <row r="1556" spans="7:7">
      <c r="G1556">
        <v>12</v>
      </c>
    </row>
    <row r="1557" spans="7:7">
      <c r="G1557">
        <v>13</v>
      </c>
    </row>
    <row r="1558" spans="7:7">
      <c r="G1558">
        <v>14</v>
      </c>
    </row>
    <row r="1559" spans="7:7">
      <c r="G1559">
        <v>15</v>
      </c>
    </row>
    <row r="1560" spans="7:7">
      <c r="G1560">
        <v>16</v>
      </c>
    </row>
    <row r="1561" spans="7:7">
      <c r="G1561">
        <v>17</v>
      </c>
    </row>
    <row r="1562" spans="7:7">
      <c r="G1562">
        <v>18</v>
      </c>
    </row>
    <row r="1563" spans="7:7">
      <c r="G1563">
        <v>19</v>
      </c>
    </row>
    <row r="1564" spans="7:7">
      <c r="G1564">
        <v>20</v>
      </c>
    </row>
    <row r="1565" spans="7:7">
      <c r="G1565">
        <v>21</v>
      </c>
    </row>
    <row r="1566" spans="7:7">
      <c r="G1566">
        <v>22</v>
      </c>
    </row>
    <row r="1567" spans="7:7">
      <c r="G1567">
        <v>4</v>
      </c>
    </row>
    <row r="1568" spans="7:7">
      <c r="G1568">
        <v>5</v>
      </c>
    </row>
    <row r="1569" spans="7:7">
      <c r="G1569">
        <v>6</v>
      </c>
    </row>
    <row r="1570" spans="7:7">
      <c r="G1570">
        <v>7</v>
      </c>
    </row>
    <row r="1571" spans="7:7">
      <c r="G1571">
        <v>8</v>
      </c>
    </row>
    <row r="1572" spans="7:7">
      <c r="G1572">
        <v>9</v>
      </c>
    </row>
    <row r="1573" spans="7:7">
      <c r="G1573">
        <v>10</v>
      </c>
    </row>
    <row r="1574" spans="7:7">
      <c r="G1574">
        <v>11</v>
      </c>
    </row>
    <row r="1575" spans="7:7">
      <c r="G1575">
        <v>12</v>
      </c>
    </row>
    <row r="1576" spans="7:7">
      <c r="G1576">
        <v>13</v>
      </c>
    </row>
    <row r="1577" spans="7:7">
      <c r="G1577">
        <v>14</v>
      </c>
    </row>
    <row r="1578" spans="7:7">
      <c r="G1578">
        <v>15</v>
      </c>
    </row>
    <row r="1579" spans="7:7">
      <c r="G1579">
        <v>16</v>
      </c>
    </row>
    <row r="1580" spans="7:7">
      <c r="G1580">
        <v>17</v>
      </c>
    </row>
    <row r="1581" spans="7:7">
      <c r="G1581">
        <v>18</v>
      </c>
    </row>
    <row r="1582" spans="7:7">
      <c r="G1582">
        <v>19</v>
      </c>
    </row>
    <row r="1583" spans="7:7">
      <c r="G1583">
        <v>20</v>
      </c>
    </row>
    <row r="1584" spans="7:7">
      <c r="G1584">
        <v>21</v>
      </c>
    </row>
    <row r="1585" spans="7:7">
      <c r="G1585">
        <v>22</v>
      </c>
    </row>
    <row r="1586" spans="7:7">
      <c r="G1586">
        <v>4</v>
      </c>
    </row>
    <row r="1587" spans="7:7">
      <c r="G1587">
        <v>5</v>
      </c>
    </row>
    <row r="1588" spans="7:7">
      <c r="G1588">
        <v>6</v>
      </c>
    </row>
    <row r="1589" spans="7:7">
      <c r="G1589">
        <v>7</v>
      </c>
    </row>
    <row r="1590" spans="7:7">
      <c r="G1590">
        <v>8</v>
      </c>
    </row>
    <row r="1591" spans="7:7">
      <c r="G1591">
        <v>9</v>
      </c>
    </row>
    <row r="1592" spans="7:7">
      <c r="G1592">
        <v>10</v>
      </c>
    </row>
    <row r="1593" spans="7:7">
      <c r="G1593">
        <v>11</v>
      </c>
    </row>
    <row r="1594" spans="7:7">
      <c r="G1594">
        <v>12</v>
      </c>
    </row>
    <row r="1595" spans="7:7">
      <c r="G1595">
        <v>13</v>
      </c>
    </row>
    <row r="1596" spans="7:7">
      <c r="G1596">
        <v>14</v>
      </c>
    </row>
    <row r="1597" spans="7:7">
      <c r="G1597">
        <v>15</v>
      </c>
    </row>
    <row r="1598" spans="7:7">
      <c r="G1598">
        <v>16</v>
      </c>
    </row>
    <row r="1599" spans="7:7">
      <c r="G1599">
        <v>17</v>
      </c>
    </row>
    <row r="1600" spans="7:7">
      <c r="G1600">
        <v>18</v>
      </c>
    </row>
    <row r="1601" spans="7:7">
      <c r="G1601">
        <v>19</v>
      </c>
    </row>
    <row r="1602" spans="7:7">
      <c r="G1602">
        <v>20</v>
      </c>
    </row>
    <row r="1603" spans="7:7">
      <c r="G1603">
        <v>21</v>
      </c>
    </row>
    <row r="1604" spans="7:7">
      <c r="G1604">
        <v>22</v>
      </c>
    </row>
    <row r="1605" spans="7:7">
      <c r="G1605">
        <v>4</v>
      </c>
    </row>
    <row r="1606" spans="7:7">
      <c r="G1606">
        <v>5</v>
      </c>
    </row>
    <row r="1607" spans="7:7">
      <c r="G1607">
        <v>6</v>
      </c>
    </row>
    <row r="1608" spans="7:7">
      <c r="G1608">
        <v>7</v>
      </c>
    </row>
    <row r="1609" spans="7:7">
      <c r="G1609">
        <v>8</v>
      </c>
    </row>
    <row r="1610" spans="7:7">
      <c r="G1610">
        <v>9</v>
      </c>
    </row>
    <row r="1611" spans="7:7">
      <c r="G1611">
        <v>10</v>
      </c>
    </row>
    <row r="1612" spans="7:7">
      <c r="G1612">
        <v>11</v>
      </c>
    </row>
    <row r="1613" spans="7:7">
      <c r="G1613">
        <v>12</v>
      </c>
    </row>
    <row r="1614" spans="7:7">
      <c r="G1614">
        <v>13</v>
      </c>
    </row>
    <row r="1615" spans="7:7">
      <c r="G1615">
        <v>14</v>
      </c>
    </row>
    <row r="1616" spans="7:7">
      <c r="G1616">
        <v>15</v>
      </c>
    </row>
    <row r="1617" spans="7:7">
      <c r="G1617">
        <v>16</v>
      </c>
    </row>
    <row r="1618" spans="7:7">
      <c r="G1618">
        <v>17</v>
      </c>
    </row>
    <row r="1619" spans="7:7">
      <c r="G1619">
        <v>18</v>
      </c>
    </row>
    <row r="1620" spans="7:7">
      <c r="G1620">
        <v>19</v>
      </c>
    </row>
    <row r="1621" spans="7:7">
      <c r="G1621">
        <v>20</v>
      </c>
    </row>
    <row r="1622" spans="7:7">
      <c r="G1622">
        <v>21</v>
      </c>
    </row>
    <row r="1623" spans="7:7">
      <c r="G1623">
        <v>22</v>
      </c>
    </row>
    <row r="1624" spans="7:7">
      <c r="G1624">
        <v>4</v>
      </c>
    </row>
    <row r="1625" spans="7:7">
      <c r="G1625">
        <v>5</v>
      </c>
    </row>
    <row r="1626" spans="7:7">
      <c r="G1626">
        <v>6</v>
      </c>
    </row>
    <row r="1627" spans="7:7">
      <c r="G1627">
        <v>7</v>
      </c>
    </row>
    <row r="1628" spans="7:7">
      <c r="G1628">
        <v>8</v>
      </c>
    </row>
    <row r="1629" spans="7:7">
      <c r="G1629">
        <v>9</v>
      </c>
    </row>
    <row r="1630" spans="7:7">
      <c r="G1630">
        <v>10</v>
      </c>
    </row>
    <row r="1631" spans="7:7">
      <c r="G1631">
        <v>11</v>
      </c>
    </row>
    <row r="1632" spans="7:7">
      <c r="G1632">
        <v>12</v>
      </c>
    </row>
    <row r="1633" spans="7:7">
      <c r="G1633">
        <v>13</v>
      </c>
    </row>
    <row r="1634" spans="7:7">
      <c r="G1634">
        <v>14</v>
      </c>
    </row>
    <row r="1635" spans="7:7">
      <c r="G1635">
        <v>15</v>
      </c>
    </row>
    <row r="1636" spans="7:7">
      <c r="G1636">
        <v>16</v>
      </c>
    </row>
    <row r="1637" spans="7:7">
      <c r="G1637">
        <v>17</v>
      </c>
    </row>
    <row r="1638" spans="7:7">
      <c r="G1638">
        <v>18</v>
      </c>
    </row>
    <row r="1639" spans="7:7">
      <c r="G1639">
        <v>19</v>
      </c>
    </row>
    <row r="1640" spans="7:7">
      <c r="G1640">
        <v>20</v>
      </c>
    </row>
    <row r="1641" spans="7:7">
      <c r="G1641">
        <v>21</v>
      </c>
    </row>
    <row r="1642" spans="7:7">
      <c r="G1642">
        <v>22</v>
      </c>
    </row>
    <row r="1643" spans="7:7">
      <c r="G1643">
        <v>4</v>
      </c>
    </row>
    <row r="1644" spans="7:7">
      <c r="G1644">
        <v>5</v>
      </c>
    </row>
    <row r="1645" spans="7:7">
      <c r="G1645">
        <v>6</v>
      </c>
    </row>
    <row r="1646" spans="7:7">
      <c r="G1646">
        <v>7</v>
      </c>
    </row>
    <row r="1647" spans="7:7">
      <c r="G1647">
        <v>8</v>
      </c>
    </row>
    <row r="1648" spans="7:7">
      <c r="G1648">
        <v>9</v>
      </c>
    </row>
    <row r="1649" spans="7:7">
      <c r="G1649">
        <v>10</v>
      </c>
    </row>
    <row r="1650" spans="7:7">
      <c r="G1650">
        <v>11</v>
      </c>
    </row>
    <row r="1651" spans="7:7">
      <c r="G1651">
        <v>12</v>
      </c>
    </row>
    <row r="1652" spans="7:7">
      <c r="G1652">
        <v>13</v>
      </c>
    </row>
    <row r="1653" spans="7:7">
      <c r="G1653">
        <v>14</v>
      </c>
    </row>
    <row r="1654" spans="7:7">
      <c r="G1654">
        <v>15</v>
      </c>
    </row>
    <row r="1655" spans="7:7">
      <c r="G1655">
        <v>16</v>
      </c>
    </row>
    <row r="1656" spans="7:7">
      <c r="G1656">
        <v>17</v>
      </c>
    </row>
    <row r="1657" spans="7:7">
      <c r="G1657">
        <v>18</v>
      </c>
    </row>
    <row r="1658" spans="7:7">
      <c r="G1658">
        <v>19</v>
      </c>
    </row>
    <row r="1659" spans="7:7">
      <c r="G1659">
        <v>20</v>
      </c>
    </row>
    <row r="1660" spans="7:7">
      <c r="G1660">
        <v>21</v>
      </c>
    </row>
    <row r="1661" spans="7:7">
      <c r="G1661">
        <v>22</v>
      </c>
    </row>
    <row r="1662" spans="7:7">
      <c r="G1662">
        <v>4</v>
      </c>
    </row>
    <row r="1663" spans="7:7">
      <c r="G1663">
        <v>5</v>
      </c>
    </row>
    <row r="1664" spans="7:7">
      <c r="G1664">
        <v>6</v>
      </c>
    </row>
    <row r="1665" spans="7:7">
      <c r="G1665">
        <v>7</v>
      </c>
    </row>
    <row r="1666" spans="7:7">
      <c r="G1666">
        <v>8</v>
      </c>
    </row>
    <row r="1667" spans="7:7">
      <c r="G1667">
        <v>9</v>
      </c>
    </row>
    <row r="1668" spans="7:7">
      <c r="G1668">
        <v>10</v>
      </c>
    </row>
    <row r="1669" spans="7:7">
      <c r="G1669">
        <v>11</v>
      </c>
    </row>
    <row r="1670" spans="7:7">
      <c r="G1670">
        <v>12</v>
      </c>
    </row>
    <row r="1671" spans="7:7">
      <c r="G1671">
        <v>13</v>
      </c>
    </row>
    <row r="1672" spans="7:7">
      <c r="G1672">
        <v>14</v>
      </c>
    </row>
    <row r="1673" spans="7:7">
      <c r="G1673">
        <v>15</v>
      </c>
    </row>
    <row r="1674" spans="7:7">
      <c r="G1674">
        <v>16</v>
      </c>
    </row>
    <row r="1675" spans="7:7">
      <c r="G1675">
        <v>17</v>
      </c>
    </row>
    <row r="1676" spans="7:7">
      <c r="G1676">
        <v>18</v>
      </c>
    </row>
    <row r="1677" spans="7:7">
      <c r="G1677">
        <v>19</v>
      </c>
    </row>
    <row r="1678" spans="7:7">
      <c r="G1678">
        <v>20</v>
      </c>
    </row>
    <row r="1679" spans="7:7">
      <c r="G1679">
        <v>21</v>
      </c>
    </row>
    <row r="1680" spans="7:7">
      <c r="G1680">
        <v>22</v>
      </c>
    </row>
    <row r="1681" spans="7:7">
      <c r="G1681">
        <v>4</v>
      </c>
    </row>
    <row r="1682" spans="7:7">
      <c r="G1682">
        <v>5</v>
      </c>
    </row>
    <row r="1683" spans="7:7">
      <c r="G1683">
        <v>6</v>
      </c>
    </row>
    <row r="1684" spans="7:7">
      <c r="G1684">
        <v>7</v>
      </c>
    </row>
    <row r="1685" spans="7:7">
      <c r="G1685">
        <v>8</v>
      </c>
    </row>
    <row r="1686" spans="7:7">
      <c r="G1686">
        <v>9</v>
      </c>
    </row>
    <row r="1687" spans="7:7">
      <c r="G1687">
        <v>10</v>
      </c>
    </row>
    <row r="1688" spans="7:7">
      <c r="G1688">
        <v>11</v>
      </c>
    </row>
    <row r="1689" spans="7:7">
      <c r="G1689">
        <v>12</v>
      </c>
    </row>
    <row r="1690" spans="7:7">
      <c r="G1690">
        <v>13</v>
      </c>
    </row>
    <row r="1691" spans="7:7">
      <c r="G1691">
        <v>14</v>
      </c>
    </row>
    <row r="1692" spans="7:7">
      <c r="G1692">
        <v>15</v>
      </c>
    </row>
    <row r="1693" spans="7:7">
      <c r="G1693">
        <v>16</v>
      </c>
    </row>
    <row r="1694" spans="7:7">
      <c r="G1694">
        <v>17</v>
      </c>
    </row>
    <row r="1695" spans="7:7">
      <c r="G1695">
        <v>18</v>
      </c>
    </row>
    <row r="1696" spans="7:7">
      <c r="G1696">
        <v>19</v>
      </c>
    </row>
    <row r="1697" spans="7:7">
      <c r="G1697">
        <v>20</v>
      </c>
    </row>
    <row r="1698" spans="7:7">
      <c r="G1698">
        <v>21</v>
      </c>
    </row>
    <row r="1699" spans="7:7">
      <c r="G1699">
        <v>22</v>
      </c>
    </row>
    <row r="1700" spans="7:7">
      <c r="G1700">
        <v>4</v>
      </c>
    </row>
    <row r="1701" spans="7:7">
      <c r="G1701">
        <v>5</v>
      </c>
    </row>
    <row r="1702" spans="7:7">
      <c r="G1702">
        <v>6</v>
      </c>
    </row>
    <row r="1703" spans="7:7">
      <c r="G1703">
        <v>7</v>
      </c>
    </row>
    <row r="1704" spans="7:7">
      <c r="G1704">
        <v>8</v>
      </c>
    </row>
    <row r="1705" spans="7:7">
      <c r="G1705">
        <v>9</v>
      </c>
    </row>
    <row r="1706" spans="7:7">
      <c r="G1706">
        <v>10</v>
      </c>
    </row>
    <row r="1707" spans="7:7">
      <c r="G1707">
        <v>11</v>
      </c>
    </row>
    <row r="1708" spans="7:7">
      <c r="G1708">
        <v>12</v>
      </c>
    </row>
    <row r="1709" spans="7:7">
      <c r="G1709">
        <v>13</v>
      </c>
    </row>
    <row r="1710" spans="7:7">
      <c r="G1710">
        <v>14</v>
      </c>
    </row>
    <row r="1711" spans="7:7">
      <c r="G1711">
        <v>15</v>
      </c>
    </row>
    <row r="1712" spans="7:7">
      <c r="G1712">
        <v>16</v>
      </c>
    </row>
    <row r="1713" spans="7:7">
      <c r="G1713">
        <v>17</v>
      </c>
    </row>
    <row r="1714" spans="7:7">
      <c r="G1714">
        <v>18</v>
      </c>
    </row>
    <row r="1715" spans="7:7">
      <c r="G1715">
        <v>19</v>
      </c>
    </row>
    <row r="1716" spans="7:7">
      <c r="G1716">
        <v>20</v>
      </c>
    </row>
    <row r="1717" spans="7:7">
      <c r="G1717">
        <v>21</v>
      </c>
    </row>
    <row r="1718" spans="7:7">
      <c r="G1718">
        <v>22</v>
      </c>
    </row>
    <row r="1719" spans="7:7">
      <c r="G1719">
        <v>4</v>
      </c>
    </row>
    <row r="1720" spans="7:7">
      <c r="G1720">
        <v>5</v>
      </c>
    </row>
    <row r="1721" spans="7:7">
      <c r="G1721">
        <v>6</v>
      </c>
    </row>
    <row r="1722" spans="7:7">
      <c r="G1722">
        <v>7</v>
      </c>
    </row>
    <row r="1723" spans="7:7">
      <c r="G1723">
        <v>8</v>
      </c>
    </row>
    <row r="1724" spans="7:7">
      <c r="G1724">
        <v>9</v>
      </c>
    </row>
    <row r="1725" spans="7:7">
      <c r="G1725">
        <v>10</v>
      </c>
    </row>
    <row r="1726" spans="7:7">
      <c r="G1726">
        <v>11</v>
      </c>
    </row>
    <row r="1727" spans="7:7">
      <c r="G1727">
        <v>12</v>
      </c>
    </row>
    <row r="1728" spans="7:7">
      <c r="G1728">
        <v>13</v>
      </c>
    </row>
    <row r="1729" spans="7:7">
      <c r="G1729">
        <v>14</v>
      </c>
    </row>
    <row r="1730" spans="7:7">
      <c r="G1730">
        <v>15</v>
      </c>
    </row>
    <row r="1731" spans="7:7">
      <c r="G1731">
        <v>16</v>
      </c>
    </row>
    <row r="1732" spans="7:7">
      <c r="G1732">
        <v>17</v>
      </c>
    </row>
    <row r="1733" spans="7:7">
      <c r="G1733">
        <v>18</v>
      </c>
    </row>
    <row r="1734" spans="7:7">
      <c r="G1734">
        <v>19</v>
      </c>
    </row>
    <row r="1735" spans="7:7">
      <c r="G1735">
        <v>20</v>
      </c>
    </row>
    <row r="1736" spans="7:7">
      <c r="G1736">
        <v>21</v>
      </c>
    </row>
    <row r="1737" spans="7:7">
      <c r="G1737">
        <v>22</v>
      </c>
    </row>
    <row r="1738" spans="7:7">
      <c r="G1738">
        <v>4</v>
      </c>
    </row>
    <row r="1739" spans="7:7">
      <c r="G1739">
        <v>5</v>
      </c>
    </row>
    <row r="1740" spans="7:7">
      <c r="G1740">
        <v>6</v>
      </c>
    </row>
    <row r="1741" spans="7:7">
      <c r="G1741">
        <v>7</v>
      </c>
    </row>
    <row r="1742" spans="7:7">
      <c r="G1742">
        <v>8</v>
      </c>
    </row>
    <row r="1743" spans="7:7">
      <c r="G1743">
        <v>9</v>
      </c>
    </row>
    <row r="1744" spans="7:7">
      <c r="G1744">
        <v>10</v>
      </c>
    </row>
    <row r="1745" spans="7:7">
      <c r="G1745">
        <v>11</v>
      </c>
    </row>
    <row r="1746" spans="7:7">
      <c r="G1746">
        <v>12</v>
      </c>
    </row>
    <row r="1747" spans="7:7">
      <c r="G1747">
        <v>13</v>
      </c>
    </row>
    <row r="1748" spans="7:7">
      <c r="G1748">
        <v>14</v>
      </c>
    </row>
    <row r="1749" spans="7:7">
      <c r="G1749">
        <v>15</v>
      </c>
    </row>
    <row r="1750" spans="7:7">
      <c r="G1750">
        <v>16</v>
      </c>
    </row>
    <row r="1751" spans="7:7">
      <c r="G1751">
        <v>17</v>
      </c>
    </row>
    <row r="1752" spans="7:7">
      <c r="G1752">
        <v>18</v>
      </c>
    </row>
    <row r="1753" spans="7:7">
      <c r="G1753">
        <v>19</v>
      </c>
    </row>
    <row r="1754" spans="7:7">
      <c r="G1754">
        <v>20</v>
      </c>
    </row>
    <row r="1755" spans="7:7">
      <c r="G1755">
        <v>21</v>
      </c>
    </row>
    <row r="1756" spans="7:7">
      <c r="G1756">
        <v>22</v>
      </c>
    </row>
    <row r="1757" spans="7:7">
      <c r="G1757">
        <v>4</v>
      </c>
    </row>
    <row r="1758" spans="7:7">
      <c r="G1758">
        <v>5</v>
      </c>
    </row>
    <row r="1759" spans="7:7">
      <c r="G1759">
        <v>6</v>
      </c>
    </row>
    <row r="1760" spans="7:7">
      <c r="G1760">
        <v>7</v>
      </c>
    </row>
    <row r="1761" spans="7:7">
      <c r="G1761">
        <v>8</v>
      </c>
    </row>
    <row r="1762" spans="7:7">
      <c r="G1762">
        <v>9</v>
      </c>
    </row>
    <row r="1763" spans="7:7">
      <c r="G1763">
        <v>10</v>
      </c>
    </row>
    <row r="1764" spans="7:7">
      <c r="G1764">
        <v>11</v>
      </c>
    </row>
    <row r="1765" spans="7:7">
      <c r="G1765">
        <v>12</v>
      </c>
    </row>
    <row r="1766" spans="7:7">
      <c r="G1766">
        <v>13</v>
      </c>
    </row>
    <row r="1767" spans="7:7">
      <c r="G1767">
        <v>14</v>
      </c>
    </row>
    <row r="1768" spans="7:7">
      <c r="G1768">
        <v>15</v>
      </c>
    </row>
    <row r="1769" spans="7:7">
      <c r="G1769">
        <v>16</v>
      </c>
    </row>
    <row r="1770" spans="7:7">
      <c r="G1770">
        <v>17</v>
      </c>
    </row>
    <row r="1771" spans="7:7">
      <c r="G1771">
        <v>18</v>
      </c>
    </row>
    <row r="1772" spans="7:7">
      <c r="G1772">
        <v>19</v>
      </c>
    </row>
    <row r="1773" spans="7:7">
      <c r="G1773">
        <v>20</v>
      </c>
    </row>
    <row r="1774" spans="7:7">
      <c r="G1774">
        <v>21</v>
      </c>
    </row>
    <row r="1775" spans="7:7">
      <c r="G1775">
        <v>22</v>
      </c>
    </row>
    <row r="1776" spans="7:7">
      <c r="G1776">
        <v>4</v>
      </c>
    </row>
    <row r="1777" spans="7:7">
      <c r="G1777">
        <v>5</v>
      </c>
    </row>
    <row r="1778" spans="7:7">
      <c r="G1778">
        <v>6</v>
      </c>
    </row>
    <row r="1779" spans="7:7">
      <c r="G1779">
        <v>7</v>
      </c>
    </row>
    <row r="1780" spans="7:7">
      <c r="G1780">
        <v>8</v>
      </c>
    </row>
    <row r="1781" spans="7:7">
      <c r="G1781">
        <v>9</v>
      </c>
    </row>
    <row r="1782" spans="7:7">
      <c r="G1782">
        <v>10</v>
      </c>
    </row>
    <row r="1783" spans="7:7">
      <c r="G1783">
        <v>11</v>
      </c>
    </row>
    <row r="1784" spans="7:7">
      <c r="G1784">
        <v>12</v>
      </c>
    </row>
    <row r="1785" spans="7:7">
      <c r="G1785">
        <v>13</v>
      </c>
    </row>
    <row r="1786" spans="7:7">
      <c r="G1786">
        <v>14</v>
      </c>
    </row>
    <row r="1787" spans="7:7">
      <c r="G1787">
        <v>15</v>
      </c>
    </row>
    <row r="1788" spans="7:7">
      <c r="G1788">
        <v>16</v>
      </c>
    </row>
    <row r="1789" spans="7:7">
      <c r="G1789">
        <v>17</v>
      </c>
    </row>
    <row r="1790" spans="7:7">
      <c r="G1790">
        <v>18</v>
      </c>
    </row>
    <row r="1791" spans="7:7">
      <c r="G1791">
        <v>19</v>
      </c>
    </row>
    <row r="1792" spans="7:7">
      <c r="G1792">
        <v>20</v>
      </c>
    </row>
    <row r="1793" spans="7:7">
      <c r="G1793">
        <v>21</v>
      </c>
    </row>
    <row r="1794" spans="7:7">
      <c r="G1794">
        <v>22</v>
      </c>
    </row>
    <row r="1795" spans="7:7">
      <c r="G1795">
        <v>4</v>
      </c>
    </row>
    <row r="1796" spans="7:7">
      <c r="G1796">
        <v>5</v>
      </c>
    </row>
    <row r="1797" spans="7:7">
      <c r="G1797">
        <v>6</v>
      </c>
    </row>
    <row r="1798" spans="7:7">
      <c r="G1798">
        <v>7</v>
      </c>
    </row>
    <row r="1799" spans="7:7">
      <c r="G1799">
        <v>8</v>
      </c>
    </row>
    <row r="1800" spans="7:7">
      <c r="G1800">
        <v>9</v>
      </c>
    </row>
    <row r="1801" spans="7:7">
      <c r="G1801">
        <v>10</v>
      </c>
    </row>
    <row r="1802" spans="7:7">
      <c r="G1802">
        <v>11</v>
      </c>
    </row>
    <row r="1803" spans="7:7">
      <c r="G1803">
        <v>12</v>
      </c>
    </row>
    <row r="1804" spans="7:7">
      <c r="G1804">
        <v>13</v>
      </c>
    </row>
    <row r="1805" spans="7:7">
      <c r="G1805">
        <v>14</v>
      </c>
    </row>
    <row r="1806" spans="7:7">
      <c r="G1806">
        <v>15</v>
      </c>
    </row>
    <row r="1807" spans="7:7">
      <c r="G1807">
        <v>16</v>
      </c>
    </row>
    <row r="1808" spans="7:7">
      <c r="G1808">
        <v>17</v>
      </c>
    </row>
    <row r="1809" spans="7:7">
      <c r="G1809">
        <v>18</v>
      </c>
    </row>
    <row r="1810" spans="7:7">
      <c r="G1810">
        <v>19</v>
      </c>
    </row>
    <row r="1811" spans="7:7">
      <c r="G1811">
        <v>20</v>
      </c>
    </row>
    <row r="1812" spans="7:7">
      <c r="G1812">
        <v>21</v>
      </c>
    </row>
    <row r="1813" spans="7:7">
      <c r="G1813">
        <v>22</v>
      </c>
    </row>
    <row r="1814" spans="7:7">
      <c r="G1814">
        <v>4</v>
      </c>
    </row>
    <row r="1815" spans="7:7">
      <c r="G1815">
        <v>5</v>
      </c>
    </row>
    <row r="1816" spans="7:7">
      <c r="G1816">
        <v>6</v>
      </c>
    </row>
    <row r="1817" spans="7:7">
      <c r="G1817">
        <v>7</v>
      </c>
    </row>
    <row r="1818" spans="7:7">
      <c r="G1818">
        <v>8</v>
      </c>
    </row>
    <row r="1819" spans="7:7">
      <c r="G1819">
        <v>9</v>
      </c>
    </row>
    <row r="1820" spans="7:7">
      <c r="G1820">
        <v>10</v>
      </c>
    </row>
    <row r="1821" spans="7:7">
      <c r="G1821">
        <v>11</v>
      </c>
    </row>
    <row r="1822" spans="7:7">
      <c r="G1822">
        <v>12</v>
      </c>
    </row>
    <row r="1823" spans="7:7">
      <c r="G1823">
        <v>13</v>
      </c>
    </row>
    <row r="1824" spans="7:7">
      <c r="G1824">
        <v>14</v>
      </c>
    </row>
    <row r="1825" spans="7:7">
      <c r="G1825">
        <v>15</v>
      </c>
    </row>
    <row r="1826" spans="7:7">
      <c r="G1826">
        <v>16</v>
      </c>
    </row>
    <row r="1827" spans="7:7">
      <c r="G1827">
        <v>17</v>
      </c>
    </row>
    <row r="1828" spans="7:7">
      <c r="G1828">
        <v>18</v>
      </c>
    </row>
    <row r="1829" spans="7:7">
      <c r="G1829">
        <v>19</v>
      </c>
    </row>
    <row r="1830" spans="7:7">
      <c r="G1830">
        <v>20</v>
      </c>
    </row>
    <row r="1831" spans="7:7">
      <c r="G1831">
        <v>21</v>
      </c>
    </row>
    <row r="1832" spans="7:7">
      <c r="G1832">
        <v>22</v>
      </c>
    </row>
    <row r="1833" spans="7:7">
      <c r="G1833">
        <v>4</v>
      </c>
    </row>
    <row r="1834" spans="7:7">
      <c r="G1834">
        <v>5</v>
      </c>
    </row>
    <row r="1835" spans="7:7">
      <c r="G1835">
        <v>6</v>
      </c>
    </row>
    <row r="1836" spans="7:7">
      <c r="G1836">
        <v>7</v>
      </c>
    </row>
    <row r="1837" spans="7:7">
      <c r="G1837">
        <v>8</v>
      </c>
    </row>
    <row r="1838" spans="7:7">
      <c r="G1838">
        <v>9</v>
      </c>
    </row>
    <row r="1839" spans="7:7">
      <c r="G1839">
        <v>10</v>
      </c>
    </row>
    <row r="1840" spans="7:7">
      <c r="G1840">
        <v>11</v>
      </c>
    </row>
    <row r="1841" spans="7:7">
      <c r="G1841">
        <v>12</v>
      </c>
    </row>
    <row r="1842" spans="7:7">
      <c r="G1842">
        <v>13</v>
      </c>
    </row>
    <row r="1843" spans="7:7">
      <c r="G1843">
        <v>14</v>
      </c>
    </row>
    <row r="1844" spans="7:7">
      <c r="G1844">
        <v>15</v>
      </c>
    </row>
    <row r="1845" spans="7:7">
      <c r="G1845">
        <v>16</v>
      </c>
    </row>
    <row r="1846" spans="7:7">
      <c r="G1846">
        <v>17</v>
      </c>
    </row>
    <row r="1847" spans="7:7">
      <c r="G1847">
        <v>18</v>
      </c>
    </row>
    <row r="1848" spans="7:7">
      <c r="G1848">
        <v>19</v>
      </c>
    </row>
    <row r="1849" spans="7:7">
      <c r="G1849">
        <v>20</v>
      </c>
    </row>
    <row r="1850" spans="7:7">
      <c r="G1850">
        <v>21</v>
      </c>
    </row>
    <row r="1851" spans="7:7">
      <c r="G1851">
        <v>22</v>
      </c>
    </row>
    <row r="1852" spans="7:7">
      <c r="G1852">
        <v>4</v>
      </c>
    </row>
    <row r="1853" spans="7:7">
      <c r="G1853">
        <v>5</v>
      </c>
    </row>
    <row r="1854" spans="7:7">
      <c r="G1854">
        <v>6</v>
      </c>
    </row>
    <row r="1855" spans="7:7">
      <c r="G1855">
        <v>7</v>
      </c>
    </row>
    <row r="1856" spans="7:7">
      <c r="G1856">
        <v>8</v>
      </c>
    </row>
    <row r="1857" spans="7:7">
      <c r="G1857">
        <v>9</v>
      </c>
    </row>
    <row r="1858" spans="7:7">
      <c r="G1858">
        <v>10</v>
      </c>
    </row>
    <row r="1859" spans="7:7">
      <c r="G1859">
        <v>11</v>
      </c>
    </row>
    <row r="1860" spans="7:7">
      <c r="G1860">
        <v>12</v>
      </c>
    </row>
    <row r="1861" spans="7:7">
      <c r="G1861">
        <v>13</v>
      </c>
    </row>
    <row r="1862" spans="7:7">
      <c r="G1862">
        <v>14</v>
      </c>
    </row>
    <row r="1863" spans="7:7">
      <c r="G1863">
        <v>15</v>
      </c>
    </row>
    <row r="1864" spans="7:7">
      <c r="G1864">
        <v>16</v>
      </c>
    </row>
    <row r="1865" spans="7:7">
      <c r="G1865">
        <v>17</v>
      </c>
    </row>
    <row r="1866" spans="7:7">
      <c r="G1866">
        <v>18</v>
      </c>
    </row>
    <row r="1867" spans="7:7">
      <c r="G1867">
        <v>19</v>
      </c>
    </row>
    <row r="1868" spans="7:7">
      <c r="G1868">
        <v>20</v>
      </c>
    </row>
    <row r="1869" spans="7:7">
      <c r="G1869">
        <v>21</v>
      </c>
    </row>
    <row r="1870" spans="7:7">
      <c r="G1870">
        <v>22</v>
      </c>
    </row>
    <row r="1871" spans="7:7">
      <c r="G1871">
        <v>4</v>
      </c>
    </row>
    <row r="1872" spans="7:7">
      <c r="G1872">
        <v>5</v>
      </c>
    </row>
    <row r="1873" spans="7:7">
      <c r="G1873">
        <v>6</v>
      </c>
    </row>
    <row r="1874" spans="7:7">
      <c r="G1874">
        <v>7</v>
      </c>
    </row>
    <row r="1875" spans="7:7">
      <c r="G1875">
        <v>8</v>
      </c>
    </row>
    <row r="1876" spans="7:7">
      <c r="G1876">
        <v>9</v>
      </c>
    </row>
    <row r="1877" spans="7:7">
      <c r="G1877">
        <v>10</v>
      </c>
    </row>
    <row r="1878" spans="7:7">
      <c r="G1878">
        <v>11</v>
      </c>
    </row>
    <row r="1879" spans="7:7">
      <c r="G1879">
        <v>12</v>
      </c>
    </row>
    <row r="1880" spans="7:7">
      <c r="G1880">
        <v>13</v>
      </c>
    </row>
    <row r="1881" spans="7:7">
      <c r="G1881">
        <v>14</v>
      </c>
    </row>
    <row r="1882" spans="7:7">
      <c r="G1882">
        <v>15</v>
      </c>
    </row>
    <row r="1883" spans="7:7">
      <c r="G1883">
        <v>16</v>
      </c>
    </row>
    <row r="1884" spans="7:7">
      <c r="G1884">
        <v>17</v>
      </c>
    </row>
    <row r="1885" spans="7:7">
      <c r="G1885">
        <v>18</v>
      </c>
    </row>
    <row r="1886" spans="7:7">
      <c r="G1886">
        <v>19</v>
      </c>
    </row>
    <row r="1887" spans="7:7">
      <c r="G1887">
        <v>20</v>
      </c>
    </row>
    <row r="1888" spans="7:7">
      <c r="G1888">
        <v>21</v>
      </c>
    </row>
    <row r="1889" spans="7:7">
      <c r="G1889">
        <v>22</v>
      </c>
    </row>
    <row r="1890" spans="7:7">
      <c r="G1890">
        <v>4</v>
      </c>
    </row>
    <row r="1891" spans="7:7">
      <c r="G1891">
        <v>5</v>
      </c>
    </row>
    <row r="1892" spans="7:7">
      <c r="G1892">
        <v>6</v>
      </c>
    </row>
    <row r="1893" spans="7:7">
      <c r="G1893">
        <v>7</v>
      </c>
    </row>
    <row r="1894" spans="7:7">
      <c r="G1894">
        <v>8</v>
      </c>
    </row>
    <row r="1895" spans="7:7">
      <c r="G1895">
        <v>9</v>
      </c>
    </row>
    <row r="1896" spans="7:7">
      <c r="G1896">
        <v>10</v>
      </c>
    </row>
    <row r="1897" spans="7:7">
      <c r="G1897">
        <v>11</v>
      </c>
    </row>
    <row r="1898" spans="7:7">
      <c r="G1898">
        <v>12</v>
      </c>
    </row>
    <row r="1899" spans="7:7">
      <c r="G1899">
        <v>13</v>
      </c>
    </row>
    <row r="1900" spans="7:7">
      <c r="G1900">
        <v>14</v>
      </c>
    </row>
    <row r="1901" spans="7:7">
      <c r="G1901">
        <v>15</v>
      </c>
    </row>
    <row r="1902" spans="7:7">
      <c r="G1902">
        <v>16</v>
      </c>
    </row>
    <row r="1903" spans="7:7">
      <c r="G1903">
        <v>17</v>
      </c>
    </row>
    <row r="1904" spans="7:7">
      <c r="G1904">
        <v>18</v>
      </c>
    </row>
    <row r="1905" spans="7:7">
      <c r="G1905">
        <v>19</v>
      </c>
    </row>
    <row r="1906" spans="7:7">
      <c r="G1906">
        <v>20</v>
      </c>
    </row>
    <row r="1907" spans="7:7">
      <c r="G1907">
        <v>21</v>
      </c>
    </row>
    <row r="1908" spans="7:7">
      <c r="G1908">
        <v>22</v>
      </c>
    </row>
    <row r="1909" spans="7:7">
      <c r="G1909">
        <v>4</v>
      </c>
    </row>
    <row r="1910" spans="7:7">
      <c r="G1910">
        <v>5</v>
      </c>
    </row>
    <row r="1911" spans="7:7">
      <c r="G1911">
        <v>6</v>
      </c>
    </row>
    <row r="1912" spans="7:7">
      <c r="G1912">
        <v>7</v>
      </c>
    </row>
    <row r="1913" spans="7:7">
      <c r="G1913">
        <v>8</v>
      </c>
    </row>
    <row r="1914" spans="7:7">
      <c r="G1914">
        <v>9</v>
      </c>
    </row>
    <row r="1915" spans="7:7">
      <c r="G1915">
        <v>10</v>
      </c>
    </row>
    <row r="1916" spans="7:7">
      <c r="G1916">
        <v>11</v>
      </c>
    </row>
    <row r="1917" spans="7:7">
      <c r="G1917">
        <v>12</v>
      </c>
    </row>
    <row r="1918" spans="7:7">
      <c r="G1918">
        <v>13</v>
      </c>
    </row>
    <row r="1919" spans="7:7">
      <c r="G1919">
        <v>14</v>
      </c>
    </row>
    <row r="1920" spans="7:7">
      <c r="G1920">
        <v>15</v>
      </c>
    </row>
    <row r="1921" spans="7:7">
      <c r="G1921">
        <v>16</v>
      </c>
    </row>
    <row r="1922" spans="7:7">
      <c r="G1922">
        <v>17</v>
      </c>
    </row>
    <row r="1923" spans="7:7">
      <c r="G1923">
        <v>18</v>
      </c>
    </row>
    <row r="1924" spans="7:7">
      <c r="G1924">
        <v>19</v>
      </c>
    </row>
    <row r="1925" spans="7:7">
      <c r="G1925">
        <v>20</v>
      </c>
    </row>
    <row r="1926" spans="7:7">
      <c r="G1926">
        <v>21</v>
      </c>
    </row>
    <row r="1927" spans="7:7">
      <c r="G1927">
        <v>22</v>
      </c>
    </row>
    <row r="1928" spans="7:7">
      <c r="G1928">
        <v>4</v>
      </c>
    </row>
    <row r="1929" spans="7:7">
      <c r="G1929">
        <v>5</v>
      </c>
    </row>
    <row r="1930" spans="7:7">
      <c r="G1930">
        <v>6</v>
      </c>
    </row>
    <row r="1931" spans="7:7">
      <c r="G1931">
        <v>7</v>
      </c>
    </row>
    <row r="1932" spans="7:7">
      <c r="G1932">
        <v>8</v>
      </c>
    </row>
    <row r="1933" spans="7:7">
      <c r="G1933">
        <v>9</v>
      </c>
    </row>
    <row r="1934" spans="7:7">
      <c r="G1934">
        <v>10</v>
      </c>
    </row>
    <row r="1935" spans="7:7">
      <c r="G1935">
        <v>11</v>
      </c>
    </row>
    <row r="1936" spans="7:7">
      <c r="G1936">
        <v>12</v>
      </c>
    </row>
    <row r="1937" spans="7:7">
      <c r="G1937">
        <v>13</v>
      </c>
    </row>
    <row r="1938" spans="7:7">
      <c r="G1938">
        <v>14</v>
      </c>
    </row>
    <row r="1939" spans="7:7">
      <c r="G1939">
        <v>15</v>
      </c>
    </row>
    <row r="1940" spans="7:7">
      <c r="G1940">
        <v>16</v>
      </c>
    </row>
    <row r="1941" spans="7:7">
      <c r="G1941">
        <v>17</v>
      </c>
    </row>
    <row r="1942" spans="7:7">
      <c r="G1942">
        <v>18</v>
      </c>
    </row>
    <row r="1943" spans="7:7">
      <c r="G1943">
        <v>19</v>
      </c>
    </row>
    <row r="1944" spans="7:7">
      <c r="G1944">
        <v>20</v>
      </c>
    </row>
    <row r="1945" spans="7:7">
      <c r="G1945">
        <v>21</v>
      </c>
    </row>
    <row r="1946" spans="7:7">
      <c r="G1946">
        <v>22</v>
      </c>
    </row>
    <row r="1947" spans="7:7">
      <c r="G1947">
        <v>4</v>
      </c>
    </row>
    <row r="1948" spans="7:7">
      <c r="G1948">
        <v>5</v>
      </c>
    </row>
    <row r="1949" spans="7:7">
      <c r="G1949">
        <v>6</v>
      </c>
    </row>
    <row r="1950" spans="7:7">
      <c r="G1950">
        <v>7</v>
      </c>
    </row>
    <row r="1951" spans="7:7">
      <c r="G1951">
        <v>8</v>
      </c>
    </row>
    <row r="1952" spans="7:7">
      <c r="G1952">
        <v>9</v>
      </c>
    </row>
    <row r="1953" spans="7:7">
      <c r="G1953">
        <v>10</v>
      </c>
    </row>
    <row r="1954" spans="7:7">
      <c r="G1954">
        <v>11</v>
      </c>
    </row>
    <row r="1955" spans="7:7">
      <c r="G1955">
        <v>12</v>
      </c>
    </row>
    <row r="1956" spans="7:7">
      <c r="G1956">
        <v>13</v>
      </c>
    </row>
    <row r="1957" spans="7:7">
      <c r="G1957">
        <v>14</v>
      </c>
    </row>
    <row r="1958" spans="7:7">
      <c r="G1958">
        <v>15</v>
      </c>
    </row>
    <row r="1959" spans="7:7">
      <c r="G1959">
        <v>16</v>
      </c>
    </row>
    <row r="1960" spans="7:7">
      <c r="G1960">
        <v>17</v>
      </c>
    </row>
    <row r="1961" spans="7:7">
      <c r="G1961">
        <v>18</v>
      </c>
    </row>
    <row r="1962" spans="7:7">
      <c r="G1962">
        <v>19</v>
      </c>
    </row>
    <row r="1963" spans="7:7">
      <c r="G1963">
        <v>20</v>
      </c>
    </row>
    <row r="1964" spans="7:7">
      <c r="G1964">
        <v>21</v>
      </c>
    </row>
    <row r="1965" spans="7:7">
      <c r="G1965">
        <v>22</v>
      </c>
    </row>
    <row r="1966" spans="7:7">
      <c r="G1966">
        <v>4</v>
      </c>
    </row>
    <row r="1967" spans="7:7">
      <c r="G1967">
        <v>5</v>
      </c>
    </row>
    <row r="1968" spans="7:7">
      <c r="G1968">
        <v>6</v>
      </c>
    </row>
    <row r="1969" spans="7:7">
      <c r="G1969">
        <v>7</v>
      </c>
    </row>
    <row r="1970" spans="7:7">
      <c r="G1970">
        <v>8</v>
      </c>
    </row>
    <row r="1971" spans="7:7">
      <c r="G1971">
        <v>9</v>
      </c>
    </row>
    <row r="1972" spans="7:7">
      <c r="G1972">
        <v>10</v>
      </c>
    </row>
    <row r="1973" spans="7:7">
      <c r="G1973">
        <v>11</v>
      </c>
    </row>
    <row r="1974" spans="7:7">
      <c r="G1974">
        <v>12</v>
      </c>
    </row>
    <row r="1975" spans="7:7">
      <c r="G1975">
        <v>13</v>
      </c>
    </row>
    <row r="1976" spans="7:7">
      <c r="G1976">
        <v>14</v>
      </c>
    </row>
    <row r="1977" spans="7:7">
      <c r="G1977">
        <v>15</v>
      </c>
    </row>
    <row r="1978" spans="7:7">
      <c r="G1978">
        <v>16</v>
      </c>
    </row>
    <row r="1979" spans="7:7">
      <c r="G1979">
        <v>17</v>
      </c>
    </row>
    <row r="1980" spans="7:7">
      <c r="G1980">
        <v>18</v>
      </c>
    </row>
    <row r="1981" spans="7:7">
      <c r="G1981">
        <v>19</v>
      </c>
    </row>
    <row r="1982" spans="7:7">
      <c r="G1982">
        <v>20</v>
      </c>
    </row>
    <row r="1983" spans="7:7">
      <c r="G1983">
        <v>21</v>
      </c>
    </row>
    <row r="1984" spans="7:7">
      <c r="G1984">
        <v>22</v>
      </c>
    </row>
    <row r="1985" spans="7:7">
      <c r="G1985">
        <v>4</v>
      </c>
    </row>
    <row r="1986" spans="7:7">
      <c r="G1986">
        <v>5</v>
      </c>
    </row>
    <row r="1987" spans="7:7">
      <c r="G1987">
        <v>6</v>
      </c>
    </row>
    <row r="1988" spans="7:7">
      <c r="G1988">
        <v>7</v>
      </c>
    </row>
    <row r="1989" spans="7:7">
      <c r="G1989">
        <v>8</v>
      </c>
    </row>
    <row r="1990" spans="7:7">
      <c r="G1990">
        <v>9</v>
      </c>
    </row>
    <row r="1991" spans="7:7">
      <c r="G1991">
        <v>10</v>
      </c>
    </row>
    <row r="1992" spans="7:7">
      <c r="G1992">
        <v>11</v>
      </c>
    </row>
    <row r="1993" spans="7:7">
      <c r="G1993">
        <v>12</v>
      </c>
    </row>
    <row r="1994" spans="7:7">
      <c r="G1994">
        <v>13</v>
      </c>
    </row>
    <row r="1995" spans="7:7">
      <c r="G1995">
        <v>14</v>
      </c>
    </row>
    <row r="1996" spans="7:7">
      <c r="G1996">
        <v>15</v>
      </c>
    </row>
    <row r="1997" spans="7:7">
      <c r="G1997">
        <v>16</v>
      </c>
    </row>
    <row r="1998" spans="7:7">
      <c r="G1998">
        <v>17</v>
      </c>
    </row>
    <row r="1999" spans="7:7">
      <c r="G1999">
        <v>18</v>
      </c>
    </row>
    <row r="2000" spans="7:7">
      <c r="G2000">
        <v>19</v>
      </c>
    </row>
    <row r="2001" spans="7:7">
      <c r="G2001">
        <v>20</v>
      </c>
    </row>
    <row r="2002" spans="7:7">
      <c r="G2002">
        <v>21</v>
      </c>
    </row>
    <row r="2003" spans="7:7">
      <c r="G2003">
        <v>22</v>
      </c>
    </row>
    <row r="2004" spans="7:7">
      <c r="G2004">
        <v>4</v>
      </c>
    </row>
    <row r="2005" spans="7:7">
      <c r="G2005">
        <v>5</v>
      </c>
    </row>
    <row r="2006" spans="7:7">
      <c r="G2006">
        <v>6</v>
      </c>
    </row>
    <row r="2007" spans="7:7">
      <c r="G2007">
        <v>7</v>
      </c>
    </row>
    <row r="2008" spans="7:7">
      <c r="G2008">
        <v>8</v>
      </c>
    </row>
    <row r="2009" spans="7:7">
      <c r="G2009">
        <v>9</v>
      </c>
    </row>
    <row r="2010" spans="7:7">
      <c r="G2010">
        <v>10</v>
      </c>
    </row>
    <row r="2011" spans="7:7">
      <c r="G2011">
        <v>11</v>
      </c>
    </row>
    <row r="2012" spans="7:7">
      <c r="G2012">
        <v>12</v>
      </c>
    </row>
    <row r="2013" spans="7:7">
      <c r="G2013">
        <v>13</v>
      </c>
    </row>
    <row r="2014" spans="7:7">
      <c r="G2014">
        <v>14</v>
      </c>
    </row>
    <row r="2015" spans="7:7">
      <c r="G2015">
        <v>15</v>
      </c>
    </row>
    <row r="2016" spans="7:7">
      <c r="G2016">
        <v>16</v>
      </c>
    </row>
    <row r="2017" spans="7:7">
      <c r="G2017">
        <v>17</v>
      </c>
    </row>
    <row r="2018" spans="7:7">
      <c r="G2018">
        <v>18</v>
      </c>
    </row>
    <row r="2019" spans="7:7">
      <c r="G2019">
        <v>19</v>
      </c>
    </row>
    <row r="2020" spans="7:7">
      <c r="G2020">
        <v>20</v>
      </c>
    </row>
    <row r="2021" spans="7:7">
      <c r="G2021">
        <v>21</v>
      </c>
    </row>
    <row r="2022" spans="7:7">
      <c r="G2022">
        <v>22</v>
      </c>
    </row>
    <row r="2023" spans="7:7">
      <c r="G2023">
        <v>4</v>
      </c>
    </row>
    <row r="2024" spans="7:7">
      <c r="G2024">
        <v>5</v>
      </c>
    </row>
    <row r="2025" spans="7:7">
      <c r="G2025">
        <v>6</v>
      </c>
    </row>
    <row r="2026" spans="7:7">
      <c r="G2026">
        <v>7</v>
      </c>
    </row>
    <row r="2027" spans="7:7">
      <c r="G2027">
        <v>8</v>
      </c>
    </row>
    <row r="2028" spans="7:7">
      <c r="G2028">
        <v>9</v>
      </c>
    </row>
    <row r="2029" spans="7:7">
      <c r="G2029">
        <v>10</v>
      </c>
    </row>
    <row r="2030" spans="7:7">
      <c r="G2030">
        <v>11</v>
      </c>
    </row>
    <row r="2031" spans="7:7">
      <c r="G2031">
        <v>12</v>
      </c>
    </row>
    <row r="2032" spans="7:7">
      <c r="G2032">
        <v>13</v>
      </c>
    </row>
    <row r="2033" spans="7:7">
      <c r="G2033">
        <v>14</v>
      </c>
    </row>
    <row r="2034" spans="7:7">
      <c r="G2034">
        <v>15</v>
      </c>
    </row>
    <row r="2035" spans="7:7">
      <c r="G2035">
        <v>16</v>
      </c>
    </row>
    <row r="2036" spans="7:7">
      <c r="G2036">
        <v>17</v>
      </c>
    </row>
    <row r="2037" spans="7:7">
      <c r="G2037">
        <v>18</v>
      </c>
    </row>
    <row r="2038" spans="7:7">
      <c r="G2038">
        <v>19</v>
      </c>
    </row>
    <row r="2039" spans="7:7">
      <c r="G2039">
        <v>20</v>
      </c>
    </row>
    <row r="2040" spans="7:7">
      <c r="G2040">
        <v>21</v>
      </c>
    </row>
    <row r="2041" spans="7:7">
      <c r="G2041">
        <v>22</v>
      </c>
    </row>
    <row r="2042" spans="7:7">
      <c r="G2042">
        <v>4</v>
      </c>
    </row>
    <row r="2043" spans="7:7">
      <c r="G2043">
        <v>5</v>
      </c>
    </row>
    <row r="2044" spans="7:7">
      <c r="G2044">
        <v>6</v>
      </c>
    </row>
    <row r="2045" spans="7:7">
      <c r="G2045">
        <v>7</v>
      </c>
    </row>
    <row r="2046" spans="7:7">
      <c r="G2046">
        <v>8</v>
      </c>
    </row>
    <row r="2047" spans="7:7">
      <c r="G2047">
        <v>9</v>
      </c>
    </row>
    <row r="2048" spans="7:7">
      <c r="G2048">
        <v>10</v>
      </c>
    </row>
    <row r="2049" spans="7:7">
      <c r="G2049">
        <v>11</v>
      </c>
    </row>
    <row r="2050" spans="7:7">
      <c r="G2050">
        <v>12</v>
      </c>
    </row>
    <row r="2051" spans="7:7">
      <c r="G2051">
        <v>13</v>
      </c>
    </row>
    <row r="2052" spans="7:7">
      <c r="G2052">
        <v>14</v>
      </c>
    </row>
    <row r="2053" spans="7:7">
      <c r="G2053">
        <v>15</v>
      </c>
    </row>
    <row r="2054" spans="7:7">
      <c r="G2054">
        <v>16</v>
      </c>
    </row>
    <row r="2055" spans="7:7">
      <c r="G2055">
        <v>17</v>
      </c>
    </row>
    <row r="2056" spans="7:7">
      <c r="G2056">
        <v>18</v>
      </c>
    </row>
    <row r="2057" spans="7:7">
      <c r="G2057">
        <v>19</v>
      </c>
    </row>
    <row r="2058" spans="7:7">
      <c r="G2058">
        <v>20</v>
      </c>
    </row>
    <row r="2059" spans="7:7">
      <c r="G2059">
        <v>21</v>
      </c>
    </row>
    <row r="2060" spans="7:7">
      <c r="G2060">
        <v>22</v>
      </c>
    </row>
    <row r="2061" spans="7:7">
      <c r="G2061">
        <v>4</v>
      </c>
    </row>
    <row r="2062" spans="7:7">
      <c r="G2062">
        <v>5</v>
      </c>
    </row>
    <row r="2063" spans="7:7">
      <c r="G2063">
        <v>6</v>
      </c>
    </row>
    <row r="2064" spans="7:7">
      <c r="G2064">
        <v>7</v>
      </c>
    </row>
    <row r="2065" spans="7:7">
      <c r="G2065">
        <v>8</v>
      </c>
    </row>
    <row r="2066" spans="7:7">
      <c r="G2066">
        <v>9</v>
      </c>
    </row>
    <row r="2067" spans="7:7">
      <c r="G2067">
        <v>10</v>
      </c>
    </row>
    <row r="2068" spans="7:7">
      <c r="G2068">
        <v>11</v>
      </c>
    </row>
    <row r="2069" spans="7:7">
      <c r="G2069">
        <v>12</v>
      </c>
    </row>
    <row r="2070" spans="7:7">
      <c r="G2070">
        <v>13</v>
      </c>
    </row>
    <row r="2071" spans="7:7">
      <c r="G2071">
        <v>14</v>
      </c>
    </row>
    <row r="2072" spans="7:7">
      <c r="G2072">
        <v>15</v>
      </c>
    </row>
    <row r="2073" spans="7:7">
      <c r="G2073">
        <v>16</v>
      </c>
    </row>
    <row r="2074" spans="7:7">
      <c r="G2074">
        <v>17</v>
      </c>
    </row>
    <row r="2075" spans="7:7">
      <c r="G2075">
        <v>18</v>
      </c>
    </row>
    <row r="2076" spans="7:7">
      <c r="G2076">
        <v>19</v>
      </c>
    </row>
    <row r="2077" spans="7:7">
      <c r="G2077">
        <v>20</v>
      </c>
    </row>
    <row r="2078" spans="7:7">
      <c r="G2078">
        <v>21</v>
      </c>
    </row>
    <row r="2079" spans="7:7">
      <c r="G2079">
        <v>22</v>
      </c>
    </row>
    <row r="2080" spans="7:7">
      <c r="G2080">
        <v>4</v>
      </c>
    </row>
    <row r="2081" spans="7:7">
      <c r="G2081">
        <v>5</v>
      </c>
    </row>
    <row r="2082" spans="7:7">
      <c r="G2082">
        <v>6</v>
      </c>
    </row>
    <row r="2083" spans="7:7">
      <c r="G2083">
        <v>7</v>
      </c>
    </row>
    <row r="2084" spans="7:7">
      <c r="G2084">
        <v>8</v>
      </c>
    </row>
    <row r="2085" spans="7:7">
      <c r="G2085">
        <v>9</v>
      </c>
    </row>
    <row r="2086" spans="7:7">
      <c r="G2086">
        <v>10</v>
      </c>
    </row>
    <row r="2087" spans="7:7">
      <c r="G2087">
        <v>11</v>
      </c>
    </row>
    <row r="2088" spans="7:7">
      <c r="G2088">
        <v>12</v>
      </c>
    </row>
    <row r="2089" spans="7:7">
      <c r="G2089">
        <v>13</v>
      </c>
    </row>
    <row r="2090" spans="7:7">
      <c r="G2090">
        <v>14</v>
      </c>
    </row>
    <row r="2091" spans="7:7">
      <c r="G2091">
        <v>15</v>
      </c>
    </row>
    <row r="2092" spans="7:7">
      <c r="G2092">
        <v>16</v>
      </c>
    </row>
    <row r="2093" spans="7:7">
      <c r="G2093">
        <v>17</v>
      </c>
    </row>
    <row r="2094" spans="7:7">
      <c r="G2094">
        <v>18</v>
      </c>
    </row>
    <row r="2095" spans="7:7">
      <c r="G2095">
        <v>19</v>
      </c>
    </row>
    <row r="2096" spans="7:7">
      <c r="G2096">
        <v>20</v>
      </c>
    </row>
    <row r="2097" spans="7:7">
      <c r="G2097">
        <v>21</v>
      </c>
    </row>
    <row r="2098" spans="7:7">
      <c r="G2098">
        <v>22</v>
      </c>
    </row>
    <row r="2099" spans="7:7">
      <c r="G2099">
        <v>4</v>
      </c>
    </row>
    <row r="2100" spans="7:7">
      <c r="G2100">
        <v>5</v>
      </c>
    </row>
    <row r="2101" spans="7:7">
      <c r="G2101">
        <v>6</v>
      </c>
    </row>
    <row r="2102" spans="7:7">
      <c r="G2102">
        <v>7</v>
      </c>
    </row>
    <row r="2103" spans="7:7">
      <c r="G2103">
        <v>8</v>
      </c>
    </row>
    <row r="2104" spans="7:7">
      <c r="G2104">
        <v>9</v>
      </c>
    </row>
    <row r="2105" spans="7:7">
      <c r="G2105">
        <v>10</v>
      </c>
    </row>
    <row r="2106" spans="7:7">
      <c r="G2106">
        <v>11</v>
      </c>
    </row>
    <row r="2107" spans="7:7">
      <c r="G2107">
        <v>12</v>
      </c>
    </row>
    <row r="2108" spans="7:7">
      <c r="G2108">
        <v>13</v>
      </c>
    </row>
    <row r="2109" spans="7:7">
      <c r="G2109">
        <v>14</v>
      </c>
    </row>
    <row r="2110" spans="7:7">
      <c r="G2110">
        <v>15</v>
      </c>
    </row>
    <row r="2111" spans="7:7">
      <c r="G2111">
        <v>16</v>
      </c>
    </row>
    <row r="2112" spans="7:7">
      <c r="G2112">
        <v>17</v>
      </c>
    </row>
    <row r="2113" spans="7:7">
      <c r="G2113">
        <v>18</v>
      </c>
    </row>
    <row r="2114" spans="7:7">
      <c r="G2114">
        <v>19</v>
      </c>
    </row>
    <row r="2115" spans="7:7">
      <c r="G2115">
        <v>20</v>
      </c>
    </row>
    <row r="2116" spans="7:7">
      <c r="G2116">
        <v>21</v>
      </c>
    </row>
    <row r="2117" spans="7:7">
      <c r="G2117">
        <v>22</v>
      </c>
    </row>
    <row r="2118" spans="7:7">
      <c r="G2118">
        <v>4</v>
      </c>
    </row>
    <row r="2119" spans="7:7">
      <c r="G2119">
        <v>5</v>
      </c>
    </row>
    <row r="2120" spans="7:7">
      <c r="G2120">
        <v>6</v>
      </c>
    </row>
    <row r="2121" spans="7:7">
      <c r="G2121">
        <v>7</v>
      </c>
    </row>
    <row r="2122" spans="7:7">
      <c r="G2122">
        <v>8</v>
      </c>
    </row>
    <row r="2123" spans="7:7">
      <c r="G2123">
        <v>9</v>
      </c>
    </row>
    <row r="2124" spans="7:7">
      <c r="G2124">
        <v>10</v>
      </c>
    </row>
    <row r="2125" spans="7:7">
      <c r="G2125">
        <v>11</v>
      </c>
    </row>
    <row r="2126" spans="7:7">
      <c r="G2126">
        <v>12</v>
      </c>
    </row>
    <row r="2127" spans="7:7">
      <c r="G2127">
        <v>13</v>
      </c>
    </row>
    <row r="2128" spans="7:7">
      <c r="G2128">
        <v>14</v>
      </c>
    </row>
    <row r="2129" spans="7:7">
      <c r="G2129">
        <v>15</v>
      </c>
    </row>
    <row r="2130" spans="7:7">
      <c r="G2130">
        <v>16</v>
      </c>
    </row>
    <row r="2131" spans="7:7">
      <c r="G2131">
        <v>17</v>
      </c>
    </row>
    <row r="2132" spans="7:7">
      <c r="G2132">
        <v>18</v>
      </c>
    </row>
    <row r="2133" spans="7:7">
      <c r="G2133">
        <v>19</v>
      </c>
    </row>
    <row r="2134" spans="7:7">
      <c r="G2134">
        <v>20</v>
      </c>
    </row>
    <row r="2135" spans="7:7">
      <c r="G2135">
        <v>21</v>
      </c>
    </row>
    <row r="2136" spans="7:7">
      <c r="G2136">
        <v>22</v>
      </c>
    </row>
    <row r="2137" spans="7:7">
      <c r="G2137">
        <v>4</v>
      </c>
    </row>
    <row r="2138" spans="7:7">
      <c r="G2138">
        <v>5</v>
      </c>
    </row>
    <row r="2139" spans="7:7">
      <c r="G2139">
        <v>6</v>
      </c>
    </row>
    <row r="2140" spans="7:7">
      <c r="G2140">
        <v>7</v>
      </c>
    </row>
    <row r="2141" spans="7:7">
      <c r="G2141">
        <v>8</v>
      </c>
    </row>
    <row r="2142" spans="7:7">
      <c r="G2142">
        <v>9</v>
      </c>
    </row>
    <row r="2143" spans="7:7">
      <c r="G2143">
        <v>10</v>
      </c>
    </row>
    <row r="2144" spans="7:7">
      <c r="G2144">
        <v>11</v>
      </c>
    </row>
    <row r="2145" spans="7:7">
      <c r="G2145">
        <v>12</v>
      </c>
    </row>
    <row r="2146" spans="7:7">
      <c r="G2146">
        <v>13</v>
      </c>
    </row>
    <row r="2147" spans="7:7">
      <c r="G2147">
        <v>14</v>
      </c>
    </row>
    <row r="2148" spans="7:7">
      <c r="G2148">
        <v>15</v>
      </c>
    </row>
    <row r="2149" spans="7:7">
      <c r="G2149">
        <v>16</v>
      </c>
    </row>
    <row r="2150" spans="7:7">
      <c r="G2150">
        <v>17</v>
      </c>
    </row>
    <row r="2151" spans="7:7">
      <c r="G2151">
        <v>18</v>
      </c>
    </row>
    <row r="2152" spans="7:7">
      <c r="G2152">
        <v>19</v>
      </c>
    </row>
    <row r="2153" spans="7:7">
      <c r="G2153">
        <v>20</v>
      </c>
    </row>
    <row r="2154" spans="7:7">
      <c r="G2154">
        <v>21</v>
      </c>
    </row>
    <row r="2155" spans="7:7">
      <c r="G2155">
        <v>22</v>
      </c>
    </row>
    <row r="2156" spans="7:7">
      <c r="G2156">
        <v>4</v>
      </c>
    </row>
    <row r="2157" spans="7:7">
      <c r="G2157">
        <v>5</v>
      </c>
    </row>
    <row r="2158" spans="7:7">
      <c r="G2158">
        <v>6</v>
      </c>
    </row>
    <row r="2159" spans="7:7">
      <c r="G2159">
        <v>7</v>
      </c>
    </row>
    <row r="2160" spans="7:7">
      <c r="G2160">
        <v>8</v>
      </c>
    </row>
    <row r="2161" spans="7:7">
      <c r="G2161">
        <v>9</v>
      </c>
    </row>
    <row r="2162" spans="7:7">
      <c r="G2162">
        <v>10</v>
      </c>
    </row>
    <row r="2163" spans="7:7">
      <c r="G2163">
        <v>11</v>
      </c>
    </row>
    <row r="2164" spans="7:7">
      <c r="G2164">
        <v>12</v>
      </c>
    </row>
    <row r="2165" spans="7:7">
      <c r="G2165">
        <v>13</v>
      </c>
    </row>
    <row r="2166" spans="7:7">
      <c r="G2166">
        <v>14</v>
      </c>
    </row>
    <row r="2167" spans="7:7">
      <c r="G2167">
        <v>15</v>
      </c>
    </row>
    <row r="2168" spans="7:7">
      <c r="G2168">
        <v>16</v>
      </c>
    </row>
    <row r="2169" spans="7:7">
      <c r="G2169">
        <v>17</v>
      </c>
    </row>
    <row r="2170" spans="7:7">
      <c r="G2170">
        <v>18</v>
      </c>
    </row>
    <row r="2171" spans="7:7">
      <c r="G2171">
        <v>19</v>
      </c>
    </row>
    <row r="2172" spans="7:7">
      <c r="G2172">
        <v>20</v>
      </c>
    </row>
    <row r="2173" spans="7:7">
      <c r="G2173">
        <v>21</v>
      </c>
    </row>
    <row r="2174" spans="7:7">
      <c r="G2174">
        <v>22</v>
      </c>
    </row>
    <row r="2175" spans="7:7">
      <c r="G2175">
        <v>4</v>
      </c>
    </row>
    <row r="2176" spans="7:7">
      <c r="G2176">
        <v>5</v>
      </c>
    </row>
    <row r="2177" spans="7:7">
      <c r="G2177">
        <v>6</v>
      </c>
    </row>
    <row r="2178" spans="7:7">
      <c r="G2178">
        <v>7</v>
      </c>
    </row>
    <row r="2179" spans="7:7">
      <c r="G2179">
        <v>8</v>
      </c>
    </row>
    <row r="2180" spans="7:7">
      <c r="G2180">
        <v>9</v>
      </c>
    </row>
    <row r="2181" spans="7:7">
      <c r="G2181">
        <v>10</v>
      </c>
    </row>
    <row r="2182" spans="7:7">
      <c r="G2182">
        <v>11</v>
      </c>
    </row>
    <row r="2183" spans="7:7">
      <c r="G2183">
        <v>12</v>
      </c>
    </row>
    <row r="2184" spans="7:7">
      <c r="G2184">
        <v>13</v>
      </c>
    </row>
    <row r="2185" spans="7:7">
      <c r="G2185">
        <v>14</v>
      </c>
    </row>
    <row r="2186" spans="7:7">
      <c r="G2186">
        <v>15</v>
      </c>
    </row>
    <row r="2187" spans="7:7">
      <c r="G2187">
        <v>16</v>
      </c>
    </row>
    <row r="2188" spans="7:7">
      <c r="G2188">
        <v>17</v>
      </c>
    </row>
    <row r="2189" spans="7:7">
      <c r="G2189">
        <v>18</v>
      </c>
    </row>
    <row r="2190" spans="7:7">
      <c r="G2190">
        <v>19</v>
      </c>
    </row>
    <row r="2191" spans="7:7">
      <c r="G2191">
        <v>20</v>
      </c>
    </row>
    <row r="2192" spans="7:7">
      <c r="G2192">
        <v>21</v>
      </c>
    </row>
    <row r="2193" spans="7:7">
      <c r="G2193">
        <v>22</v>
      </c>
    </row>
    <row r="2194" spans="7:7">
      <c r="G2194">
        <v>4</v>
      </c>
    </row>
    <row r="2195" spans="7:7">
      <c r="G2195">
        <v>5</v>
      </c>
    </row>
    <row r="2196" spans="7:7">
      <c r="G2196">
        <v>6</v>
      </c>
    </row>
    <row r="2197" spans="7:7">
      <c r="G2197">
        <v>7</v>
      </c>
    </row>
    <row r="2198" spans="7:7">
      <c r="G2198">
        <v>8</v>
      </c>
    </row>
    <row r="2199" spans="7:7">
      <c r="G2199">
        <v>9</v>
      </c>
    </row>
    <row r="2200" spans="7:7">
      <c r="G2200">
        <v>10</v>
      </c>
    </row>
    <row r="2201" spans="7:7">
      <c r="G2201">
        <v>11</v>
      </c>
    </row>
    <row r="2202" spans="7:7">
      <c r="G2202">
        <v>12</v>
      </c>
    </row>
    <row r="2203" spans="7:7">
      <c r="G2203">
        <v>13</v>
      </c>
    </row>
    <row r="2204" spans="7:7">
      <c r="G2204">
        <v>14</v>
      </c>
    </row>
    <row r="2205" spans="7:7">
      <c r="G2205">
        <v>15</v>
      </c>
    </row>
    <row r="2206" spans="7:7">
      <c r="G2206">
        <v>16</v>
      </c>
    </row>
    <row r="2207" spans="7:7">
      <c r="G2207">
        <v>17</v>
      </c>
    </row>
    <row r="2208" spans="7:7">
      <c r="G2208">
        <v>18</v>
      </c>
    </row>
    <row r="2209" spans="7:7">
      <c r="G2209">
        <v>19</v>
      </c>
    </row>
    <row r="2210" spans="7:7">
      <c r="G2210">
        <v>20</v>
      </c>
    </row>
    <row r="2211" spans="7:7">
      <c r="G2211">
        <v>21</v>
      </c>
    </row>
    <row r="2212" spans="7:7">
      <c r="G2212">
        <v>22</v>
      </c>
    </row>
    <row r="2213" spans="7:7">
      <c r="G2213">
        <v>4</v>
      </c>
    </row>
    <row r="2214" spans="7:7">
      <c r="G2214">
        <v>5</v>
      </c>
    </row>
    <row r="2215" spans="7:7">
      <c r="G2215">
        <v>6</v>
      </c>
    </row>
    <row r="2216" spans="7:7">
      <c r="G2216">
        <v>7</v>
      </c>
    </row>
    <row r="2217" spans="7:7">
      <c r="G2217">
        <v>8</v>
      </c>
    </row>
    <row r="2218" spans="7:7">
      <c r="G2218">
        <v>9</v>
      </c>
    </row>
    <row r="2219" spans="7:7">
      <c r="G2219">
        <v>10</v>
      </c>
    </row>
    <row r="2220" spans="7:7">
      <c r="G2220">
        <v>11</v>
      </c>
    </row>
    <row r="2221" spans="7:7">
      <c r="G2221">
        <v>12</v>
      </c>
    </row>
    <row r="2222" spans="7:7">
      <c r="G2222">
        <v>13</v>
      </c>
    </row>
    <row r="2223" spans="7:7">
      <c r="G2223">
        <v>14</v>
      </c>
    </row>
    <row r="2224" spans="7:7">
      <c r="G2224">
        <v>15</v>
      </c>
    </row>
    <row r="2225" spans="7:7">
      <c r="G2225">
        <v>16</v>
      </c>
    </row>
    <row r="2226" spans="7:7">
      <c r="G2226">
        <v>17</v>
      </c>
    </row>
    <row r="2227" spans="7:7">
      <c r="G2227">
        <v>18</v>
      </c>
    </row>
    <row r="2228" spans="7:7">
      <c r="G2228">
        <v>19</v>
      </c>
    </row>
    <row r="2229" spans="7:7">
      <c r="G2229">
        <v>20</v>
      </c>
    </row>
    <row r="2230" spans="7:7">
      <c r="G2230">
        <v>21</v>
      </c>
    </row>
    <row r="2231" spans="7:7">
      <c r="G2231">
        <v>22</v>
      </c>
    </row>
    <row r="2232" spans="7:7">
      <c r="G2232">
        <v>4</v>
      </c>
    </row>
    <row r="2233" spans="7:7">
      <c r="G2233">
        <v>5</v>
      </c>
    </row>
    <row r="2234" spans="7:7">
      <c r="G2234">
        <v>6</v>
      </c>
    </row>
    <row r="2235" spans="7:7">
      <c r="G2235">
        <v>7</v>
      </c>
    </row>
    <row r="2236" spans="7:7">
      <c r="G2236">
        <v>8</v>
      </c>
    </row>
    <row r="2237" spans="7:7">
      <c r="G2237">
        <v>9</v>
      </c>
    </row>
    <row r="2238" spans="7:7">
      <c r="G2238">
        <v>10</v>
      </c>
    </row>
    <row r="2239" spans="7:7">
      <c r="G2239">
        <v>11</v>
      </c>
    </row>
    <row r="2240" spans="7:7">
      <c r="G2240">
        <v>12</v>
      </c>
    </row>
    <row r="2241" spans="7:7">
      <c r="G2241">
        <v>13</v>
      </c>
    </row>
    <row r="2242" spans="7:7">
      <c r="G2242">
        <v>14</v>
      </c>
    </row>
    <row r="2243" spans="7:7">
      <c r="G2243">
        <v>15</v>
      </c>
    </row>
    <row r="2244" spans="7:7">
      <c r="G2244">
        <v>16</v>
      </c>
    </row>
    <row r="2245" spans="7:7">
      <c r="G2245">
        <v>17</v>
      </c>
    </row>
    <row r="2246" spans="7:7">
      <c r="G2246">
        <v>18</v>
      </c>
    </row>
    <row r="2247" spans="7:7">
      <c r="G2247">
        <v>19</v>
      </c>
    </row>
    <row r="2248" spans="7:7">
      <c r="G2248">
        <v>20</v>
      </c>
    </row>
    <row r="2249" spans="7:7">
      <c r="G2249">
        <v>21</v>
      </c>
    </row>
    <row r="2250" spans="7:7">
      <c r="G2250">
        <v>22</v>
      </c>
    </row>
    <row r="2251" spans="7:7">
      <c r="G2251">
        <v>4</v>
      </c>
    </row>
    <row r="2252" spans="7:7">
      <c r="G2252">
        <v>5</v>
      </c>
    </row>
    <row r="2253" spans="7:7">
      <c r="G2253">
        <v>6</v>
      </c>
    </row>
    <row r="2254" spans="7:7">
      <c r="G2254">
        <v>7</v>
      </c>
    </row>
    <row r="2255" spans="7:7">
      <c r="G2255">
        <v>8</v>
      </c>
    </row>
    <row r="2256" spans="7:7">
      <c r="G2256">
        <v>9</v>
      </c>
    </row>
    <row r="2257" spans="7:7">
      <c r="G2257">
        <v>10</v>
      </c>
    </row>
    <row r="2258" spans="7:7">
      <c r="G2258">
        <v>11</v>
      </c>
    </row>
    <row r="2259" spans="7:7">
      <c r="G2259">
        <v>12</v>
      </c>
    </row>
    <row r="2260" spans="7:7">
      <c r="G2260">
        <v>13</v>
      </c>
    </row>
    <row r="2261" spans="7:7">
      <c r="G2261">
        <v>14</v>
      </c>
    </row>
    <row r="2262" spans="7:7">
      <c r="G2262">
        <v>15</v>
      </c>
    </row>
    <row r="2263" spans="7:7">
      <c r="G2263">
        <v>16</v>
      </c>
    </row>
    <row r="2264" spans="7:7">
      <c r="G2264">
        <v>17</v>
      </c>
    </row>
    <row r="2265" spans="7:7">
      <c r="G2265">
        <v>18</v>
      </c>
    </row>
    <row r="2266" spans="7:7">
      <c r="G2266">
        <v>19</v>
      </c>
    </row>
    <row r="2267" spans="7:7">
      <c r="G2267">
        <v>20</v>
      </c>
    </row>
    <row r="2268" spans="7:7">
      <c r="G2268">
        <v>21</v>
      </c>
    </row>
    <row r="2269" spans="7:7">
      <c r="G2269">
        <v>22</v>
      </c>
    </row>
    <row r="2270" spans="7:7">
      <c r="G2270">
        <v>4</v>
      </c>
    </row>
    <row r="2271" spans="7:7">
      <c r="G2271">
        <v>5</v>
      </c>
    </row>
    <row r="2272" spans="7:7">
      <c r="G2272">
        <v>6</v>
      </c>
    </row>
    <row r="2273" spans="7:7">
      <c r="G2273">
        <v>7</v>
      </c>
    </row>
    <row r="2274" spans="7:7">
      <c r="G2274">
        <v>8</v>
      </c>
    </row>
    <row r="2275" spans="7:7">
      <c r="G2275">
        <v>9</v>
      </c>
    </row>
    <row r="2276" spans="7:7">
      <c r="G2276">
        <v>10</v>
      </c>
    </row>
    <row r="2277" spans="7:7">
      <c r="G2277">
        <v>11</v>
      </c>
    </row>
    <row r="2278" spans="7:7">
      <c r="G2278">
        <v>12</v>
      </c>
    </row>
    <row r="2279" spans="7:7">
      <c r="G2279">
        <v>13</v>
      </c>
    </row>
    <row r="2280" spans="7:7">
      <c r="G2280">
        <v>14</v>
      </c>
    </row>
    <row r="2281" spans="7:7">
      <c r="G2281">
        <v>15</v>
      </c>
    </row>
    <row r="2282" spans="7:7">
      <c r="G2282">
        <v>16</v>
      </c>
    </row>
    <row r="2283" spans="7:7">
      <c r="G2283">
        <v>17</v>
      </c>
    </row>
    <row r="2284" spans="7:7">
      <c r="G2284">
        <v>18</v>
      </c>
    </row>
    <row r="2285" spans="7:7">
      <c r="G2285">
        <v>19</v>
      </c>
    </row>
    <row r="2286" spans="7:7">
      <c r="G2286">
        <v>20</v>
      </c>
    </row>
    <row r="2287" spans="7:7">
      <c r="G2287">
        <v>21</v>
      </c>
    </row>
    <row r="2288" spans="7:7">
      <c r="G2288">
        <v>22</v>
      </c>
    </row>
    <row r="2289" spans="7:7">
      <c r="G2289">
        <v>4</v>
      </c>
    </row>
    <row r="2290" spans="7:7">
      <c r="G2290">
        <v>5</v>
      </c>
    </row>
    <row r="2291" spans="7:7">
      <c r="G2291">
        <v>6</v>
      </c>
    </row>
    <row r="2292" spans="7:7">
      <c r="G2292">
        <v>7</v>
      </c>
    </row>
    <row r="2293" spans="7:7">
      <c r="G2293">
        <v>8</v>
      </c>
    </row>
    <row r="2294" spans="7:7">
      <c r="G2294">
        <v>9</v>
      </c>
    </row>
    <row r="2295" spans="7:7">
      <c r="G2295">
        <v>10</v>
      </c>
    </row>
    <row r="2296" spans="7:7">
      <c r="G2296">
        <v>11</v>
      </c>
    </row>
    <row r="2297" spans="7:7">
      <c r="G2297">
        <v>12</v>
      </c>
    </row>
    <row r="2298" spans="7:7">
      <c r="G2298">
        <v>13</v>
      </c>
    </row>
    <row r="2299" spans="7:7">
      <c r="G2299">
        <v>14</v>
      </c>
    </row>
    <row r="2300" spans="7:7">
      <c r="G2300">
        <v>15</v>
      </c>
    </row>
    <row r="2301" spans="7:7">
      <c r="G2301">
        <v>16</v>
      </c>
    </row>
    <row r="2302" spans="7:7">
      <c r="G2302">
        <v>17</v>
      </c>
    </row>
    <row r="2303" spans="7:7">
      <c r="G2303">
        <v>18</v>
      </c>
    </row>
    <row r="2304" spans="7:7">
      <c r="G2304">
        <v>19</v>
      </c>
    </row>
    <row r="2305" spans="7:7">
      <c r="G2305">
        <v>20</v>
      </c>
    </row>
    <row r="2306" spans="7:7">
      <c r="G2306">
        <v>21</v>
      </c>
    </row>
    <row r="2307" spans="7:7">
      <c r="G2307">
        <v>22</v>
      </c>
    </row>
    <row r="2308" spans="7:7">
      <c r="G2308">
        <v>4</v>
      </c>
    </row>
    <row r="2309" spans="7:7">
      <c r="G2309">
        <v>5</v>
      </c>
    </row>
    <row r="2310" spans="7:7">
      <c r="G2310">
        <v>6</v>
      </c>
    </row>
    <row r="2311" spans="7:7">
      <c r="G2311">
        <v>7</v>
      </c>
    </row>
    <row r="2312" spans="7:7">
      <c r="G2312">
        <v>8</v>
      </c>
    </row>
    <row r="2313" spans="7:7">
      <c r="G2313">
        <v>9</v>
      </c>
    </row>
    <row r="2314" spans="7:7">
      <c r="G2314">
        <v>10</v>
      </c>
    </row>
    <row r="2315" spans="7:7">
      <c r="G2315">
        <v>11</v>
      </c>
    </row>
    <row r="2316" spans="7:7">
      <c r="G2316">
        <v>12</v>
      </c>
    </row>
    <row r="2317" spans="7:7">
      <c r="G2317">
        <v>13</v>
      </c>
    </row>
    <row r="2318" spans="7:7">
      <c r="G2318">
        <v>14</v>
      </c>
    </row>
    <row r="2319" spans="7:7">
      <c r="G2319">
        <v>15</v>
      </c>
    </row>
    <row r="2320" spans="7:7">
      <c r="G2320">
        <v>16</v>
      </c>
    </row>
    <row r="2321" spans="7:7">
      <c r="G2321">
        <v>17</v>
      </c>
    </row>
    <row r="2322" spans="7:7">
      <c r="G2322">
        <v>18</v>
      </c>
    </row>
    <row r="2323" spans="7:7">
      <c r="G2323">
        <v>19</v>
      </c>
    </row>
    <row r="2324" spans="7:7">
      <c r="G2324">
        <v>20</v>
      </c>
    </row>
    <row r="2325" spans="7:7">
      <c r="G2325">
        <v>21</v>
      </c>
    </row>
    <row r="2326" spans="7:7">
      <c r="G2326">
        <v>22</v>
      </c>
    </row>
    <row r="2327" spans="7:7">
      <c r="G2327">
        <v>4</v>
      </c>
    </row>
    <row r="2328" spans="7:7">
      <c r="G2328">
        <v>5</v>
      </c>
    </row>
    <row r="2329" spans="7:7">
      <c r="G2329">
        <v>6</v>
      </c>
    </row>
    <row r="2330" spans="7:7">
      <c r="G2330">
        <v>7</v>
      </c>
    </row>
    <row r="2331" spans="7:7">
      <c r="G2331">
        <v>8</v>
      </c>
    </row>
    <row r="2332" spans="7:7">
      <c r="G2332">
        <v>9</v>
      </c>
    </row>
    <row r="2333" spans="7:7">
      <c r="G2333">
        <v>10</v>
      </c>
    </row>
    <row r="2334" spans="7:7">
      <c r="G2334">
        <v>11</v>
      </c>
    </row>
    <row r="2335" spans="7:7">
      <c r="G2335">
        <v>12</v>
      </c>
    </row>
    <row r="2336" spans="7:7">
      <c r="G2336">
        <v>13</v>
      </c>
    </row>
    <row r="2337" spans="7:7">
      <c r="G2337">
        <v>14</v>
      </c>
    </row>
    <row r="2338" spans="7:7">
      <c r="G2338">
        <v>15</v>
      </c>
    </row>
    <row r="2339" spans="7:7">
      <c r="G2339">
        <v>16</v>
      </c>
    </row>
    <row r="2340" spans="7:7">
      <c r="G2340">
        <v>17</v>
      </c>
    </row>
    <row r="2341" spans="7:7">
      <c r="G2341">
        <v>18</v>
      </c>
    </row>
    <row r="2342" spans="7:7">
      <c r="G2342">
        <v>19</v>
      </c>
    </row>
    <row r="2343" spans="7:7">
      <c r="G2343">
        <v>20</v>
      </c>
    </row>
    <row r="2344" spans="7:7">
      <c r="G2344">
        <v>21</v>
      </c>
    </row>
    <row r="2345" spans="7:7">
      <c r="G2345">
        <v>22</v>
      </c>
    </row>
    <row r="2346" spans="7:7">
      <c r="G2346">
        <v>4</v>
      </c>
    </row>
    <row r="2347" spans="7:7">
      <c r="G2347">
        <v>5</v>
      </c>
    </row>
    <row r="2348" spans="7:7">
      <c r="G2348">
        <v>6</v>
      </c>
    </row>
    <row r="2349" spans="7:7">
      <c r="G2349">
        <v>7</v>
      </c>
    </row>
    <row r="2350" spans="7:7">
      <c r="G2350">
        <v>8</v>
      </c>
    </row>
    <row r="2351" spans="7:7">
      <c r="G2351">
        <v>9</v>
      </c>
    </row>
    <row r="2352" spans="7:7">
      <c r="G2352">
        <v>10</v>
      </c>
    </row>
    <row r="2353" spans="7:7">
      <c r="G2353">
        <v>11</v>
      </c>
    </row>
    <row r="2354" spans="7:7">
      <c r="G2354">
        <v>12</v>
      </c>
    </row>
    <row r="2355" spans="7:7">
      <c r="G2355">
        <v>13</v>
      </c>
    </row>
    <row r="2356" spans="7:7">
      <c r="G2356">
        <v>14</v>
      </c>
    </row>
    <row r="2357" spans="7:7">
      <c r="G2357">
        <v>15</v>
      </c>
    </row>
    <row r="2358" spans="7:7">
      <c r="G2358">
        <v>16</v>
      </c>
    </row>
    <row r="2359" spans="7:7">
      <c r="G2359">
        <v>17</v>
      </c>
    </row>
    <row r="2360" spans="7:7">
      <c r="G2360">
        <v>18</v>
      </c>
    </row>
    <row r="2361" spans="7:7">
      <c r="G2361">
        <v>19</v>
      </c>
    </row>
    <row r="2362" spans="7:7">
      <c r="G2362">
        <v>20</v>
      </c>
    </row>
    <row r="2363" spans="7:7">
      <c r="G2363">
        <v>21</v>
      </c>
    </row>
    <row r="2364" spans="7:7">
      <c r="G2364">
        <v>22</v>
      </c>
    </row>
    <row r="2365" spans="7:7">
      <c r="G2365">
        <v>4</v>
      </c>
    </row>
    <row r="2366" spans="7:7">
      <c r="G2366">
        <v>5</v>
      </c>
    </row>
    <row r="2367" spans="7:7">
      <c r="G2367">
        <v>6</v>
      </c>
    </row>
    <row r="2368" spans="7:7">
      <c r="G2368">
        <v>7</v>
      </c>
    </row>
    <row r="2369" spans="7:7">
      <c r="G2369">
        <v>8</v>
      </c>
    </row>
    <row r="2370" spans="7:7">
      <c r="G2370">
        <v>9</v>
      </c>
    </row>
    <row r="2371" spans="7:7">
      <c r="G2371">
        <v>10</v>
      </c>
    </row>
    <row r="2372" spans="7:7">
      <c r="G2372">
        <v>11</v>
      </c>
    </row>
    <row r="2373" spans="7:7">
      <c r="G2373">
        <v>12</v>
      </c>
    </row>
    <row r="2374" spans="7:7">
      <c r="G2374">
        <v>13</v>
      </c>
    </row>
    <row r="2375" spans="7:7">
      <c r="G2375">
        <v>14</v>
      </c>
    </row>
    <row r="2376" spans="7:7">
      <c r="G2376">
        <v>15</v>
      </c>
    </row>
    <row r="2377" spans="7:7">
      <c r="G2377">
        <v>16</v>
      </c>
    </row>
    <row r="2378" spans="7:7">
      <c r="G2378">
        <v>17</v>
      </c>
    </row>
    <row r="2379" spans="7:7">
      <c r="G2379">
        <v>18</v>
      </c>
    </row>
    <row r="2380" spans="7:7">
      <c r="G2380">
        <v>19</v>
      </c>
    </row>
    <row r="2381" spans="7:7">
      <c r="G2381">
        <v>20</v>
      </c>
    </row>
    <row r="2382" spans="7:7">
      <c r="G2382">
        <v>21</v>
      </c>
    </row>
    <row r="2383" spans="7:7">
      <c r="G2383">
        <v>22</v>
      </c>
    </row>
    <row r="2384" spans="7:7">
      <c r="G2384">
        <v>4</v>
      </c>
    </row>
    <row r="2385" spans="7:7">
      <c r="G2385">
        <v>5</v>
      </c>
    </row>
    <row r="2386" spans="7:7">
      <c r="G2386">
        <v>6</v>
      </c>
    </row>
    <row r="2387" spans="7:7">
      <c r="G2387">
        <v>7</v>
      </c>
    </row>
    <row r="2388" spans="7:7">
      <c r="G2388">
        <v>8</v>
      </c>
    </row>
    <row r="2389" spans="7:7">
      <c r="G2389">
        <v>9</v>
      </c>
    </row>
    <row r="2390" spans="7:7">
      <c r="G2390">
        <v>10</v>
      </c>
    </row>
    <row r="2391" spans="7:7">
      <c r="G2391">
        <v>11</v>
      </c>
    </row>
    <row r="2392" spans="7:7">
      <c r="G2392">
        <v>12</v>
      </c>
    </row>
    <row r="2393" spans="7:7">
      <c r="G2393">
        <v>13</v>
      </c>
    </row>
    <row r="2394" spans="7:7">
      <c r="G2394">
        <v>14</v>
      </c>
    </row>
    <row r="2395" spans="7:7">
      <c r="G2395">
        <v>15</v>
      </c>
    </row>
    <row r="2396" spans="7:7">
      <c r="G2396">
        <v>16</v>
      </c>
    </row>
    <row r="2397" spans="7:7">
      <c r="G2397">
        <v>17</v>
      </c>
    </row>
    <row r="2398" spans="7:7">
      <c r="G2398">
        <v>18</v>
      </c>
    </row>
    <row r="2399" spans="7:7">
      <c r="G2399">
        <v>19</v>
      </c>
    </row>
    <row r="2400" spans="7:7">
      <c r="G2400">
        <v>20</v>
      </c>
    </row>
    <row r="2401" spans="7:7">
      <c r="G2401">
        <v>21</v>
      </c>
    </row>
    <row r="2402" spans="7:7">
      <c r="G2402">
        <v>22</v>
      </c>
    </row>
  </sheetData>
  <autoFilter ref="A1:X80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4.5"/>
  <cols>
    <col min="2" max="2" width="9.2695312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10.54296875" bestFit="1" customWidth="1"/>
    <col min="14" max="14" width="12.81640625" bestFit="1" customWidth="1"/>
    <col min="15" max="15" width="7" bestFit="1" customWidth="1"/>
    <col min="16" max="16" width="27" bestFit="1" customWidth="1"/>
    <col min="17" max="17" width="11.179687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9</v>
      </c>
      <c r="B2" t="s">
        <v>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1" topLeftCell="A2" activePane="bottomLeft" state="frozen"/>
      <selection pane="bottomLeft" activeCell="A5" sqref="A5"/>
    </sheetView>
  </sheetViews>
  <sheetFormatPr defaultRowHeight="14.5"/>
  <cols>
    <col min="1" max="1" width="6.1796875" bestFit="1" customWidth="1"/>
    <col min="2" max="2" width="19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10.54296875" bestFit="1" customWidth="1"/>
    <col min="14" max="14" width="12.81640625" bestFit="1" customWidth="1"/>
    <col min="15" max="15" width="7" bestFit="1" customWidth="1"/>
    <col min="16" max="16" width="27" bestFit="1" customWidth="1"/>
    <col min="17" max="17" width="11.179687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10</v>
      </c>
      <c r="B2" t="s">
        <v>307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RowHeight="14.5"/>
  <cols>
    <col min="1" max="1" width="6.1796875" bestFit="1" customWidth="1"/>
    <col min="2" max="2" width="19.179687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10.54296875" bestFit="1" customWidth="1"/>
    <col min="14" max="14" width="9.26953125" customWidth="1"/>
    <col min="15" max="15" width="7" bestFit="1" customWidth="1"/>
    <col min="16" max="16" width="27" bestFit="1" customWidth="1"/>
    <col min="17" max="17" width="11.179687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11</v>
      </c>
      <c r="B2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="80" zoomScaleNormal="80" workbookViewId="0">
      <pane ySplit="1" topLeftCell="A2" activePane="bottomLeft" state="frozen"/>
      <selection pane="bottomLeft" activeCell="L23" sqref="L23:M23"/>
    </sheetView>
  </sheetViews>
  <sheetFormatPr defaultRowHeight="14.5"/>
  <cols>
    <col min="1" max="1" width="6" bestFit="1" customWidth="1"/>
    <col min="2" max="2" width="19.26953125" bestFit="1" customWidth="1"/>
    <col min="3" max="3" width="18.179687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4.81640625" bestFit="1" customWidth="1"/>
    <col min="8" max="8" width="12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453125" bestFit="1" customWidth="1"/>
    <col min="13" max="13" width="41.1796875" bestFit="1" customWidth="1"/>
    <col min="14" max="14" width="12.81640625" bestFit="1" customWidth="1"/>
    <col min="15" max="15" width="8.81640625" bestFit="1" customWidth="1"/>
    <col min="16" max="16" width="39.453125" bestFit="1" customWidth="1"/>
    <col min="17" max="17" width="11.1796875" bestFit="1" customWidth="1"/>
    <col min="18" max="18" width="66.269531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1</v>
      </c>
      <c r="B3" t="s">
        <v>18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1</v>
      </c>
      <c r="B5" t="s">
        <v>18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1</v>
      </c>
      <c r="B6" t="s">
        <v>18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1</v>
      </c>
      <c r="B8" t="s">
        <v>18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1</v>
      </c>
      <c r="B9" t="s">
        <v>18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1</v>
      </c>
      <c r="B10" t="s">
        <v>18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1</v>
      </c>
      <c r="B11" t="s">
        <v>18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1</v>
      </c>
      <c r="B12" t="s">
        <v>18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1</v>
      </c>
      <c r="B13" t="s">
        <v>18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1</v>
      </c>
      <c r="B14" t="s">
        <v>18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1</v>
      </c>
      <c r="B15" t="s">
        <v>18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1</v>
      </c>
      <c r="B16" t="s">
        <v>18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1</v>
      </c>
      <c r="B17" t="s">
        <v>18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1</v>
      </c>
      <c r="B18" t="s">
        <v>18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1</v>
      </c>
      <c r="B19" t="s">
        <v>18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65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1</v>
      </c>
      <c r="B20" t="s">
        <v>18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1</v>
      </c>
      <c r="B21" t="s">
        <v>18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1</v>
      </c>
      <c r="B22" t="s">
        <v>18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1</v>
      </c>
      <c r="B23" t="s">
        <v>18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1</v>
      </c>
      <c r="B24" t="s">
        <v>18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1</v>
      </c>
      <c r="B25" t="s">
        <v>18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1</v>
      </c>
      <c r="B26" t="s">
        <v>18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1</v>
      </c>
      <c r="B27" t="s">
        <v>18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1</v>
      </c>
      <c r="B28" t="s">
        <v>18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1</v>
      </c>
      <c r="B29" t="s">
        <v>18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1</v>
      </c>
      <c r="B30" t="s">
        <v>18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1</v>
      </c>
      <c r="B31" t="s">
        <v>18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125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1</v>
      </c>
      <c r="B32" t="s">
        <v>18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1</v>
      </c>
      <c r="B33" t="s">
        <v>18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1197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1</v>
      </c>
      <c r="B34" t="s">
        <v>18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1</v>
      </c>
      <c r="B35" t="s">
        <v>18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1</v>
      </c>
      <c r="B36" t="s">
        <v>18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1</v>
      </c>
      <c r="B37" t="s">
        <v>18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1</v>
      </c>
      <c r="B38" t="s">
        <v>18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1</v>
      </c>
      <c r="B39" t="s">
        <v>18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1</v>
      </c>
      <c r="B40" t="s">
        <v>18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1</v>
      </c>
      <c r="B41" t="s">
        <v>18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1</v>
      </c>
      <c r="B42" t="s">
        <v>18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1</v>
      </c>
      <c r="B43" t="s">
        <v>18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1</v>
      </c>
      <c r="B44" t="s">
        <v>18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1</v>
      </c>
      <c r="B45" t="s">
        <v>18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1</v>
      </c>
      <c r="B46" t="s">
        <v>18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1</v>
      </c>
      <c r="B47" t="s">
        <v>18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1</v>
      </c>
      <c r="B49" t="s">
        <v>18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1</v>
      </c>
      <c r="B50" t="s">
        <v>18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1</v>
      </c>
      <c r="B51" t="s">
        <v>18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1</v>
      </c>
      <c r="B52" t="s">
        <v>18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1</v>
      </c>
      <c r="B53" t="s">
        <v>18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1</v>
      </c>
      <c r="B54" t="s">
        <v>18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1</v>
      </c>
      <c r="B55" t="s">
        <v>18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1</v>
      </c>
      <c r="B56" t="s">
        <v>18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1</v>
      </c>
      <c r="B57" t="s">
        <v>18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1</v>
      </c>
      <c r="B58" t="s">
        <v>18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N60">
        <f>SUM(N34:N57)</f>
        <v>2.7999999999999989</v>
      </c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H61" s="3" t="s">
        <v>988</v>
      </c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H62" s="3"/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R72" s="29"/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autoFilter ref="A1:S63"/>
  <hyperlinks>
    <hyperlink ref="R15" r:id="rId1"/>
    <hyperlink ref="S80" r:id="rId2" display="    Expected LDP rate"/>
    <hyperlink ref="R13" r:id="rId3"/>
    <hyperlink ref="H61" r:id="rId4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zoomScale="80" zoomScaleNormal="80" workbookViewId="0">
      <pane ySplit="1" topLeftCell="A2" activePane="bottomLeft" state="frozen"/>
      <selection pane="bottomLeft" activeCell="F182" sqref="F182"/>
    </sheetView>
  </sheetViews>
  <sheetFormatPr defaultRowHeight="14.5"/>
  <cols>
    <col min="1" max="1" width="6.1796875" bestFit="1" customWidth="1"/>
    <col min="2" max="2" width="11.26953125" bestFit="1" customWidth="1"/>
    <col min="3" max="3" width="8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5" bestFit="1" customWidth="1"/>
    <col min="8" max="8" width="12.1796875" bestFit="1" customWidth="1"/>
    <col min="9" max="10" width="16.7265625" bestFit="1" customWidth="1"/>
    <col min="11" max="11" width="17.26953125" bestFit="1" customWidth="1"/>
    <col min="12" max="12" width="14.453125" bestFit="1" customWidth="1"/>
    <col min="13" max="13" width="61.453125" bestFit="1" customWidth="1"/>
    <col min="14" max="14" width="12.81640625" bestFit="1" customWidth="1"/>
    <col min="15" max="15" width="10.81640625" bestFit="1" customWidth="1"/>
    <col min="16" max="16" width="146" customWidth="1"/>
    <col min="17" max="17" width="38.1796875" bestFit="1" customWidth="1"/>
    <col min="18" max="18" width="65.179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86" t="s">
        <v>16</v>
      </c>
      <c r="I1" s="2" t="s">
        <v>6</v>
      </c>
      <c r="J1" s="2" t="s">
        <v>7</v>
      </c>
      <c r="K1" s="286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12</v>
      </c>
      <c r="B2" t="s">
        <v>309</v>
      </c>
      <c r="G2">
        <v>1</v>
      </c>
      <c r="H2" s="265">
        <v>6</v>
      </c>
      <c r="I2" t="s">
        <v>310</v>
      </c>
      <c r="J2" t="s">
        <v>61</v>
      </c>
      <c r="K2" s="265" t="s">
        <v>981</v>
      </c>
      <c r="L2" t="s">
        <v>32</v>
      </c>
      <c r="M2" t="s">
        <v>311</v>
      </c>
      <c r="O2" s="1">
        <f>9.45/2</f>
        <v>4.7249999999999996</v>
      </c>
      <c r="P2" t="s">
        <v>326</v>
      </c>
      <c r="R2" t="s">
        <v>337</v>
      </c>
    </row>
    <row r="3" spans="1:18">
      <c r="A3">
        <v>12</v>
      </c>
      <c r="B3" t="s">
        <v>309</v>
      </c>
      <c r="G3">
        <v>1</v>
      </c>
      <c r="H3" s="265">
        <v>7</v>
      </c>
      <c r="I3" t="s">
        <v>310</v>
      </c>
      <c r="J3" t="s">
        <v>61</v>
      </c>
      <c r="K3" s="265" t="s">
        <v>981</v>
      </c>
      <c r="L3" t="s">
        <v>32</v>
      </c>
      <c r="M3" t="s">
        <v>311</v>
      </c>
      <c r="O3" s="1">
        <f>9.45/2</f>
        <v>4.7249999999999996</v>
      </c>
      <c r="P3" t="s">
        <v>326</v>
      </c>
      <c r="R3" t="s">
        <v>337</v>
      </c>
    </row>
    <row r="4" spans="1:18">
      <c r="A4">
        <v>12</v>
      </c>
      <c r="B4" t="s">
        <v>309</v>
      </c>
      <c r="G4">
        <v>1</v>
      </c>
      <c r="H4" s="265">
        <v>6</v>
      </c>
      <c r="I4" t="s">
        <v>310</v>
      </c>
      <c r="J4" t="s">
        <v>61</v>
      </c>
      <c r="K4" s="265" t="s">
        <v>981</v>
      </c>
      <c r="L4" t="s">
        <v>32</v>
      </c>
      <c r="M4" t="s">
        <v>312</v>
      </c>
      <c r="O4" s="1">
        <f>6.25/2</f>
        <v>3.125</v>
      </c>
      <c r="P4" t="s">
        <v>327</v>
      </c>
      <c r="R4" t="s">
        <v>337</v>
      </c>
    </row>
    <row r="5" spans="1:18">
      <c r="A5">
        <v>12</v>
      </c>
      <c r="B5" t="s">
        <v>309</v>
      </c>
      <c r="G5">
        <v>1</v>
      </c>
      <c r="H5" s="265">
        <v>7</v>
      </c>
      <c r="I5" t="s">
        <v>310</v>
      </c>
      <c r="J5" t="s">
        <v>61</v>
      </c>
      <c r="K5" s="265" t="s">
        <v>981</v>
      </c>
      <c r="L5" t="s">
        <v>32</v>
      </c>
      <c r="M5" t="s">
        <v>312</v>
      </c>
      <c r="O5" s="1">
        <f>6.25/2</f>
        <v>3.125</v>
      </c>
      <c r="P5" t="s">
        <v>327</v>
      </c>
      <c r="R5" t="s">
        <v>337</v>
      </c>
    </row>
    <row r="6" spans="1:18">
      <c r="A6">
        <v>12</v>
      </c>
      <c r="B6" t="s">
        <v>309</v>
      </c>
      <c r="G6">
        <v>1</v>
      </c>
      <c r="H6" s="265">
        <v>6</v>
      </c>
      <c r="I6" t="s">
        <v>310</v>
      </c>
      <c r="J6" t="s">
        <v>61</v>
      </c>
      <c r="K6" s="265" t="s">
        <v>981</v>
      </c>
      <c r="L6" t="s">
        <v>32</v>
      </c>
      <c r="M6" t="s">
        <v>313</v>
      </c>
      <c r="O6" s="1">
        <f>7.7/2</f>
        <v>3.85</v>
      </c>
      <c r="P6" t="s">
        <v>328</v>
      </c>
      <c r="R6" t="s">
        <v>337</v>
      </c>
    </row>
    <row r="7" spans="1:18">
      <c r="A7">
        <v>12</v>
      </c>
      <c r="B7" t="s">
        <v>309</v>
      </c>
      <c r="G7">
        <v>1</v>
      </c>
      <c r="H7" s="265">
        <v>7</v>
      </c>
      <c r="I7" t="s">
        <v>310</v>
      </c>
      <c r="J7" t="s">
        <v>61</v>
      </c>
      <c r="K7" s="265" t="s">
        <v>981</v>
      </c>
      <c r="L7" t="s">
        <v>32</v>
      </c>
      <c r="M7" t="s">
        <v>313</v>
      </c>
      <c r="O7" s="1">
        <f>7.7/2</f>
        <v>3.85</v>
      </c>
      <c r="P7" t="s">
        <v>328</v>
      </c>
      <c r="R7" t="s">
        <v>337</v>
      </c>
    </row>
    <row r="8" spans="1:18">
      <c r="A8">
        <v>12</v>
      </c>
      <c r="B8" t="s">
        <v>309</v>
      </c>
      <c r="G8">
        <v>1</v>
      </c>
      <c r="H8" s="265">
        <v>6</v>
      </c>
      <c r="I8" t="s">
        <v>310</v>
      </c>
      <c r="J8" t="s">
        <v>61</v>
      </c>
      <c r="K8" s="265" t="s">
        <v>981</v>
      </c>
      <c r="L8" t="s">
        <v>32</v>
      </c>
      <c r="M8" t="s">
        <v>314</v>
      </c>
      <c r="O8" s="1">
        <f>5.15/2</f>
        <v>2.5750000000000002</v>
      </c>
      <c r="P8" t="s">
        <v>329</v>
      </c>
      <c r="R8" t="s">
        <v>337</v>
      </c>
    </row>
    <row r="9" spans="1:18">
      <c r="A9">
        <v>12</v>
      </c>
      <c r="B9" t="s">
        <v>309</v>
      </c>
      <c r="G9">
        <v>1</v>
      </c>
      <c r="H9" s="265">
        <v>7</v>
      </c>
      <c r="I9" t="s">
        <v>310</v>
      </c>
      <c r="J9" t="s">
        <v>61</v>
      </c>
      <c r="K9" s="265" t="s">
        <v>981</v>
      </c>
      <c r="L9" t="s">
        <v>32</v>
      </c>
      <c r="M9" t="s">
        <v>314</v>
      </c>
      <c r="O9" s="1">
        <f>5.15/2</f>
        <v>2.5750000000000002</v>
      </c>
      <c r="P9" t="s">
        <v>329</v>
      </c>
      <c r="R9" t="s">
        <v>337</v>
      </c>
    </row>
    <row r="10" spans="1:18">
      <c r="A10">
        <v>12</v>
      </c>
      <c r="B10" t="s">
        <v>309</v>
      </c>
      <c r="G10">
        <v>1</v>
      </c>
      <c r="H10" s="265">
        <v>8</v>
      </c>
      <c r="I10" t="s">
        <v>310</v>
      </c>
      <c r="J10" t="s">
        <v>61</v>
      </c>
      <c r="K10" s="265" t="s">
        <v>71</v>
      </c>
      <c r="L10" t="s">
        <v>32</v>
      </c>
      <c r="M10" t="s">
        <v>62</v>
      </c>
      <c r="O10" s="1">
        <v>0</v>
      </c>
      <c r="P10" t="s">
        <v>330</v>
      </c>
      <c r="R10" t="s">
        <v>337</v>
      </c>
    </row>
    <row r="11" spans="1:18">
      <c r="A11">
        <v>12</v>
      </c>
      <c r="B11" t="s">
        <v>309</v>
      </c>
      <c r="G11">
        <v>1</v>
      </c>
      <c r="H11" s="265"/>
      <c r="I11" t="s">
        <v>310</v>
      </c>
      <c r="J11" t="s">
        <v>61</v>
      </c>
      <c r="K11" s="265" t="s">
        <v>71</v>
      </c>
      <c r="L11" t="s">
        <v>33</v>
      </c>
      <c r="M11" t="s">
        <v>63</v>
      </c>
      <c r="O11" s="1">
        <f>30*0.37</f>
        <v>11.1</v>
      </c>
      <c r="P11" t="s">
        <v>331</v>
      </c>
      <c r="R11" t="s">
        <v>337</v>
      </c>
    </row>
    <row r="12" spans="1:18">
      <c r="A12">
        <v>12</v>
      </c>
      <c r="B12" t="s">
        <v>309</v>
      </c>
      <c r="G12">
        <v>1</v>
      </c>
      <c r="H12" s="265"/>
      <c r="I12" t="s">
        <v>310</v>
      </c>
      <c r="J12" t="s">
        <v>61</v>
      </c>
      <c r="K12" s="265" t="s">
        <v>71</v>
      </c>
      <c r="L12" t="s">
        <v>33</v>
      </c>
      <c r="M12" t="s">
        <v>315</v>
      </c>
      <c r="O12" s="1">
        <f>40*0.23</f>
        <v>9.2000000000000011</v>
      </c>
      <c r="P12" t="s">
        <v>332</v>
      </c>
      <c r="R12" t="s">
        <v>337</v>
      </c>
    </row>
    <row r="13" spans="1:18">
      <c r="A13">
        <v>12</v>
      </c>
      <c r="B13" t="s">
        <v>309</v>
      </c>
      <c r="G13">
        <v>1</v>
      </c>
      <c r="H13" s="265"/>
      <c r="I13" t="s">
        <v>310</v>
      </c>
      <c r="J13" t="s">
        <v>61</v>
      </c>
      <c r="K13" s="265" t="s">
        <v>71</v>
      </c>
      <c r="L13" t="s">
        <v>33</v>
      </c>
      <c r="M13" t="s">
        <v>66</v>
      </c>
      <c r="O13" s="1">
        <f>3*21</f>
        <v>63</v>
      </c>
      <c r="P13" t="s">
        <v>333</v>
      </c>
      <c r="R13" t="s">
        <v>337</v>
      </c>
    </row>
    <row r="14" spans="1:18">
      <c r="A14">
        <v>12</v>
      </c>
      <c r="B14" t="s">
        <v>309</v>
      </c>
      <c r="G14">
        <v>1</v>
      </c>
      <c r="H14" s="265"/>
      <c r="I14" t="s">
        <v>310</v>
      </c>
      <c r="J14" t="s">
        <v>61</v>
      </c>
      <c r="K14" s="265" t="s">
        <v>71</v>
      </c>
      <c r="L14" t="s">
        <v>33</v>
      </c>
      <c r="M14" t="s">
        <v>316</v>
      </c>
      <c r="O14" s="285">
        <f>((3/128)*53)+(32/128)*(1.75*8)+((1.5/8)*16)</f>
        <v>7.7421875</v>
      </c>
      <c r="P14" t="s">
        <v>334</v>
      </c>
      <c r="R14" t="s">
        <v>337</v>
      </c>
    </row>
    <row r="15" spans="1:18">
      <c r="A15">
        <v>12</v>
      </c>
      <c r="B15" t="s">
        <v>309</v>
      </c>
      <c r="G15">
        <v>2</v>
      </c>
      <c r="H15" s="265"/>
      <c r="I15" t="s">
        <v>317</v>
      </c>
      <c r="J15" t="s">
        <v>22</v>
      </c>
      <c r="K15" s="265" t="s">
        <v>71</v>
      </c>
      <c r="L15" t="s">
        <v>33</v>
      </c>
      <c r="M15" t="s">
        <v>318</v>
      </c>
      <c r="O15" s="1">
        <f>100*0.31</f>
        <v>31</v>
      </c>
      <c r="P15" t="s">
        <v>335</v>
      </c>
      <c r="R15" s="3" t="s">
        <v>337</v>
      </c>
    </row>
    <row r="16" spans="1:18">
      <c r="A16">
        <v>12</v>
      </c>
      <c r="B16" t="s">
        <v>309</v>
      </c>
      <c r="G16">
        <v>3</v>
      </c>
      <c r="H16" s="265"/>
      <c r="I16" t="s">
        <v>317</v>
      </c>
      <c r="J16" t="s">
        <v>22</v>
      </c>
      <c r="K16" s="265" t="s">
        <v>71</v>
      </c>
      <c r="L16" t="s">
        <v>33</v>
      </c>
      <c r="M16" t="s">
        <v>318</v>
      </c>
      <c r="O16" s="1">
        <f t="shared" ref="O16:O24" si="0">100*0.31</f>
        <v>31</v>
      </c>
      <c r="P16" t="s">
        <v>335</v>
      </c>
      <c r="R16" t="s">
        <v>337</v>
      </c>
    </row>
    <row r="17" spans="1:18">
      <c r="A17">
        <v>12</v>
      </c>
      <c r="B17" t="s">
        <v>309</v>
      </c>
      <c r="G17">
        <v>4</v>
      </c>
      <c r="H17" s="265"/>
      <c r="I17" t="s">
        <v>317</v>
      </c>
      <c r="J17" t="s">
        <v>22</v>
      </c>
      <c r="K17" s="265" t="s">
        <v>71</v>
      </c>
      <c r="L17" t="s">
        <v>33</v>
      </c>
      <c r="M17" t="s">
        <v>318</v>
      </c>
      <c r="O17" s="1">
        <f t="shared" si="0"/>
        <v>31</v>
      </c>
      <c r="P17" t="s">
        <v>335</v>
      </c>
      <c r="R17" t="s">
        <v>337</v>
      </c>
    </row>
    <row r="18" spans="1:18">
      <c r="A18">
        <v>12</v>
      </c>
      <c r="B18" t="s">
        <v>309</v>
      </c>
      <c r="G18">
        <v>5</v>
      </c>
      <c r="H18" s="265"/>
      <c r="I18" t="s">
        <v>317</v>
      </c>
      <c r="J18" t="s">
        <v>22</v>
      </c>
      <c r="K18" s="265" t="s">
        <v>71</v>
      </c>
      <c r="L18" t="s">
        <v>33</v>
      </c>
      <c r="M18" t="s">
        <v>318</v>
      </c>
      <c r="O18" s="1">
        <f t="shared" si="0"/>
        <v>31</v>
      </c>
      <c r="P18" t="s">
        <v>335</v>
      </c>
      <c r="R18" t="s">
        <v>337</v>
      </c>
    </row>
    <row r="19" spans="1:18">
      <c r="A19">
        <v>12</v>
      </c>
      <c r="B19" t="s">
        <v>309</v>
      </c>
      <c r="G19">
        <v>6</v>
      </c>
      <c r="H19" s="265"/>
      <c r="I19" t="s">
        <v>317</v>
      </c>
      <c r="J19" t="s">
        <v>22</v>
      </c>
      <c r="K19" s="265" t="s">
        <v>71</v>
      </c>
      <c r="L19" t="s">
        <v>33</v>
      </c>
      <c r="M19" t="s">
        <v>318</v>
      </c>
      <c r="O19" s="1">
        <f t="shared" si="0"/>
        <v>31</v>
      </c>
      <c r="P19" t="s">
        <v>335</v>
      </c>
      <c r="R19" t="s">
        <v>337</v>
      </c>
    </row>
    <row r="20" spans="1:18">
      <c r="A20">
        <v>12</v>
      </c>
      <c r="B20" t="s">
        <v>309</v>
      </c>
      <c r="G20">
        <v>7</v>
      </c>
      <c r="H20" s="265"/>
      <c r="I20" t="s">
        <v>317</v>
      </c>
      <c r="J20" t="s">
        <v>22</v>
      </c>
      <c r="K20" s="265" t="s">
        <v>71</v>
      </c>
      <c r="L20" t="s">
        <v>33</v>
      </c>
      <c r="M20" t="s">
        <v>318</v>
      </c>
      <c r="O20" s="1">
        <f t="shared" si="0"/>
        <v>31</v>
      </c>
      <c r="P20" t="s">
        <v>335</v>
      </c>
      <c r="R20" t="s">
        <v>337</v>
      </c>
    </row>
    <row r="21" spans="1:18">
      <c r="A21">
        <v>12</v>
      </c>
      <c r="B21" t="s">
        <v>309</v>
      </c>
      <c r="G21">
        <v>8</v>
      </c>
      <c r="H21" s="265"/>
      <c r="I21" t="s">
        <v>317</v>
      </c>
      <c r="J21" t="s">
        <v>22</v>
      </c>
      <c r="K21" s="265" t="s">
        <v>71</v>
      </c>
      <c r="L21" t="s">
        <v>33</v>
      </c>
      <c r="M21" t="s">
        <v>318</v>
      </c>
      <c r="O21" s="1">
        <f t="shared" si="0"/>
        <v>31</v>
      </c>
      <c r="P21" t="s">
        <v>335</v>
      </c>
      <c r="R21" t="s">
        <v>337</v>
      </c>
    </row>
    <row r="22" spans="1:18">
      <c r="A22">
        <v>12</v>
      </c>
      <c r="B22" t="s">
        <v>309</v>
      </c>
      <c r="G22">
        <v>9</v>
      </c>
      <c r="H22" s="265"/>
      <c r="I22" t="s">
        <v>317</v>
      </c>
      <c r="J22" t="s">
        <v>22</v>
      </c>
      <c r="K22" s="265" t="s">
        <v>71</v>
      </c>
      <c r="L22" t="s">
        <v>33</v>
      </c>
      <c r="M22" t="s">
        <v>318</v>
      </c>
      <c r="O22" s="1">
        <f t="shared" si="0"/>
        <v>31</v>
      </c>
      <c r="P22" t="s">
        <v>335</v>
      </c>
      <c r="R22" t="s">
        <v>337</v>
      </c>
    </row>
    <row r="23" spans="1:18">
      <c r="A23">
        <v>12</v>
      </c>
      <c r="B23" t="s">
        <v>309</v>
      </c>
      <c r="G23">
        <v>10</v>
      </c>
      <c r="H23" s="265"/>
      <c r="I23" t="s">
        <v>317</v>
      </c>
      <c r="J23" t="s">
        <v>22</v>
      </c>
      <c r="K23" s="265" t="s">
        <v>71</v>
      </c>
      <c r="L23" t="s">
        <v>33</v>
      </c>
      <c r="M23" t="s">
        <v>318</v>
      </c>
      <c r="O23" s="1">
        <f t="shared" si="0"/>
        <v>31</v>
      </c>
      <c r="P23" t="s">
        <v>335</v>
      </c>
      <c r="R23" t="s">
        <v>337</v>
      </c>
    </row>
    <row r="24" spans="1:18">
      <c r="A24">
        <v>12</v>
      </c>
      <c r="B24" t="s">
        <v>309</v>
      </c>
      <c r="G24">
        <v>11</v>
      </c>
      <c r="H24" s="265"/>
      <c r="I24" t="s">
        <v>317</v>
      </c>
      <c r="J24" t="s">
        <v>22</v>
      </c>
      <c r="K24" s="265" t="s">
        <v>71</v>
      </c>
      <c r="L24" t="s">
        <v>33</v>
      </c>
      <c r="M24" t="s">
        <v>318</v>
      </c>
      <c r="O24" s="1">
        <f t="shared" si="0"/>
        <v>31</v>
      </c>
      <c r="P24" t="s">
        <v>335</v>
      </c>
      <c r="R24" t="s">
        <v>337</v>
      </c>
    </row>
    <row r="25" spans="1:18">
      <c r="A25">
        <v>12</v>
      </c>
      <c r="B25" t="s">
        <v>309</v>
      </c>
      <c r="G25">
        <v>2</v>
      </c>
      <c r="H25" s="265"/>
      <c r="I25" t="s">
        <v>317</v>
      </c>
      <c r="J25" t="s">
        <v>22</v>
      </c>
      <c r="K25" s="265" t="s">
        <v>71</v>
      </c>
      <c r="L25" t="s">
        <v>33</v>
      </c>
      <c r="M25" t="s">
        <v>63</v>
      </c>
      <c r="O25" s="279">
        <f>0.37*1.94*4</f>
        <v>2.8712</v>
      </c>
      <c r="P25" t="s">
        <v>860</v>
      </c>
      <c r="R25" t="s">
        <v>337</v>
      </c>
    </row>
    <row r="26" spans="1:18">
      <c r="A26">
        <v>12</v>
      </c>
      <c r="B26" t="s">
        <v>309</v>
      </c>
      <c r="G26">
        <v>3</v>
      </c>
      <c r="H26" s="265"/>
      <c r="I26" t="s">
        <v>317</v>
      </c>
      <c r="J26" t="s">
        <v>22</v>
      </c>
      <c r="K26" s="265" t="s">
        <v>71</v>
      </c>
      <c r="L26" t="s">
        <v>33</v>
      </c>
      <c r="M26" t="s">
        <v>63</v>
      </c>
      <c r="O26" s="279">
        <f t="shared" ref="O26:O34" si="1">0.37*1.94*4</f>
        <v>2.8712</v>
      </c>
      <c r="P26" t="s">
        <v>860</v>
      </c>
      <c r="R26" t="s">
        <v>337</v>
      </c>
    </row>
    <row r="27" spans="1:18">
      <c r="A27">
        <v>12</v>
      </c>
      <c r="B27" t="s">
        <v>309</v>
      </c>
      <c r="G27">
        <v>4</v>
      </c>
      <c r="H27" s="265"/>
      <c r="I27" t="s">
        <v>317</v>
      </c>
      <c r="J27" t="s">
        <v>22</v>
      </c>
      <c r="K27" s="265" t="s">
        <v>71</v>
      </c>
      <c r="L27" t="s">
        <v>33</v>
      </c>
      <c r="M27" t="s">
        <v>63</v>
      </c>
      <c r="O27" s="279">
        <f t="shared" si="1"/>
        <v>2.8712</v>
      </c>
      <c r="P27" t="s">
        <v>860</v>
      </c>
      <c r="R27" t="s">
        <v>337</v>
      </c>
    </row>
    <row r="28" spans="1:18">
      <c r="A28">
        <v>12</v>
      </c>
      <c r="B28" t="s">
        <v>309</v>
      </c>
      <c r="G28">
        <v>5</v>
      </c>
      <c r="H28" s="265"/>
      <c r="I28" t="s">
        <v>317</v>
      </c>
      <c r="J28" t="s">
        <v>22</v>
      </c>
      <c r="K28" s="265" t="s">
        <v>71</v>
      </c>
      <c r="L28" t="s">
        <v>33</v>
      </c>
      <c r="M28" t="s">
        <v>63</v>
      </c>
      <c r="O28" s="279">
        <f t="shared" si="1"/>
        <v>2.8712</v>
      </c>
      <c r="P28" t="s">
        <v>860</v>
      </c>
      <c r="R28" t="s">
        <v>337</v>
      </c>
    </row>
    <row r="29" spans="1:18">
      <c r="A29">
        <v>12</v>
      </c>
      <c r="B29" t="s">
        <v>309</v>
      </c>
      <c r="G29">
        <v>6</v>
      </c>
      <c r="H29" s="265"/>
      <c r="I29" t="s">
        <v>317</v>
      </c>
      <c r="J29" t="s">
        <v>22</v>
      </c>
      <c r="K29" s="265" t="s">
        <v>71</v>
      </c>
      <c r="L29" t="s">
        <v>33</v>
      </c>
      <c r="M29" t="s">
        <v>63</v>
      </c>
      <c r="O29" s="279">
        <f t="shared" si="1"/>
        <v>2.8712</v>
      </c>
      <c r="P29" t="s">
        <v>860</v>
      </c>
      <c r="R29" t="s">
        <v>337</v>
      </c>
    </row>
    <row r="30" spans="1:18">
      <c r="A30">
        <v>12</v>
      </c>
      <c r="B30" t="s">
        <v>309</v>
      </c>
      <c r="G30">
        <v>7</v>
      </c>
      <c r="H30" s="265"/>
      <c r="I30" t="s">
        <v>317</v>
      </c>
      <c r="J30" t="s">
        <v>22</v>
      </c>
      <c r="K30" s="265" t="s">
        <v>71</v>
      </c>
      <c r="L30" t="s">
        <v>33</v>
      </c>
      <c r="M30" t="s">
        <v>63</v>
      </c>
      <c r="O30" s="279">
        <f t="shared" si="1"/>
        <v>2.8712</v>
      </c>
      <c r="P30" t="s">
        <v>860</v>
      </c>
      <c r="R30" t="s">
        <v>337</v>
      </c>
    </row>
    <row r="31" spans="1:18">
      <c r="A31">
        <v>12</v>
      </c>
      <c r="B31" t="s">
        <v>309</v>
      </c>
      <c r="G31">
        <v>8</v>
      </c>
      <c r="H31" s="265"/>
      <c r="I31" t="s">
        <v>317</v>
      </c>
      <c r="J31" t="s">
        <v>22</v>
      </c>
      <c r="K31" s="265" t="s">
        <v>71</v>
      </c>
      <c r="L31" t="s">
        <v>33</v>
      </c>
      <c r="M31" t="s">
        <v>63</v>
      </c>
      <c r="O31" s="279">
        <f t="shared" si="1"/>
        <v>2.8712</v>
      </c>
      <c r="P31" t="s">
        <v>860</v>
      </c>
      <c r="R31" t="s">
        <v>337</v>
      </c>
    </row>
    <row r="32" spans="1:18">
      <c r="A32">
        <v>12</v>
      </c>
      <c r="B32" t="s">
        <v>309</v>
      </c>
      <c r="G32">
        <v>9</v>
      </c>
      <c r="H32" s="265"/>
      <c r="I32" t="s">
        <v>317</v>
      </c>
      <c r="J32" t="s">
        <v>22</v>
      </c>
      <c r="K32" s="265" t="s">
        <v>71</v>
      </c>
      <c r="L32" t="s">
        <v>33</v>
      </c>
      <c r="M32" t="s">
        <v>63</v>
      </c>
      <c r="O32" s="279">
        <f t="shared" si="1"/>
        <v>2.8712</v>
      </c>
      <c r="P32" t="s">
        <v>860</v>
      </c>
      <c r="R32" t="s">
        <v>337</v>
      </c>
    </row>
    <row r="33" spans="1:18">
      <c r="A33">
        <v>12</v>
      </c>
      <c r="B33" t="s">
        <v>309</v>
      </c>
      <c r="G33">
        <v>10</v>
      </c>
      <c r="H33" s="265"/>
      <c r="I33" t="s">
        <v>317</v>
      </c>
      <c r="J33" t="s">
        <v>22</v>
      </c>
      <c r="K33" s="265" t="s">
        <v>71</v>
      </c>
      <c r="L33" t="s">
        <v>33</v>
      </c>
      <c r="M33" t="s">
        <v>63</v>
      </c>
      <c r="O33" s="279">
        <f t="shared" si="1"/>
        <v>2.8712</v>
      </c>
      <c r="P33" t="s">
        <v>860</v>
      </c>
      <c r="R33" t="s">
        <v>337</v>
      </c>
    </row>
    <row r="34" spans="1:18">
      <c r="A34">
        <v>12</v>
      </c>
      <c r="B34" t="s">
        <v>309</v>
      </c>
      <c r="G34">
        <v>11</v>
      </c>
      <c r="H34" s="265"/>
      <c r="I34" t="s">
        <v>317</v>
      </c>
      <c r="J34" t="s">
        <v>22</v>
      </c>
      <c r="K34" s="265" t="s">
        <v>71</v>
      </c>
      <c r="L34" t="s">
        <v>33</v>
      </c>
      <c r="M34" t="s">
        <v>63</v>
      </c>
      <c r="O34" s="279">
        <f t="shared" si="1"/>
        <v>2.8712</v>
      </c>
      <c r="P34" t="s">
        <v>860</v>
      </c>
      <c r="R34" t="s">
        <v>337</v>
      </c>
    </row>
    <row r="35" spans="1:18">
      <c r="A35">
        <v>12</v>
      </c>
      <c r="B35" t="s">
        <v>309</v>
      </c>
      <c r="G35">
        <v>2</v>
      </c>
      <c r="H35" s="265"/>
      <c r="I35" t="s">
        <v>317</v>
      </c>
      <c r="J35" t="s">
        <v>22</v>
      </c>
      <c r="K35" s="265" t="s">
        <v>71</v>
      </c>
      <c r="L35" t="s">
        <v>33</v>
      </c>
      <c r="M35" t="s">
        <v>315</v>
      </c>
      <c r="O35" s="279">
        <f>22.8*0.23*4</f>
        <v>20.976000000000003</v>
      </c>
      <c r="P35" t="s">
        <v>861</v>
      </c>
      <c r="R35" t="s">
        <v>337</v>
      </c>
    </row>
    <row r="36" spans="1:18">
      <c r="A36">
        <v>12</v>
      </c>
      <c r="B36" t="s">
        <v>309</v>
      </c>
      <c r="G36">
        <v>3</v>
      </c>
      <c r="H36" s="265"/>
      <c r="I36" t="s">
        <v>317</v>
      </c>
      <c r="J36" t="s">
        <v>22</v>
      </c>
      <c r="K36" s="265" t="s">
        <v>71</v>
      </c>
      <c r="L36" t="s">
        <v>33</v>
      </c>
      <c r="M36" t="s">
        <v>315</v>
      </c>
      <c r="O36" s="279">
        <f t="shared" ref="O36:O44" si="2">22.8*0.23*4</f>
        <v>20.976000000000003</v>
      </c>
      <c r="P36" t="s">
        <v>861</v>
      </c>
      <c r="R36" t="s">
        <v>337</v>
      </c>
    </row>
    <row r="37" spans="1:18">
      <c r="A37">
        <v>12</v>
      </c>
      <c r="B37" t="s">
        <v>309</v>
      </c>
      <c r="G37">
        <v>4</v>
      </c>
      <c r="H37" s="265"/>
      <c r="I37" t="s">
        <v>317</v>
      </c>
      <c r="J37" t="s">
        <v>22</v>
      </c>
      <c r="K37" s="265" t="s">
        <v>71</v>
      </c>
      <c r="L37" t="s">
        <v>33</v>
      </c>
      <c r="M37" t="s">
        <v>315</v>
      </c>
      <c r="O37" s="279">
        <f t="shared" si="2"/>
        <v>20.976000000000003</v>
      </c>
      <c r="P37" t="s">
        <v>861</v>
      </c>
      <c r="R37" t="s">
        <v>337</v>
      </c>
    </row>
    <row r="38" spans="1:18">
      <c r="A38">
        <v>12</v>
      </c>
      <c r="B38" t="s">
        <v>309</v>
      </c>
      <c r="G38">
        <v>5</v>
      </c>
      <c r="H38" s="265"/>
      <c r="I38" t="s">
        <v>317</v>
      </c>
      <c r="J38" t="s">
        <v>22</v>
      </c>
      <c r="K38" s="265" t="s">
        <v>71</v>
      </c>
      <c r="L38" t="s">
        <v>33</v>
      </c>
      <c r="M38" t="s">
        <v>315</v>
      </c>
      <c r="O38" s="279">
        <f t="shared" si="2"/>
        <v>20.976000000000003</v>
      </c>
      <c r="P38" t="s">
        <v>861</v>
      </c>
      <c r="R38" t="s">
        <v>337</v>
      </c>
    </row>
    <row r="39" spans="1:18">
      <c r="A39">
        <v>12</v>
      </c>
      <c r="B39" t="s">
        <v>309</v>
      </c>
      <c r="G39">
        <v>6</v>
      </c>
      <c r="H39" s="265"/>
      <c r="I39" t="s">
        <v>317</v>
      </c>
      <c r="J39" t="s">
        <v>22</v>
      </c>
      <c r="K39" s="265" t="s">
        <v>71</v>
      </c>
      <c r="L39" t="s">
        <v>33</v>
      </c>
      <c r="M39" t="s">
        <v>315</v>
      </c>
      <c r="O39" s="279">
        <f t="shared" si="2"/>
        <v>20.976000000000003</v>
      </c>
      <c r="P39" t="s">
        <v>861</v>
      </c>
      <c r="R39" t="s">
        <v>337</v>
      </c>
    </row>
    <row r="40" spans="1:18">
      <c r="A40">
        <v>12</v>
      </c>
      <c r="B40" t="s">
        <v>309</v>
      </c>
      <c r="G40">
        <v>7</v>
      </c>
      <c r="H40" s="265"/>
      <c r="I40" t="s">
        <v>317</v>
      </c>
      <c r="J40" t="s">
        <v>22</v>
      </c>
      <c r="K40" s="265" t="s">
        <v>71</v>
      </c>
      <c r="L40" t="s">
        <v>33</v>
      </c>
      <c r="M40" t="s">
        <v>315</v>
      </c>
      <c r="O40" s="279">
        <f t="shared" si="2"/>
        <v>20.976000000000003</v>
      </c>
      <c r="P40" t="s">
        <v>861</v>
      </c>
      <c r="R40" t="s">
        <v>337</v>
      </c>
    </row>
    <row r="41" spans="1:18">
      <c r="A41">
        <v>12</v>
      </c>
      <c r="B41" t="s">
        <v>309</v>
      </c>
      <c r="G41">
        <v>8</v>
      </c>
      <c r="H41" s="265"/>
      <c r="I41" t="s">
        <v>317</v>
      </c>
      <c r="J41" t="s">
        <v>22</v>
      </c>
      <c r="K41" s="265" t="s">
        <v>71</v>
      </c>
      <c r="L41" t="s">
        <v>33</v>
      </c>
      <c r="M41" t="s">
        <v>315</v>
      </c>
      <c r="O41" s="279">
        <f t="shared" si="2"/>
        <v>20.976000000000003</v>
      </c>
      <c r="P41" t="s">
        <v>861</v>
      </c>
      <c r="R41" t="s">
        <v>337</v>
      </c>
    </row>
    <row r="42" spans="1:18">
      <c r="A42">
        <v>12</v>
      </c>
      <c r="B42" t="s">
        <v>309</v>
      </c>
      <c r="G42">
        <v>9</v>
      </c>
      <c r="H42" s="265"/>
      <c r="I42" t="s">
        <v>317</v>
      </c>
      <c r="J42" t="s">
        <v>22</v>
      </c>
      <c r="K42" s="265" t="s">
        <v>71</v>
      </c>
      <c r="L42" t="s">
        <v>33</v>
      </c>
      <c r="M42" t="s">
        <v>315</v>
      </c>
      <c r="O42" s="279">
        <f t="shared" si="2"/>
        <v>20.976000000000003</v>
      </c>
      <c r="P42" t="s">
        <v>861</v>
      </c>
      <c r="R42" t="s">
        <v>337</v>
      </c>
    </row>
    <row r="43" spans="1:18">
      <c r="A43">
        <v>12</v>
      </c>
      <c r="B43" t="s">
        <v>309</v>
      </c>
      <c r="G43">
        <v>10</v>
      </c>
      <c r="H43" s="265"/>
      <c r="I43" t="s">
        <v>317</v>
      </c>
      <c r="J43" t="s">
        <v>22</v>
      </c>
      <c r="K43" s="265" t="s">
        <v>71</v>
      </c>
      <c r="L43" t="s">
        <v>33</v>
      </c>
      <c r="M43" t="s">
        <v>315</v>
      </c>
      <c r="O43" s="279">
        <f t="shared" si="2"/>
        <v>20.976000000000003</v>
      </c>
      <c r="P43" t="s">
        <v>861</v>
      </c>
      <c r="R43" t="s">
        <v>337</v>
      </c>
    </row>
    <row r="44" spans="1:18">
      <c r="A44">
        <v>12</v>
      </c>
      <c r="B44" t="s">
        <v>309</v>
      </c>
      <c r="G44">
        <v>11</v>
      </c>
      <c r="H44" s="265"/>
      <c r="I44" t="s">
        <v>317</v>
      </c>
      <c r="J44" t="s">
        <v>22</v>
      </c>
      <c r="K44" s="265" t="s">
        <v>71</v>
      </c>
      <c r="L44" t="s">
        <v>33</v>
      </c>
      <c r="M44" t="s">
        <v>315</v>
      </c>
      <c r="O44" s="279">
        <f t="shared" si="2"/>
        <v>20.976000000000003</v>
      </c>
      <c r="P44" t="s">
        <v>861</v>
      </c>
      <c r="R44" t="s">
        <v>337</v>
      </c>
    </row>
    <row r="45" spans="1:18">
      <c r="A45">
        <v>12</v>
      </c>
      <c r="B45" t="s">
        <v>309</v>
      </c>
      <c r="G45">
        <v>2</v>
      </c>
      <c r="H45" s="265"/>
      <c r="I45" t="s">
        <v>317</v>
      </c>
      <c r="J45" t="s">
        <v>22</v>
      </c>
      <c r="K45" s="265" t="s">
        <v>71</v>
      </c>
      <c r="L45" t="s">
        <v>33</v>
      </c>
      <c r="M45" t="s">
        <v>316</v>
      </c>
      <c r="O45" s="285">
        <f>((3/128)*53)+(32/128)*(1.75*8)+((1.5/8)*16)</f>
        <v>7.7421875</v>
      </c>
      <c r="P45" t="s">
        <v>336</v>
      </c>
      <c r="R45" t="s">
        <v>337</v>
      </c>
    </row>
    <row r="46" spans="1:18">
      <c r="A46">
        <v>12</v>
      </c>
      <c r="B46" t="s">
        <v>309</v>
      </c>
      <c r="G46">
        <v>3</v>
      </c>
      <c r="H46" s="265"/>
      <c r="I46" t="s">
        <v>317</v>
      </c>
      <c r="J46" t="s">
        <v>22</v>
      </c>
      <c r="K46" s="265" t="s">
        <v>71</v>
      </c>
      <c r="L46" t="s">
        <v>33</v>
      </c>
      <c r="M46" t="s">
        <v>316</v>
      </c>
      <c r="O46" s="285">
        <f t="shared" ref="O46:O54" si="3">((3/128)*53)+(32/128)*(1.75*8)+((1.5/8)*16)</f>
        <v>7.7421875</v>
      </c>
      <c r="P46" t="s">
        <v>336</v>
      </c>
      <c r="R46" t="s">
        <v>337</v>
      </c>
    </row>
    <row r="47" spans="1:18">
      <c r="A47">
        <v>12</v>
      </c>
      <c r="B47" t="s">
        <v>309</v>
      </c>
      <c r="G47">
        <v>4</v>
      </c>
      <c r="H47" s="265"/>
      <c r="I47" t="s">
        <v>317</v>
      </c>
      <c r="J47" t="s">
        <v>22</v>
      </c>
      <c r="K47" s="265" t="s">
        <v>71</v>
      </c>
      <c r="L47" t="s">
        <v>33</v>
      </c>
      <c r="M47" t="s">
        <v>316</v>
      </c>
      <c r="O47" s="285">
        <f t="shared" si="3"/>
        <v>7.7421875</v>
      </c>
      <c r="P47" t="s">
        <v>336</v>
      </c>
      <c r="R47" t="s">
        <v>337</v>
      </c>
    </row>
    <row r="48" spans="1:18">
      <c r="A48">
        <v>12</v>
      </c>
      <c r="B48" t="s">
        <v>309</v>
      </c>
      <c r="G48">
        <v>5</v>
      </c>
      <c r="H48" s="265"/>
      <c r="I48" t="s">
        <v>317</v>
      </c>
      <c r="J48" t="s">
        <v>22</v>
      </c>
      <c r="K48" s="265" t="s">
        <v>71</v>
      </c>
      <c r="L48" t="s">
        <v>33</v>
      </c>
      <c r="M48" t="s">
        <v>316</v>
      </c>
      <c r="O48" s="285">
        <f t="shared" si="3"/>
        <v>7.7421875</v>
      </c>
      <c r="P48" t="s">
        <v>336</v>
      </c>
      <c r="R48" t="s">
        <v>337</v>
      </c>
    </row>
    <row r="49" spans="1:18">
      <c r="A49">
        <v>12</v>
      </c>
      <c r="B49" t="s">
        <v>309</v>
      </c>
      <c r="G49">
        <v>6</v>
      </c>
      <c r="H49" s="265"/>
      <c r="I49" t="s">
        <v>317</v>
      </c>
      <c r="J49" t="s">
        <v>22</v>
      </c>
      <c r="K49" s="265" t="s">
        <v>71</v>
      </c>
      <c r="L49" t="s">
        <v>33</v>
      </c>
      <c r="M49" t="s">
        <v>316</v>
      </c>
      <c r="O49" s="285">
        <f t="shared" si="3"/>
        <v>7.7421875</v>
      </c>
      <c r="P49" t="s">
        <v>336</v>
      </c>
      <c r="R49" t="s">
        <v>337</v>
      </c>
    </row>
    <row r="50" spans="1:18">
      <c r="A50">
        <v>12</v>
      </c>
      <c r="B50" t="s">
        <v>309</v>
      </c>
      <c r="G50">
        <v>7</v>
      </c>
      <c r="H50" s="265"/>
      <c r="I50" t="s">
        <v>317</v>
      </c>
      <c r="J50" t="s">
        <v>22</v>
      </c>
      <c r="K50" s="265" t="s">
        <v>71</v>
      </c>
      <c r="L50" t="s">
        <v>33</v>
      </c>
      <c r="M50" t="s">
        <v>316</v>
      </c>
      <c r="O50" s="285">
        <f t="shared" si="3"/>
        <v>7.7421875</v>
      </c>
      <c r="P50" t="s">
        <v>336</v>
      </c>
      <c r="R50" t="s">
        <v>337</v>
      </c>
    </row>
    <row r="51" spans="1:18">
      <c r="A51">
        <v>12</v>
      </c>
      <c r="B51" t="s">
        <v>309</v>
      </c>
      <c r="G51">
        <v>8</v>
      </c>
      <c r="H51" s="265"/>
      <c r="I51" t="s">
        <v>317</v>
      </c>
      <c r="J51" t="s">
        <v>22</v>
      </c>
      <c r="K51" s="265" t="s">
        <v>71</v>
      </c>
      <c r="L51" t="s">
        <v>33</v>
      </c>
      <c r="M51" t="s">
        <v>316</v>
      </c>
      <c r="O51" s="285">
        <f t="shared" si="3"/>
        <v>7.7421875</v>
      </c>
      <c r="P51" t="s">
        <v>336</v>
      </c>
      <c r="R51" t="s">
        <v>337</v>
      </c>
    </row>
    <row r="52" spans="1:18">
      <c r="A52">
        <v>12</v>
      </c>
      <c r="B52" t="s">
        <v>309</v>
      </c>
      <c r="G52">
        <v>9</v>
      </c>
      <c r="H52" s="265"/>
      <c r="I52" t="s">
        <v>317</v>
      </c>
      <c r="J52" t="s">
        <v>22</v>
      </c>
      <c r="K52" s="265" t="s">
        <v>71</v>
      </c>
      <c r="L52" t="s">
        <v>33</v>
      </c>
      <c r="M52" t="s">
        <v>316</v>
      </c>
      <c r="O52" s="285">
        <f t="shared" si="3"/>
        <v>7.7421875</v>
      </c>
      <c r="P52" t="s">
        <v>336</v>
      </c>
      <c r="R52" t="s">
        <v>337</v>
      </c>
    </row>
    <row r="53" spans="1:18">
      <c r="A53">
        <v>12</v>
      </c>
      <c r="B53" t="s">
        <v>309</v>
      </c>
      <c r="G53">
        <v>10</v>
      </c>
      <c r="H53" s="265"/>
      <c r="I53" t="s">
        <v>317</v>
      </c>
      <c r="J53" t="s">
        <v>22</v>
      </c>
      <c r="K53" s="265" t="s">
        <v>71</v>
      </c>
      <c r="L53" t="s">
        <v>33</v>
      </c>
      <c r="M53" t="s">
        <v>316</v>
      </c>
      <c r="O53" s="285">
        <f t="shared" si="3"/>
        <v>7.7421875</v>
      </c>
      <c r="P53" t="s">
        <v>336</v>
      </c>
      <c r="R53" t="s">
        <v>337</v>
      </c>
    </row>
    <row r="54" spans="1:18">
      <c r="A54">
        <v>12</v>
      </c>
      <c r="B54" t="s">
        <v>309</v>
      </c>
      <c r="G54">
        <v>11</v>
      </c>
      <c r="H54" s="265"/>
      <c r="I54" t="s">
        <v>317</v>
      </c>
      <c r="J54" t="s">
        <v>22</v>
      </c>
      <c r="K54" s="265" t="s">
        <v>71</v>
      </c>
      <c r="L54" t="s">
        <v>33</v>
      </c>
      <c r="M54" t="s">
        <v>316</v>
      </c>
      <c r="O54" s="285">
        <f t="shared" si="3"/>
        <v>7.7421875</v>
      </c>
      <c r="P54" t="s">
        <v>336</v>
      </c>
      <c r="R54" t="s">
        <v>337</v>
      </c>
    </row>
    <row r="55" spans="1:18">
      <c r="A55">
        <v>12</v>
      </c>
      <c r="B55" t="s">
        <v>309</v>
      </c>
      <c r="G55">
        <v>2</v>
      </c>
      <c r="H55" s="265">
        <v>14</v>
      </c>
      <c r="I55" t="s">
        <v>317</v>
      </c>
      <c r="J55" t="s">
        <v>22</v>
      </c>
      <c r="K55" s="265" t="s">
        <v>981</v>
      </c>
      <c r="L55" t="s">
        <v>32</v>
      </c>
      <c r="M55" t="s">
        <v>319</v>
      </c>
      <c r="O55" s="1">
        <v>4.8</v>
      </c>
      <c r="P55" t="s">
        <v>329</v>
      </c>
      <c r="Q55" s="3" t="s">
        <v>1144</v>
      </c>
      <c r="R55" t="s">
        <v>337</v>
      </c>
    </row>
    <row r="56" spans="1:18">
      <c r="A56">
        <v>12</v>
      </c>
      <c r="B56" t="s">
        <v>309</v>
      </c>
      <c r="G56">
        <v>3</v>
      </c>
      <c r="H56" s="265">
        <v>14</v>
      </c>
      <c r="I56" t="s">
        <v>317</v>
      </c>
      <c r="J56" t="s">
        <v>22</v>
      </c>
      <c r="K56" s="265" t="s">
        <v>981</v>
      </c>
      <c r="L56" t="s">
        <v>32</v>
      </c>
      <c r="M56" t="s">
        <v>319</v>
      </c>
      <c r="O56" s="1">
        <v>4.8</v>
      </c>
      <c r="P56" t="s">
        <v>329</v>
      </c>
      <c r="R56" t="s">
        <v>337</v>
      </c>
    </row>
    <row r="57" spans="1:18">
      <c r="A57">
        <v>12</v>
      </c>
      <c r="B57" t="s">
        <v>309</v>
      </c>
      <c r="G57">
        <v>4</v>
      </c>
      <c r="H57" s="265">
        <v>14</v>
      </c>
      <c r="I57" t="s">
        <v>317</v>
      </c>
      <c r="J57" t="s">
        <v>22</v>
      </c>
      <c r="K57" s="265" t="s">
        <v>981</v>
      </c>
      <c r="L57" t="s">
        <v>32</v>
      </c>
      <c r="M57" t="s">
        <v>319</v>
      </c>
      <c r="O57" s="1">
        <v>4.8</v>
      </c>
      <c r="P57" t="s">
        <v>329</v>
      </c>
      <c r="R57" t="s">
        <v>337</v>
      </c>
    </row>
    <row r="58" spans="1:18">
      <c r="A58">
        <v>12</v>
      </c>
      <c r="B58" t="s">
        <v>309</v>
      </c>
      <c r="G58">
        <v>5</v>
      </c>
      <c r="H58" s="265">
        <v>14</v>
      </c>
      <c r="I58" t="s">
        <v>317</v>
      </c>
      <c r="J58" t="s">
        <v>22</v>
      </c>
      <c r="K58" s="265" t="s">
        <v>981</v>
      </c>
      <c r="L58" t="s">
        <v>32</v>
      </c>
      <c r="M58" t="s">
        <v>319</v>
      </c>
      <c r="O58" s="1">
        <v>4.8</v>
      </c>
      <c r="P58" t="s">
        <v>329</v>
      </c>
      <c r="R58" t="s">
        <v>337</v>
      </c>
    </row>
    <row r="59" spans="1:18">
      <c r="A59">
        <v>12</v>
      </c>
      <c r="B59" t="s">
        <v>309</v>
      </c>
      <c r="G59">
        <v>6</v>
      </c>
      <c r="H59" s="265">
        <v>14</v>
      </c>
      <c r="I59" t="s">
        <v>317</v>
      </c>
      <c r="J59" t="s">
        <v>22</v>
      </c>
      <c r="K59" s="265" t="s">
        <v>981</v>
      </c>
      <c r="L59" t="s">
        <v>32</v>
      </c>
      <c r="M59" t="s">
        <v>319</v>
      </c>
      <c r="O59" s="1">
        <v>4.8</v>
      </c>
      <c r="P59" t="s">
        <v>329</v>
      </c>
      <c r="R59" t="s">
        <v>337</v>
      </c>
    </row>
    <row r="60" spans="1:18">
      <c r="A60">
        <v>12</v>
      </c>
      <c r="B60" t="s">
        <v>309</v>
      </c>
      <c r="G60">
        <v>7</v>
      </c>
      <c r="H60" s="265">
        <v>14</v>
      </c>
      <c r="I60" t="s">
        <v>317</v>
      </c>
      <c r="J60" t="s">
        <v>22</v>
      </c>
      <c r="K60" s="265" t="s">
        <v>981</v>
      </c>
      <c r="L60" t="s">
        <v>32</v>
      </c>
      <c r="M60" t="s">
        <v>319</v>
      </c>
      <c r="O60" s="1">
        <v>4.8</v>
      </c>
      <c r="P60" t="s">
        <v>329</v>
      </c>
      <c r="R60" t="s">
        <v>337</v>
      </c>
    </row>
    <row r="61" spans="1:18">
      <c r="A61">
        <v>12</v>
      </c>
      <c r="B61" t="s">
        <v>309</v>
      </c>
      <c r="G61">
        <v>8</v>
      </c>
      <c r="H61" s="265">
        <v>14</v>
      </c>
      <c r="I61" t="s">
        <v>317</v>
      </c>
      <c r="J61" t="s">
        <v>22</v>
      </c>
      <c r="K61" s="265" t="s">
        <v>981</v>
      </c>
      <c r="L61" t="s">
        <v>32</v>
      </c>
      <c r="M61" t="s">
        <v>319</v>
      </c>
      <c r="O61" s="1">
        <v>4.8</v>
      </c>
      <c r="P61" t="s">
        <v>329</v>
      </c>
      <c r="R61" t="s">
        <v>337</v>
      </c>
    </row>
    <row r="62" spans="1:18">
      <c r="A62">
        <v>12</v>
      </c>
      <c r="B62" t="s">
        <v>309</v>
      </c>
      <c r="G62">
        <v>9</v>
      </c>
      <c r="H62" s="265">
        <v>14</v>
      </c>
      <c r="I62" t="s">
        <v>317</v>
      </c>
      <c r="J62" t="s">
        <v>22</v>
      </c>
      <c r="K62" s="265" t="s">
        <v>981</v>
      </c>
      <c r="L62" t="s">
        <v>32</v>
      </c>
      <c r="M62" t="s">
        <v>319</v>
      </c>
      <c r="O62" s="1">
        <v>4.8</v>
      </c>
      <c r="P62" t="s">
        <v>329</v>
      </c>
      <c r="R62" t="s">
        <v>337</v>
      </c>
    </row>
    <row r="63" spans="1:18">
      <c r="A63">
        <v>12</v>
      </c>
      <c r="B63" t="s">
        <v>309</v>
      </c>
      <c r="G63">
        <v>10</v>
      </c>
      <c r="H63" s="265">
        <v>14</v>
      </c>
      <c r="I63" t="s">
        <v>317</v>
      </c>
      <c r="J63" t="s">
        <v>22</v>
      </c>
      <c r="K63" s="265" t="s">
        <v>981</v>
      </c>
      <c r="L63" t="s">
        <v>32</v>
      </c>
      <c r="M63" t="s">
        <v>319</v>
      </c>
      <c r="O63" s="1">
        <v>4.8</v>
      </c>
      <c r="P63" t="s">
        <v>329</v>
      </c>
      <c r="R63" t="s">
        <v>337</v>
      </c>
    </row>
    <row r="64" spans="1:18">
      <c r="A64">
        <v>12</v>
      </c>
      <c r="B64" t="s">
        <v>309</v>
      </c>
      <c r="G64">
        <v>11</v>
      </c>
      <c r="H64" s="265">
        <v>14</v>
      </c>
      <c r="I64" t="s">
        <v>317</v>
      </c>
      <c r="J64" t="s">
        <v>22</v>
      </c>
      <c r="K64" s="265" t="s">
        <v>981</v>
      </c>
      <c r="L64" t="s">
        <v>32</v>
      </c>
      <c r="M64" t="s">
        <v>319</v>
      </c>
      <c r="O64" s="1">
        <v>4.8</v>
      </c>
      <c r="P64" t="s">
        <v>329</v>
      </c>
      <c r="R64" t="s">
        <v>337</v>
      </c>
    </row>
    <row r="65" spans="1:18">
      <c r="A65">
        <v>12</v>
      </c>
      <c r="B65" t="s">
        <v>309</v>
      </c>
      <c r="G65">
        <v>2</v>
      </c>
      <c r="H65" s="265">
        <v>14</v>
      </c>
      <c r="I65" t="s">
        <v>317</v>
      </c>
      <c r="J65" t="s">
        <v>22</v>
      </c>
      <c r="K65" s="265" t="s">
        <v>981</v>
      </c>
      <c r="L65" t="s">
        <v>32</v>
      </c>
      <c r="M65" t="s">
        <v>320</v>
      </c>
      <c r="O65" s="1">
        <v>3.2</v>
      </c>
      <c r="P65" t="s">
        <v>329</v>
      </c>
      <c r="R65" t="s">
        <v>337</v>
      </c>
    </row>
    <row r="66" spans="1:18">
      <c r="A66">
        <v>12</v>
      </c>
      <c r="B66" t="s">
        <v>309</v>
      </c>
      <c r="G66">
        <v>3</v>
      </c>
      <c r="H66" s="265">
        <v>14</v>
      </c>
      <c r="I66" t="s">
        <v>317</v>
      </c>
      <c r="J66" t="s">
        <v>22</v>
      </c>
      <c r="K66" s="265" t="s">
        <v>981</v>
      </c>
      <c r="L66" t="s">
        <v>32</v>
      </c>
      <c r="M66" t="s">
        <v>320</v>
      </c>
      <c r="O66" s="1">
        <v>3.2</v>
      </c>
      <c r="P66" t="s">
        <v>329</v>
      </c>
      <c r="R66" t="s">
        <v>337</v>
      </c>
    </row>
    <row r="67" spans="1:18">
      <c r="A67">
        <v>12</v>
      </c>
      <c r="B67" t="s">
        <v>309</v>
      </c>
      <c r="G67">
        <v>4</v>
      </c>
      <c r="H67" s="265">
        <v>14</v>
      </c>
      <c r="I67" t="s">
        <v>317</v>
      </c>
      <c r="J67" t="s">
        <v>22</v>
      </c>
      <c r="K67" s="265" t="s">
        <v>981</v>
      </c>
      <c r="L67" t="s">
        <v>32</v>
      </c>
      <c r="M67" t="s">
        <v>320</v>
      </c>
      <c r="O67" s="1">
        <v>3.2</v>
      </c>
      <c r="P67" t="s">
        <v>329</v>
      </c>
      <c r="R67" t="s">
        <v>337</v>
      </c>
    </row>
    <row r="68" spans="1:18">
      <c r="A68">
        <v>12</v>
      </c>
      <c r="B68" t="s">
        <v>309</v>
      </c>
      <c r="G68">
        <v>5</v>
      </c>
      <c r="H68" s="265">
        <v>14</v>
      </c>
      <c r="I68" t="s">
        <v>317</v>
      </c>
      <c r="J68" t="s">
        <v>22</v>
      </c>
      <c r="K68" s="265" t="s">
        <v>981</v>
      </c>
      <c r="L68" t="s">
        <v>32</v>
      </c>
      <c r="M68" t="s">
        <v>320</v>
      </c>
      <c r="O68" s="1">
        <v>3.2</v>
      </c>
      <c r="P68" t="s">
        <v>329</v>
      </c>
      <c r="R68" t="s">
        <v>337</v>
      </c>
    </row>
    <row r="69" spans="1:18">
      <c r="A69">
        <v>12</v>
      </c>
      <c r="B69" t="s">
        <v>309</v>
      </c>
      <c r="G69">
        <v>6</v>
      </c>
      <c r="H69" s="265">
        <v>14</v>
      </c>
      <c r="I69" t="s">
        <v>317</v>
      </c>
      <c r="J69" t="s">
        <v>22</v>
      </c>
      <c r="K69" s="265" t="s">
        <v>981</v>
      </c>
      <c r="L69" t="s">
        <v>32</v>
      </c>
      <c r="M69" t="s">
        <v>320</v>
      </c>
      <c r="O69" s="1">
        <v>3.2</v>
      </c>
      <c r="P69" t="s">
        <v>329</v>
      </c>
      <c r="R69" t="s">
        <v>337</v>
      </c>
    </row>
    <row r="70" spans="1:18">
      <c r="A70">
        <v>12</v>
      </c>
      <c r="B70" t="s">
        <v>309</v>
      </c>
      <c r="G70">
        <v>7</v>
      </c>
      <c r="H70" s="265">
        <v>14</v>
      </c>
      <c r="I70" t="s">
        <v>317</v>
      </c>
      <c r="J70" t="s">
        <v>22</v>
      </c>
      <c r="K70" s="265" t="s">
        <v>981</v>
      </c>
      <c r="L70" t="s">
        <v>32</v>
      </c>
      <c r="M70" t="s">
        <v>320</v>
      </c>
      <c r="O70" s="1">
        <v>3.2</v>
      </c>
      <c r="P70" t="s">
        <v>329</v>
      </c>
      <c r="R70" t="s">
        <v>337</v>
      </c>
    </row>
    <row r="71" spans="1:18">
      <c r="A71">
        <v>12</v>
      </c>
      <c r="B71" t="s">
        <v>309</v>
      </c>
      <c r="G71">
        <v>8</v>
      </c>
      <c r="H71" s="265">
        <v>14</v>
      </c>
      <c r="I71" t="s">
        <v>317</v>
      </c>
      <c r="J71" t="s">
        <v>22</v>
      </c>
      <c r="K71" s="265" t="s">
        <v>981</v>
      </c>
      <c r="L71" t="s">
        <v>32</v>
      </c>
      <c r="M71" t="s">
        <v>320</v>
      </c>
      <c r="O71" s="1">
        <v>3.2</v>
      </c>
      <c r="P71" t="s">
        <v>329</v>
      </c>
      <c r="R71" t="s">
        <v>337</v>
      </c>
    </row>
    <row r="72" spans="1:18">
      <c r="A72">
        <v>12</v>
      </c>
      <c r="B72" t="s">
        <v>309</v>
      </c>
      <c r="G72">
        <v>9</v>
      </c>
      <c r="H72" s="265">
        <v>14</v>
      </c>
      <c r="I72" t="s">
        <v>317</v>
      </c>
      <c r="J72" t="s">
        <v>22</v>
      </c>
      <c r="K72" s="265" t="s">
        <v>981</v>
      </c>
      <c r="L72" t="s">
        <v>32</v>
      </c>
      <c r="M72" t="s">
        <v>320</v>
      </c>
      <c r="O72" s="1">
        <v>3.2</v>
      </c>
      <c r="P72" t="s">
        <v>329</v>
      </c>
      <c r="R72" t="s">
        <v>337</v>
      </c>
    </row>
    <row r="73" spans="1:18">
      <c r="A73">
        <v>12</v>
      </c>
      <c r="B73" t="s">
        <v>309</v>
      </c>
      <c r="G73">
        <v>10</v>
      </c>
      <c r="H73" s="265">
        <v>14</v>
      </c>
      <c r="I73" t="s">
        <v>317</v>
      </c>
      <c r="J73" t="s">
        <v>22</v>
      </c>
      <c r="K73" s="265" t="s">
        <v>981</v>
      </c>
      <c r="L73" t="s">
        <v>32</v>
      </c>
      <c r="M73" t="s">
        <v>320</v>
      </c>
      <c r="O73" s="1">
        <v>3.2</v>
      </c>
      <c r="P73" t="s">
        <v>329</v>
      </c>
      <c r="R73" t="s">
        <v>337</v>
      </c>
    </row>
    <row r="74" spans="1:18">
      <c r="A74">
        <v>12</v>
      </c>
      <c r="B74" t="s">
        <v>309</v>
      </c>
      <c r="G74">
        <v>11</v>
      </c>
      <c r="H74" s="265">
        <v>14</v>
      </c>
      <c r="I74" t="s">
        <v>317</v>
      </c>
      <c r="J74" t="s">
        <v>22</v>
      </c>
      <c r="K74" s="265" t="s">
        <v>981</v>
      </c>
      <c r="L74" t="s">
        <v>32</v>
      </c>
      <c r="M74" t="s">
        <v>320</v>
      </c>
      <c r="O74" s="1">
        <v>3.2</v>
      </c>
      <c r="P74" t="s">
        <v>329</v>
      </c>
      <c r="R74" t="s">
        <v>337</v>
      </c>
    </row>
    <row r="75" spans="1:18">
      <c r="A75">
        <v>12</v>
      </c>
      <c r="B75" t="s">
        <v>309</v>
      </c>
      <c r="G75">
        <v>2</v>
      </c>
      <c r="H75" s="265">
        <v>14</v>
      </c>
      <c r="I75" t="s">
        <v>317</v>
      </c>
      <c r="J75" t="s">
        <v>22</v>
      </c>
      <c r="K75" s="265" t="s">
        <v>981</v>
      </c>
      <c r="L75" t="s">
        <v>32</v>
      </c>
      <c r="M75" t="s">
        <v>321</v>
      </c>
      <c r="O75" s="1">
        <v>5.15</v>
      </c>
      <c r="P75" t="s">
        <v>329</v>
      </c>
      <c r="R75" t="s">
        <v>337</v>
      </c>
    </row>
    <row r="76" spans="1:18">
      <c r="A76">
        <v>12</v>
      </c>
      <c r="B76" t="s">
        <v>309</v>
      </c>
      <c r="G76">
        <v>3</v>
      </c>
      <c r="H76" s="265">
        <v>14</v>
      </c>
      <c r="I76" t="s">
        <v>317</v>
      </c>
      <c r="J76" t="s">
        <v>22</v>
      </c>
      <c r="K76" s="265" t="s">
        <v>981</v>
      </c>
      <c r="L76" t="s">
        <v>32</v>
      </c>
      <c r="M76" t="s">
        <v>321</v>
      </c>
      <c r="O76" s="1">
        <v>5.15</v>
      </c>
      <c r="P76" t="s">
        <v>329</v>
      </c>
      <c r="R76" t="s">
        <v>337</v>
      </c>
    </row>
    <row r="77" spans="1:18">
      <c r="A77">
        <v>12</v>
      </c>
      <c r="B77" t="s">
        <v>309</v>
      </c>
      <c r="G77">
        <v>4</v>
      </c>
      <c r="H77" s="265">
        <v>14</v>
      </c>
      <c r="I77" t="s">
        <v>317</v>
      </c>
      <c r="J77" t="s">
        <v>22</v>
      </c>
      <c r="K77" s="265" t="s">
        <v>981</v>
      </c>
      <c r="L77" t="s">
        <v>32</v>
      </c>
      <c r="M77" t="s">
        <v>321</v>
      </c>
      <c r="O77" s="1">
        <v>5.15</v>
      </c>
      <c r="P77" t="s">
        <v>329</v>
      </c>
      <c r="R77" t="s">
        <v>337</v>
      </c>
    </row>
    <row r="78" spans="1:18">
      <c r="A78">
        <v>12</v>
      </c>
      <c r="B78" t="s">
        <v>309</v>
      </c>
      <c r="G78">
        <v>5</v>
      </c>
      <c r="H78" s="265">
        <v>14</v>
      </c>
      <c r="I78" t="s">
        <v>317</v>
      </c>
      <c r="J78" t="s">
        <v>22</v>
      </c>
      <c r="K78" s="265" t="s">
        <v>981</v>
      </c>
      <c r="L78" t="s">
        <v>32</v>
      </c>
      <c r="M78" t="s">
        <v>321</v>
      </c>
      <c r="O78" s="1">
        <v>5.15</v>
      </c>
      <c r="P78" t="s">
        <v>329</v>
      </c>
      <c r="R78" t="s">
        <v>337</v>
      </c>
    </row>
    <row r="79" spans="1:18">
      <c r="A79">
        <v>12</v>
      </c>
      <c r="B79" t="s">
        <v>309</v>
      </c>
      <c r="G79">
        <v>6</v>
      </c>
      <c r="H79" s="265">
        <v>14</v>
      </c>
      <c r="I79" t="s">
        <v>317</v>
      </c>
      <c r="J79" t="s">
        <v>22</v>
      </c>
      <c r="K79" s="265" t="s">
        <v>981</v>
      </c>
      <c r="L79" t="s">
        <v>32</v>
      </c>
      <c r="M79" t="s">
        <v>321</v>
      </c>
      <c r="O79" s="1">
        <v>5.15</v>
      </c>
      <c r="P79" t="s">
        <v>329</v>
      </c>
      <c r="R79" t="s">
        <v>337</v>
      </c>
    </row>
    <row r="80" spans="1:18">
      <c r="A80">
        <v>12</v>
      </c>
      <c r="B80" t="s">
        <v>309</v>
      </c>
      <c r="G80">
        <v>7</v>
      </c>
      <c r="H80" s="265">
        <v>14</v>
      </c>
      <c r="I80" t="s">
        <v>317</v>
      </c>
      <c r="J80" t="s">
        <v>22</v>
      </c>
      <c r="K80" s="265" t="s">
        <v>981</v>
      </c>
      <c r="L80" t="s">
        <v>32</v>
      </c>
      <c r="M80" t="s">
        <v>321</v>
      </c>
      <c r="O80" s="1">
        <v>5.15</v>
      </c>
      <c r="P80" t="s">
        <v>329</v>
      </c>
      <c r="R80" t="s">
        <v>337</v>
      </c>
    </row>
    <row r="81" spans="1:18">
      <c r="A81">
        <v>12</v>
      </c>
      <c r="B81" t="s">
        <v>309</v>
      </c>
      <c r="G81">
        <v>8</v>
      </c>
      <c r="H81" s="265">
        <v>14</v>
      </c>
      <c r="I81" t="s">
        <v>317</v>
      </c>
      <c r="J81" t="s">
        <v>22</v>
      </c>
      <c r="K81" s="265" t="s">
        <v>981</v>
      </c>
      <c r="L81" t="s">
        <v>32</v>
      </c>
      <c r="M81" t="s">
        <v>321</v>
      </c>
      <c r="O81" s="1">
        <v>5.15</v>
      </c>
      <c r="P81" t="s">
        <v>329</v>
      </c>
      <c r="R81" t="s">
        <v>337</v>
      </c>
    </row>
    <row r="82" spans="1:18">
      <c r="A82">
        <v>12</v>
      </c>
      <c r="B82" t="s">
        <v>309</v>
      </c>
      <c r="G82">
        <v>9</v>
      </c>
      <c r="H82" s="265">
        <v>14</v>
      </c>
      <c r="I82" t="s">
        <v>317</v>
      </c>
      <c r="J82" t="s">
        <v>22</v>
      </c>
      <c r="K82" s="265" t="s">
        <v>981</v>
      </c>
      <c r="L82" t="s">
        <v>32</v>
      </c>
      <c r="M82" t="s">
        <v>321</v>
      </c>
      <c r="O82" s="1">
        <v>5.15</v>
      </c>
      <c r="P82" t="s">
        <v>329</v>
      </c>
      <c r="R82" t="s">
        <v>337</v>
      </c>
    </row>
    <row r="83" spans="1:18">
      <c r="A83">
        <v>12</v>
      </c>
      <c r="B83" t="s">
        <v>309</v>
      </c>
      <c r="G83">
        <v>10</v>
      </c>
      <c r="H83" s="265">
        <v>14</v>
      </c>
      <c r="I83" t="s">
        <v>317</v>
      </c>
      <c r="J83" t="s">
        <v>22</v>
      </c>
      <c r="K83" s="265" t="s">
        <v>981</v>
      </c>
      <c r="L83" t="s">
        <v>32</v>
      </c>
      <c r="M83" t="s">
        <v>321</v>
      </c>
      <c r="O83" s="1">
        <v>5.15</v>
      </c>
      <c r="P83" t="s">
        <v>329</v>
      </c>
      <c r="R83" t="s">
        <v>337</v>
      </c>
    </row>
    <row r="84" spans="1:18">
      <c r="A84">
        <v>12</v>
      </c>
      <c r="B84" t="s">
        <v>309</v>
      </c>
      <c r="G84">
        <v>11</v>
      </c>
      <c r="H84" s="265">
        <v>14</v>
      </c>
      <c r="I84" t="s">
        <v>317</v>
      </c>
      <c r="J84" t="s">
        <v>22</v>
      </c>
      <c r="K84" s="265" t="s">
        <v>981</v>
      </c>
      <c r="L84" t="s">
        <v>32</v>
      </c>
      <c r="M84" t="s">
        <v>321</v>
      </c>
      <c r="O84" s="1">
        <v>5.15</v>
      </c>
      <c r="P84" t="s">
        <v>329</v>
      </c>
      <c r="R84" t="s">
        <v>337</v>
      </c>
    </row>
    <row r="85" spans="1:18">
      <c r="A85">
        <v>12</v>
      </c>
      <c r="B85" t="s">
        <v>309</v>
      </c>
      <c r="G85">
        <v>2</v>
      </c>
      <c r="H85" s="265">
        <v>22</v>
      </c>
      <c r="I85" t="s">
        <v>317</v>
      </c>
      <c r="J85" t="s">
        <v>29</v>
      </c>
      <c r="K85" s="265" t="s">
        <v>981</v>
      </c>
      <c r="L85" t="s">
        <v>32</v>
      </c>
      <c r="M85" t="s">
        <v>322</v>
      </c>
      <c r="O85" s="1">
        <v>10.75</v>
      </c>
      <c r="P85" t="s">
        <v>329</v>
      </c>
      <c r="R85" t="s">
        <v>337</v>
      </c>
    </row>
    <row r="86" spans="1:18">
      <c r="A86">
        <v>12</v>
      </c>
      <c r="B86" t="s">
        <v>309</v>
      </c>
      <c r="G86">
        <v>3</v>
      </c>
      <c r="H86" s="265">
        <v>22</v>
      </c>
      <c r="I86" t="s">
        <v>317</v>
      </c>
      <c r="J86" t="s">
        <v>29</v>
      </c>
      <c r="K86" s="265" t="s">
        <v>981</v>
      </c>
      <c r="L86" t="s">
        <v>32</v>
      </c>
      <c r="M86" t="s">
        <v>322</v>
      </c>
      <c r="O86" s="1">
        <v>10.75</v>
      </c>
      <c r="P86" t="s">
        <v>329</v>
      </c>
      <c r="R86" t="s">
        <v>337</v>
      </c>
    </row>
    <row r="87" spans="1:18">
      <c r="A87">
        <v>12</v>
      </c>
      <c r="B87" t="s">
        <v>309</v>
      </c>
      <c r="G87">
        <v>4</v>
      </c>
      <c r="H87" s="265">
        <v>22</v>
      </c>
      <c r="I87" t="s">
        <v>317</v>
      </c>
      <c r="J87" t="s">
        <v>29</v>
      </c>
      <c r="K87" s="265" t="s">
        <v>981</v>
      </c>
      <c r="L87" t="s">
        <v>32</v>
      </c>
      <c r="M87" t="s">
        <v>322</v>
      </c>
      <c r="O87" s="1">
        <v>10.75</v>
      </c>
      <c r="P87" t="s">
        <v>329</v>
      </c>
      <c r="R87" t="s">
        <v>337</v>
      </c>
    </row>
    <row r="88" spans="1:18">
      <c r="A88">
        <v>12</v>
      </c>
      <c r="B88" t="s">
        <v>309</v>
      </c>
      <c r="G88">
        <v>5</v>
      </c>
      <c r="H88" s="265">
        <v>22</v>
      </c>
      <c r="I88" t="s">
        <v>317</v>
      </c>
      <c r="J88" t="s">
        <v>29</v>
      </c>
      <c r="K88" s="265" t="s">
        <v>981</v>
      </c>
      <c r="L88" t="s">
        <v>32</v>
      </c>
      <c r="M88" t="s">
        <v>322</v>
      </c>
      <c r="O88" s="1">
        <v>10.75</v>
      </c>
      <c r="P88" t="s">
        <v>329</v>
      </c>
      <c r="R88" t="s">
        <v>337</v>
      </c>
    </row>
    <row r="89" spans="1:18">
      <c r="A89">
        <v>12</v>
      </c>
      <c r="B89" t="s">
        <v>309</v>
      </c>
      <c r="G89">
        <v>6</v>
      </c>
      <c r="H89" s="265">
        <v>22</v>
      </c>
      <c r="I89" t="s">
        <v>317</v>
      </c>
      <c r="J89" t="s">
        <v>29</v>
      </c>
      <c r="K89" s="265" t="s">
        <v>981</v>
      </c>
      <c r="L89" t="s">
        <v>32</v>
      </c>
      <c r="M89" t="s">
        <v>322</v>
      </c>
      <c r="O89" s="1">
        <v>10.75</v>
      </c>
      <c r="P89" t="s">
        <v>329</v>
      </c>
      <c r="R89" t="s">
        <v>337</v>
      </c>
    </row>
    <row r="90" spans="1:18">
      <c r="A90">
        <v>12</v>
      </c>
      <c r="B90" t="s">
        <v>309</v>
      </c>
      <c r="G90">
        <v>7</v>
      </c>
      <c r="H90" s="265">
        <v>22</v>
      </c>
      <c r="I90" t="s">
        <v>317</v>
      </c>
      <c r="J90" t="s">
        <v>29</v>
      </c>
      <c r="K90" s="265" t="s">
        <v>981</v>
      </c>
      <c r="L90" t="s">
        <v>32</v>
      </c>
      <c r="M90" t="s">
        <v>322</v>
      </c>
      <c r="O90" s="1">
        <v>10.75</v>
      </c>
      <c r="P90" t="s">
        <v>329</v>
      </c>
      <c r="R90" t="s">
        <v>337</v>
      </c>
    </row>
    <row r="91" spans="1:18">
      <c r="A91">
        <v>12</v>
      </c>
      <c r="B91" t="s">
        <v>309</v>
      </c>
      <c r="G91">
        <v>8</v>
      </c>
      <c r="H91" s="265">
        <v>22</v>
      </c>
      <c r="I91" t="s">
        <v>317</v>
      </c>
      <c r="J91" t="s">
        <v>29</v>
      </c>
      <c r="K91" s="265" t="s">
        <v>981</v>
      </c>
      <c r="L91" t="s">
        <v>32</v>
      </c>
      <c r="M91" t="s">
        <v>322</v>
      </c>
      <c r="O91" s="1">
        <v>10.75</v>
      </c>
      <c r="P91" t="s">
        <v>329</v>
      </c>
      <c r="R91" t="s">
        <v>337</v>
      </c>
    </row>
    <row r="92" spans="1:18">
      <c r="A92">
        <v>12</v>
      </c>
      <c r="B92" t="s">
        <v>309</v>
      </c>
      <c r="G92">
        <v>9</v>
      </c>
      <c r="H92" s="265">
        <v>22</v>
      </c>
      <c r="I92" t="s">
        <v>317</v>
      </c>
      <c r="J92" t="s">
        <v>29</v>
      </c>
      <c r="K92" s="265" t="s">
        <v>981</v>
      </c>
      <c r="L92" t="s">
        <v>32</v>
      </c>
      <c r="M92" t="s">
        <v>322</v>
      </c>
      <c r="O92" s="1">
        <v>10.75</v>
      </c>
      <c r="P92" t="s">
        <v>329</v>
      </c>
      <c r="R92" t="s">
        <v>337</v>
      </c>
    </row>
    <row r="93" spans="1:18">
      <c r="A93">
        <v>12</v>
      </c>
      <c r="B93" t="s">
        <v>309</v>
      </c>
      <c r="G93">
        <v>10</v>
      </c>
      <c r="H93" s="265">
        <v>22</v>
      </c>
      <c r="I93" t="s">
        <v>317</v>
      </c>
      <c r="J93" t="s">
        <v>29</v>
      </c>
      <c r="K93" s="265" t="s">
        <v>981</v>
      </c>
      <c r="L93" t="s">
        <v>32</v>
      </c>
      <c r="M93" t="s">
        <v>322</v>
      </c>
      <c r="O93" s="1">
        <v>10.75</v>
      </c>
      <c r="P93" t="s">
        <v>329</v>
      </c>
      <c r="R93" t="s">
        <v>337</v>
      </c>
    </row>
    <row r="94" spans="1:18">
      <c r="A94">
        <v>12</v>
      </c>
      <c r="B94" t="s">
        <v>309</v>
      </c>
      <c r="G94">
        <v>11</v>
      </c>
      <c r="H94" s="265">
        <v>22</v>
      </c>
      <c r="I94" t="s">
        <v>317</v>
      </c>
      <c r="J94" t="s">
        <v>29</v>
      </c>
      <c r="K94" s="265" t="s">
        <v>981</v>
      </c>
      <c r="L94" t="s">
        <v>32</v>
      </c>
      <c r="M94" t="s">
        <v>322</v>
      </c>
      <c r="O94" s="1">
        <v>10.75</v>
      </c>
      <c r="P94" t="s">
        <v>329</v>
      </c>
      <c r="R94" t="s">
        <v>337</v>
      </c>
    </row>
    <row r="95" spans="1:18">
      <c r="A95">
        <v>12</v>
      </c>
      <c r="B95" t="s">
        <v>309</v>
      </c>
      <c r="G95">
        <v>2</v>
      </c>
      <c r="H95" s="265">
        <v>22</v>
      </c>
      <c r="I95" t="s">
        <v>317</v>
      </c>
      <c r="J95" t="s">
        <v>29</v>
      </c>
      <c r="K95" s="265" t="s">
        <v>981</v>
      </c>
      <c r="L95" t="s">
        <v>32</v>
      </c>
      <c r="M95" t="s">
        <v>180</v>
      </c>
      <c r="O95" s="1">
        <v>5.3</v>
      </c>
      <c r="P95" t="s">
        <v>329</v>
      </c>
      <c r="R95" t="s">
        <v>337</v>
      </c>
    </row>
    <row r="96" spans="1:18">
      <c r="A96">
        <v>12</v>
      </c>
      <c r="B96" t="s">
        <v>309</v>
      </c>
      <c r="G96">
        <v>3</v>
      </c>
      <c r="H96" s="265">
        <v>22</v>
      </c>
      <c r="I96" t="s">
        <v>317</v>
      </c>
      <c r="J96" t="s">
        <v>29</v>
      </c>
      <c r="K96" s="265" t="s">
        <v>981</v>
      </c>
      <c r="L96" t="s">
        <v>32</v>
      </c>
      <c r="M96" t="s">
        <v>180</v>
      </c>
      <c r="O96" s="1">
        <v>5.3</v>
      </c>
      <c r="P96" t="s">
        <v>329</v>
      </c>
      <c r="R96" t="s">
        <v>337</v>
      </c>
    </row>
    <row r="97" spans="1:18">
      <c r="A97">
        <v>12</v>
      </c>
      <c r="B97" t="s">
        <v>309</v>
      </c>
      <c r="G97">
        <v>4</v>
      </c>
      <c r="H97" s="265">
        <v>22</v>
      </c>
      <c r="I97" t="s">
        <v>317</v>
      </c>
      <c r="J97" t="s">
        <v>29</v>
      </c>
      <c r="K97" s="265" t="s">
        <v>981</v>
      </c>
      <c r="L97" t="s">
        <v>32</v>
      </c>
      <c r="M97" t="s">
        <v>180</v>
      </c>
      <c r="O97" s="1">
        <v>5.3</v>
      </c>
      <c r="P97" t="s">
        <v>329</v>
      </c>
      <c r="R97" t="s">
        <v>337</v>
      </c>
    </row>
    <row r="98" spans="1:18">
      <c r="A98">
        <v>12</v>
      </c>
      <c r="B98" t="s">
        <v>309</v>
      </c>
      <c r="G98">
        <v>5</v>
      </c>
      <c r="H98" s="265">
        <v>22</v>
      </c>
      <c r="I98" t="s">
        <v>317</v>
      </c>
      <c r="J98" t="s">
        <v>29</v>
      </c>
      <c r="K98" s="265" t="s">
        <v>981</v>
      </c>
      <c r="L98" t="s">
        <v>32</v>
      </c>
      <c r="M98" t="s">
        <v>180</v>
      </c>
      <c r="O98" s="1">
        <v>5.3</v>
      </c>
      <c r="P98" t="s">
        <v>329</v>
      </c>
      <c r="R98" t="s">
        <v>337</v>
      </c>
    </row>
    <row r="99" spans="1:18">
      <c r="A99">
        <v>12</v>
      </c>
      <c r="B99" t="s">
        <v>309</v>
      </c>
      <c r="G99">
        <v>6</v>
      </c>
      <c r="H99" s="265">
        <v>22</v>
      </c>
      <c r="I99" t="s">
        <v>317</v>
      </c>
      <c r="J99" t="s">
        <v>29</v>
      </c>
      <c r="K99" s="265" t="s">
        <v>981</v>
      </c>
      <c r="L99" t="s">
        <v>32</v>
      </c>
      <c r="M99" t="s">
        <v>180</v>
      </c>
      <c r="O99" s="1">
        <v>5.3</v>
      </c>
      <c r="P99" t="s">
        <v>329</v>
      </c>
      <c r="R99" t="s">
        <v>337</v>
      </c>
    </row>
    <row r="100" spans="1:18">
      <c r="A100">
        <v>12</v>
      </c>
      <c r="B100" t="s">
        <v>309</v>
      </c>
      <c r="G100">
        <v>7</v>
      </c>
      <c r="H100" s="265">
        <v>22</v>
      </c>
      <c r="I100" t="s">
        <v>317</v>
      </c>
      <c r="J100" t="s">
        <v>29</v>
      </c>
      <c r="K100" s="265" t="s">
        <v>981</v>
      </c>
      <c r="L100" t="s">
        <v>32</v>
      </c>
      <c r="M100" t="s">
        <v>180</v>
      </c>
      <c r="O100" s="1">
        <v>5.3</v>
      </c>
      <c r="P100" t="s">
        <v>329</v>
      </c>
      <c r="R100" t="s">
        <v>337</v>
      </c>
    </row>
    <row r="101" spans="1:18">
      <c r="A101">
        <v>12</v>
      </c>
      <c r="B101" t="s">
        <v>309</v>
      </c>
      <c r="G101">
        <v>8</v>
      </c>
      <c r="H101" s="265">
        <v>22</v>
      </c>
      <c r="I101" t="s">
        <v>317</v>
      </c>
      <c r="J101" t="s">
        <v>29</v>
      </c>
      <c r="K101" s="265" t="s">
        <v>981</v>
      </c>
      <c r="L101" t="s">
        <v>32</v>
      </c>
      <c r="M101" t="s">
        <v>180</v>
      </c>
      <c r="O101" s="1">
        <v>5.3</v>
      </c>
      <c r="P101" t="s">
        <v>329</v>
      </c>
      <c r="R101" t="s">
        <v>337</v>
      </c>
    </row>
    <row r="102" spans="1:18">
      <c r="A102">
        <v>12</v>
      </c>
      <c r="B102" t="s">
        <v>309</v>
      </c>
      <c r="G102">
        <v>9</v>
      </c>
      <c r="H102" s="265">
        <v>22</v>
      </c>
      <c r="I102" t="s">
        <v>317</v>
      </c>
      <c r="J102" t="s">
        <v>29</v>
      </c>
      <c r="K102" s="265" t="s">
        <v>981</v>
      </c>
      <c r="L102" t="s">
        <v>32</v>
      </c>
      <c r="M102" t="s">
        <v>180</v>
      </c>
      <c r="O102" s="1">
        <v>5.3</v>
      </c>
      <c r="P102" t="s">
        <v>329</v>
      </c>
      <c r="R102" t="s">
        <v>337</v>
      </c>
    </row>
    <row r="103" spans="1:18">
      <c r="A103">
        <v>12</v>
      </c>
      <c r="B103" t="s">
        <v>309</v>
      </c>
      <c r="G103">
        <v>10</v>
      </c>
      <c r="H103" s="265">
        <v>22</v>
      </c>
      <c r="I103" t="s">
        <v>317</v>
      </c>
      <c r="J103" t="s">
        <v>29</v>
      </c>
      <c r="K103" s="265" t="s">
        <v>981</v>
      </c>
      <c r="L103" t="s">
        <v>32</v>
      </c>
      <c r="M103" t="s">
        <v>180</v>
      </c>
      <c r="O103" s="1">
        <v>5.3</v>
      </c>
      <c r="P103" t="s">
        <v>329</v>
      </c>
      <c r="R103" t="s">
        <v>337</v>
      </c>
    </row>
    <row r="104" spans="1:18">
      <c r="A104">
        <v>12</v>
      </c>
      <c r="B104" t="s">
        <v>309</v>
      </c>
      <c r="G104">
        <v>11</v>
      </c>
      <c r="H104" s="265">
        <v>22</v>
      </c>
      <c r="I104" t="s">
        <v>317</v>
      </c>
      <c r="J104" t="s">
        <v>29</v>
      </c>
      <c r="K104" s="265" t="s">
        <v>981</v>
      </c>
      <c r="L104" t="s">
        <v>32</v>
      </c>
      <c r="M104" t="s">
        <v>180</v>
      </c>
      <c r="O104" s="1">
        <v>5.3</v>
      </c>
      <c r="P104" t="s">
        <v>329</v>
      </c>
      <c r="R104" t="s">
        <v>337</v>
      </c>
    </row>
    <row r="105" spans="1:18">
      <c r="A105">
        <v>12</v>
      </c>
      <c r="B105" t="s">
        <v>309</v>
      </c>
      <c r="G105">
        <v>2</v>
      </c>
      <c r="H105" s="265">
        <v>22</v>
      </c>
      <c r="I105" t="s">
        <v>317</v>
      </c>
      <c r="J105" t="s">
        <v>29</v>
      </c>
      <c r="K105" s="265" t="s">
        <v>981</v>
      </c>
      <c r="L105" t="s">
        <v>33</v>
      </c>
      <c r="M105" t="s">
        <v>323</v>
      </c>
      <c r="O105" s="279">
        <f>8.42*10.7</f>
        <v>90.093999999999994</v>
      </c>
      <c r="P105" t="s">
        <v>359</v>
      </c>
      <c r="R105" t="s">
        <v>337</v>
      </c>
    </row>
    <row r="106" spans="1:18">
      <c r="A106">
        <v>12</v>
      </c>
      <c r="B106" t="s">
        <v>309</v>
      </c>
      <c r="G106">
        <v>3</v>
      </c>
      <c r="H106" s="265">
        <v>22</v>
      </c>
      <c r="I106" t="s">
        <v>317</v>
      </c>
      <c r="J106" t="s">
        <v>29</v>
      </c>
      <c r="K106" s="265" t="s">
        <v>981</v>
      </c>
      <c r="L106" t="s">
        <v>33</v>
      </c>
      <c r="M106" t="s">
        <v>323</v>
      </c>
      <c r="O106" s="279">
        <f t="shared" ref="O106:O114" si="4">8.42*10.7</f>
        <v>90.093999999999994</v>
      </c>
      <c r="P106" t="s">
        <v>359</v>
      </c>
      <c r="R106" t="s">
        <v>337</v>
      </c>
    </row>
    <row r="107" spans="1:18">
      <c r="A107">
        <v>12</v>
      </c>
      <c r="B107" t="s">
        <v>309</v>
      </c>
      <c r="G107">
        <v>4</v>
      </c>
      <c r="H107" s="265">
        <v>22</v>
      </c>
      <c r="I107" t="s">
        <v>317</v>
      </c>
      <c r="J107" t="s">
        <v>29</v>
      </c>
      <c r="K107" s="265" t="s">
        <v>981</v>
      </c>
      <c r="L107" t="s">
        <v>33</v>
      </c>
      <c r="M107" t="s">
        <v>323</v>
      </c>
      <c r="O107" s="279">
        <f t="shared" si="4"/>
        <v>90.093999999999994</v>
      </c>
      <c r="P107" t="s">
        <v>359</v>
      </c>
      <c r="R107" t="s">
        <v>337</v>
      </c>
    </row>
    <row r="108" spans="1:18">
      <c r="A108">
        <v>12</v>
      </c>
      <c r="B108" t="s">
        <v>309</v>
      </c>
      <c r="G108">
        <v>5</v>
      </c>
      <c r="H108" s="265">
        <v>22</v>
      </c>
      <c r="I108" t="s">
        <v>317</v>
      </c>
      <c r="J108" t="s">
        <v>29</v>
      </c>
      <c r="K108" s="265" t="s">
        <v>981</v>
      </c>
      <c r="L108" t="s">
        <v>33</v>
      </c>
      <c r="M108" t="s">
        <v>323</v>
      </c>
      <c r="O108" s="279">
        <f t="shared" si="4"/>
        <v>90.093999999999994</v>
      </c>
      <c r="P108" t="s">
        <v>359</v>
      </c>
      <c r="R108" t="s">
        <v>337</v>
      </c>
    </row>
    <row r="109" spans="1:18">
      <c r="A109">
        <v>12</v>
      </c>
      <c r="B109" t="s">
        <v>309</v>
      </c>
      <c r="G109">
        <v>6</v>
      </c>
      <c r="H109" s="265">
        <v>22</v>
      </c>
      <c r="I109" t="s">
        <v>317</v>
      </c>
      <c r="J109" t="s">
        <v>29</v>
      </c>
      <c r="K109" s="265" t="s">
        <v>981</v>
      </c>
      <c r="L109" t="s">
        <v>33</v>
      </c>
      <c r="M109" t="s">
        <v>323</v>
      </c>
      <c r="O109" s="279">
        <f t="shared" si="4"/>
        <v>90.093999999999994</v>
      </c>
      <c r="P109" t="s">
        <v>359</v>
      </c>
      <c r="R109" t="s">
        <v>337</v>
      </c>
    </row>
    <row r="110" spans="1:18">
      <c r="A110">
        <v>12</v>
      </c>
      <c r="B110" t="s">
        <v>309</v>
      </c>
      <c r="G110">
        <v>7</v>
      </c>
      <c r="H110" s="265">
        <v>22</v>
      </c>
      <c r="I110" t="s">
        <v>317</v>
      </c>
      <c r="J110" t="s">
        <v>29</v>
      </c>
      <c r="K110" s="265" t="s">
        <v>981</v>
      </c>
      <c r="L110" t="s">
        <v>33</v>
      </c>
      <c r="M110" t="s">
        <v>323</v>
      </c>
      <c r="O110" s="279">
        <f t="shared" si="4"/>
        <v>90.093999999999994</v>
      </c>
      <c r="P110" t="s">
        <v>359</v>
      </c>
      <c r="R110" t="s">
        <v>337</v>
      </c>
    </row>
    <row r="111" spans="1:18">
      <c r="A111">
        <v>12</v>
      </c>
      <c r="B111" t="s">
        <v>309</v>
      </c>
      <c r="G111">
        <v>8</v>
      </c>
      <c r="H111" s="265">
        <v>22</v>
      </c>
      <c r="I111" t="s">
        <v>317</v>
      </c>
      <c r="J111" t="s">
        <v>29</v>
      </c>
      <c r="K111" s="265" t="s">
        <v>981</v>
      </c>
      <c r="L111" t="s">
        <v>33</v>
      </c>
      <c r="M111" t="s">
        <v>323</v>
      </c>
      <c r="O111" s="279">
        <f t="shared" si="4"/>
        <v>90.093999999999994</v>
      </c>
      <c r="P111" t="s">
        <v>359</v>
      </c>
      <c r="R111" t="s">
        <v>337</v>
      </c>
    </row>
    <row r="112" spans="1:18">
      <c r="A112">
        <v>12</v>
      </c>
      <c r="B112" t="s">
        <v>309</v>
      </c>
      <c r="G112">
        <v>9</v>
      </c>
      <c r="H112" s="265">
        <v>22</v>
      </c>
      <c r="I112" t="s">
        <v>317</v>
      </c>
      <c r="J112" t="s">
        <v>29</v>
      </c>
      <c r="K112" s="265" t="s">
        <v>981</v>
      </c>
      <c r="L112" t="s">
        <v>33</v>
      </c>
      <c r="M112" t="s">
        <v>323</v>
      </c>
      <c r="O112" s="279">
        <f t="shared" si="4"/>
        <v>90.093999999999994</v>
      </c>
      <c r="P112" t="s">
        <v>359</v>
      </c>
      <c r="R112" t="s">
        <v>337</v>
      </c>
    </row>
    <row r="113" spans="1:18">
      <c r="A113">
        <v>12</v>
      </c>
      <c r="B113" t="s">
        <v>309</v>
      </c>
      <c r="G113">
        <v>10</v>
      </c>
      <c r="H113" s="265">
        <v>22</v>
      </c>
      <c r="I113" t="s">
        <v>317</v>
      </c>
      <c r="J113" t="s">
        <v>29</v>
      </c>
      <c r="K113" s="265" t="s">
        <v>981</v>
      </c>
      <c r="L113" t="s">
        <v>33</v>
      </c>
      <c r="M113" t="s">
        <v>323</v>
      </c>
      <c r="O113" s="279">
        <f t="shared" si="4"/>
        <v>90.093999999999994</v>
      </c>
      <c r="P113" t="s">
        <v>359</v>
      </c>
      <c r="R113" t="s">
        <v>337</v>
      </c>
    </row>
    <row r="114" spans="1:18">
      <c r="A114">
        <v>12</v>
      </c>
      <c r="B114" t="s">
        <v>309</v>
      </c>
      <c r="G114">
        <v>11</v>
      </c>
      <c r="H114" s="265">
        <v>22</v>
      </c>
      <c r="I114" t="s">
        <v>317</v>
      </c>
      <c r="J114" t="s">
        <v>29</v>
      </c>
      <c r="K114" s="265" t="s">
        <v>981</v>
      </c>
      <c r="L114" t="s">
        <v>33</v>
      </c>
      <c r="M114" t="s">
        <v>323</v>
      </c>
      <c r="O114" s="279">
        <f t="shared" si="4"/>
        <v>90.093999999999994</v>
      </c>
      <c r="P114" t="s">
        <v>359</v>
      </c>
      <c r="R114" t="s">
        <v>337</v>
      </c>
    </row>
    <row r="115" spans="1:18">
      <c r="A115">
        <v>12</v>
      </c>
      <c r="B115" t="s">
        <v>309</v>
      </c>
      <c r="G115">
        <v>2</v>
      </c>
      <c r="H115" s="265">
        <v>22</v>
      </c>
      <c r="I115" t="s">
        <v>317</v>
      </c>
      <c r="J115" t="s">
        <v>29</v>
      </c>
      <c r="K115" s="265" t="s">
        <v>981</v>
      </c>
      <c r="L115" t="s">
        <v>33</v>
      </c>
      <c r="M115" t="s">
        <v>324</v>
      </c>
      <c r="O115" s="1">
        <f>8.42*2.75</f>
        <v>23.155000000000001</v>
      </c>
      <c r="P115" t="s">
        <v>360</v>
      </c>
      <c r="R115" t="s">
        <v>337</v>
      </c>
    </row>
    <row r="116" spans="1:18">
      <c r="A116">
        <v>12</v>
      </c>
      <c r="B116" t="s">
        <v>309</v>
      </c>
      <c r="G116">
        <v>3</v>
      </c>
      <c r="H116" s="265">
        <v>22</v>
      </c>
      <c r="I116" t="s">
        <v>317</v>
      </c>
      <c r="J116" t="s">
        <v>29</v>
      </c>
      <c r="K116" s="265" t="s">
        <v>981</v>
      </c>
      <c r="L116" t="s">
        <v>33</v>
      </c>
      <c r="M116" t="s">
        <v>324</v>
      </c>
      <c r="O116" s="1">
        <f t="shared" ref="O116:O124" si="5">8.42*2.75</f>
        <v>23.155000000000001</v>
      </c>
      <c r="P116" t="s">
        <v>360</v>
      </c>
      <c r="R116" t="s">
        <v>337</v>
      </c>
    </row>
    <row r="117" spans="1:18">
      <c r="A117">
        <v>12</v>
      </c>
      <c r="B117" t="s">
        <v>309</v>
      </c>
      <c r="G117">
        <v>4</v>
      </c>
      <c r="H117" s="265">
        <v>22</v>
      </c>
      <c r="I117" t="s">
        <v>317</v>
      </c>
      <c r="J117" t="s">
        <v>29</v>
      </c>
      <c r="K117" s="265" t="s">
        <v>981</v>
      </c>
      <c r="L117" t="s">
        <v>33</v>
      </c>
      <c r="M117" t="s">
        <v>324</v>
      </c>
      <c r="O117" s="1">
        <f t="shared" si="5"/>
        <v>23.155000000000001</v>
      </c>
      <c r="P117" t="s">
        <v>360</v>
      </c>
      <c r="R117" t="s">
        <v>337</v>
      </c>
    </row>
    <row r="118" spans="1:18">
      <c r="A118">
        <v>12</v>
      </c>
      <c r="B118" t="s">
        <v>309</v>
      </c>
      <c r="G118">
        <v>5</v>
      </c>
      <c r="H118" s="265">
        <v>22</v>
      </c>
      <c r="I118" t="s">
        <v>317</v>
      </c>
      <c r="J118" t="s">
        <v>29</v>
      </c>
      <c r="K118" s="265" t="s">
        <v>981</v>
      </c>
      <c r="L118" t="s">
        <v>33</v>
      </c>
      <c r="M118" t="s">
        <v>324</v>
      </c>
      <c r="O118" s="1">
        <f t="shared" si="5"/>
        <v>23.155000000000001</v>
      </c>
      <c r="P118" t="s">
        <v>360</v>
      </c>
      <c r="R118" t="s">
        <v>337</v>
      </c>
    </row>
    <row r="119" spans="1:18">
      <c r="A119">
        <v>12</v>
      </c>
      <c r="B119" t="s">
        <v>309</v>
      </c>
      <c r="G119">
        <v>6</v>
      </c>
      <c r="H119" s="265">
        <v>22</v>
      </c>
      <c r="I119" t="s">
        <v>317</v>
      </c>
      <c r="J119" t="s">
        <v>29</v>
      </c>
      <c r="K119" s="265" t="s">
        <v>981</v>
      </c>
      <c r="L119" t="s">
        <v>33</v>
      </c>
      <c r="M119" t="s">
        <v>324</v>
      </c>
      <c r="O119" s="1">
        <f t="shared" si="5"/>
        <v>23.155000000000001</v>
      </c>
      <c r="P119" t="s">
        <v>360</v>
      </c>
      <c r="R119" t="s">
        <v>337</v>
      </c>
    </row>
    <row r="120" spans="1:18">
      <c r="A120">
        <v>12</v>
      </c>
      <c r="B120" t="s">
        <v>309</v>
      </c>
      <c r="G120">
        <v>7</v>
      </c>
      <c r="H120" s="265">
        <v>22</v>
      </c>
      <c r="I120" t="s">
        <v>317</v>
      </c>
      <c r="J120" t="s">
        <v>29</v>
      </c>
      <c r="K120" s="265" t="s">
        <v>981</v>
      </c>
      <c r="L120" t="s">
        <v>33</v>
      </c>
      <c r="M120" t="s">
        <v>324</v>
      </c>
      <c r="O120" s="1">
        <f t="shared" si="5"/>
        <v>23.155000000000001</v>
      </c>
      <c r="P120" t="s">
        <v>360</v>
      </c>
      <c r="R120" t="s">
        <v>337</v>
      </c>
    </row>
    <row r="121" spans="1:18">
      <c r="A121">
        <v>12</v>
      </c>
      <c r="B121" t="s">
        <v>309</v>
      </c>
      <c r="G121">
        <v>8</v>
      </c>
      <c r="H121" s="265">
        <v>22</v>
      </c>
      <c r="I121" t="s">
        <v>317</v>
      </c>
      <c r="J121" t="s">
        <v>29</v>
      </c>
      <c r="K121" s="265" t="s">
        <v>981</v>
      </c>
      <c r="L121" t="s">
        <v>33</v>
      </c>
      <c r="M121" t="s">
        <v>324</v>
      </c>
      <c r="O121" s="1">
        <f t="shared" si="5"/>
        <v>23.155000000000001</v>
      </c>
      <c r="P121" t="s">
        <v>360</v>
      </c>
      <c r="R121" t="s">
        <v>337</v>
      </c>
    </row>
    <row r="122" spans="1:18">
      <c r="A122">
        <v>12</v>
      </c>
      <c r="B122" t="s">
        <v>309</v>
      </c>
      <c r="G122">
        <v>9</v>
      </c>
      <c r="H122" s="265">
        <v>22</v>
      </c>
      <c r="I122" t="s">
        <v>317</v>
      </c>
      <c r="J122" t="s">
        <v>29</v>
      </c>
      <c r="K122" s="265" t="s">
        <v>981</v>
      </c>
      <c r="L122" t="s">
        <v>33</v>
      </c>
      <c r="M122" t="s">
        <v>324</v>
      </c>
      <c r="O122" s="1">
        <f t="shared" si="5"/>
        <v>23.155000000000001</v>
      </c>
      <c r="P122" t="s">
        <v>360</v>
      </c>
      <c r="R122" t="s">
        <v>337</v>
      </c>
    </row>
    <row r="123" spans="1:18">
      <c r="A123">
        <v>12</v>
      </c>
      <c r="B123" t="s">
        <v>309</v>
      </c>
      <c r="G123">
        <v>10</v>
      </c>
      <c r="H123" s="265">
        <v>22</v>
      </c>
      <c r="I123" t="s">
        <v>317</v>
      </c>
      <c r="J123" t="s">
        <v>29</v>
      </c>
      <c r="K123" s="265" t="s">
        <v>981</v>
      </c>
      <c r="L123" t="s">
        <v>33</v>
      </c>
      <c r="M123" t="s">
        <v>324</v>
      </c>
      <c r="O123" s="1">
        <f t="shared" si="5"/>
        <v>23.155000000000001</v>
      </c>
      <c r="P123" t="s">
        <v>360</v>
      </c>
      <c r="R123" t="s">
        <v>337</v>
      </c>
    </row>
    <row r="124" spans="1:18">
      <c r="A124">
        <v>12</v>
      </c>
      <c r="B124" t="s">
        <v>309</v>
      </c>
      <c r="G124">
        <v>11</v>
      </c>
      <c r="H124" s="265">
        <v>22</v>
      </c>
      <c r="I124" t="s">
        <v>317</v>
      </c>
      <c r="J124" t="s">
        <v>29</v>
      </c>
      <c r="K124" s="265" t="s">
        <v>981</v>
      </c>
      <c r="L124" t="s">
        <v>33</v>
      </c>
      <c r="M124" t="s">
        <v>324</v>
      </c>
      <c r="O124" s="1">
        <f t="shared" si="5"/>
        <v>23.155000000000001</v>
      </c>
      <c r="P124" t="s">
        <v>360</v>
      </c>
      <c r="R124" t="s">
        <v>337</v>
      </c>
    </row>
    <row r="125" spans="1:18">
      <c r="A125">
        <v>12</v>
      </c>
      <c r="B125" t="s">
        <v>309</v>
      </c>
      <c r="G125">
        <v>2</v>
      </c>
      <c r="H125" s="265">
        <v>0</v>
      </c>
      <c r="I125" t="s">
        <v>317</v>
      </c>
      <c r="J125" t="s">
        <v>26</v>
      </c>
      <c r="K125" s="265" t="s">
        <v>981</v>
      </c>
      <c r="L125" t="s">
        <v>32</v>
      </c>
      <c r="M125" t="s">
        <v>325</v>
      </c>
      <c r="O125" s="1">
        <v>16.670000000000002</v>
      </c>
      <c r="P125" t="s">
        <v>862</v>
      </c>
      <c r="R125" t="s">
        <v>337</v>
      </c>
    </row>
    <row r="126" spans="1:18">
      <c r="A126">
        <v>12</v>
      </c>
      <c r="B126" t="s">
        <v>309</v>
      </c>
      <c r="G126">
        <v>3</v>
      </c>
      <c r="H126" s="265">
        <v>0</v>
      </c>
      <c r="I126" t="s">
        <v>317</v>
      </c>
      <c r="J126" t="s">
        <v>26</v>
      </c>
      <c r="K126" s="265" t="s">
        <v>981</v>
      </c>
      <c r="L126" t="s">
        <v>32</v>
      </c>
      <c r="M126" t="s">
        <v>325</v>
      </c>
      <c r="O126" s="1">
        <v>16.670000000000002</v>
      </c>
      <c r="P126" t="s">
        <v>862</v>
      </c>
      <c r="R126" t="s">
        <v>337</v>
      </c>
    </row>
    <row r="127" spans="1:18">
      <c r="A127">
        <v>12</v>
      </c>
      <c r="B127" t="s">
        <v>309</v>
      </c>
      <c r="G127">
        <v>4</v>
      </c>
      <c r="H127" s="265">
        <v>0</v>
      </c>
      <c r="I127" t="s">
        <v>317</v>
      </c>
      <c r="J127" t="s">
        <v>26</v>
      </c>
      <c r="K127" s="265" t="s">
        <v>981</v>
      </c>
      <c r="L127" t="s">
        <v>32</v>
      </c>
      <c r="M127" t="s">
        <v>325</v>
      </c>
      <c r="O127" s="1">
        <v>16.670000000000002</v>
      </c>
      <c r="P127" t="s">
        <v>862</v>
      </c>
      <c r="R127" t="s">
        <v>337</v>
      </c>
    </row>
    <row r="128" spans="1:18">
      <c r="A128">
        <v>12</v>
      </c>
      <c r="B128" t="s">
        <v>309</v>
      </c>
      <c r="G128">
        <v>5</v>
      </c>
      <c r="H128" s="265">
        <v>0</v>
      </c>
      <c r="I128" t="s">
        <v>317</v>
      </c>
      <c r="J128" t="s">
        <v>26</v>
      </c>
      <c r="K128" s="265" t="s">
        <v>981</v>
      </c>
      <c r="L128" t="s">
        <v>32</v>
      </c>
      <c r="M128" t="s">
        <v>325</v>
      </c>
      <c r="O128" s="1">
        <v>16.670000000000002</v>
      </c>
      <c r="P128" t="s">
        <v>862</v>
      </c>
      <c r="R128" t="s">
        <v>337</v>
      </c>
    </row>
    <row r="129" spans="1:18">
      <c r="A129">
        <v>12</v>
      </c>
      <c r="B129" t="s">
        <v>309</v>
      </c>
      <c r="G129">
        <v>6</v>
      </c>
      <c r="H129" s="265">
        <v>0</v>
      </c>
      <c r="I129" t="s">
        <v>317</v>
      </c>
      <c r="J129" t="s">
        <v>26</v>
      </c>
      <c r="K129" s="265" t="s">
        <v>981</v>
      </c>
      <c r="L129" t="s">
        <v>32</v>
      </c>
      <c r="M129" t="s">
        <v>325</v>
      </c>
      <c r="O129" s="1">
        <v>16.670000000000002</v>
      </c>
      <c r="P129" t="s">
        <v>862</v>
      </c>
      <c r="R129" t="s">
        <v>337</v>
      </c>
    </row>
    <row r="130" spans="1:18">
      <c r="A130">
        <v>12</v>
      </c>
      <c r="B130" t="s">
        <v>309</v>
      </c>
      <c r="G130">
        <v>7</v>
      </c>
      <c r="H130" s="265">
        <v>0</v>
      </c>
      <c r="I130" t="s">
        <v>317</v>
      </c>
      <c r="J130" t="s">
        <v>26</v>
      </c>
      <c r="K130" s="265" t="s">
        <v>981</v>
      </c>
      <c r="L130" t="s">
        <v>32</v>
      </c>
      <c r="M130" t="s">
        <v>325</v>
      </c>
      <c r="O130" s="1">
        <v>16.670000000000002</v>
      </c>
      <c r="P130" t="s">
        <v>862</v>
      </c>
      <c r="R130" t="s">
        <v>337</v>
      </c>
    </row>
    <row r="131" spans="1:18">
      <c r="A131">
        <v>12</v>
      </c>
      <c r="B131" t="s">
        <v>309</v>
      </c>
      <c r="G131">
        <v>8</v>
      </c>
      <c r="H131" s="265">
        <v>0</v>
      </c>
      <c r="I131" t="s">
        <v>317</v>
      </c>
      <c r="J131" t="s">
        <v>26</v>
      </c>
      <c r="K131" s="265" t="s">
        <v>981</v>
      </c>
      <c r="L131" t="s">
        <v>32</v>
      </c>
      <c r="M131" t="s">
        <v>325</v>
      </c>
      <c r="O131" s="1">
        <v>16.670000000000002</v>
      </c>
      <c r="P131" t="s">
        <v>862</v>
      </c>
      <c r="R131" t="s">
        <v>337</v>
      </c>
    </row>
    <row r="132" spans="1:18">
      <c r="A132">
        <v>12</v>
      </c>
      <c r="B132" t="s">
        <v>309</v>
      </c>
      <c r="G132">
        <v>9</v>
      </c>
      <c r="H132" s="265">
        <v>0</v>
      </c>
      <c r="I132" t="s">
        <v>317</v>
      </c>
      <c r="J132" t="s">
        <v>26</v>
      </c>
      <c r="K132" s="265" t="s">
        <v>981</v>
      </c>
      <c r="L132" t="s">
        <v>32</v>
      </c>
      <c r="M132" t="s">
        <v>325</v>
      </c>
      <c r="O132" s="1">
        <v>16.670000000000002</v>
      </c>
      <c r="P132" t="s">
        <v>862</v>
      </c>
      <c r="R132" t="s">
        <v>337</v>
      </c>
    </row>
    <row r="133" spans="1:18">
      <c r="A133">
        <v>12</v>
      </c>
      <c r="B133" t="s">
        <v>309</v>
      </c>
      <c r="G133">
        <v>10</v>
      </c>
      <c r="H133" s="265">
        <v>0</v>
      </c>
      <c r="I133" t="s">
        <v>317</v>
      </c>
      <c r="J133" t="s">
        <v>26</v>
      </c>
      <c r="K133" s="265" t="s">
        <v>981</v>
      </c>
      <c r="L133" t="s">
        <v>32</v>
      </c>
      <c r="M133" t="s">
        <v>325</v>
      </c>
      <c r="O133" s="1">
        <v>16.670000000000002</v>
      </c>
      <c r="P133" t="s">
        <v>862</v>
      </c>
      <c r="R133" t="s">
        <v>337</v>
      </c>
    </row>
    <row r="134" spans="1:18">
      <c r="A134">
        <v>12</v>
      </c>
      <c r="B134" t="s">
        <v>309</v>
      </c>
      <c r="G134">
        <v>11</v>
      </c>
      <c r="H134" s="265">
        <v>0</v>
      </c>
      <c r="I134" t="s">
        <v>317</v>
      </c>
      <c r="J134" t="s">
        <v>26</v>
      </c>
      <c r="K134" s="265" t="s">
        <v>981</v>
      </c>
      <c r="L134" t="s">
        <v>32</v>
      </c>
      <c r="M134" t="s">
        <v>325</v>
      </c>
      <c r="O134" s="1">
        <v>16.670000000000002</v>
      </c>
      <c r="P134" t="s">
        <v>862</v>
      </c>
      <c r="R134" t="s">
        <v>337</v>
      </c>
    </row>
    <row r="135" spans="1:18">
      <c r="A135" s="265">
        <v>12</v>
      </c>
      <c r="B135" s="265" t="s">
        <v>309</v>
      </c>
      <c r="C135" s="265"/>
      <c r="D135" s="265"/>
      <c r="E135" s="265"/>
      <c r="F135" s="265"/>
      <c r="G135" s="265">
        <v>2</v>
      </c>
      <c r="H135" s="265">
        <v>22</v>
      </c>
      <c r="I135" s="265" t="s">
        <v>317</v>
      </c>
      <c r="J135" s="265" t="s">
        <v>26</v>
      </c>
      <c r="K135" s="265" t="s">
        <v>981</v>
      </c>
      <c r="L135" s="265" t="s">
        <v>33</v>
      </c>
      <c r="M135" s="265" t="s">
        <v>946</v>
      </c>
      <c r="N135" s="265">
        <f>1.23/2</f>
        <v>0.61499999999999999</v>
      </c>
      <c r="O135" s="279">
        <f>86.33/2</f>
        <v>43.164999999999999</v>
      </c>
      <c r="P135" s="265" t="s">
        <v>1041</v>
      </c>
      <c r="Q135" s="265" t="s">
        <v>943</v>
      </c>
      <c r="R135" s="265" t="s">
        <v>337</v>
      </c>
    </row>
    <row r="136" spans="1:18">
      <c r="A136" s="265">
        <v>12</v>
      </c>
      <c r="B136" s="265" t="s">
        <v>309</v>
      </c>
      <c r="C136" s="265"/>
      <c r="D136" s="265"/>
      <c r="E136" s="265"/>
      <c r="F136" s="265"/>
      <c r="G136" s="265">
        <v>3</v>
      </c>
      <c r="H136" s="265">
        <v>22</v>
      </c>
      <c r="I136" s="265" t="s">
        <v>317</v>
      </c>
      <c r="J136" s="265" t="s">
        <v>26</v>
      </c>
      <c r="K136" s="265" t="s">
        <v>981</v>
      </c>
      <c r="L136" s="265" t="s">
        <v>33</v>
      </c>
      <c r="M136" s="265" t="s">
        <v>946</v>
      </c>
      <c r="N136" s="265">
        <f t="shared" ref="N136:N154" si="6">1.23/2</f>
        <v>0.61499999999999999</v>
      </c>
      <c r="O136" s="279">
        <f t="shared" ref="O136:O154" si="7">86.33/2</f>
        <v>43.164999999999999</v>
      </c>
      <c r="P136" s="265" t="s">
        <v>1041</v>
      </c>
      <c r="Q136" s="265" t="s">
        <v>943</v>
      </c>
      <c r="R136" s="265" t="s">
        <v>337</v>
      </c>
    </row>
    <row r="137" spans="1:18">
      <c r="A137" s="265">
        <v>12</v>
      </c>
      <c r="B137" s="265" t="s">
        <v>309</v>
      </c>
      <c r="C137" s="265"/>
      <c r="D137" s="265"/>
      <c r="E137" s="265"/>
      <c r="F137" s="265"/>
      <c r="G137" s="265">
        <v>4</v>
      </c>
      <c r="H137" s="265">
        <v>22</v>
      </c>
      <c r="I137" s="265" t="s">
        <v>317</v>
      </c>
      <c r="J137" s="265" t="s">
        <v>26</v>
      </c>
      <c r="K137" s="265" t="s">
        <v>981</v>
      </c>
      <c r="L137" s="265" t="s">
        <v>33</v>
      </c>
      <c r="M137" s="265" t="s">
        <v>946</v>
      </c>
      <c r="N137" s="265">
        <f t="shared" si="6"/>
        <v>0.61499999999999999</v>
      </c>
      <c r="O137" s="279">
        <f t="shared" si="7"/>
        <v>43.164999999999999</v>
      </c>
      <c r="P137" s="265" t="s">
        <v>1041</v>
      </c>
      <c r="Q137" s="265" t="s">
        <v>943</v>
      </c>
      <c r="R137" s="265" t="s">
        <v>337</v>
      </c>
    </row>
    <row r="138" spans="1:18">
      <c r="A138" s="265">
        <v>12</v>
      </c>
      <c r="B138" s="265" t="s">
        <v>309</v>
      </c>
      <c r="C138" s="265"/>
      <c r="D138" s="265"/>
      <c r="E138" s="265"/>
      <c r="F138" s="265"/>
      <c r="G138" s="265">
        <v>5</v>
      </c>
      <c r="H138" s="265">
        <v>22</v>
      </c>
      <c r="I138" s="265" t="s">
        <v>317</v>
      </c>
      <c r="J138" s="265" t="s">
        <v>26</v>
      </c>
      <c r="K138" s="265" t="s">
        <v>981</v>
      </c>
      <c r="L138" s="265" t="s">
        <v>33</v>
      </c>
      <c r="M138" s="265" t="s">
        <v>946</v>
      </c>
      <c r="N138" s="265">
        <f t="shared" si="6"/>
        <v>0.61499999999999999</v>
      </c>
      <c r="O138" s="279">
        <f t="shared" si="7"/>
        <v>43.164999999999999</v>
      </c>
      <c r="P138" s="265" t="s">
        <v>1041</v>
      </c>
      <c r="Q138" s="265" t="s">
        <v>943</v>
      </c>
      <c r="R138" s="265" t="s">
        <v>337</v>
      </c>
    </row>
    <row r="139" spans="1:18">
      <c r="A139" s="265">
        <v>12</v>
      </c>
      <c r="B139" s="265" t="s">
        <v>309</v>
      </c>
      <c r="C139" s="265"/>
      <c r="D139" s="265"/>
      <c r="E139" s="265"/>
      <c r="F139" s="265"/>
      <c r="G139" s="265">
        <v>6</v>
      </c>
      <c r="H139" s="265">
        <v>22</v>
      </c>
      <c r="I139" s="265" t="s">
        <v>317</v>
      </c>
      <c r="J139" s="265" t="s">
        <v>26</v>
      </c>
      <c r="K139" s="265" t="s">
        <v>981</v>
      </c>
      <c r="L139" s="265" t="s">
        <v>33</v>
      </c>
      <c r="M139" s="265" t="s">
        <v>946</v>
      </c>
      <c r="N139" s="265">
        <f t="shared" si="6"/>
        <v>0.61499999999999999</v>
      </c>
      <c r="O139" s="279">
        <f t="shared" si="7"/>
        <v>43.164999999999999</v>
      </c>
      <c r="P139" s="265" t="s">
        <v>1041</v>
      </c>
      <c r="Q139" s="265" t="s">
        <v>943</v>
      </c>
      <c r="R139" s="265" t="s">
        <v>337</v>
      </c>
    </row>
    <row r="140" spans="1:18">
      <c r="A140" s="265">
        <v>12</v>
      </c>
      <c r="B140" s="265" t="s">
        <v>309</v>
      </c>
      <c r="C140" s="265"/>
      <c r="D140" s="265"/>
      <c r="E140" s="265"/>
      <c r="F140" s="265"/>
      <c r="G140" s="265">
        <v>7</v>
      </c>
      <c r="H140" s="265">
        <v>22</v>
      </c>
      <c r="I140" s="265" t="s">
        <v>317</v>
      </c>
      <c r="J140" s="265" t="s">
        <v>26</v>
      </c>
      <c r="K140" s="265" t="s">
        <v>981</v>
      </c>
      <c r="L140" s="265" t="s">
        <v>33</v>
      </c>
      <c r="M140" s="265" t="s">
        <v>946</v>
      </c>
      <c r="N140" s="265">
        <f t="shared" si="6"/>
        <v>0.61499999999999999</v>
      </c>
      <c r="O140" s="279">
        <f t="shared" si="7"/>
        <v>43.164999999999999</v>
      </c>
      <c r="P140" s="265" t="s">
        <v>1041</v>
      </c>
      <c r="Q140" s="265" t="s">
        <v>943</v>
      </c>
      <c r="R140" s="265" t="s">
        <v>337</v>
      </c>
    </row>
    <row r="141" spans="1:18">
      <c r="A141" s="265">
        <v>12</v>
      </c>
      <c r="B141" s="265" t="s">
        <v>309</v>
      </c>
      <c r="C141" s="265"/>
      <c r="D141" s="265"/>
      <c r="E141" s="265"/>
      <c r="F141" s="265"/>
      <c r="G141" s="265">
        <v>8</v>
      </c>
      <c r="H141" s="265">
        <v>22</v>
      </c>
      <c r="I141" s="265" t="s">
        <v>317</v>
      </c>
      <c r="J141" s="265" t="s">
        <v>26</v>
      </c>
      <c r="K141" s="265" t="s">
        <v>981</v>
      </c>
      <c r="L141" s="265" t="s">
        <v>33</v>
      </c>
      <c r="M141" s="265" t="s">
        <v>946</v>
      </c>
      <c r="N141" s="265">
        <f t="shared" si="6"/>
        <v>0.61499999999999999</v>
      </c>
      <c r="O141" s="279">
        <f t="shared" si="7"/>
        <v>43.164999999999999</v>
      </c>
      <c r="P141" s="265" t="s">
        <v>1041</v>
      </c>
      <c r="Q141" s="265" t="s">
        <v>943</v>
      </c>
      <c r="R141" s="265" t="s">
        <v>337</v>
      </c>
    </row>
    <row r="142" spans="1:18">
      <c r="A142" s="265">
        <v>12</v>
      </c>
      <c r="B142" s="265" t="s">
        <v>309</v>
      </c>
      <c r="C142" s="265"/>
      <c r="D142" s="265"/>
      <c r="E142" s="265"/>
      <c r="F142" s="265"/>
      <c r="G142" s="265">
        <v>9</v>
      </c>
      <c r="H142" s="265">
        <v>22</v>
      </c>
      <c r="I142" s="265" t="s">
        <v>317</v>
      </c>
      <c r="J142" s="265" t="s">
        <v>26</v>
      </c>
      <c r="K142" s="265" t="s">
        <v>981</v>
      </c>
      <c r="L142" s="265" t="s">
        <v>33</v>
      </c>
      <c r="M142" s="265" t="s">
        <v>946</v>
      </c>
      <c r="N142" s="265">
        <f t="shared" si="6"/>
        <v>0.61499999999999999</v>
      </c>
      <c r="O142" s="279">
        <f t="shared" si="7"/>
        <v>43.164999999999999</v>
      </c>
      <c r="P142" s="265" t="s">
        <v>1041</v>
      </c>
      <c r="Q142" s="265" t="s">
        <v>943</v>
      </c>
      <c r="R142" s="265" t="s">
        <v>337</v>
      </c>
    </row>
    <row r="143" spans="1:18">
      <c r="A143" s="265">
        <v>12</v>
      </c>
      <c r="B143" s="265" t="s">
        <v>309</v>
      </c>
      <c r="C143" s="265"/>
      <c r="D143" s="265"/>
      <c r="E143" s="265"/>
      <c r="F143" s="265"/>
      <c r="G143" s="265">
        <v>10</v>
      </c>
      <c r="H143" s="265">
        <v>22</v>
      </c>
      <c r="I143" s="265" t="s">
        <v>317</v>
      </c>
      <c r="J143" s="265" t="s">
        <v>26</v>
      </c>
      <c r="K143" s="265" t="s">
        <v>981</v>
      </c>
      <c r="L143" s="265" t="s">
        <v>33</v>
      </c>
      <c r="M143" s="265" t="s">
        <v>946</v>
      </c>
      <c r="N143" s="265">
        <f t="shared" si="6"/>
        <v>0.61499999999999999</v>
      </c>
      <c r="O143" s="279">
        <f t="shared" si="7"/>
        <v>43.164999999999999</v>
      </c>
      <c r="P143" s="265" t="s">
        <v>1041</v>
      </c>
      <c r="Q143" s="265" t="s">
        <v>943</v>
      </c>
      <c r="R143" s="265" t="s">
        <v>337</v>
      </c>
    </row>
    <row r="144" spans="1:18">
      <c r="A144" s="265">
        <v>12</v>
      </c>
      <c r="B144" s="265" t="s">
        <v>309</v>
      </c>
      <c r="C144" s="265"/>
      <c r="D144" s="265"/>
      <c r="E144" s="265"/>
      <c r="F144" s="265"/>
      <c r="G144" s="265">
        <v>11</v>
      </c>
      <c r="H144" s="265">
        <v>22</v>
      </c>
      <c r="I144" s="265" t="s">
        <v>317</v>
      </c>
      <c r="J144" s="265" t="s">
        <v>26</v>
      </c>
      <c r="K144" s="265" t="s">
        <v>981</v>
      </c>
      <c r="L144" s="265" t="s">
        <v>33</v>
      </c>
      <c r="M144" s="265" t="s">
        <v>946</v>
      </c>
      <c r="N144" s="265">
        <f t="shared" si="6"/>
        <v>0.61499999999999999</v>
      </c>
      <c r="O144" s="279">
        <f t="shared" si="7"/>
        <v>43.164999999999999</v>
      </c>
      <c r="P144" s="265" t="s">
        <v>1041</v>
      </c>
      <c r="Q144" s="265" t="s">
        <v>943</v>
      </c>
      <c r="R144" s="265" t="s">
        <v>337</v>
      </c>
    </row>
    <row r="145" spans="1:18">
      <c r="A145" s="265">
        <v>12</v>
      </c>
      <c r="B145" s="265" t="s">
        <v>309</v>
      </c>
      <c r="C145" s="265"/>
      <c r="D145" s="265"/>
      <c r="E145" s="265"/>
      <c r="F145" s="265"/>
      <c r="G145" s="265">
        <v>2</v>
      </c>
      <c r="H145" s="265">
        <v>23</v>
      </c>
      <c r="I145" s="265" t="s">
        <v>317</v>
      </c>
      <c r="J145" s="265" t="s">
        <v>26</v>
      </c>
      <c r="K145" s="265" t="s">
        <v>981</v>
      </c>
      <c r="L145" s="265" t="s">
        <v>33</v>
      </c>
      <c r="M145" s="265" t="s">
        <v>946</v>
      </c>
      <c r="N145" s="265">
        <f t="shared" si="6"/>
        <v>0.61499999999999999</v>
      </c>
      <c r="O145" s="279">
        <f t="shared" si="7"/>
        <v>43.164999999999999</v>
      </c>
      <c r="P145" s="265" t="s">
        <v>1041</v>
      </c>
      <c r="Q145" s="265" t="s">
        <v>943</v>
      </c>
      <c r="R145" s="265" t="s">
        <v>337</v>
      </c>
    </row>
    <row r="146" spans="1:18">
      <c r="A146" s="265">
        <v>12</v>
      </c>
      <c r="B146" s="265" t="s">
        <v>309</v>
      </c>
      <c r="C146" s="265"/>
      <c r="D146" s="265"/>
      <c r="E146" s="265"/>
      <c r="F146" s="265"/>
      <c r="G146" s="265">
        <v>3</v>
      </c>
      <c r="H146" s="265">
        <v>23</v>
      </c>
      <c r="I146" s="265" t="s">
        <v>317</v>
      </c>
      <c r="J146" s="265" t="s">
        <v>26</v>
      </c>
      <c r="K146" s="265" t="s">
        <v>981</v>
      </c>
      <c r="L146" s="265" t="s">
        <v>33</v>
      </c>
      <c r="M146" s="265" t="s">
        <v>946</v>
      </c>
      <c r="N146" s="265">
        <f t="shared" si="6"/>
        <v>0.61499999999999999</v>
      </c>
      <c r="O146" s="279">
        <f t="shared" si="7"/>
        <v>43.164999999999999</v>
      </c>
      <c r="P146" s="265" t="s">
        <v>1041</v>
      </c>
      <c r="Q146" s="265" t="s">
        <v>943</v>
      </c>
      <c r="R146" s="265" t="s">
        <v>337</v>
      </c>
    </row>
    <row r="147" spans="1:18">
      <c r="A147" s="265">
        <v>12</v>
      </c>
      <c r="B147" s="265" t="s">
        <v>309</v>
      </c>
      <c r="C147" s="265"/>
      <c r="D147" s="265"/>
      <c r="E147" s="265"/>
      <c r="F147" s="265"/>
      <c r="G147" s="265">
        <v>4</v>
      </c>
      <c r="H147" s="265">
        <v>23</v>
      </c>
      <c r="I147" s="265" t="s">
        <v>317</v>
      </c>
      <c r="J147" s="265" t="s">
        <v>26</v>
      </c>
      <c r="K147" s="265" t="s">
        <v>981</v>
      </c>
      <c r="L147" s="265" t="s">
        <v>33</v>
      </c>
      <c r="M147" s="265" t="s">
        <v>946</v>
      </c>
      <c r="N147" s="265">
        <f t="shared" si="6"/>
        <v>0.61499999999999999</v>
      </c>
      <c r="O147" s="279">
        <f t="shared" si="7"/>
        <v>43.164999999999999</v>
      </c>
      <c r="P147" s="265" t="s">
        <v>1041</v>
      </c>
      <c r="Q147" s="265" t="s">
        <v>943</v>
      </c>
      <c r="R147" s="265" t="s">
        <v>337</v>
      </c>
    </row>
    <row r="148" spans="1:18">
      <c r="A148" s="265">
        <v>12</v>
      </c>
      <c r="B148" s="265" t="s">
        <v>309</v>
      </c>
      <c r="C148" s="265"/>
      <c r="D148" s="265"/>
      <c r="E148" s="265"/>
      <c r="F148" s="265"/>
      <c r="G148" s="265">
        <v>5</v>
      </c>
      <c r="H148" s="265">
        <v>23</v>
      </c>
      <c r="I148" s="265" t="s">
        <v>317</v>
      </c>
      <c r="J148" s="265" t="s">
        <v>26</v>
      </c>
      <c r="K148" s="265" t="s">
        <v>981</v>
      </c>
      <c r="L148" s="265" t="s">
        <v>33</v>
      </c>
      <c r="M148" s="265" t="s">
        <v>946</v>
      </c>
      <c r="N148" s="265">
        <f t="shared" si="6"/>
        <v>0.61499999999999999</v>
      </c>
      <c r="O148" s="279">
        <f t="shared" si="7"/>
        <v>43.164999999999999</v>
      </c>
      <c r="P148" s="265" t="s">
        <v>1041</v>
      </c>
      <c r="Q148" s="265" t="s">
        <v>943</v>
      </c>
      <c r="R148" s="265" t="s">
        <v>337</v>
      </c>
    </row>
    <row r="149" spans="1:18">
      <c r="A149" s="265">
        <v>12</v>
      </c>
      <c r="B149" s="265" t="s">
        <v>309</v>
      </c>
      <c r="C149" s="265"/>
      <c r="D149" s="265"/>
      <c r="E149" s="265"/>
      <c r="F149" s="265"/>
      <c r="G149" s="265">
        <v>6</v>
      </c>
      <c r="H149" s="265">
        <v>23</v>
      </c>
      <c r="I149" s="265" t="s">
        <v>317</v>
      </c>
      <c r="J149" s="265" t="s">
        <v>26</v>
      </c>
      <c r="K149" s="265" t="s">
        <v>981</v>
      </c>
      <c r="L149" s="265" t="s">
        <v>33</v>
      </c>
      <c r="M149" s="265" t="s">
        <v>946</v>
      </c>
      <c r="N149" s="265">
        <f t="shared" si="6"/>
        <v>0.61499999999999999</v>
      </c>
      <c r="O149" s="279">
        <f t="shared" si="7"/>
        <v>43.164999999999999</v>
      </c>
      <c r="P149" s="265" t="s">
        <v>1041</v>
      </c>
      <c r="Q149" s="265" t="s">
        <v>943</v>
      </c>
      <c r="R149" s="265" t="s">
        <v>337</v>
      </c>
    </row>
    <row r="150" spans="1:18">
      <c r="A150" s="265">
        <v>12</v>
      </c>
      <c r="B150" s="265" t="s">
        <v>309</v>
      </c>
      <c r="C150" s="265"/>
      <c r="D150" s="265"/>
      <c r="E150" s="265"/>
      <c r="F150" s="265"/>
      <c r="G150" s="265">
        <v>7</v>
      </c>
      <c r="H150" s="265">
        <v>23</v>
      </c>
      <c r="I150" s="265" t="s">
        <v>317</v>
      </c>
      <c r="J150" s="265" t="s">
        <v>26</v>
      </c>
      <c r="K150" s="265" t="s">
        <v>981</v>
      </c>
      <c r="L150" s="265" t="s">
        <v>33</v>
      </c>
      <c r="M150" s="265" t="s">
        <v>946</v>
      </c>
      <c r="N150" s="265">
        <f t="shared" si="6"/>
        <v>0.61499999999999999</v>
      </c>
      <c r="O150" s="279">
        <f t="shared" si="7"/>
        <v>43.164999999999999</v>
      </c>
      <c r="P150" s="265" t="s">
        <v>1041</v>
      </c>
      <c r="Q150" s="265" t="s">
        <v>943</v>
      </c>
      <c r="R150" s="265" t="s">
        <v>337</v>
      </c>
    </row>
    <row r="151" spans="1:18">
      <c r="A151" s="265">
        <v>12</v>
      </c>
      <c r="B151" s="265" t="s">
        <v>309</v>
      </c>
      <c r="C151" s="265"/>
      <c r="D151" s="265"/>
      <c r="E151" s="265"/>
      <c r="F151" s="265"/>
      <c r="G151" s="265">
        <v>8</v>
      </c>
      <c r="H151" s="265">
        <v>23</v>
      </c>
      <c r="I151" s="265" t="s">
        <v>317</v>
      </c>
      <c r="J151" s="265" t="s">
        <v>26</v>
      </c>
      <c r="K151" s="265" t="s">
        <v>981</v>
      </c>
      <c r="L151" s="265" t="s">
        <v>33</v>
      </c>
      <c r="M151" s="265" t="s">
        <v>946</v>
      </c>
      <c r="N151" s="265">
        <f t="shared" si="6"/>
        <v>0.61499999999999999</v>
      </c>
      <c r="O151" s="279">
        <f t="shared" si="7"/>
        <v>43.164999999999999</v>
      </c>
      <c r="P151" s="265" t="s">
        <v>1041</v>
      </c>
      <c r="Q151" s="265" t="s">
        <v>943</v>
      </c>
      <c r="R151" s="265" t="s">
        <v>337</v>
      </c>
    </row>
    <row r="152" spans="1:18">
      <c r="A152" s="265">
        <v>12</v>
      </c>
      <c r="B152" s="265" t="s">
        <v>309</v>
      </c>
      <c r="C152" s="265"/>
      <c r="D152" s="265"/>
      <c r="E152" s="265"/>
      <c r="F152" s="265"/>
      <c r="G152" s="265">
        <v>9</v>
      </c>
      <c r="H152" s="265">
        <v>23</v>
      </c>
      <c r="I152" s="265" t="s">
        <v>317</v>
      </c>
      <c r="J152" s="265" t="s">
        <v>26</v>
      </c>
      <c r="K152" s="265" t="s">
        <v>981</v>
      </c>
      <c r="L152" s="265" t="s">
        <v>33</v>
      </c>
      <c r="M152" s="265" t="s">
        <v>946</v>
      </c>
      <c r="N152" s="265">
        <f t="shared" si="6"/>
        <v>0.61499999999999999</v>
      </c>
      <c r="O152" s="279">
        <f t="shared" si="7"/>
        <v>43.164999999999999</v>
      </c>
      <c r="P152" s="265" t="s">
        <v>1041</v>
      </c>
      <c r="Q152" s="265" t="s">
        <v>943</v>
      </c>
      <c r="R152" s="265" t="s">
        <v>337</v>
      </c>
    </row>
    <row r="153" spans="1:18">
      <c r="A153" s="265">
        <v>12</v>
      </c>
      <c r="B153" s="265" t="s">
        <v>309</v>
      </c>
      <c r="C153" s="265"/>
      <c r="D153" s="265"/>
      <c r="E153" s="265"/>
      <c r="F153" s="265"/>
      <c r="G153" s="265">
        <v>10</v>
      </c>
      <c r="H153" s="265">
        <v>23</v>
      </c>
      <c r="I153" s="265" t="s">
        <v>317</v>
      </c>
      <c r="J153" s="265" t="s">
        <v>26</v>
      </c>
      <c r="K153" s="265" t="s">
        <v>981</v>
      </c>
      <c r="L153" s="265" t="s">
        <v>33</v>
      </c>
      <c r="M153" s="265" t="s">
        <v>946</v>
      </c>
      <c r="N153" s="265">
        <f t="shared" si="6"/>
        <v>0.61499999999999999</v>
      </c>
      <c r="O153" s="279">
        <f t="shared" si="7"/>
        <v>43.164999999999999</v>
      </c>
      <c r="P153" s="265" t="s">
        <v>1041</v>
      </c>
      <c r="Q153" s="265" t="s">
        <v>943</v>
      </c>
      <c r="R153" s="265" t="s">
        <v>337</v>
      </c>
    </row>
    <row r="154" spans="1:18">
      <c r="A154" s="265">
        <v>12</v>
      </c>
      <c r="B154" s="265" t="s">
        <v>309</v>
      </c>
      <c r="C154" s="265"/>
      <c r="D154" s="265"/>
      <c r="E154" s="265"/>
      <c r="F154" s="265"/>
      <c r="G154" s="265">
        <v>11</v>
      </c>
      <c r="H154" s="265">
        <v>23</v>
      </c>
      <c r="I154" s="265" t="s">
        <v>317</v>
      </c>
      <c r="J154" s="265" t="s">
        <v>26</v>
      </c>
      <c r="K154" s="265" t="s">
        <v>981</v>
      </c>
      <c r="L154" s="265" t="s">
        <v>33</v>
      </c>
      <c r="M154" s="265" t="s">
        <v>946</v>
      </c>
      <c r="N154" s="265">
        <f t="shared" si="6"/>
        <v>0.61499999999999999</v>
      </c>
      <c r="O154" s="279">
        <f t="shared" si="7"/>
        <v>43.164999999999999</v>
      </c>
      <c r="P154" s="265" t="s">
        <v>1041</v>
      </c>
      <c r="Q154" s="265" t="s">
        <v>943</v>
      </c>
      <c r="R154" s="265" t="s">
        <v>337</v>
      </c>
    </row>
    <row r="155" spans="1:18">
      <c r="A155" s="265">
        <v>12</v>
      </c>
      <c r="B155" s="265" t="s">
        <v>309</v>
      </c>
      <c r="C155" s="265"/>
      <c r="D155" s="265"/>
      <c r="E155" s="265"/>
      <c r="F155" s="265"/>
      <c r="G155" s="265">
        <v>2</v>
      </c>
      <c r="H155" s="265">
        <v>22</v>
      </c>
      <c r="I155" s="265" t="s">
        <v>317</v>
      </c>
      <c r="J155" s="265" t="s">
        <v>26</v>
      </c>
      <c r="K155" s="265" t="s">
        <v>981</v>
      </c>
      <c r="L155" s="265" t="s">
        <v>33</v>
      </c>
      <c r="M155" s="265" t="s">
        <v>947</v>
      </c>
      <c r="N155" s="265">
        <f>0.83/2</f>
        <v>0.41499999999999998</v>
      </c>
      <c r="O155" s="279">
        <f>35.65/2</f>
        <v>17.824999999999999</v>
      </c>
      <c r="P155" s="265" t="s">
        <v>1042</v>
      </c>
      <c r="Q155" s="265" t="s">
        <v>979</v>
      </c>
      <c r="R155" s="265" t="s">
        <v>337</v>
      </c>
    </row>
    <row r="156" spans="1:18">
      <c r="A156" s="265">
        <v>12</v>
      </c>
      <c r="B156" s="265" t="s">
        <v>309</v>
      </c>
      <c r="C156" s="265"/>
      <c r="D156" s="265"/>
      <c r="E156" s="265"/>
      <c r="F156" s="265"/>
      <c r="G156" s="265">
        <v>3</v>
      </c>
      <c r="H156" s="265">
        <v>22</v>
      </c>
      <c r="I156" s="265" t="s">
        <v>317</v>
      </c>
      <c r="J156" s="265" t="s">
        <v>26</v>
      </c>
      <c r="K156" s="265" t="s">
        <v>981</v>
      </c>
      <c r="L156" s="265" t="s">
        <v>33</v>
      </c>
      <c r="M156" s="265" t="s">
        <v>947</v>
      </c>
      <c r="N156" s="265">
        <f t="shared" ref="N156:N174" si="8">0.83/2</f>
        <v>0.41499999999999998</v>
      </c>
      <c r="O156" s="279">
        <f t="shared" ref="O156:O174" si="9">35.65/2</f>
        <v>17.824999999999999</v>
      </c>
      <c r="P156" s="265" t="s">
        <v>1042</v>
      </c>
      <c r="Q156" s="265" t="s">
        <v>979</v>
      </c>
      <c r="R156" s="265" t="s">
        <v>337</v>
      </c>
    </row>
    <row r="157" spans="1:18">
      <c r="A157" s="265">
        <v>12</v>
      </c>
      <c r="B157" s="265" t="s">
        <v>309</v>
      </c>
      <c r="C157" s="265"/>
      <c r="D157" s="265"/>
      <c r="E157" s="265"/>
      <c r="F157" s="265"/>
      <c r="G157" s="265">
        <v>4</v>
      </c>
      <c r="H157" s="265">
        <v>22</v>
      </c>
      <c r="I157" s="265" t="s">
        <v>317</v>
      </c>
      <c r="J157" s="265" t="s">
        <v>26</v>
      </c>
      <c r="K157" s="265" t="s">
        <v>981</v>
      </c>
      <c r="L157" s="265" t="s">
        <v>33</v>
      </c>
      <c r="M157" s="265" t="s">
        <v>947</v>
      </c>
      <c r="N157" s="265">
        <f t="shared" si="8"/>
        <v>0.41499999999999998</v>
      </c>
      <c r="O157" s="279">
        <f t="shared" si="9"/>
        <v>17.824999999999999</v>
      </c>
      <c r="P157" s="265" t="s">
        <v>1042</v>
      </c>
      <c r="Q157" s="265" t="s">
        <v>979</v>
      </c>
      <c r="R157" s="265" t="s">
        <v>337</v>
      </c>
    </row>
    <row r="158" spans="1:18">
      <c r="A158" s="265">
        <v>12</v>
      </c>
      <c r="B158" s="265" t="s">
        <v>309</v>
      </c>
      <c r="C158" s="265"/>
      <c r="D158" s="265"/>
      <c r="E158" s="265"/>
      <c r="F158" s="265"/>
      <c r="G158" s="265">
        <v>5</v>
      </c>
      <c r="H158" s="265">
        <v>22</v>
      </c>
      <c r="I158" s="265" t="s">
        <v>317</v>
      </c>
      <c r="J158" s="265" t="s">
        <v>26</v>
      </c>
      <c r="K158" s="265" t="s">
        <v>981</v>
      </c>
      <c r="L158" s="265" t="s">
        <v>33</v>
      </c>
      <c r="M158" s="265" t="s">
        <v>947</v>
      </c>
      <c r="N158" s="265">
        <f t="shared" si="8"/>
        <v>0.41499999999999998</v>
      </c>
      <c r="O158" s="279">
        <f t="shared" si="9"/>
        <v>17.824999999999999</v>
      </c>
      <c r="P158" s="265" t="s">
        <v>1042</v>
      </c>
      <c r="Q158" s="265" t="s">
        <v>979</v>
      </c>
      <c r="R158" s="265" t="s">
        <v>337</v>
      </c>
    </row>
    <row r="159" spans="1:18">
      <c r="A159" s="265">
        <v>12</v>
      </c>
      <c r="B159" s="265" t="s">
        <v>309</v>
      </c>
      <c r="C159" s="265"/>
      <c r="D159" s="265"/>
      <c r="E159" s="265"/>
      <c r="F159" s="265"/>
      <c r="G159" s="265">
        <v>6</v>
      </c>
      <c r="H159" s="265">
        <v>22</v>
      </c>
      <c r="I159" s="265" t="s">
        <v>317</v>
      </c>
      <c r="J159" s="265" t="s">
        <v>26</v>
      </c>
      <c r="K159" s="265" t="s">
        <v>981</v>
      </c>
      <c r="L159" s="265" t="s">
        <v>33</v>
      </c>
      <c r="M159" s="265" t="s">
        <v>947</v>
      </c>
      <c r="N159" s="265">
        <f t="shared" si="8"/>
        <v>0.41499999999999998</v>
      </c>
      <c r="O159" s="279">
        <f t="shared" si="9"/>
        <v>17.824999999999999</v>
      </c>
      <c r="P159" s="265" t="s">
        <v>1042</v>
      </c>
      <c r="Q159" s="265" t="s">
        <v>979</v>
      </c>
      <c r="R159" s="265" t="s">
        <v>337</v>
      </c>
    </row>
    <row r="160" spans="1:18">
      <c r="A160" s="265">
        <v>12</v>
      </c>
      <c r="B160" s="265" t="s">
        <v>309</v>
      </c>
      <c r="C160" s="265"/>
      <c r="D160" s="265"/>
      <c r="E160" s="265"/>
      <c r="F160" s="265"/>
      <c r="G160" s="265">
        <v>7</v>
      </c>
      <c r="H160" s="265">
        <v>22</v>
      </c>
      <c r="I160" s="265" t="s">
        <v>317</v>
      </c>
      <c r="J160" s="265" t="s">
        <v>26</v>
      </c>
      <c r="K160" s="265" t="s">
        <v>981</v>
      </c>
      <c r="L160" s="265" t="s">
        <v>33</v>
      </c>
      <c r="M160" s="265" t="s">
        <v>947</v>
      </c>
      <c r="N160" s="265">
        <f t="shared" si="8"/>
        <v>0.41499999999999998</v>
      </c>
      <c r="O160" s="279">
        <f t="shared" si="9"/>
        <v>17.824999999999999</v>
      </c>
      <c r="P160" s="265" t="s">
        <v>1042</v>
      </c>
      <c r="Q160" s="265" t="s">
        <v>979</v>
      </c>
      <c r="R160" s="265" t="s">
        <v>337</v>
      </c>
    </row>
    <row r="161" spans="1:18">
      <c r="A161" s="265">
        <v>12</v>
      </c>
      <c r="B161" s="265" t="s">
        <v>309</v>
      </c>
      <c r="C161" s="265"/>
      <c r="D161" s="265"/>
      <c r="E161" s="265"/>
      <c r="F161" s="265"/>
      <c r="G161" s="265">
        <v>8</v>
      </c>
      <c r="H161" s="265">
        <v>22</v>
      </c>
      <c r="I161" s="265" t="s">
        <v>317</v>
      </c>
      <c r="J161" s="265" t="s">
        <v>26</v>
      </c>
      <c r="K161" s="265" t="s">
        <v>981</v>
      </c>
      <c r="L161" s="265" t="s">
        <v>33</v>
      </c>
      <c r="M161" s="265" t="s">
        <v>947</v>
      </c>
      <c r="N161" s="265">
        <f t="shared" si="8"/>
        <v>0.41499999999999998</v>
      </c>
      <c r="O161" s="279">
        <f t="shared" si="9"/>
        <v>17.824999999999999</v>
      </c>
      <c r="P161" s="265" t="s">
        <v>1042</v>
      </c>
      <c r="Q161" s="265" t="s">
        <v>979</v>
      </c>
      <c r="R161" s="265" t="s">
        <v>337</v>
      </c>
    </row>
    <row r="162" spans="1:18">
      <c r="A162" s="265">
        <v>12</v>
      </c>
      <c r="B162" s="265" t="s">
        <v>309</v>
      </c>
      <c r="C162" s="265"/>
      <c r="D162" s="265"/>
      <c r="E162" s="265"/>
      <c r="F162" s="265"/>
      <c r="G162" s="265">
        <v>9</v>
      </c>
      <c r="H162" s="265">
        <v>22</v>
      </c>
      <c r="I162" s="265" t="s">
        <v>317</v>
      </c>
      <c r="J162" s="265" t="s">
        <v>26</v>
      </c>
      <c r="K162" s="265" t="s">
        <v>981</v>
      </c>
      <c r="L162" s="265" t="s">
        <v>33</v>
      </c>
      <c r="M162" s="265" t="s">
        <v>947</v>
      </c>
      <c r="N162" s="265">
        <f t="shared" si="8"/>
        <v>0.41499999999999998</v>
      </c>
      <c r="O162" s="279">
        <f t="shared" si="9"/>
        <v>17.824999999999999</v>
      </c>
      <c r="P162" s="265" t="s">
        <v>1042</v>
      </c>
      <c r="Q162" s="265" t="s">
        <v>979</v>
      </c>
      <c r="R162" s="265" t="s">
        <v>337</v>
      </c>
    </row>
    <row r="163" spans="1:18">
      <c r="A163" s="265">
        <v>12</v>
      </c>
      <c r="B163" s="265" t="s">
        <v>309</v>
      </c>
      <c r="C163" s="265"/>
      <c r="D163" s="265"/>
      <c r="E163" s="265"/>
      <c r="F163" s="265"/>
      <c r="G163" s="265">
        <v>10</v>
      </c>
      <c r="H163" s="265">
        <v>22</v>
      </c>
      <c r="I163" s="265" t="s">
        <v>317</v>
      </c>
      <c r="J163" s="265" t="s">
        <v>26</v>
      </c>
      <c r="K163" s="265" t="s">
        <v>981</v>
      </c>
      <c r="L163" s="265" t="s">
        <v>33</v>
      </c>
      <c r="M163" s="265" t="s">
        <v>947</v>
      </c>
      <c r="N163" s="265">
        <f t="shared" si="8"/>
        <v>0.41499999999999998</v>
      </c>
      <c r="O163" s="279">
        <f t="shared" si="9"/>
        <v>17.824999999999999</v>
      </c>
      <c r="P163" s="265" t="s">
        <v>1042</v>
      </c>
      <c r="Q163" s="265" t="s">
        <v>979</v>
      </c>
      <c r="R163" s="265" t="s">
        <v>337</v>
      </c>
    </row>
    <row r="164" spans="1:18">
      <c r="A164" s="265">
        <v>12</v>
      </c>
      <c r="B164" s="265" t="s">
        <v>309</v>
      </c>
      <c r="C164" s="265"/>
      <c r="D164" s="265"/>
      <c r="E164" s="265"/>
      <c r="F164" s="265"/>
      <c r="G164" s="265">
        <v>11</v>
      </c>
      <c r="H164" s="265">
        <v>22</v>
      </c>
      <c r="I164" s="265" t="s">
        <v>317</v>
      </c>
      <c r="J164" s="265" t="s">
        <v>26</v>
      </c>
      <c r="K164" s="265" t="s">
        <v>981</v>
      </c>
      <c r="L164" s="265" t="s">
        <v>33</v>
      </c>
      <c r="M164" s="265" t="s">
        <v>947</v>
      </c>
      <c r="N164" s="265">
        <f t="shared" si="8"/>
        <v>0.41499999999999998</v>
      </c>
      <c r="O164" s="279">
        <f t="shared" si="9"/>
        <v>17.824999999999999</v>
      </c>
      <c r="P164" s="265" t="s">
        <v>1042</v>
      </c>
      <c r="Q164" s="265" t="s">
        <v>979</v>
      </c>
      <c r="R164" s="265" t="s">
        <v>337</v>
      </c>
    </row>
    <row r="165" spans="1:18">
      <c r="A165" s="265">
        <v>12</v>
      </c>
      <c r="B165" s="265" t="s">
        <v>309</v>
      </c>
      <c r="C165" s="265"/>
      <c r="D165" s="265"/>
      <c r="E165" s="265"/>
      <c r="F165" s="265"/>
      <c r="G165" s="265">
        <v>2</v>
      </c>
      <c r="H165" s="265">
        <v>23</v>
      </c>
      <c r="I165" s="265" t="s">
        <v>317</v>
      </c>
      <c r="J165" s="265" t="s">
        <v>26</v>
      </c>
      <c r="K165" s="265" t="s">
        <v>981</v>
      </c>
      <c r="L165" s="265" t="s">
        <v>33</v>
      </c>
      <c r="M165" s="265" t="s">
        <v>947</v>
      </c>
      <c r="N165" s="265">
        <f t="shared" si="8"/>
        <v>0.41499999999999998</v>
      </c>
      <c r="O165" s="279">
        <f t="shared" si="9"/>
        <v>17.824999999999999</v>
      </c>
      <c r="P165" s="265" t="s">
        <v>1042</v>
      </c>
      <c r="Q165" s="265" t="s">
        <v>979</v>
      </c>
      <c r="R165" s="265" t="s">
        <v>337</v>
      </c>
    </row>
    <row r="166" spans="1:18">
      <c r="A166" s="265">
        <v>12</v>
      </c>
      <c r="B166" s="265" t="s">
        <v>309</v>
      </c>
      <c r="C166" s="265"/>
      <c r="D166" s="265"/>
      <c r="E166" s="265"/>
      <c r="F166" s="265"/>
      <c r="G166" s="265">
        <v>3</v>
      </c>
      <c r="H166" s="265">
        <v>23</v>
      </c>
      <c r="I166" s="265" t="s">
        <v>317</v>
      </c>
      <c r="J166" s="265" t="s">
        <v>26</v>
      </c>
      <c r="K166" s="265" t="s">
        <v>981</v>
      </c>
      <c r="L166" s="265" t="s">
        <v>33</v>
      </c>
      <c r="M166" s="265" t="s">
        <v>947</v>
      </c>
      <c r="N166" s="265">
        <f t="shared" si="8"/>
        <v>0.41499999999999998</v>
      </c>
      <c r="O166" s="279">
        <f t="shared" si="9"/>
        <v>17.824999999999999</v>
      </c>
      <c r="P166" s="265" t="s">
        <v>1042</v>
      </c>
      <c r="Q166" s="265" t="s">
        <v>979</v>
      </c>
      <c r="R166" s="265" t="s">
        <v>337</v>
      </c>
    </row>
    <row r="167" spans="1:18">
      <c r="A167" s="265">
        <v>12</v>
      </c>
      <c r="B167" s="265" t="s">
        <v>309</v>
      </c>
      <c r="G167" s="265">
        <v>4</v>
      </c>
      <c r="H167" s="265">
        <v>23</v>
      </c>
      <c r="I167" s="265" t="s">
        <v>317</v>
      </c>
      <c r="J167" s="265" t="s">
        <v>26</v>
      </c>
      <c r="K167" s="265" t="s">
        <v>981</v>
      </c>
      <c r="L167" s="265" t="s">
        <v>33</v>
      </c>
      <c r="M167" s="265" t="s">
        <v>947</v>
      </c>
      <c r="N167" s="265">
        <f t="shared" si="8"/>
        <v>0.41499999999999998</v>
      </c>
      <c r="O167" s="279">
        <f t="shared" si="9"/>
        <v>17.824999999999999</v>
      </c>
      <c r="P167" s="265" t="s">
        <v>1042</v>
      </c>
      <c r="Q167" s="265" t="s">
        <v>979</v>
      </c>
      <c r="R167" s="265" t="s">
        <v>337</v>
      </c>
    </row>
    <row r="168" spans="1:18">
      <c r="A168" s="265">
        <v>12</v>
      </c>
      <c r="B168" s="265" t="s">
        <v>309</v>
      </c>
      <c r="G168" s="265">
        <v>5</v>
      </c>
      <c r="H168" s="265">
        <v>23</v>
      </c>
      <c r="I168" s="265" t="s">
        <v>317</v>
      </c>
      <c r="J168" s="265" t="s">
        <v>26</v>
      </c>
      <c r="K168" s="265" t="s">
        <v>981</v>
      </c>
      <c r="L168" s="265" t="s">
        <v>33</v>
      </c>
      <c r="M168" s="265" t="s">
        <v>947</v>
      </c>
      <c r="N168" s="265">
        <f t="shared" si="8"/>
        <v>0.41499999999999998</v>
      </c>
      <c r="O168" s="279">
        <f t="shared" si="9"/>
        <v>17.824999999999999</v>
      </c>
      <c r="P168" s="265" t="s">
        <v>1042</v>
      </c>
      <c r="Q168" s="265" t="s">
        <v>979</v>
      </c>
      <c r="R168" s="265" t="s">
        <v>337</v>
      </c>
    </row>
    <row r="169" spans="1:18">
      <c r="A169" s="265">
        <v>12</v>
      </c>
      <c r="B169" s="265" t="s">
        <v>309</v>
      </c>
      <c r="G169" s="265">
        <v>6</v>
      </c>
      <c r="H169" s="265">
        <v>23</v>
      </c>
      <c r="I169" s="265" t="s">
        <v>317</v>
      </c>
      <c r="J169" s="265" t="s">
        <v>26</v>
      </c>
      <c r="K169" s="265" t="s">
        <v>981</v>
      </c>
      <c r="L169" s="265" t="s">
        <v>33</v>
      </c>
      <c r="M169" s="265" t="s">
        <v>947</v>
      </c>
      <c r="N169" s="265">
        <f t="shared" si="8"/>
        <v>0.41499999999999998</v>
      </c>
      <c r="O169" s="279">
        <f t="shared" si="9"/>
        <v>17.824999999999999</v>
      </c>
      <c r="P169" s="265" t="s">
        <v>1042</v>
      </c>
      <c r="Q169" s="265" t="s">
        <v>979</v>
      </c>
      <c r="R169" s="265" t="s">
        <v>337</v>
      </c>
    </row>
    <row r="170" spans="1:18">
      <c r="A170" s="265">
        <v>12</v>
      </c>
      <c r="B170" s="265" t="s">
        <v>309</v>
      </c>
      <c r="G170" s="265">
        <v>7</v>
      </c>
      <c r="H170" s="265">
        <v>23</v>
      </c>
      <c r="I170" s="265" t="s">
        <v>317</v>
      </c>
      <c r="J170" s="265" t="s">
        <v>26</v>
      </c>
      <c r="K170" s="265" t="s">
        <v>981</v>
      </c>
      <c r="L170" s="265" t="s">
        <v>33</v>
      </c>
      <c r="M170" s="265" t="s">
        <v>947</v>
      </c>
      <c r="N170" s="265">
        <f t="shared" si="8"/>
        <v>0.41499999999999998</v>
      </c>
      <c r="O170" s="279">
        <f t="shared" si="9"/>
        <v>17.824999999999999</v>
      </c>
      <c r="P170" s="265" t="s">
        <v>1042</v>
      </c>
      <c r="Q170" s="265" t="s">
        <v>979</v>
      </c>
      <c r="R170" s="265" t="s">
        <v>337</v>
      </c>
    </row>
    <row r="171" spans="1:18">
      <c r="A171" s="265">
        <v>12</v>
      </c>
      <c r="B171" s="265" t="s">
        <v>309</v>
      </c>
      <c r="G171" s="265">
        <v>8</v>
      </c>
      <c r="H171" s="265">
        <v>23</v>
      </c>
      <c r="I171" s="265" t="s">
        <v>317</v>
      </c>
      <c r="J171" s="265" t="s">
        <v>26</v>
      </c>
      <c r="K171" s="265" t="s">
        <v>981</v>
      </c>
      <c r="L171" s="265" t="s">
        <v>33</v>
      </c>
      <c r="M171" s="265" t="s">
        <v>947</v>
      </c>
      <c r="N171" s="265">
        <f t="shared" si="8"/>
        <v>0.41499999999999998</v>
      </c>
      <c r="O171" s="279">
        <f t="shared" si="9"/>
        <v>17.824999999999999</v>
      </c>
      <c r="P171" s="265" t="s">
        <v>1042</v>
      </c>
      <c r="Q171" s="265" t="s">
        <v>979</v>
      </c>
      <c r="R171" s="265" t="s">
        <v>337</v>
      </c>
    </row>
    <row r="172" spans="1:18">
      <c r="A172" s="265">
        <v>12</v>
      </c>
      <c r="B172" s="265" t="s">
        <v>309</v>
      </c>
      <c r="G172" s="265">
        <v>9</v>
      </c>
      <c r="H172" s="265">
        <v>23</v>
      </c>
      <c r="I172" s="265" t="s">
        <v>317</v>
      </c>
      <c r="J172" s="265" t="s">
        <v>26</v>
      </c>
      <c r="K172" s="265" t="s">
        <v>981</v>
      </c>
      <c r="L172" s="265" t="s">
        <v>33</v>
      </c>
      <c r="M172" s="265" t="s">
        <v>947</v>
      </c>
      <c r="N172" s="265">
        <f t="shared" si="8"/>
        <v>0.41499999999999998</v>
      </c>
      <c r="O172" s="279">
        <f t="shared" si="9"/>
        <v>17.824999999999999</v>
      </c>
      <c r="P172" s="265" t="s">
        <v>1042</v>
      </c>
      <c r="Q172" s="265" t="s">
        <v>979</v>
      </c>
      <c r="R172" s="265" t="s">
        <v>337</v>
      </c>
    </row>
    <row r="173" spans="1:18">
      <c r="A173" s="265">
        <v>12</v>
      </c>
      <c r="B173" s="265" t="s">
        <v>309</v>
      </c>
      <c r="G173" s="265">
        <v>10</v>
      </c>
      <c r="H173" s="265">
        <v>23</v>
      </c>
      <c r="I173" s="265" t="s">
        <v>317</v>
      </c>
      <c r="J173" s="265" t="s">
        <v>26</v>
      </c>
      <c r="K173" s="265" t="s">
        <v>981</v>
      </c>
      <c r="L173" s="265" t="s">
        <v>33</v>
      </c>
      <c r="M173" s="265" t="s">
        <v>947</v>
      </c>
      <c r="N173" s="265">
        <f t="shared" si="8"/>
        <v>0.41499999999999998</v>
      </c>
      <c r="O173" s="279">
        <f t="shared" si="9"/>
        <v>17.824999999999999</v>
      </c>
      <c r="P173" s="265" t="s">
        <v>1042</v>
      </c>
      <c r="Q173" s="265" t="s">
        <v>979</v>
      </c>
      <c r="R173" s="265" t="s">
        <v>337</v>
      </c>
    </row>
    <row r="174" spans="1:18">
      <c r="A174" s="265">
        <v>12</v>
      </c>
      <c r="B174" s="265" t="s">
        <v>309</v>
      </c>
      <c r="G174" s="265">
        <v>11</v>
      </c>
      <c r="H174" s="265">
        <v>23</v>
      </c>
      <c r="I174" s="265" t="s">
        <v>317</v>
      </c>
      <c r="J174" s="265" t="s">
        <v>26</v>
      </c>
      <c r="K174" s="265" t="s">
        <v>981</v>
      </c>
      <c r="L174" s="265" t="s">
        <v>33</v>
      </c>
      <c r="M174" s="265" t="s">
        <v>947</v>
      </c>
      <c r="N174" s="265">
        <f t="shared" si="8"/>
        <v>0.41499999999999998</v>
      </c>
      <c r="O174" s="279">
        <f t="shared" si="9"/>
        <v>17.824999999999999</v>
      </c>
      <c r="P174" s="265" t="s">
        <v>1042</v>
      </c>
      <c r="Q174" s="265" t="s">
        <v>979</v>
      </c>
      <c r="R174" s="265" t="s">
        <v>337</v>
      </c>
    </row>
    <row r="175" spans="1:18">
      <c r="A175" s="265">
        <v>12</v>
      </c>
      <c r="B175" s="265" t="s">
        <v>309</v>
      </c>
      <c r="G175" s="265">
        <v>2</v>
      </c>
      <c r="H175" s="265">
        <v>22</v>
      </c>
      <c r="I175" s="265" t="s">
        <v>317</v>
      </c>
      <c r="J175" s="265" t="s">
        <v>26</v>
      </c>
      <c r="K175" s="265" t="s">
        <v>981</v>
      </c>
      <c r="L175" s="265" t="s">
        <v>33</v>
      </c>
      <c r="M175" s="265" t="s">
        <v>944</v>
      </c>
      <c r="N175" s="265">
        <f>2.16/2</f>
        <v>1.08</v>
      </c>
      <c r="O175" s="279">
        <f>151.67/2</f>
        <v>75.834999999999994</v>
      </c>
      <c r="P175" s="265" t="s">
        <v>1043</v>
      </c>
      <c r="Q175" s="265" t="s">
        <v>980</v>
      </c>
      <c r="R175" s="265" t="s">
        <v>337</v>
      </c>
    </row>
    <row r="176" spans="1:18">
      <c r="A176" s="265">
        <v>12</v>
      </c>
      <c r="B176" s="265" t="s">
        <v>309</v>
      </c>
      <c r="G176" s="265">
        <v>3</v>
      </c>
      <c r="H176" s="265">
        <v>22</v>
      </c>
      <c r="I176" s="265" t="s">
        <v>317</v>
      </c>
      <c r="J176" s="265" t="s">
        <v>26</v>
      </c>
      <c r="K176" s="265" t="s">
        <v>981</v>
      </c>
      <c r="L176" s="265" t="s">
        <v>33</v>
      </c>
      <c r="M176" s="265" t="s">
        <v>944</v>
      </c>
      <c r="N176" s="265">
        <f t="shared" ref="N176:N194" si="10">2.16/2</f>
        <v>1.08</v>
      </c>
      <c r="O176" s="279">
        <f t="shared" ref="O176:O194" si="11">151.67/2</f>
        <v>75.834999999999994</v>
      </c>
      <c r="P176" s="265" t="s">
        <v>1043</v>
      </c>
      <c r="Q176" s="265" t="s">
        <v>980</v>
      </c>
      <c r="R176" s="265" t="s">
        <v>337</v>
      </c>
    </row>
    <row r="177" spans="1:18">
      <c r="A177" s="265">
        <v>12</v>
      </c>
      <c r="B177" s="265" t="s">
        <v>309</v>
      </c>
      <c r="G177" s="265">
        <v>4</v>
      </c>
      <c r="H177" s="265">
        <v>22</v>
      </c>
      <c r="I177" s="265" t="s">
        <v>317</v>
      </c>
      <c r="J177" s="265" t="s">
        <v>26</v>
      </c>
      <c r="K177" s="265" t="s">
        <v>981</v>
      </c>
      <c r="L177" s="265" t="s">
        <v>33</v>
      </c>
      <c r="M177" s="265" t="s">
        <v>944</v>
      </c>
      <c r="N177" s="265">
        <f t="shared" si="10"/>
        <v>1.08</v>
      </c>
      <c r="O177" s="279">
        <f t="shared" si="11"/>
        <v>75.834999999999994</v>
      </c>
      <c r="P177" s="265" t="s">
        <v>1043</v>
      </c>
      <c r="Q177" s="265" t="s">
        <v>980</v>
      </c>
      <c r="R177" s="265" t="s">
        <v>337</v>
      </c>
    </row>
    <row r="178" spans="1:18">
      <c r="A178" s="265">
        <v>12</v>
      </c>
      <c r="B178" s="265" t="s">
        <v>309</v>
      </c>
      <c r="G178" s="265">
        <v>5</v>
      </c>
      <c r="H178" s="265">
        <v>22</v>
      </c>
      <c r="I178" s="265" t="s">
        <v>317</v>
      </c>
      <c r="J178" s="265" t="s">
        <v>26</v>
      </c>
      <c r="K178" s="265" t="s">
        <v>981</v>
      </c>
      <c r="L178" s="265" t="s">
        <v>33</v>
      </c>
      <c r="M178" s="265" t="s">
        <v>944</v>
      </c>
      <c r="N178" s="265">
        <f t="shared" si="10"/>
        <v>1.08</v>
      </c>
      <c r="O178" s="279">
        <f t="shared" si="11"/>
        <v>75.834999999999994</v>
      </c>
      <c r="P178" s="265" t="s">
        <v>1043</v>
      </c>
      <c r="Q178" s="265" t="s">
        <v>980</v>
      </c>
      <c r="R178" s="265" t="s">
        <v>337</v>
      </c>
    </row>
    <row r="179" spans="1:18">
      <c r="A179" s="265">
        <v>12</v>
      </c>
      <c r="B179" s="265" t="s">
        <v>309</v>
      </c>
      <c r="G179" s="265">
        <v>6</v>
      </c>
      <c r="H179" s="265">
        <v>22</v>
      </c>
      <c r="I179" s="265" t="s">
        <v>317</v>
      </c>
      <c r="J179" s="265" t="s">
        <v>26</v>
      </c>
      <c r="K179" s="265" t="s">
        <v>981</v>
      </c>
      <c r="L179" s="265" t="s">
        <v>33</v>
      </c>
      <c r="M179" s="265" t="s">
        <v>944</v>
      </c>
      <c r="N179" s="265">
        <f t="shared" si="10"/>
        <v>1.08</v>
      </c>
      <c r="O179" s="279">
        <f t="shared" si="11"/>
        <v>75.834999999999994</v>
      </c>
      <c r="P179" s="265" t="s">
        <v>1043</v>
      </c>
      <c r="Q179" s="265" t="s">
        <v>980</v>
      </c>
      <c r="R179" s="265" t="s">
        <v>337</v>
      </c>
    </row>
    <row r="180" spans="1:18">
      <c r="A180" s="265">
        <v>12</v>
      </c>
      <c r="B180" s="265" t="s">
        <v>309</v>
      </c>
      <c r="G180" s="265">
        <v>7</v>
      </c>
      <c r="H180" s="265">
        <v>22</v>
      </c>
      <c r="I180" s="265" t="s">
        <v>317</v>
      </c>
      <c r="J180" s="265" t="s">
        <v>26</v>
      </c>
      <c r="K180" s="265" t="s">
        <v>981</v>
      </c>
      <c r="L180" s="265" t="s">
        <v>33</v>
      </c>
      <c r="M180" s="265" t="s">
        <v>944</v>
      </c>
      <c r="N180" s="265">
        <f t="shared" si="10"/>
        <v>1.08</v>
      </c>
      <c r="O180" s="279">
        <f t="shared" si="11"/>
        <v>75.834999999999994</v>
      </c>
      <c r="P180" s="265" t="s">
        <v>1043</v>
      </c>
      <c r="Q180" s="265" t="s">
        <v>980</v>
      </c>
      <c r="R180" s="265" t="s">
        <v>337</v>
      </c>
    </row>
    <row r="181" spans="1:18">
      <c r="A181" s="265">
        <v>12</v>
      </c>
      <c r="B181" s="265" t="s">
        <v>309</v>
      </c>
      <c r="G181" s="265">
        <v>8</v>
      </c>
      <c r="H181" s="265">
        <v>22</v>
      </c>
      <c r="I181" s="265" t="s">
        <v>317</v>
      </c>
      <c r="J181" s="265" t="s">
        <v>26</v>
      </c>
      <c r="K181" s="265" t="s">
        <v>981</v>
      </c>
      <c r="L181" s="265" t="s">
        <v>33</v>
      </c>
      <c r="M181" s="265" t="s">
        <v>944</v>
      </c>
      <c r="N181" s="265">
        <f t="shared" si="10"/>
        <v>1.08</v>
      </c>
      <c r="O181" s="279">
        <f t="shared" si="11"/>
        <v>75.834999999999994</v>
      </c>
      <c r="P181" s="265" t="s">
        <v>1043</v>
      </c>
      <c r="Q181" s="265" t="s">
        <v>980</v>
      </c>
      <c r="R181" s="265" t="s">
        <v>337</v>
      </c>
    </row>
    <row r="182" spans="1:18">
      <c r="A182" s="265">
        <v>12</v>
      </c>
      <c r="B182" s="265" t="s">
        <v>309</v>
      </c>
      <c r="G182" s="265">
        <v>9</v>
      </c>
      <c r="H182" s="265">
        <v>22</v>
      </c>
      <c r="I182" s="265" t="s">
        <v>317</v>
      </c>
      <c r="J182" s="265" t="s">
        <v>26</v>
      </c>
      <c r="K182" s="265" t="s">
        <v>981</v>
      </c>
      <c r="L182" s="265" t="s">
        <v>33</v>
      </c>
      <c r="M182" s="265" t="s">
        <v>944</v>
      </c>
      <c r="N182" s="265">
        <f t="shared" si="10"/>
        <v>1.08</v>
      </c>
      <c r="O182" s="279">
        <f t="shared" si="11"/>
        <v>75.834999999999994</v>
      </c>
      <c r="P182" s="265" t="s">
        <v>1043</v>
      </c>
      <c r="Q182" s="265" t="s">
        <v>980</v>
      </c>
      <c r="R182" s="265" t="s">
        <v>337</v>
      </c>
    </row>
    <row r="183" spans="1:18">
      <c r="A183" s="265">
        <v>12</v>
      </c>
      <c r="B183" s="265" t="s">
        <v>309</v>
      </c>
      <c r="G183" s="265">
        <v>10</v>
      </c>
      <c r="H183" s="265">
        <v>22</v>
      </c>
      <c r="I183" s="265" t="s">
        <v>317</v>
      </c>
      <c r="J183" s="265" t="s">
        <v>26</v>
      </c>
      <c r="K183" s="265" t="s">
        <v>981</v>
      </c>
      <c r="L183" s="265" t="s">
        <v>33</v>
      </c>
      <c r="M183" s="265" t="s">
        <v>944</v>
      </c>
      <c r="N183" s="265">
        <f t="shared" si="10"/>
        <v>1.08</v>
      </c>
      <c r="O183" s="279">
        <f t="shared" si="11"/>
        <v>75.834999999999994</v>
      </c>
      <c r="P183" s="265" t="s">
        <v>1043</v>
      </c>
      <c r="Q183" s="265" t="s">
        <v>980</v>
      </c>
      <c r="R183" s="265" t="s">
        <v>337</v>
      </c>
    </row>
    <row r="184" spans="1:18">
      <c r="A184" s="265">
        <v>12</v>
      </c>
      <c r="B184" s="265" t="s">
        <v>309</v>
      </c>
      <c r="G184" s="265">
        <v>11</v>
      </c>
      <c r="H184" s="265">
        <v>22</v>
      </c>
      <c r="I184" s="265" t="s">
        <v>317</v>
      </c>
      <c r="J184" s="265" t="s">
        <v>26</v>
      </c>
      <c r="K184" s="265" t="s">
        <v>981</v>
      </c>
      <c r="L184" s="265" t="s">
        <v>33</v>
      </c>
      <c r="M184" s="265" t="s">
        <v>944</v>
      </c>
      <c r="N184" s="265">
        <f t="shared" si="10"/>
        <v>1.08</v>
      </c>
      <c r="O184" s="279">
        <f t="shared" si="11"/>
        <v>75.834999999999994</v>
      </c>
      <c r="P184" s="265" t="s">
        <v>1043</v>
      </c>
      <c r="Q184" s="265" t="s">
        <v>980</v>
      </c>
      <c r="R184" s="265" t="s">
        <v>337</v>
      </c>
    </row>
    <row r="185" spans="1:18">
      <c r="A185" s="265">
        <v>12</v>
      </c>
      <c r="B185" s="265" t="s">
        <v>309</v>
      </c>
      <c r="G185" s="265">
        <v>2</v>
      </c>
      <c r="H185" s="265">
        <v>23</v>
      </c>
      <c r="I185" s="265" t="s">
        <v>317</v>
      </c>
      <c r="J185" s="265" t="s">
        <v>26</v>
      </c>
      <c r="K185" s="265" t="s">
        <v>981</v>
      </c>
      <c r="L185" s="265" t="s">
        <v>33</v>
      </c>
      <c r="M185" s="265" t="s">
        <v>944</v>
      </c>
      <c r="N185" s="265">
        <f t="shared" si="10"/>
        <v>1.08</v>
      </c>
      <c r="O185" s="279">
        <f t="shared" si="11"/>
        <v>75.834999999999994</v>
      </c>
      <c r="P185" s="265" t="s">
        <v>1043</v>
      </c>
      <c r="Q185" s="265" t="s">
        <v>980</v>
      </c>
      <c r="R185" s="265" t="s">
        <v>337</v>
      </c>
    </row>
    <row r="186" spans="1:18">
      <c r="A186" s="265">
        <v>12</v>
      </c>
      <c r="B186" s="265" t="s">
        <v>309</v>
      </c>
      <c r="G186" s="265">
        <v>3</v>
      </c>
      <c r="H186" s="265">
        <v>23</v>
      </c>
      <c r="I186" s="265" t="s">
        <v>317</v>
      </c>
      <c r="J186" s="265" t="s">
        <v>26</v>
      </c>
      <c r="K186" s="265" t="s">
        <v>981</v>
      </c>
      <c r="L186" s="265" t="s">
        <v>33</v>
      </c>
      <c r="M186" s="265" t="s">
        <v>944</v>
      </c>
      <c r="N186" s="265">
        <f t="shared" si="10"/>
        <v>1.08</v>
      </c>
      <c r="O186" s="279">
        <f t="shared" si="11"/>
        <v>75.834999999999994</v>
      </c>
      <c r="P186" s="265" t="s">
        <v>1043</v>
      </c>
      <c r="Q186" s="265" t="s">
        <v>980</v>
      </c>
      <c r="R186" s="265" t="s">
        <v>337</v>
      </c>
    </row>
    <row r="187" spans="1:18">
      <c r="A187" s="265">
        <v>12</v>
      </c>
      <c r="B187" s="265" t="s">
        <v>309</v>
      </c>
      <c r="G187" s="265">
        <v>4</v>
      </c>
      <c r="H187" s="265">
        <v>23</v>
      </c>
      <c r="I187" s="265" t="s">
        <v>317</v>
      </c>
      <c r="J187" s="265" t="s">
        <v>26</v>
      </c>
      <c r="K187" s="265" t="s">
        <v>981</v>
      </c>
      <c r="L187" s="265" t="s">
        <v>33</v>
      </c>
      <c r="M187" s="265" t="s">
        <v>944</v>
      </c>
      <c r="N187" s="265">
        <f t="shared" si="10"/>
        <v>1.08</v>
      </c>
      <c r="O187" s="279">
        <f t="shared" si="11"/>
        <v>75.834999999999994</v>
      </c>
      <c r="P187" s="265" t="s">
        <v>1043</v>
      </c>
      <c r="Q187" s="265" t="s">
        <v>980</v>
      </c>
      <c r="R187" s="265" t="s">
        <v>337</v>
      </c>
    </row>
    <row r="188" spans="1:18">
      <c r="A188" s="265">
        <v>12</v>
      </c>
      <c r="B188" s="265" t="s">
        <v>309</v>
      </c>
      <c r="G188" s="265">
        <v>5</v>
      </c>
      <c r="H188" s="265">
        <v>23</v>
      </c>
      <c r="I188" s="265" t="s">
        <v>317</v>
      </c>
      <c r="J188" s="265" t="s">
        <v>26</v>
      </c>
      <c r="K188" s="265" t="s">
        <v>981</v>
      </c>
      <c r="L188" s="265" t="s">
        <v>33</v>
      </c>
      <c r="M188" s="265" t="s">
        <v>944</v>
      </c>
      <c r="N188" s="265">
        <f t="shared" si="10"/>
        <v>1.08</v>
      </c>
      <c r="O188" s="279">
        <f t="shared" si="11"/>
        <v>75.834999999999994</v>
      </c>
      <c r="P188" s="265" t="s">
        <v>1043</v>
      </c>
      <c r="Q188" s="265" t="s">
        <v>980</v>
      </c>
      <c r="R188" s="265" t="s">
        <v>337</v>
      </c>
    </row>
    <row r="189" spans="1:18">
      <c r="A189" s="265">
        <v>12</v>
      </c>
      <c r="B189" s="265" t="s">
        <v>309</v>
      </c>
      <c r="G189" s="265">
        <v>6</v>
      </c>
      <c r="H189" s="265">
        <v>23</v>
      </c>
      <c r="I189" s="265" t="s">
        <v>317</v>
      </c>
      <c r="J189" s="265" t="s">
        <v>26</v>
      </c>
      <c r="K189" s="265" t="s">
        <v>981</v>
      </c>
      <c r="L189" s="265" t="s">
        <v>33</v>
      </c>
      <c r="M189" s="265" t="s">
        <v>944</v>
      </c>
      <c r="N189" s="265">
        <f t="shared" si="10"/>
        <v>1.08</v>
      </c>
      <c r="O189" s="279">
        <f t="shared" si="11"/>
        <v>75.834999999999994</v>
      </c>
      <c r="P189" s="265" t="s">
        <v>1043</v>
      </c>
      <c r="Q189" s="265" t="s">
        <v>980</v>
      </c>
      <c r="R189" s="265" t="s">
        <v>337</v>
      </c>
    </row>
    <row r="190" spans="1:18">
      <c r="A190" s="265">
        <v>12</v>
      </c>
      <c r="B190" s="265" t="s">
        <v>309</v>
      </c>
      <c r="G190" s="265">
        <v>7</v>
      </c>
      <c r="H190" s="265">
        <v>23</v>
      </c>
      <c r="I190" s="265" t="s">
        <v>317</v>
      </c>
      <c r="J190" s="265" t="s">
        <v>26</v>
      </c>
      <c r="K190" s="265" t="s">
        <v>981</v>
      </c>
      <c r="L190" s="265" t="s">
        <v>33</v>
      </c>
      <c r="M190" s="265" t="s">
        <v>944</v>
      </c>
      <c r="N190" s="265">
        <f t="shared" si="10"/>
        <v>1.08</v>
      </c>
      <c r="O190" s="279">
        <f t="shared" si="11"/>
        <v>75.834999999999994</v>
      </c>
      <c r="P190" s="265" t="s">
        <v>1043</v>
      </c>
      <c r="Q190" s="265" t="s">
        <v>980</v>
      </c>
      <c r="R190" s="265" t="s">
        <v>337</v>
      </c>
    </row>
    <row r="191" spans="1:18">
      <c r="A191" s="265">
        <v>12</v>
      </c>
      <c r="B191" s="265" t="s">
        <v>309</v>
      </c>
      <c r="G191" s="265">
        <v>8</v>
      </c>
      <c r="H191" s="265">
        <v>23</v>
      </c>
      <c r="I191" s="265" t="s">
        <v>317</v>
      </c>
      <c r="J191" s="265" t="s">
        <v>26</v>
      </c>
      <c r="K191" s="265" t="s">
        <v>981</v>
      </c>
      <c r="L191" s="265" t="s">
        <v>33</v>
      </c>
      <c r="M191" s="265" t="s">
        <v>944</v>
      </c>
      <c r="N191" s="265">
        <f t="shared" si="10"/>
        <v>1.08</v>
      </c>
      <c r="O191" s="279">
        <f t="shared" si="11"/>
        <v>75.834999999999994</v>
      </c>
      <c r="P191" s="265" t="s">
        <v>1043</v>
      </c>
      <c r="Q191" s="265" t="s">
        <v>980</v>
      </c>
      <c r="R191" s="265" t="s">
        <v>337</v>
      </c>
    </row>
    <row r="192" spans="1:18">
      <c r="A192" s="265">
        <v>12</v>
      </c>
      <c r="B192" s="265" t="s">
        <v>309</v>
      </c>
      <c r="G192" s="265">
        <v>9</v>
      </c>
      <c r="H192" s="265">
        <v>23</v>
      </c>
      <c r="I192" s="265" t="s">
        <v>317</v>
      </c>
      <c r="J192" s="265" t="s">
        <v>26</v>
      </c>
      <c r="K192" s="265" t="s">
        <v>981</v>
      </c>
      <c r="L192" s="265" t="s">
        <v>33</v>
      </c>
      <c r="M192" s="265" t="s">
        <v>944</v>
      </c>
      <c r="N192" s="265">
        <f t="shared" si="10"/>
        <v>1.08</v>
      </c>
      <c r="O192" s="279">
        <f t="shared" si="11"/>
        <v>75.834999999999994</v>
      </c>
      <c r="P192" s="265" t="s">
        <v>1043</v>
      </c>
      <c r="Q192" s="265" t="s">
        <v>980</v>
      </c>
      <c r="R192" s="265" t="s">
        <v>337</v>
      </c>
    </row>
    <row r="193" spans="1:18">
      <c r="A193" s="265">
        <v>12</v>
      </c>
      <c r="B193" s="265" t="s">
        <v>309</v>
      </c>
      <c r="G193" s="265">
        <v>10</v>
      </c>
      <c r="H193" s="265">
        <v>23</v>
      </c>
      <c r="I193" s="265" t="s">
        <v>317</v>
      </c>
      <c r="J193" s="265" t="s">
        <v>26</v>
      </c>
      <c r="K193" s="265" t="s">
        <v>981</v>
      </c>
      <c r="L193" s="265" t="s">
        <v>33</v>
      </c>
      <c r="M193" s="265" t="s">
        <v>944</v>
      </c>
      <c r="N193" s="265">
        <f t="shared" si="10"/>
        <v>1.08</v>
      </c>
      <c r="O193" s="279">
        <f t="shared" si="11"/>
        <v>75.834999999999994</v>
      </c>
      <c r="P193" s="265" t="s">
        <v>1043</v>
      </c>
      <c r="Q193" s="265" t="s">
        <v>980</v>
      </c>
      <c r="R193" s="265" t="s">
        <v>337</v>
      </c>
    </row>
    <row r="194" spans="1:18">
      <c r="A194" s="265">
        <v>12</v>
      </c>
      <c r="B194" s="265" t="s">
        <v>309</v>
      </c>
      <c r="G194" s="265">
        <v>11</v>
      </c>
      <c r="H194" s="265">
        <v>23</v>
      </c>
      <c r="I194" s="265" t="s">
        <v>317</v>
      </c>
      <c r="J194" s="265" t="s">
        <v>26</v>
      </c>
      <c r="K194" s="265" t="s">
        <v>981</v>
      </c>
      <c r="L194" s="265" t="s">
        <v>33</v>
      </c>
      <c r="M194" s="265" t="s">
        <v>944</v>
      </c>
      <c r="N194" s="265">
        <f t="shared" si="10"/>
        <v>1.08</v>
      </c>
      <c r="O194" s="279">
        <f t="shared" si="11"/>
        <v>75.834999999999994</v>
      </c>
      <c r="P194" s="265" t="s">
        <v>1043</v>
      </c>
      <c r="Q194" s="265" t="s">
        <v>980</v>
      </c>
      <c r="R194" s="265" t="s">
        <v>337</v>
      </c>
    </row>
    <row r="195" spans="1:18">
      <c r="A195" s="265">
        <v>12</v>
      </c>
      <c r="B195" s="265" t="s">
        <v>309</v>
      </c>
      <c r="G195" s="265">
        <v>2</v>
      </c>
      <c r="H195" s="265">
        <v>22</v>
      </c>
      <c r="I195" s="265" t="s">
        <v>317</v>
      </c>
      <c r="J195" s="265" t="s">
        <v>26</v>
      </c>
      <c r="K195" s="265" t="s">
        <v>981</v>
      </c>
      <c r="L195" s="265" t="s">
        <v>33</v>
      </c>
      <c r="M195" s="265" t="s">
        <v>945</v>
      </c>
      <c r="N195" s="265">
        <f>0.5/2</f>
        <v>0.25</v>
      </c>
      <c r="O195" s="279">
        <f>21.39/2</f>
        <v>10.695</v>
      </c>
      <c r="P195" s="265" t="s">
        <v>1044</v>
      </c>
      <c r="Q195" s="265" t="s">
        <v>979</v>
      </c>
      <c r="R195" s="265" t="s">
        <v>337</v>
      </c>
    </row>
    <row r="196" spans="1:18">
      <c r="A196" s="265">
        <v>12</v>
      </c>
      <c r="B196" s="265" t="s">
        <v>309</v>
      </c>
      <c r="G196" s="265">
        <v>3</v>
      </c>
      <c r="H196" s="265">
        <v>22</v>
      </c>
      <c r="I196" s="265" t="s">
        <v>317</v>
      </c>
      <c r="J196" s="265" t="s">
        <v>26</v>
      </c>
      <c r="K196" s="265" t="s">
        <v>981</v>
      </c>
      <c r="L196" s="265" t="s">
        <v>33</v>
      </c>
      <c r="M196" s="265" t="s">
        <v>945</v>
      </c>
      <c r="N196" s="265">
        <f t="shared" ref="N196:N214" si="12">0.5/2</f>
        <v>0.25</v>
      </c>
      <c r="O196" s="279">
        <f t="shared" ref="O196:O214" si="13">21.39/2</f>
        <v>10.695</v>
      </c>
      <c r="P196" s="265" t="s">
        <v>1044</v>
      </c>
      <c r="Q196" s="265" t="s">
        <v>979</v>
      </c>
      <c r="R196" s="265" t="s">
        <v>337</v>
      </c>
    </row>
    <row r="197" spans="1:18">
      <c r="A197" s="265">
        <v>12</v>
      </c>
      <c r="B197" s="265" t="s">
        <v>309</v>
      </c>
      <c r="G197" s="265">
        <v>4</v>
      </c>
      <c r="H197" s="265">
        <v>22</v>
      </c>
      <c r="I197" s="265" t="s">
        <v>317</v>
      </c>
      <c r="J197" s="265" t="s">
        <v>26</v>
      </c>
      <c r="K197" s="265" t="s">
        <v>981</v>
      </c>
      <c r="L197" s="265" t="s">
        <v>33</v>
      </c>
      <c r="M197" s="265" t="s">
        <v>945</v>
      </c>
      <c r="N197" s="265">
        <f t="shared" si="12"/>
        <v>0.25</v>
      </c>
      <c r="O197" s="279">
        <f t="shared" si="13"/>
        <v>10.695</v>
      </c>
      <c r="P197" s="265" t="s">
        <v>1044</v>
      </c>
      <c r="Q197" s="265" t="s">
        <v>979</v>
      </c>
      <c r="R197" s="265" t="s">
        <v>337</v>
      </c>
    </row>
    <row r="198" spans="1:18">
      <c r="A198" s="265">
        <v>12</v>
      </c>
      <c r="B198" s="265" t="s">
        <v>309</v>
      </c>
      <c r="G198" s="265">
        <v>5</v>
      </c>
      <c r="H198" s="265">
        <v>22</v>
      </c>
      <c r="I198" s="265" t="s">
        <v>317</v>
      </c>
      <c r="J198" s="265" t="s">
        <v>26</v>
      </c>
      <c r="K198" s="265" t="s">
        <v>981</v>
      </c>
      <c r="L198" s="265" t="s">
        <v>33</v>
      </c>
      <c r="M198" s="265" t="s">
        <v>945</v>
      </c>
      <c r="N198" s="265">
        <f t="shared" si="12"/>
        <v>0.25</v>
      </c>
      <c r="O198" s="279">
        <f t="shared" si="13"/>
        <v>10.695</v>
      </c>
      <c r="P198" s="265" t="s">
        <v>1044</v>
      </c>
      <c r="Q198" s="265" t="s">
        <v>979</v>
      </c>
      <c r="R198" s="265" t="s">
        <v>337</v>
      </c>
    </row>
    <row r="199" spans="1:18">
      <c r="A199" s="265">
        <v>12</v>
      </c>
      <c r="B199" s="265" t="s">
        <v>309</v>
      </c>
      <c r="G199" s="265">
        <v>6</v>
      </c>
      <c r="H199" s="265">
        <v>22</v>
      </c>
      <c r="I199" s="265" t="s">
        <v>317</v>
      </c>
      <c r="J199" s="265" t="s">
        <v>26</v>
      </c>
      <c r="K199" s="265" t="s">
        <v>981</v>
      </c>
      <c r="L199" s="265" t="s">
        <v>33</v>
      </c>
      <c r="M199" s="265" t="s">
        <v>945</v>
      </c>
      <c r="N199" s="265">
        <f t="shared" si="12"/>
        <v>0.25</v>
      </c>
      <c r="O199" s="279">
        <f t="shared" si="13"/>
        <v>10.695</v>
      </c>
      <c r="P199" s="265" t="s">
        <v>1044</v>
      </c>
      <c r="Q199" s="265" t="s">
        <v>979</v>
      </c>
      <c r="R199" s="265" t="s">
        <v>337</v>
      </c>
    </row>
    <row r="200" spans="1:18">
      <c r="A200" s="265">
        <v>12</v>
      </c>
      <c r="B200" s="265" t="s">
        <v>309</v>
      </c>
      <c r="G200" s="265">
        <v>7</v>
      </c>
      <c r="H200" s="265">
        <v>22</v>
      </c>
      <c r="I200" s="265" t="s">
        <v>317</v>
      </c>
      <c r="J200" s="265" t="s">
        <v>26</v>
      </c>
      <c r="K200" s="265" t="s">
        <v>981</v>
      </c>
      <c r="L200" s="265" t="s">
        <v>33</v>
      </c>
      <c r="M200" s="265" t="s">
        <v>945</v>
      </c>
      <c r="N200" s="265">
        <f t="shared" si="12"/>
        <v>0.25</v>
      </c>
      <c r="O200" s="279">
        <f t="shared" si="13"/>
        <v>10.695</v>
      </c>
      <c r="P200" s="265" t="s">
        <v>1044</v>
      </c>
      <c r="Q200" s="265" t="s">
        <v>979</v>
      </c>
      <c r="R200" s="265" t="s">
        <v>337</v>
      </c>
    </row>
    <row r="201" spans="1:18">
      <c r="A201" s="265">
        <v>12</v>
      </c>
      <c r="B201" s="265" t="s">
        <v>309</v>
      </c>
      <c r="G201" s="265">
        <v>8</v>
      </c>
      <c r="H201" s="265">
        <v>22</v>
      </c>
      <c r="I201" s="265" t="s">
        <v>317</v>
      </c>
      <c r="J201" s="265" t="s">
        <v>26</v>
      </c>
      <c r="K201" s="265" t="s">
        <v>981</v>
      </c>
      <c r="L201" s="265" t="s">
        <v>33</v>
      </c>
      <c r="M201" s="265" t="s">
        <v>945</v>
      </c>
      <c r="N201" s="265">
        <f t="shared" si="12"/>
        <v>0.25</v>
      </c>
      <c r="O201" s="279">
        <f t="shared" si="13"/>
        <v>10.695</v>
      </c>
      <c r="P201" s="265" t="s">
        <v>1044</v>
      </c>
      <c r="Q201" s="265" t="s">
        <v>979</v>
      </c>
      <c r="R201" s="265" t="s">
        <v>337</v>
      </c>
    </row>
    <row r="202" spans="1:18">
      <c r="A202" s="265">
        <v>12</v>
      </c>
      <c r="B202" s="265" t="s">
        <v>309</v>
      </c>
      <c r="G202" s="265">
        <v>9</v>
      </c>
      <c r="H202" s="265">
        <v>22</v>
      </c>
      <c r="I202" s="265" t="s">
        <v>317</v>
      </c>
      <c r="J202" s="265" t="s">
        <v>26</v>
      </c>
      <c r="K202" s="265" t="s">
        <v>981</v>
      </c>
      <c r="L202" s="265" t="s">
        <v>33</v>
      </c>
      <c r="M202" s="265" t="s">
        <v>945</v>
      </c>
      <c r="N202" s="265">
        <f t="shared" si="12"/>
        <v>0.25</v>
      </c>
      <c r="O202" s="279">
        <f t="shared" si="13"/>
        <v>10.695</v>
      </c>
      <c r="P202" s="265" t="s">
        <v>1044</v>
      </c>
      <c r="Q202" s="265" t="s">
        <v>979</v>
      </c>
      <c r="R202" s="265" t="s">
        <v>337</v>
      </c>
    </row>
    <row r="203" spans="1:18">
      <c r="A203" s="265">
        <v>12</v>
      </c>
      <c r="B203" s="265" t="s">
        <v>309</v>
      </c>
      <c r="G203" s="265">
        <v>10</v>
      </c>
      <c r="H203" s="265">
        <v>22</v>
      </c>
      <c r="I203" s="265" t="s">
        <v>317</v>
      </c>
      <c r="J203" s="265" t="s">
        <v>26</v>
      </c>
      <c r="K203" s="265" t="s">
        <v>981</v>
      </c>
      <c r="L203" s="265" t="s">
        <v>33</v>
      </c>
      <c r="M203" s="265" t="s">
        <v>945</v>
      </c>
      <c r="N203" s="265">
        <f t="shared" si="12"/>
        <v>0.25</v>
      </c>
      <c r="O203" s="279">
        <f t="shared" si="13"/>
        <v>10.695</v>
      </c>
      <c r="P203" s="265" t="s">
        <v>1044</v>
      </c>
      <c r="Q203" s="265" t="s">
        <v>979</v>
      </c>
      <c r="R203" s="265" t="s">
        <v>337</v>
      </c>
    </row>
    <row r="204" spans="1:18">
      <c r="A204" s="265">
        <v>12</v>
      </c>
      <c r="B204" s="265" t="s">
        <v>309</v>
      </c>
      <c r="G204" s="265">
        <v>11</v>
      </c>
      <c r="H204" s="265">
        <v>22</v>
      </c>
      <c r="I204" s="265" t="s">
        <v>317</v>
      </c>
      <c r="J204" s="265" t="s">
        <v>26</v>
      </c>
      <c r="K204" s="265" t="s">
        <v>981</v>
      </c>
      <c r="L204" s="265" t="s">
        <v>33</v>
      </c>
      <c r="M204" s="265" t="s">
        <v>945</v>
      </c>
      <c r="N204" s="265">
        <f t="shared" si="12"/>
        <v>0.25</v>
      </c>
      <c r="O204" s="279">
        <f t="shared" si="13"/>
        <v>10.695</v>
      </c>
      <c r="P204" s="265" t="s">
        <v>1044</v>
      </c>
      <c r="Q204" s="265" t="s">
        <v>979</v>
      </c>
      <c r="R204" s="265" t="s">
        <v>337</v>
      </c>
    </row>
    <row r="205" spans="1:18">
      <c r="A205" s="265">
        <v>12</v>
      </c>
      <c r="B205" s="265" t="s">
        <v>309</v>
      </c>
      <c r="G205" s="265">
        <v>2</v>
      </c>
      <c r="H205" s="265">
        <v>23</v>
      </c>
      <c r="I205" s="265" t="s">
        <v>317</v>
      </c>
      <c r="J205" s="265" t="s">
        <v>26</v>
      </c>
      <c r="K205" s="265" t="s">
        <v>981</v>
      </c>
      <c r="L205" s="265" t="s">
        <v>33</v>
      </c>
      <c r="M205" s="265" t="s">
        <v>945</v>
      </c>
      <c r="N205" s="265">
        <f t="shared" si="12"/>
        <v>0.25</v>
      </c>
      <c r="O205" s="279">
        <f t="shared" si="13"/>
        <v>10.695</v>
      </c>
      <c r="P205" s="265" t="s">
        <v>1044</v>
      </c>
      <c r="Q205" s="265" t="s">
        <v>979</v>
      </c>
      <c r="R205" s="265" t="s">
        <v>337</v>
      </c>
    </row>
    <row r="206" spans="1:18">
      <c r="A206" s="265">
        <v>12</v>
      </c>
      <c r="B206" s="265" t="s">
        <v>309</v>
      </c>
      <c r="G206" s="265">
        <v>3</v>
      </c>
      <c r="H206" s="265">
        <v>23</v>
      </c>
      <c r="I206" s="265" t="s">
        <v>317</v>
      </c>
      <c r="J206" s="265" t="s">
        <v>26</v>
      </c>
      <c r="K206" s="265" t="s">
        <v>981</v>
      </c>
      <c r="L206" s="265" t="s">
        <v>33</v>
      </c>
      <c r="M206" s="265" t="s">
        <v>945</v>
      </c>
      <c r="N206" s="265">
        <f t="shared" si="12"/>
        <v>0.25</v>
      </c>
      <c r="O206" s="279">
        <f t="shared" si="13"/>
        <v>10.695</v>
      </c>
      <c r="P206" s="265" t="s">
        <v>1044</v>
      </c>
      <c r="Q206" s="265" t="s">
        <v>979</v>
      </c>
      <c r="R206" s="265" t="s">
        <v>337</v>
      </c>
    </row>
    <row r="207" spans="1:18">
      <c r="A207" s="265">
        <v>12</v>
      </c>
      <c r="B207" s="265" t="s">
        <v>309</v>
      </c>
      <c r="G207" s="265">
        <v>4</v>
      </c>
      <c r="H207" s="265">
        <v>23</v>
      </c>
      <c r="I207" s="265" t="s">
        <v>317</v>
      </c>
      <c r="J207" s="265" t="s">
        <v>26</v>
      </c>
      <c r="K207" s="265" t="s">
        <v>981</v>
      </c>
      <c r="L207" s="265" t="s">
        <v>33</v>
      </c>
      <c r="M207" s="265" t="s">
        <v>945</v>
      </c>
      <c r="N207" s="265">
        <f t="shared" si="12"/>
        <v>0.25</v>
      </c>
      <c r="O207" s="279">
        <f t="shared" si="13"/>
        <v>10.695</v>
      </c>
      <c r="P207" s="265" t="s">
        <v>1044</v>
      </c>
      <c r="Q207" s="265" t="s">
        <v>979</v>
      </c>
      <c r="R207" s="265" t="s">
        <v>337</v>
      </c>
    </row>
    <row r="208" spans="1:18">
      <c r="A208" s="265">
        <v>12</v>
      </c>
      <c r="B208" s="265" t="s">
        <v>309</v>
      </c>
      <c r="G208" s="265">
        <v>5</v>
      </c>
      <c r="H208" s="265">
        <v>23</v>
      </c>
      <c r="I208" s="265" t="s">
        <v>317</v>
      </c>
      <c r="J208" s="265" t="s">
        <v>26</v>
      </c>
      <c r="K208" s="265" t="s">
        <v>981</v>
      </c>
      <c r="L208" s="265" t="s">
        <v>33</v>
      </c>
      <c r="M208" s="265" t="s">
        <v>945</v>
      </c>
      <c r="N208" s="265">
        <f t="shared" si="12"/>
        <v>0.25</v>
      </c>
      <c r="O208" s="279">
        <f t="shared" si="13"/>
        <v>10.695</v>
      </c>
      <c r="P208" s="265" t="s">
        <v>1044</v>
      </c>
      <c r="Q208" s="265" t="s">
        <v>979</v>
      </c>
      <c r="R208" s="265" t="s">
        <v>337</v>
      </c>
    </row>
    <row r="209" spans="1:18">
      <c r="A209" s="265">
        <v>12</v>
      </c>
      <c r="B209" s="265" t="s">
        <v>309</v>
      </c>
      <c r="G209" s="265">
        <v>6</v>
      </c>
      <c r="H209" s="265">
        <v>23</v>
      </c>
      <c r="I209" s="265" t="s">
        <v>317</v>
      </c>
      <c r="J209" s="265" t="s">
        <v>26</v>
      </c>
      <c r="K209" s="265" t="s">
        <v>981</v>
      </c>
      <c r="L209" s="265" t="s">
        <v>33</v>
      </c>
      <c r="M209" s="265" t="s">
        <v>945</v>
      </c>
      <c r="N209" s="265">
        <f t="shared" si="12"/>
        <v>0.25</v>
      </c>
      <c r="O209" s="279">
        <f t="shared" si="13"/>
        <v>10.695</v>
      </c>
      <c r="P209" s="265" t="s">
        <v>1044</v>
      </c>
      <c r="Q209" s="265" t="s">
        <v>979</v>
      </c>
      <c r="R209" s="265" t="s">
        <v>337</v>
      </c>
    </row>
    <row r="210" spans="1:18">
      <c r="A210" s="265">
        <v>12</v>
      </c>
      <c r="B210" s="265" t="s">
        <v>309</v>
      </c>
      <c r="G210" s="265">
        <v>7</v>
      </c>
      <c r="H210" s="265">
        <v>23</v>
      </c>
      <c r="I210" s="265" t="s">
        <v>317</v>
      </c>
      <c r="J210" s="265" t="s">
        <v>26</v>
      </c>
      <c r="K210" s="265" t="s">
        <v>981</v>
      </c>
      <c r="L210" s="265" t="s">
        <v>33</v>
      </c>
      <c r="M210" s="265" t="s">
        <v>945</v>
      </c>
      <c r="N210" s="265">
        <f t="shared" si="12"/>
        <v>0.25</v>
      </c>
      <c r="O210" s="279">
        <f t="shared" si="13"/>
        <v>10.695</v>
      </c>
      <c r="P210" s="265" t="s">
        <v>1044</v>
      </c>
      <c r="Q210" s="265" t="s">
        <v>979</v>
      </c>
      <c r="R210" s="265" t="s">
        <v>337</v>
      </c>
    </row>
    <row r="211" spans="1:18">
      <c r="A211" s="265">
        <v>12</v>
      </c>
      <c r="B211" s="265" t="s">
        <v>309</v>
      </c>
      <c r="G211" s="265">
        <v>8</v>
      </c>
      <c r="H211" s="265">
        <v>23</v>
      </c>
      <c r="I211" s="265" t="s">
        <v>317</v>
      </c>
      <c r="J211" s="265" t="s">
        <v>26</v>
      </c>
      <c r="K211" s="265" t="s">
        <v>981</v>
      </c>
      <c r="L211" s="265" t="s">
        <v>33</v>
      </c>
      <c r="M211" s="265" t="s">
        <v>945</v>
      </c>
      <c r="N211" s="265">
        <f t="shared" si="12"/>
        <v>0.25</v>
      </c>
      <c r="O211" s="279">
        <f t="shared" si="13"/>
        <v>10.695</v>
      </c>
      <c r="P211" s="265" t="s">
        <v>1044</v>
      </c>
      <c r="Q211" s="265" t="s">
        <v>979</v>
      </c>
      <c r="R211" s="265" t="s">
        <v>337</v>
      </c>
    </row>
    <row r="212" spans="1:18">
      <c r="A212" s="265">
        <v>12</v>
      </c>
      <c r="B212" s="265" t="s">
        <v>309</v>
      </c>
      <c r="G212" s="265">
        <v>9</v>
      </c>
      <c r="H212" s="265">
        <v>23</v>
      </c>
      <c r="I212" s="265" t="s">
        <v>317</v>
      </c>
      <c r="J212" s="265" t="s">
        <v>26</v>
      </c>
      <c r="K212" s="265" t="s">
        <v>981</v>
      </c>
      <c r="L212" s="265" t="s">
        <v>33</v>
      </c>
      <c r="M212" s="265" t="s">
        <v>945</v>
      </c>
      <c r="N212" s="265">
        <f t="shared" si="12"/>
        <v>0.25</v>
      </c>
      <c r="O212" s="279">
        <f t="shared" si="13"/>
        <v>10.695</v>
      </c>
      <c r="P212" s="265" t="s">
        <v>1044</v>
      </c>
      <c r="Q212" s="265" t="s">
        <v>979</v>
      </c>
      <c r="R212" s="265" t="s">
        <v>337</v>
      </c>
    </row>
    <row r="213" spans="1:18">
      <c r="A213" s="265">
        <v>12</v>
      </c>
      <c r="B213" s="265" t="s">
        <v>309</v>
      </c>
      <c r="G213" s="265">
        <v>10</v>
      </c>
      <c r="H213" s="265">
        <v>23</v>
      </c>
      <c r="I213" s="265" t="s">
        <v>317</v>
      </c>
      <c r="J213" s="265" t="s">
        <v>26</v>
      </c>
      <c r="K213" s="265" t="s">
        <v>981</v>
      </c>
      <c r="L213" s="265" t="s">
        <v>33</v>
      </c>
      <c r="M213" s="265" t="s">
        <v>945</v>
      </c>
      <c r="N213" s="265">
        <f t="shared" si="12"/>
        <v>0.25</v>
      </c>
      <c r="O213" s="279">
        <f t="shared" si="13"/>
        <v>10.695</v>
      </c>
      <c r="P213" s="265" t="s">
        <v>1044</v>
      </c>
      <c r="Q213" s="265" t="s">
        <v>979</v>
      </c>
      <c r="R213" s="265" t="s">
        <v>337</v>
      </c>
    </row>
    <row r="214" spans="1:18">
      <c r="A214" s="265">
        <v>12</v>
      </c>
      <c r="B214" s="265" t="s">
        <v>309</v>
      </c>
      <c r="G214" s="265">
        <v>11</v>
      </c>
      <c r="H214" s="265">
        <v>23</v>
      </c>
      <c r="I214" s="265" t="s">
        <v>317</v>
      </c>
      <c r="J214" s="265" t="s">
        <v>26</v>
      </c>
      <c r="K214" s="265" t="s">
        <v>981</v>
      </c>
      <c r="L214" s="265" t="s">
        <v>33</v>
      </c>
      <c r="M214" s="265" t="s">
        <v>945</v>
      </c>
      <c r="N214" s="265">
        <f t="shared" si="12"/>
        <v>0.25</v>
      </c>
      <c r="O214" s="279">
        <f t="shared" si="13"/>
        <v>10.695</v>
      </c>
      <c r="P214" s="265" t="s">
        <v>1044</v>
      </c>
      <c r="Q214" s="265" t="s">
        <v>979</v>
      </c>
      <c r="R214" s="265" t="s">
        <v>337</v>
      </c>
    </row>
  </sheetData>
  <autoFilter ref="A1:R174"/>
  <hyperlinks>
    <hyperlink ref="R15" r:id="rId1"/>
    <hyperlink ref="Q55" r:id="rId2" display="PM0569.pdf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="80" zoomScaleNormal="80" workbookViewId="0">
      <pane ySplit="1" topLeftCell="A29" activePane="bottomLeft" state="frozen"/>
      <selection pane="bottomLeft" activeCell="H74" sqref="H74"/>
    </sheetView>
  </sheetViews>
  <sheetFormatPr defaultRowHeight="14.5"/>
  <cols>
    <col min="1" max="1" width="9.453125" bestFit="1" customWidth="1"/>
    <col min="2" max="2" width="33" bestFit="1" customWidth="1"/>
    <col min="3" max="3" width="3.1796875" customWidth="1"/>
    <col min="4" max="5" width="3.26953125" customWidth="1"/>
    <col min="6" max="6" width="3.1796875" customWidth="1"/>
    <col min="7" max="7" width="5.1796875" bestFit="1" customWidth="1"/>
    <col min="8" max="8" width="12.1796875" bestFit="1" customWidth="1"/>
    <col min="9" max="9" width="17.453125" bestFit="1" customWidth="1"/>
    <col min="10" max="10" width="16.1796875" bestFit="1" customWidth="1"/>
    <col min="11" max="11" width="17" bestFit="1" customWidth="1"/>
    <col min="12" max="12" width="14.26953125" bestFit="1" customWidth="1"/>
    <col min="13" max="13" width="55.26953125" bestFit="1" customWidth="1"/>
    <col min="14" max="14" width="12.81640625" bestFit="1" customWidth="1"/>
    <col min="15" max="15" width="8.81640625" bestFit="1" customWidth="1"/>
    <col min="16" max="16" width="104.81640625" bestFit="1" customWidth="1"/>
    <col min="17" max="17" width="11.1796875" bestFit="1" customWidth="1"/>
    <col min="18" max="18" width="6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13</v>
      </c>
      <c r="B2" t="s">
        <v>361</v>
      </c>
      <c r="G2">
        <v>1</v>
      </c>
      <c r="I2" t="s">
        <v>362</v>
      </c>
      <c r="J2" t="s">
        <v>61</v>
      </c>
      <c r="K2" t="s">
        <v>71</v>
      </c>
      <c r="L2" t="s">
        <v>33</v>
      </c>
      <c r="M2" t="s">
        <v>363</v>
      </c>
      <c r="O2" s="1">
        <v>133.26</v>
      </c>
      <c r="P2" t="s">
        <v>380</v>
      </c>
      <c r="R2" t="s">
        <v>1055</v>
      </c>
    </row>
    <row r="3" spans="1:18">
      <c r="A3">
        <v>13</v>
      </c>
      <c r="B3" t="s">
        <v>361</v>
      </c>
      <c r="G3">
        <v>1</v>
      </c>
      <c r="H3" s="263" t="s">
        <v>1014</v>
      </c>
      <c r="I3" t="s">
        <v>362</v>
      </c>
      <c r="J3" t="s">
        <v>61</v>
      </c>
      <c r="K3" s="289" t="s">
        <v>981</v>
      </c>
      <c r="L3" s="265" t="s">
        <v>33</v>
      </c>
      <c r="M3" s="265" t="s">
        <v>364</v>
      </c>
      <c r="N3" s="265"/>
      <c r="O3" s="1">
        <v>195</v>
      </c>
      <c r="P3" t="s">
        <v>381</v>
      </c>
      <c r="R3" t="s">
        <v>1056</v>
      </c>
    </row>
    <row r="4" spans="1:18">
      <c r="A4">
        <v>13</v>
      </c>
      <c r="B4" t="s">
        <v>361</v>
      </c>
      <c r="G4">
        <v>1</v>
      </c>
      <c r="I4" t="s">
        <v>362</v>
      </c>
      <c r="J4" t="s">
        <v>61</v>
      </c>
      <c r="K4" t="s">
        <v>408</v>
      </c>
      <c r="L4" t="s">
        <v>32</v>
      </c>
      <c r="M4" t="s">
        <v>365</v>
      </c>
      <c r="O4" s="1">
        <f>24.96-3.46</f>
        <v>21.5</v>
      </c>
      <c r="P4" t="s">
        <v>382</v>
      </c>
      <c r="R4" t="s">
        <v>1057</v>
      </c>
    </row>
    <row r="5" spans="1:18">
      <c r="A5">
        <v>13</v>
      </c>
      <c r="B5" t="s">
        <v>361</v>
      </c>
      <c r="G5">
        <v>1</v>
      </c>
      <c r="H5" s="265">
        <v>12</v>
      </c>
      <c r="I5" t="s">
        <v>362</v>
      </c>
      <c r="J5" t="s">
        <v>61</v>
      </c>
      <c r="K5" t="s">
        <v>30</v>
      </c>
      <c r="L5" t="s">
        <v>33</v>
      </c>
      <c r="M5" t="s">
        <v>366</v>
      </c>
      <c r="N5" s="265">
        <f>0.148/2</f>
        <v>7.3999999999999996E-2</v>
      </c>
      <c r="O5" s="1">
        <f>11.7*0.148*2/2</f>
        <v>1.7315999999999998</v>
      </c>
      <c r="P5" t="s">
        <v>1052</v>
      </c>
      <c r="R5" t="s">
        <v>1058</v>
      </c>
    </row>
    <row r="6" spans="1:18">
      <c r="A6">
        <v>13</v>
      </c>
      <c r="B6" t="s">
        <v>361</v>
      </c>
      <c r="G6">
        <v>1</v>
      </c>
      <c r="H6" s="265">
        <v>18</v>
      </c>
      <c r="I6" t="s">
        <v>362</v>
      </c>
      <c r="J6" t="s">
        <v>61</v>
      </c>
      <c r="K6" t="s">
        <v>30</v>
      </c>
      <c r="L6" t="s">
        <v>33</v>
      </c>
      <c r="M6" t="s">
        <v>366</v>
      </c>
      <c r="N6" s="265">
        <f>0.148/2</f>
        <v>7.3999999999999996E-2</v>
      </c>
      <c r="O6" s="1">
        <f>11.7*0.148*2/2</f>
        <v>1.7315999999999998</v>
      </c>
      <c r="P6" t="s">
        <v>1051</v>
      </c>
      <c r="R6" t="s">
        <v>1059</v>
      </c>
    </row>
    <row r="7" spans="1:18">
      <c r="A7">
        <v>13</v>
      </c>
      <c r="B7" t="s">
        <v>361</v>
      </c>
      <c r="G7">
        <v>1</v>
      </c>
      <c r="H7" s="265"/>
      <c r="I7" t="s">
        <v>21</v>
      </c>
      <c r="J7" t="s">
        <v>22</v>
      </c>
      <c r="K7" t="s">
        <v>71</v>
      </c>
      <c r="L7" t="s">
        <v>33</v>
      </c>
      <c r="M7" t="s">
        <v>318</v>
      </c>
      <c r="N7" s="265"/>
      <c r="O7" s="1">
        <v>19.399999999999999</v>
      </c>
      <c r="P7" t="s">
        <v>383</v>
      </c>
      <c r="R7" t="s">
        <v>1060</v>
      </c>
    </row>
    <row r="8" spans="1:18">
      <c r="A8">
        <v>13</v>
      </c>
      <c r="B8" t="s">
        <v>361</v>
      </c>
      <c r="G8">
        <v>2</v>
      </c>
      <c r="H8" s="265"/>
      <c r="I8" t="s">
        <v>21</v>
      </c>
      <c r="J8" t="s">
        <v>22</v>
      </c>
      <c r="K8" t="s">
        <v>71</v>
      </c>
      <c r="L8" t="s">
        <v>33</v>
      </c>
      <c r="M8" t="s">
        <v>318</v>
      </c>
      <c r="N8" s="265"/>
      <c r="O8" s="1">
        <v>19.399999999999999</v>
      </c>
      <c r="P8" t="s">
        <v>383</v>
      </c>
      <c r="R8" t="s">
        <v>1061</v>
      </c>
    </row>
    <row r="9" spans="1:18">
      <c r="A9">
        <v>13</v>
      </c>
      <c r="B9" t="s">
        <v>361</v>
      </c>
      <c r="G9">
        <v>3</v>
      </c>
      <c r="H9" s="265"/>
      <c r="I9" t="s">
        <v>21</v>
      </c>
      <c r="J9" t="s">
        <v>22</v>
      </c>
      <c r="K9" t="s">
        <v>71</v>
      </c>
      <c r="L9" t="s">
        <v>33</v>
      </c>
      <c r="M9" t="s">
        <v>318</v>
      </c>
      <c r="N9" s="265"/>
      <c r="O9" s="1">
        <v>19.399999999999999</v>
      </c>
      <c r="P9" t="s">
        <v>383</v>
      </c>
      <c r="R9" t="s">
        <v>1062</v>
      </c>
    </row>
    <row r="10" spans="1:18">
      <c r="A10">
        <v>13</v>
      </c>
      <c r="B10" t="s">
        <v>361</v>
      </c>
      <c r="G10">
        <v>4</v>
      </c>
      <c r="H10" s="265"/>
      <c r="I10" t="s">
        <v>21</v>
      </c>
      <c r="J10" t="s">
        <v>22</v>
      </c>
      <c r="K10" t="s">
        <v>71</v>
      </c>
      <c r="L10" t="s">
        <v>33</v>
      </c>
      <c r="M10" t="s">
        <v>318</v>
      </c>
      <c r="N10" s="265"/>
      <c r="O10" s="1">
        <v>19.399999999999999</v>
      </c>
      <c r="P10" t="s">
        <v>383</v>
      </c>
      <c r="R10" t="s">
        <v>1063</v>
      </c>
    </row>
    <row r="11" spans="1:18">
      <c r="A11">
        <v>13</v>
      </c>
      <c r="B11" t="s">
        <v>361</v>
      </c>
      <c r="G11">
        <v>5</v>
      </c>
      <c r="H11" s="265"/>
      <c r="I11" t="s">
        <v>21</v>
      </c>
      <c r="J11" t="s">
        <v>22</v>
      </c>
      <c r="K11" t="s">
        <v>71</v>
      </c>
      <c r="L11" t="s">
        <v>33</v>
      </c>
      <c r="M11" t="s">
        <v>318</v>
      </c>
      <c r="N11" s="265"/>
      <c r="O11" s="1">
        <v>19.399999999999999</v>
      </c>
      <c r="P11" t="s">
        <v>383</v>
      </c>
      <c r="R11" t="s">
        <v>1064</v>
      </c>
    </row>
    <row r="12" spans="1:18">
      <c r="A12">
        <v>13</v>
      </c>
      <c r="B12" t="s">
        <v>361</v>
      </c>
      <c r="G12">
        <v>6</v>
      </c>
      <c r="H12" s="265"/>
      <c r="I12" t="s">
        <v>21</v>
      </c>
      <c r="J12" t="s">
        <v>22</v>
      </c>
      <c r="K12" t="s">
        <v>71</v>
      </c>
      <c r="L12" t="s">
        <v>33</v>
      </c>
      <c r="M12" t="s">
        <v>318</v>
      </c>
      <c r="N12" s="265"/>
      <c r="O12" s="1">
        <v>19.399999999999999</v>
      </c>
      <c r="P12" t="s">
        <v>383</v>
      </c>
      <c r="R12" t="s">
        <v>1065</v>
      </c>
    </row>
    <row r="13" spans="1:18">
      <c r="A13">
        <v>13</v>
      </c>
      <c r="B13" t="s">
        <v>361</v>
      </c>
      <c r="G13">
        <v>7</v>
      </c>
      <c r="H13" s="265"/>
      <c r="I13" t="s">
        <v>21</v>
      </c>
      <c r="J13" t="s">
        <v>22</v>
      </c>
      <c r="K13" t="s">
        <v>71</v>
      </c>
      <c r="L13" t="s">
        <v>33</v>
      </c>
      <c r="M13" t="s">
        <v>318</v>
      </c>
      <c r="N13" s="265"/>
      <c r="O13" s="1">
        <v>19.399999999999999</v>
      </c>
      <c r="P13" t="s">
        <v>383</v>
      </c>
      <c r="R13" t="s">
        <v>1066</v>
      </c>
    </row>
    <row r="14" spans="1:18">
      <c r="A14">
        <v>13</v>
      </c>
      <c r="B14" t="s">
        <v>361</v>
      </c>
      <c r="G14">
        <v>1</v>
      </c>
      <c r="H14" s="265"/>
      <c r="I14" t="s">
        <v>21</v>
      </c>
      <c r="J14" t="s">
        <v>22</v>
      </c>
      <c r="K14" t="s">
        <v>408</v>
      </c>
      <c r="L14" t="s">
        <v>33</v>
      </c>
      <c r="M14" t="s">
        <v>367</v>
      </c>
      <c r="N14" s="265"/>
      <c r="O14" s="1">
        <v>3.5</v>
      </c>
      <c r="P14" t="s">
        <v>982</v>
      </c>
      <c r="R14" t="s">
        <v>1067</v>
      </c>
    </row>
    <row r="15" spans="1:18">
      <c r="A15">
        <v>13</v>
      </c>
      <c r="B15" t="s">
        <v>361</v>
      </c>
      <c r="G15">
        <v>2</v>
      </c>
      <c r="H15" s="265"/>
      <c r="I15" t="s">
        <v>21</v>
      </c>
      <c r="J15" t="s">
        <v>22</v>
      </c>
      <c r="K15" t="s">
        <v>408</v>
      </c>
      <c r="L15" t="s">
        <v>33</v>
      </c>
      <c r="M15" t="s">
        <v>367</v>
      </c>
      <c r="N15" s="265"/>
      <c r="O15" s="1">
        <v>3.5</v>
      </c>
      <c r="P15" t="s">
        <v>982</v>
      </c>
      <c r="R15" t="s">
        <v>1068</v>
      </c>
    </row>
    <row r="16" spans="1:18">
      <c r="A16">
        <v>13</v>
      </c>
      <c r="B16" t="s">
        <v>361</v>
      </c>
      <c r="G16">
        <v>3</v>
      </c>
      <c r="H16" s="265"/>
      <c r="I16" t="s">
        <v>21</v>
      </c>
      <c r="J16" t="s">
        <v>22</v>
      </c>
      <c r="K16" t="s">
        <v>408</v>
      </c>
      <c r="L16" t="s">
        <v>33</v>
      </c>
      <c r="M16" t="s">
        <v>367</v>
      </c>
      <c r="N16" s="265"/>
      <c r="O16" s="1">
        <v>3.5</v>
      </c>
      <c r="P16" t="s">
        <v>982</v>
      </c>
      <c r="R16" t="s">
        <v>1069</v>
      </c>
    </row>
    <row r="17" spans="1:18">
      <c r="A17">
        <v>13</v>
      </c>
      <c r="B17" t="s">
        <v>361</v>
      </c>
      <c r="G17">
        <v>4</v>
      </c>
      <c r="H17" s="265"/>
      <c r="I17" t="s">
        <v>21</v>
      </c>
      <c r="J17" t="s">
        <v>22</v>
      </c>
      <c r="K17" t="s">
        <v>408</v>
      </c>
      <c r="L17" t="s">
        <v>33</v>
      </c>
      <c r="M17" t="s">
        <v>367</v>
      </c>
      <c r="N17" s="265"/>
      <c r="O17" s="1">
        <v>3.5</v>
      </c>
      <c r="P17" t="s">
        <v>982</v>
      </c>
      <c r="R17" t="s">
        <v>1070</v>
      </c>
    </row>
    <row r="18" spans="1:18">
      <c r="A18">
        <v>13</v>
      </c>
      <c r="B18" t="s">
        <v>361</v>
      </c>
      <c r="G18">
        <v>5</v>
      </c>
      <c r="H18" s="265"/>
      <c r="I18" t="s">
        <v>21</v>
      </c>
      <c r="J18" t="s">
        <v>22</v>
      </c>
      <c r="K18" t="s">
        <v>408</v>
      </c>
      <c r="L18" t="s">
        <v>33</v>
      </c>
      <c r="M18" t="s">
        <v>367</v>
      </c>
      <c r="N18" s="265"/>
      <c r="O18" s="1">
        <v>3.5</v>
      </c>
      <c r="P18" t="s">
        <v>982</v>
      </c>
      <c r="R18" t="s">
        <v>1071</v>
      </c>
    </row>
    <row r="19" spans="1:18">
      <c r="A19">
        <v>13</v>
      </c>
      <c r="B19" t="s">
        <v>361</v>
      </c>
      <c r="G19">
        <v>6</v>
      </c>
      <c r="H19" s="265"/>
      <c r="I19" t="s">
        <v>21</v>
      </c>
      <c r="J19" t="s">
        <v>22</v>
      </c>
      <c r="K19" t="s">
        <v>408</v>
      </c>
      <c r="L19" t="s">
        <v>33</v>
      </c>
      <c r="M19" t="s">
        <v>367</v>
      </c>
      <c r="N19" s="265"/>
      <c r="O19" s="1">
        <v>3.5</v>
      </c>
      <c r="P19" t="s">
        <v>982</v>
      </c>
      <c r="R19" t="s">
        <v>1072</v>
      </c>
    </row>
    <row r="20" spans="1:18">
      <c r="A20">
        <v>13</v>
      </c>
      <c r="B20" t="s">
        <v>361</v>
      </c>
      <c r="G20">
        <v>7</v>
      </c>
      <c r="H20" s="265"/>
      <c r="I20" t="s">
        <v>21</v>
      </c>
      <c r="J20" t="s">
        <v>22</v>
      </c>
      <c r="K20" t="s">
        <v>408</v>
      </c>
      <c r="L20" t="s">
        <v>33</v>
      </c>
      <c r="M20" t="s">
        <v>367</v>
      </c>
      <c r="N20" s="265"/>
      <c r="O20" s="1">
        <v>3.5</v>
      </c>
      <c r="P20" t="s">
        <v>982</v>
      </c>
      <c r="R20" t="s">
        <v>1073</v>
      </c>
    </row>
    <row r="21" spans="1:18">
      <c r="A21">
        <v>13</v>
      </c>
      <c r="B21" t="s">
        <v>361</v>
      </c>
      <c r="G21">
        <v>1</v>
      </c>
      <c r="H21" s="265">
        <v>9</v>
      </c>
      <c r="I21" t="s">
        <v>21</v>
      </c>
      <c r="J21" t="s">
        <v>22</v>
      </c>
      <c r="K21" t="s">
        <v>30</v>
      </c>
      <c r="L21" t="s">
        <v>33</v>
      </c>
      <c r="M21" t="s">
        <v>368</v>
      </c>
      <c r="N21" s="265">
        <f>0.151*3.5/8.65</f>
        <v>6.1098265895953754E-2</v>
      </c>
      <c r="O21" s="279">
        <f>0.0611*11.7</f>
        <v>0.71487000000000001</v>
      </c>
      <c r="P21" t="s">
        <v>982</v>
      </c>
      <c r="R21" t="s">
        <v>1074</v>
      </c>
    </row>
    <row r="22" spans="1:18">
      <c r="A22">
        <v>13</v>
      </c>
      <c r="B22" t="s">
        <v>361</v>
      </c>
      <c r="G22">
        <v>2</v>
      </c>
      <c r="H22" s="265">
        <v>9</v>
      </c>
      <c r="I22" t="s">
        <v>21</v>
      </c>
      <c r="J22" t="s">
        <v>22</v>
      </c>
      <c r="K22" t="s">
        <v>30</v>
      </c>
      <c r="L22" t="s">
        <v>33</v>
      </c>
      <c r="M22" t="s">
        <v>368</v>
      </c>
      <c r="N22" s="265">
        <f t="shared" ref="N22:N27" si="0">0.151*3.5/8.65</f>
        <v>6.1098265895953754E-2</v>
      </c>
      <c r="O22" s="1">
        <f t="shared" ref="O22:O27" si="1">0.0611*11.7</f>
        <v>0.71487000000000001</v>
      </c>
      <c r="P22" t="s">
        <v>982</v>
      </c>
      <c r="R22" t="s">
        <v>1075</v>
      </c>
    </row>
    <row r="23" spans="1:18">
      <c r="A23">
        <v>13</v>
      </c>
      <c r="B23" t="s">
        <v>361</v>
      </c>
      <c r="G23">
        <v>3</v>
      </c>
      <c r="H23" s="265">
        <v>9</v>
      </c>
      <c r="I23" t="s">
        <v>21</v>
      </c>
      <c r="J23" t="s">
        <v>22</v>
      </c>
      <c r="K23" t="s">
        <v>30</v>
      </c>
      <c r="L23" t="s">
        <v>33</v>
      </c>
      <c r="M23" t="s">
        <v>368</v>
      </c>
      <c r="N23" s="265">
        <f t="shared" si="0"/>
        <v>6.1098265895953754E-2</v>
      </c>
      <c r="O23" s="1">
        <f t="shared" si="1"/>
        <v>0.71487000000000001</v>
      </c>
      <c r="P23" t="s">
        <v>982</v>
      </c>
      <c r="R23" t="s">
        <v>1076</v>
      </c>
    </row>
    <row r="24" spans="1:18">
      <c r="A24">
        <v>13</v>
      </c>
      <c r="B24" t="s">
        <v>361</v>
      </c>
      <c r="G24">
        <v>4</v>
      </c>
      <c r="H24" s="265">
        <v>9</v>
      </c>
      <c r="I24" t="s">
        <v>21</v>
      </c>
      <c r="J24" t="s">
        <v>22</v>
      </c>
      <c r="K24" t="s">
        <v>30</v>
      </c>
      <c r="L24" t="s">
        <v>33</v>
      </c>
      <c r="M24" t="s">
        <v>368</v>
      </c>
      <c r="N24" s="265">
        <f t="shared" si="0"/>
        <v>6.1098265895953754E-2</v>
      </c>
      <c r="O24" s="1">
        <f t="shared" si="1"/>
        <v>0.71487000000000001</v>
      </c>
      <c r="P24" t="s">
        <v>982</v>
      </c>
      <c r="R24" t="s">
        <v>1077</v>
      </c>
    </row>
    <row r="25" spans="1:18">
      <c r="A25">
        <v>13</v>
      </c>
      <c r="B25" t="s">
        <v>361</v>
      </c>
      <c r="G25">
        <v>5</v>
      </c>
      <c r="H25" s="265">
        <v>9</v>
      </c>
      <c r="I25" t="s">
        <v>21</v>
      </c>
      <c r="J25" t="s">
        <v>22</v>
      </c>
      <c r="K25" t="s">
        <v>30</v>
      </c>
      <c r="L25" t="s">
        <v>33</v>
      </c>
      <c r="M25" t="s">
        <v>368</v>
      </c>
      <c r="N25" s="265">
        <f t="shared" si="0"/>
        <v>6.1098265895953754E-2</v>
      </c>
      <c r="O25" s="1">
        <f t="shared" si="1"/>
        <v>0.71487000000000001</v>
      </c>
      <c r="P25" t="s">
        <v>982</v>
      </c>
      <c r="R25" t="s">
        <v>1078</v>
      </c>
    </row>
    <row r="26" spans="1:18">
      <c r="A26">
        <v>13</v>
      </c>
      <c r="B26" t="s">
        <v>361</v>
      </c>
      <c r="G26">
        <v>6</v>
      </c>
      <c r="H26" s="265">
        <v>9</v>
      </c>
      <c r="I26" t="s">
        <v>21</v>
      </c>
      <c r="J26" t="s">
        <v>22</v>
      </c>
      <c r="K26" t="s">
        <v>30</v>
      </c>
      <c r="L26" t="s">
        <v>33</v>
      </c>
      <c r="M26" t="s">
        <v>368</v>
      </c>
      <c r="N26" s="265">
        <f t="shared" si="0"/>
        <v>6.1098265895953754E-2</v>
      </c>
      <c r="O26" s="1">
        <f t="shared" si="1"/>
        <v>0.71487000000000001</v>
      </c>
      <c r="P26" t="s">
        <v>982</v>
      </c>
      <c r="R26" t="s">
        <v>1079</v>
      </c>
    </row>
    <row r="27" spans="1:18">
      <c r="A27">
        <v>13</v>
      </c>
      <c r="B27" t="s">
        <v>361</v>
      </c>
      <c r="G27">
        <v>7</v>
      </c>
      <c r="H27" s="265">
        <v>9</v>
      </c>
      <c r="I27" t="s">
        <v>21</v>
      </c>
      <c r="J27" t="s">
        <v>22</v>
      </c>
      <c r="K27" t="s">
        <v>30</v>
      </c>
      <c r="L27" t="s">
        <v>33</v>
      </c>
      <c r="M27" t="s">
        <v>368</v>
      </c>
      <c r="N27" s="265">
        <f t="shared" si="0"/>
        <v>6.1098265895953754E-2</v>
      </c>
      <c r="O27" s="1">
        <f t="shared" si="1"/>
        <v>0.71487000000000001</v>
      </c>
      <c r="P27" t="s">
        <v>982</v>
      </c>
      <c r="R27" t="s">
        <v>1080</v>
      </c>
    </row>
    <row r="28" spans="1:18">
      <c r="A28">
        <v>13</v>
      </c>
      <c r="B28" t="s">
        <v>361</v>
      </c>
      <c r="G28">
        <v>1</v>
      </c>
      <c r="H28" s="265"/>
      <c r="I28" t="s">
        <v>21</v>
      </c>
      <c r="J28" t="s">
        <v>25</v>
      </c>
      <c r="K28" t="s">
        <v>26</v>
      </c>
      <c r="L28" t="s">
        <v>32</v>
      </c>
      <c r="M28" t="s">
        <v>369</v>
      </c>
      <c r="N28" s="265"/>
      <c r="O28" s="1">
        <v>230</v>
      </c>
      <c r="P28" t="s">
        <v>895</v>
      </c>
      <c r="R28" t="s">
        <v>1081</v>
      </c>
    </row>
    <row r="29" spans="1:18">
      <c r="A29">
        <v>13</v>
      </c>
      <c r="B29" t="s">
        <v>361</v>
      </c>
      <c r="G29">
        <v>2</v>
      </c>
      <c r="H29" s="265"/>
      <c r="I29" t="s">
        <v>21</v>
      </c>
      <c r="J29" t="s">
        <v>25</v>
      </c>
      <c r="K29" t="s">
        <v>26</v>
      </c>
      <c r="L29" t="s">
        <v>32</v>
      </c>
      <c r="M29" t="s">
        <v>369</v>
      </c>
      <c r="N29" s="265"/>
      <c r="O29" s="1">
        <v>230</v>
      </c>
      <c r="P29" t="s">
        <v>385</v>
      </c>
      <c r="R29" t="s">
        <v>1082</v>
      </c>
    </row>
    <row r="30" spans="1:18">
      <c r="A30">
        <v>13</v>
      </c>
      <c r="B30" t="s">
        <v>361</v>
      </c>
      <c r="G30">
        <v>3</v>
      </c>
      <c r="H30" s="265"/>
      <c r="I30" t="s">
        <v>21</v>
      </c>
      <c r="J30" t="s">
        <v>25</v>
      </c>
      <c r="K30" t="s">
        <v>26</v>
      </c>
      <c r="L30" t="s">
        <v>32</v>
      </c>
      <c r="M30" t="s">
        <v>369</v>
      </c>
      <c r="N30" s="265"/>
      <c r="O30" s="1">
        <v>230</v>
      </c>
      <c r="P30" t="s">
        <v>385</v>
      </c>
      <c r="R30" t="s">
        <v>1083</v>
      </c>
    </row>
    <row r="31" spans="1:18">
      <c r="A31">
        <v>13</v>
      </c>
      <c r="B31" t="s">
        <v>361</v>
      </c>
      <c r="G31">
        <v>4</v>
      </c>
      <c r="H31" s="265"/>
      <c r="I31" t="s">
        <v>21</v>
      </c>
      <c r="J31" t="s">
        <v>25</v>
      </c>
      <c r="K31" t="s">
        <v>26</v>
      </c>
      <c r="L31" t="s">
        <v>32</v>
      </c>
      <c r="M31" t="s">
        <v>369</v>
      </c>
      <c r="N31" s="265"/>
      <c r="O31" s="1">
        <v>230</v>
      </c>
      <c r="P31" t="s">
        <v>385</v>
      </c>
      <c r="R31" t="s">
        <v>1084</v>
      </c>
    </row>
    <row r="32" spans="1:18">
      <c r="A32">
        <v>13</v>
      </c>
      <c r="B32" t="s">
        <v>361</v>
      </c>
      <c r="G32">
        <v>5</v>
      </c>
      <c r="H32" s="265"/>
      <c r="I32" t="s">
        <v>21</v>
      </c>
      <c r="J32" t="s">
        <v>25</v>
      </c>
      <c r="K32" t="s">
        <v>26</v>
      </c>
      <c r="L32" t="s">
        <v>32</v>
      </c>
      <c r="M32" t="s">
        <v>369</v>
      </c>
      <c r="N32" s="265"/>
      <c r="O32" s="1">
        <v>230</v>
      </c>
      <c r="P32" t="s">
        <v>385</v>
      </c>
      <c r="R32" t="s">
        <v>1085</v>
      </c>
    </row>
    <row r="33" spans="1:18">
      <c r="A33">
        <v>13</v>
      </c>
      <c r="B33" t="s">
        <v>361</v>
      </c>
      <c r="G33">
        <v>6</v>
      </c>
      <c r="H33" s="265"/>
      <c r="I33" t="s">
        <v>21</v>
      </c>
      <c r="J33" t="s">
        <v>25</v>
      </c>
      <c r="K33" t="s">
        <v>26</v>
      </c>
      <c r="L33" t="s">
        <v>32</v>
      </c>
      <c r="M33" t="s">
        <v>369</v>
      </c>
      <c r="N33" s="265"/>
      <c r="O33" s="1">
        <v>230</v>
      </c>
      <c r="P33" t="s">
        <v>385</v>
      </c>
      <c r="R33" t="s">
        <v>1086</v>
      </c>
    </row>
    <row r="34" spans="1:18">
      <c r="A34">
        <v>13</v>
      </c>
      <c r="B34" t="s">
        <v>361</v>
      </c>
      <c r="G34">
        <v>7</v>
      </c>
      <c r="H34" s="265"/>
      <c r="I34" t="s">
        <v>21</v>
      </c>
      <c r="J34" t="s">
        <v>25</v>
      </c>
      <c r="K34" t="s">
        <v>26</v>
      </c>
      <c r="L34" t="s">
        <v>32</v>
      </c>
      <c r="M34" t="s">
        <v>369</v>
      </c>
      <c r="N34" s="265"/>
      <c r="O34" s="1">
        <v>230</v>
      </c>
      <c r="P34" t="s">
        <v>385</v>
      </c>
      <c r="R34" t="s">
        <v>1087</v>
      </c>
    </row>
    <row r="35" spans="1:18">
      <c r="A35">
        <v>13</v>
      </c>
      <c r="B35" t="s">
        <v>361</v>
      </c>
      <c r="G35">
        <v>2</v>
      </c>
      <c r="H35" s="265"/>
      <c r="I35" t="s">
        <v>370</v>
      </c>
      <c r="J35" t="s">
        <v>22</v>
      </c>
      <c r="K35" t="s">
        <v>71</v>
      </c>
      <c r="L35" t="s">
        <v>33</v>
      </c>
      <c r="M35" t="s">
        <v>371</v>
      </c>
      <c r="N35" s="265"/>
      <c r="O35" s="1">
        <v>31.5</v>
      </c>
      <c r="P35" t="s">
        <v>386</v>
      </c>
      <c r="R35" t="s">
        <v>1088</v>
      </c>
    </row>
    <row r="36" spans="1:18">
      <c r="A36">
        <v>13</v>
      </c>
      <c r="B36" t="s">
        <v>361</v>
      </c>
      <c r="G36">
        <v>3</v>
      </c>
      <c r="H36" s="265"/>
      <c r="I36" t="s">
        <v>370</v>
      </c>
      <c r="J36" t="s">
        <v>22</v>
      </c>
      <c r="K36" t="s">
        <v>71</v>
      </c>
      <c r="L36" t="s">
        <v>33</v>
      </c>
      <c r="M36" t="s">
        <v>371</v>
      </c>
      <c r="N36" s="265"/>
      <c r="O36" s="1">
        <v>31.5</v>
      </c>
      <c r="P36" t="s">
        <v>386</v>
      </c>
      <c r="R36" t="s">
        <v>1089</v>
      </c>
    </row>
    <row r="37" spans="1:18">
      <c r="A37">
        <v>13</v>
      </c>
      <c r="B37" t="s">
        <v>361</v>
      </c>
      <c r="G37">
        <v>4</v>
      </c>
      <c r="H37" s="265"/>
      <c r="I37" t="s">
        <v>370</v>
      </c>
      <c r="J37" t="s">
        <v>22</v>
      </c>
      <c r="K37" t="s">
        <v>71</v>
      </c>
      <c r="L37" t="s">
        <v>33</v>
      </c>
      <c r="M37" t="s">
        <v>371</v>
      </c>
      <c r="N37" s="265"/>
      <c r="O37" s="1">
        <v>31.5</v>
      </c>
      <c r="P37" t="s">
        <v>386</v>
      </c>
      <c r="R37" t="s">
        <v>1090</v>
      </c>
    </row>
    <row r="38" spans="1:18">
      <c r="A38">
        <v>13</v>
      </c>
      <c r="B38" t="s">
        <v>361</v>
      </c>
      <c r="G38">
        <v>5</v>
      </c>
      <c r="H38" s="265"/>
      <c r="I38" t="s">
        <v>370</v>
      </c>
      <c r="J38" t="s">
        <v>22</v>
      </c>
      <c r="K38" t="s">
        <v>71</v>
      </c>
      <c r="L38" t="s">
        <v>33</v>
      </c>
      <c r="M38" t="s">
        <v>371</v>
      </c>
      <c r="N38" s="265"/>
      <c r="O38" s="1">
        <v>31.5</v>
      </c>
      <c r="P38" t="s">
        <v>386</v>
      </c>
      <c r="R38" t="s">
        <v>1091</v>
      </c>
    </row>
    <row r="39" spans="1:18">
      <c r="A39">
        <v>13</v>
      </c>
      <c r="B39" t="s">
        <v>361</v>
      </c>
      <c r="G39">
        <v>6</v>
      </c>
      <c r="H39" s="265"/>
      <c r="I39" t="s">
        <v>370</v>
      </c>
      <c r="J39" t="s">
        <v>22</v>
      </c>
      <c r="K39" t="s">
        <v>71</v>
      </c>
      <c r="L39" t="s">
        <v>33</v>
      </c>
      <c r="M39" t="s">
        <v>371</v>
      </c>
      <c r="N39" s="265"/>
      <c r="O39" s="1">
        <v>31.5</v>
      </c>
      <c r="P39" t="s">
        <v>386</v>
      </c>
      <c r="R39" t="s">
        <v>1092</v>
      </c>
    </row>
    <row r="40" spans="1:18">
      <c r="A40">
        <v>13</v>
      </c>
      <c r="B40" t="s">
        <v>361</v>
      </c>
      <c r="G40">
        <v>7</v>
      </c>
      <c r="H40" s="265"/>
      <c r="I40" t="s">
        <v>370</v>
      </c>
      <c r="J40" t="s">
        <v>22</v>
      </c>
      <c r="K40" t="s">
        <v>71</v>
      </c>
      <c r="L40" t="s">
        <v>33</v>
      </c>
      <c r="M40" t="s">
        <v>371</v>
      </c>
      <c r="N40" s="265"/>
      <c r="O40" s="1">
        <v>31.5</v>
      </c>
      <c r="P40" t="s">
        <v>386</v>
      </c>
      <c r="R40" t="s">
        <v>1093</v>
      </c>
    </row>
    <row r="41" spans="1:18">
      <c r="A41">
        <v>13</v>
      </c>
      <c r="B41" t="s">
        <v>361</v>
      </c>
      <c r="G41">
        <v>2</v>
      </c>
      <c r="H41" s="265"/>
      <c r="I41" t="s">
        <v>370</v>
      </c>
      <c r="J41" t="s">
        <v>22</v>
      </c>
      <c r="K41" t="s">
        <v>71</v>
      </c>
      <c r="L41" t="s">
        <v>33</v>
      </c>
      <c r="M41" t="s">
        <v>372</v>
      </c>
      <c r="N41" s="265"/>
      <c r="O41" s="1">
        <v>54.84</v>
      </c>
      <c r="P41" t="s">
        <v>387</v>
      </c>
      <c r="R41" t="s">
        <v>1094</v>
      </c>
    </row>
    <row r="42" spans="1:18">
      <c r="A42">
        <v>13</v>
      </c>
      <c r="B42" t="s">
        <v>361</v>
      </c>
      <c r="G42">
        <v>3</v>
      </c>
      <c r="H42" s="265"/>
      <c r="I42" t="s">
        <v>370</v>
      </c>
      <c r="J42" t="s">
        <v>22</v>
      </c>
      <c r="K42" t="s">
        <v>71</v>
      </c>
      <c r="L42" t="s">
        <v>33</v>
      </c>
      <c r="M42" t="s">
        <v>372</v>
      </c>
      <c r="N42" s="265"/>
      <c r="O42" s="1">
        <v>54.84</v>
      </c>
      <c r="P42" t="s">
        <v>387</v>
      </c>
      <c r="R42" t="s">
        <v>1095</v>
      </c>
    </row>
    <row r="43" spans="1:18">
      <c r="A43">
        <v>13</v>
      </c>
      <c r="B43" t="s">
        <v>361</v>
      </c>
      <c r="G43">
        <v>4</v>
      </c>
      <c r="H43" s="265"/>
      <c r="I43" t="s">
        <v>370</v>
      </c>
      <c r="J43" t="s">
        <v>22</v>
      </c>
      <c r="K43" t="s">
        <v>71</v>
      </c>
      <c r="L43" t="s">
        <v>33</v>
      </c>
      <c r="M43" t="s">
        <v>372</v>
      </c>
      <c r="N43" s="265"/>
      <c r="O43" s="1">
        <v>54.84</v>
      </c>
      <c r="P43" t="s">
        <v>387</v>
      </c>
      <c r="R43" t="s">
        <v>1096</v>
      </c>
    </row>
    <row r="44" spans="1:18">
      <c r="A44">
        <v>13</v>
      </c>
      <c r="B44" t="s">
        <v>361</v>
      </c>
      <c r="G44">
        <v>5</v>
      </c>
      <c r="H44" s="265"/>
      <c r="I44" t="s">
        <v>370</v>
      </c>
      <c r="J44" t="s">
        <v>22</v>
      </c>
      <c r="K44" t="s">
        <v>71</v>
      </c>
      <c r="L44" t="s">
        <v>33</v>
      </c>
      <c r="M44" t="s">
        <v>372</v>
      </c>
      <c r="N44" s="265"/>
      <c r="O44" s="1">
        <v>54.84</v>
      </c>
      <c r="P44" t="s">
        <v>387</v>
      </c>
      <c r="R44" t="s">
        <v>1097</v>
      </c>
    </row>
    <row r="45" spans="1:18">
      <c r="A45">
        <v>13</v>
      </c>
      <c r="B45" t="s">
        <v>361</v>
      </c>
      <c r="G45">
        <v>6</v>
      </c>
      <c r="H45" s="265"/>
      <c r="I45" t="s">
        <v>370</v>
      </c>
      <c r="J45" t="s">
        <v>22</v>
      </c>
      <c r="K45" t="s">
        <v>71</v>
      </c>
      <c r="L45" t="s">
        <v>33</v>
      </c>
      <c r="M45" t="s">
        <v>372</v>
      </c>
      <c r="N45" s="265"/>
      <c r="O45" s="1">
        <v>54.84</v>
      </c>
      <c r="P45" t="s">
        <v>387</v>
      </c>
      <c r="R45" t="s">
        <v>1098</v>
      </c>
    </row>
    <row r="46" spans="1:18">
      <c r="A46">
        <v>13</v>
      </c>
      <c r="B46" t="s">
        <v>361</v>
      </c>
      <c r="G46">
        <v>7</v>
      </c>
      <c r="H46" s="265"/>
      <c r="I46" t="s">
        <v>370</v>
      </c>
      <c r="J46" t="s">
        <v>22</v>
      </c>
      <c r="K46" t="s">
        <v>71</v>
      </c>
      <c r="L46" t="s">
        <v>33</v>
      </c>
      <c r="M46" t="s">
        <v>372</v>
      </c>
      <c r="N46" s="265"/>
      <c r="O46" s="1">
        <v>54.84</v>
      </c>
      <c r="P46" t="s">
        <v>387</v>
      </c>
      <c r="R46" t="s">
        <v>1099</v>
      </c>
    </row>
    <row r="47" spans="1:18">
      <c r="A47">
        <v>13</v>
      </c>
      <c r="B47" t="s">
        <v>361</v>
      </c>
      <c r="G47">
        <v>2</v>
      </c>
      <c r="H47" s="265"/>
      <c r="I47" t="s">
        <v>370</v>
      </c>
      <c r="J47" t="s">
        <v>22</v>
      </c>
      <c r="K47" t="s">
        <v>408</v>
      </c>
      <c r="L47" t="s">
        <v>33</v>
      </c>
      <c r="M47" t="s">
        <v>373</v>
      </c>
      <c r="N47" s="265"/>
      <c r="O47" s="1">
        <v>3.5</v>
      </c>
      <c r="P47" t="s">
        <v>384</v>
      </c>
      <c r="R47" t="s">
        <v>1100</v>
      </c>
    </row>
    <row r="48" spans="1:18">
      <c r="A48">
        <v>13</v>
      </c>
      <c r="B48" t="s">
        <v>361</v>
      </c>
      <c r="G48">
        <v>3</v>
      </c>
      <c r="H48" s="265"/>
      <c r="I48" t="s">
        <v>370</v>
      </c>
      <c r="J48" t="s">
        <v>22</v>
      </c>
      <c r="K48" t="s">
        <v>408</v>
      </c>
      <c r="L48" t="s">
        <v>33</v>
      </c>
      <c r="M48" t="s">
        <v>373</v>
      </c>
      <c r="N48" s="265"/>
      <c r="O48" s="1">
        <v>3.5</v>
      </c>
      <c r="P48" t="s">
        <v>384</v>
      </c>
      <c r="R48" t="s">
        <v>1101</v>
      </c>
    </row>
    <row r="49" spans="1:18">
      <c r="A49">
        <v>13</v>
      </c>
      <c r="B49" t="s">
        <v>361</v>
      </c>
      <c r="G49">
        <v>4</v>
      </c>
      <c r="H49" s="265"/>
      <c r="I49" t="s">
        <v>370</v>
      </c>
      <c r="J49" t="s">
        <v>22</v>
      </c>
      <c r="K49" t="s">
        <v>408</v>
      </c>
      <c r="L49" t="s">
        <v>33</v>
      </c>
      <c r="M49" t="s">
        <v>373</v>
      </c>
      <c r="N49" s="265"/>
      <c r="O49" s="1">
        <v>3.5</v>
      </c>
      <c r="P49" t="s">
        <v>384</v>
      </c>
      <c r="R49" t="s">
        <v>1102</v>
      </c>
    </row>
    <row r="50" spans="1:18">
      <c r="A50">
        <v>13</v>
      </c>
      <c r="B50" t="s">
        <v>361</v>
      </c>
      <c r="G50">
        <v>5</v>
      </c>
      <c r="H50" s="265"/>
      <c r="I50" t="s">
        <v>370</v>
      </c>
      <c r="J50" t="s">
        <v>22</v>
      </c>
      <c r="K50" t="s">
        <v>408</v>
      </c>
      <c r="L50" t="s">
        <v>33</v>
      </c>
      <c r="M50" t="s">
        <v>373</v>
      </c>
      <c r="N50" s="265"/>
      <c r="O50" s="1">
        <v>3.5</v>
      </c>
      <c r="P50" t="s">
        <v>384</v>
      </c>
      <c r="R50" t="s">
        <v>1103</v>
      </c>
    </row>
    <row r="51" spans="1:18">
      <c r="A51">
        <v>13</v>
      </c>
      <c r="B51" t="s">
        <v>361</v>
      </c>
      <c r="G51">
        <v>6</v>
      </c>
      <c r="H51" s="265"/>
      <c r="I51" t="s">
        <v>370</v>
      </c>
      <c r="J51" t="s">
        <v>22</v>
      </c>
      <c r="K51" t="s">
        <v>408</v>
      </c>
      <c r="L51" t="s">
        <v>33</v>
      </c>
      <c r="M51" t="s">
        <v>373</v>
      </c>
      <c r="N51" s="265"/>
      <c r="O51" s="1">
        <v>3.5</v>
      </c>
      <c r="P51" t="s">
        <v>384</v>
      </c>
      <c r="R51" t="s">
        <v>1104</v>
      </c>
    </row>
    <row r="52" spans="1:18">
      <c r="A52">
        <v>13</v>
      </c>
      <c r="B52" t="s">
        <v>361</v>
      </c>
      <c r="G52">
        <v>7</v>
      </c>
      <c r="H52" s="265"/>
      <c r="I52" t="s">
        <v>370</v>
      </c>
      <c r="J52" t="s">
        <v>22</v>
      </c>
      <c r="K52" t="s">
        <v>408</v>
      </c>
      <c r="L52" t="s">
        <v>33</v>
      </c>
      <c r="M52" t="s">
        <v>373</v>
      </c>
      <c r="N52" s="265"/>
      <c r="O52" s="1">
        <v>3.5</v>
      </c>
      <c r="P52" t="s">
        <v>384</v>
      </c>
      <c r="R52" t="s">
        <v>1105</v>
      </c>
    </row>
    <row r="53" spans="1:18">
      <c r="A53">
        <v>13</v>
      </c>
      <c r="B53" t="s">
        <v>361</v>
      </c>
      <c r="G53">
        <v>2</v>
      </c>
      <c r="H53" s="265">
        <v>9</v>
      </c>
      <c r="I53" s="265" t="s">
        <v>370</v>
      </c>
      <c r="J53" s="265" t="s">
        <v>22</v>
      </c>
      <c r="K53" s="265" t="s">
        <v>30</v>
      </c>
      <c r="L53" s="265" t="s">
        <v>33</v>
      </c>
      <c r="M53" s="265" t="s">
        <v>374</v>
      </c>
      <c r="N53" s="265">
        <f t="shared" ref="N53:N58" si="2">0.151*3.5/8.65</f>
        <v>6.1098265895953754E-2</v>
      </c>
      <c r="O53" s="279">
        <f>0.0611*11.7</f>
        <v>0.71487000000000001</v>
      </c>
      <c r="P53" s="265" t="s">
        <v>896</v>
      </c>
      <c r="R53" t="s">
        <v>1106</v>
      </c>
    </row>
    <row r="54" spans="1:18">
      <c r="A54">
        <v>13</v>
      </c>
      <c r="B54" t="s">
        <v>361</v>
      </c>
      <c r="G54">
        <v>3</v>
      </c>
      <c r="H54" s="265">
        <v>9</v>
      </c>
      <c r="I54" s="265" t="s">
        <v>370</v>
      </c>
      <c r="J54" s="265" t="s">
        <v>22</v>
      </c>
      <c r="K54" s="265" t="s">
        <v>30</v>
      </c>
      <c r="L54" s="265" t="s">
        <v>33</v>
      </c>
      <c r="M54" s="265" t="s">
        <v>374</v>
      </c>
      <c r="N54" s="265">
        <f t="shared" si="2"/>
        <v>6.1098265895953754E-2</v>
      </c>
      <c r="O54" s="1">
        <f t="shared" ref="O54:O58" si="3">0.0611*11.7</f>
        <v>0.71487000000000001</v>
      </c>
      <c r="P54" t="s">
        <v>896</v>
      </c>
      <c r="R54" t="s">
        <v>1107</v>
      </c>
    </row>
    <row r="55" spans="1:18">
      <c r="A55">
        <v>13</v>
      </c>
      <c r="B55" t="s">
        <v>361</v>
      </c>
      <c r="G55">
        <v>4</v>
      </c>
      <c r="H55" s="265">
        <v>9</v>
      </c>
      <c r="I55" s="265" t="s">
        <v>370</v>
      </c>
      <c r="J55" s="265" t="s">
        <v>22</v>
      </c>
      <c r="K55" s="265" t="s">
        <v>30</v>
      </c>
      <c r="L55" s="265" t="s">
        <v>33</v>
      </c>
      <c r="M55" s="265" t="s">
        <v>374</v>
      </c>
      <c r="N55" s="265">
        <f t="shared" si="2"/>
        <v>6.1098265895953754E-2</v>
      </c>
      <c r="O55" s="1">
        <f t="shared" si="3"/>
        <v>0.71487000000000001</v>
      </c>
      <c r="P55" t="s">
        <v>896</v>
      </c>
      <c r="R55" t="s">
        <v>1108</v>
      </c>
    </row>
    <row r="56" spans="1:18">
      <c r="A56">
        <v>13</v>
      </c>
      <c r="B56" t="s">
        <v>361</v>
      </c>
      <c r="G56">
        <v>5</v>
      </c>
      <c r="H56" s="265">
        <v>9</v>
      </c>
      <c r="I56" s="265" t="s">
        <v>370</v>
      </c>
      <c r="J56" s="265" t="s">
        <v>22</v>
      </c>
      <c r="K56" s="265" t="s">
        <v>30</v>
      </c>
      <c r="L56" s="265" t="s">
        <v>33</v>
      </c>
      <c r="M56" s="265" t="s">
        <v>374</v>
      </c>
      <c r="N56" s="265">
        <f t="shared" si="2"/>
        <v>6.1098265895953754E-2</v>
      </c>
      <c r="O56" s="1">
        <f t="shared" si="3"/>
        <v>0.71487000000000001</v>
      </c>
      <c r="P56" t="s">
        <v>896</v>
      </c>
      <c r="R56" t="s">
        <v>1109</v>
      </c>
    </row>
    <row r="57" spans="1:18">
      <c r="A57">
        <v>13</v>
      </c>
      <c r="B57" t="s">
        <v>361</v>
      </c>
      <c r="G57">
        <v>6</v>
      </c>
      <c r="H57" s="265">
        <v>9</v>
      </c>
      <c r="I57" s="265" t="s">
        <v>370</v>
      </c>
      <c r="J57" s="265" t="s">
        <v>22</v>
      </c>
      <c r="K57" s="265" t="s">
        <v>30</v>
      </c>
      <c r="L57" s="265" t="s">
        <v>33</v>
      </c>
      <c r="M57" s="265" t="s">
        <v>374</v>
      </c>
      <c r="N57" s="265">
        <f t="shared" si="2"/>
        <v>6.1098265895953754E-2</v>
      </c>
      <c r="O57" s="1">
        <f t="shared" si="3"/>
        <v>0.71487000000000001</v>
      </c>
      <c r="P57" t="s">
        <v>896</v>
      </c>
      <c r="R57" t="s">
        <v>1110</v>
      </c>
    </row>
    <row r="58" spans="1:18">
      <c r="A58">
        <v>13</v>
      </c>
      <c r="B58" t="s">
        <v>361</v>
      </c>
      <c r="G58">
        <v>7</v>
      </c>
      <c r="H58" s="265">
        <v>9</v>
      </c>
      <c r="I58" s="265" t="s">
        <v>370</v>
      </c>
      <c r="J58" s="265" t="s">
        <v>22</v>
      </c>
      <c r="K58" s="265" t="s">
        <v>30</v>
      </c>
      <c r="L58" s="265" t="s">
        <v>33</v>
      </c>
      <c r="M58" s="265" t="s">
        <v>374</v>
      </c>
      <c r="N58" s="265">
        <f t="shared" si="2"/>
        <v>6.1098265895953754E-2</v>
      </c>
      <c r="O58" s="1">
        <f t="shared" si="3"/>
        <v>0.71487000000000001</v>
      </c>
      <c r="P58" t="s">
        <v>896</v>
      </c>
      <c r="R58" t="s">
        <v>1111</v>
      </c>
    </row>
    <row r="59" spans="1:18">
      <c r="A59">
        <v>13</v>
      </c>
      <c r="B59" t="s">
        <v>361</v>
      </c>
      <c r="G59">
        <v>2</v>
      </c>
      <c r="H59" s="265"/>
      <c r="I59" t="s">
        <v>370</v>
      </c>
      <c r="J59" t="s">
        <v>22</v>
      </c>
      <c r="K59" t="s">
        <v>408</v>
      </c>
      <c r="L59" t="s">
        <v>33</v>
      </c>
      <c r="M59" t="s">
        <v>375</v>
      </c>
      <c r="N59" s="265"/>
      <c r="O59" s="1">
        <v>3.5</v>
      </c>
      <c r="P59" t="s">
        <v>384</v>
      </c>
      <c r="R59" t="s">
        <v>1112</v>
      </c>
    </row>
    <row r="60" spans="1:18">
      <c r="A60">
        <v>13</v>
      </c>
      <c r="B60" t="s">
        <v>361</v>
      </c>
      <c r="G60">
        <v>3</v>
      </c>
      <c r="H60" s="265"/>
      <c r="I60" t="s">
        <v>370</v>
      </c>
      <c r="J60" t="s">
        <v>22</v>
      </c>
      <c r="K60" t="s">
        <v>408</v>
      </c>
      <c r="L60" t="s">
        <v>33</v>
      </c>
      <c r="M60" t="s">
        <v>375</v>
      </c>
      <c r="N60" s="265"/>
      <c r="O60" s="1">
        <v>3.5</v>
      </c>
      <c r="P60" t="s">
        <v>384</v>
      </c>
      <c r="R60" t="s">
        <v>1113</v>
      </c>
    </row>
    <row r="61" spans="1:18">
      <c r="A61">
        <v>13</v>
      </c>
      <c r="B61" t="s">
        <v>361</v>
      </c>
      <c r="G61">
        <v>4</v>
      </c>
      <c r="H61" s="265"/>
      <c r="I61" t="s">
        <v>370</v>
      </c>
      <c r="J61" t="s">
        <v>22</v>
      </c>
      <c r="K61" t="s">
        <v>408</v>
      </c>
      <c r="L61" t="s">
        <v>33</v>
      </c>
      <c r="M61" t="s">
        <v>375</v>
      </c>
      <c r="N61" s="265"/>
      <c r="O61" s="1">
        <v>3.5</v>
      </c>
      <c r="P61" t="s">
        <v>384</v>
      </c>
      <c r="R61" t="s">
        <v>1114</v>
      </c>
    </row>
    <row r="62" spans="1:18">
      <c r="A62">
        <v>13</v>
      </c>
      <c r="B62" t="s">
        <v>361</v>
      </c>
      <c r="G62">
        <v>5</v>
      </c>
      <c r="H62" s="265"/>
      <c r="I62" t="s">
        <v>370</v>
      </c>
      <c r="J62" t="s">
        <v>22</v>
      </c>
      <c r="K62" t="s">
        <v>408</v>
      </c>
      <c r="L62" t="s">
        <v>33</v>
      </c>
      <c r="M62" t="s">
        <v>375</v>
      </c>
      <c r="N62" s="265"/>
      <c r="O62" s="1">
        <v>3.5</v>
      </c>
      <c r="P62" t="s">
        <v>384</v>
      </c>
      <c r="R62" t="s">
        <v>1115</v>
      </c>
    </row>
    <row r="63" spans="1:18">
      <c r="A63">
        <v>13</v>
      </c>
      <c r="B63" t="s">
        <v>361</v>
      </c>
      <c r="G63">
        <v>6</v>
      </c>
      <c r="H63" s="265"/>
      <c r="I63" t="s">
        <v>370</v>
      </c>
      <c r="J63" t="s">
        <v>22</v>
      </c>
      <c r="K63" t="s">
        <v>408</v>
      </c>
      <c r="L63" t="s">
        <v>33</v>
      </c>
      <c r="M63" t="s">
        <v>375</v>
      </c>
      <c r="N63" s="265"/>
      <c r="O63" s="1">
        <v>3.5</v>
      </c>
      <c r="P63" t="s">
        <v>384</v>
      </c>
      <c r="R63" t="s">
        <v>1116</v>
      </c>
    </row>
    <row r="64" spans="1:18">
      <c r="A64">
        <v>13</v>
      </c>
      <c r="B64" t="s">
        <v>361</v>
      </c>
      <c r="G64">
        <v>7</v>
      </c>
      <c r="H64" s="265"/>
      <c r="I64" t="s">
        <v>370</v>
      </c>
      <c r="J64" t="s">
        <v>22</v>
      </c>
      <c r="K64" t="s">
        <v>408</v>
      </c>
      <c r="L64" t="s">
        <v>33</v>
      </c>
      <c r="M64" t="s">
        <v>375</v>
      </c>
      <c r="N64" s="265"/>
      <c r="O64" s="1">
        <v>3.5</v>
      </c>
      <c r="P64" t="s">
        <v>384</v>
      </c>
      <c r="R64" t="s">
        <v>1117</v>
      </c>
    </row>
    <row r="65" spans="1:18">
      <c r="A65">
        <v>13</v>
      </c>
      <c r="B65" t="s">
        <v>361</v>
      </c>
      <c r="G65">
        <v>2</v>
      </c>
      <c r="H65" s="265">
        <v>9</v>
      </c>
      <c r="I65" s="265" t="s">
        <v>370</v>
      </c>
      <c r="J65" s="265" t="s">
        <v>22</v>
      </c>
      <c r="K65" s="265" t="s">
        <v>30</v>
      </c>
      <c r="L65" s="265" t="s">
        <v>33</v>
      </c>
      <c r="M65" s="265" t="s">
        <v>376</v>
      </c>
      <c r="N65" s="265">
        <f t="shared" ref="N65:N70" si="4">0.151*3.5/8.65</f>
        <v>6.1098265895953754E-2</v>
      </c>
      <c r="O65" s="279">
        <f>11.7*0.0611</f>
        <v>0.71487000000000001</v>
      </c>
      <c r="P65" s="265" t="s">
        <v>948</v>
      </c>
      <c r="R65" t="s">
        <v>1118</v>
      </c>
    </row>
    <row r="66" spans="1:18">
      <c r="A66">
        <v>13</v>
      </c>
      <c r="B66" t="s">
        <v>361</v>
      </c>
      <c r="G66">
        <v>3</v>
      </c>
      <c r="H66" s="265">
        <v>9</v>
      </c>
      <c r="I66" s="265" t="s">
        <v>370</v>
      </c>
      <c r="J66" s="265" t="s">
        <v>22</v>
      </c>
      <c r="K66" s="265" t="s">
        <v>30</v>
      </c>
      <c r="L66" s="265" t="s">
        <v>33</v>
      </c>
      <c r="M66" s="265" t="s">
        <v>376</v>
      </c>
      <c r="N66" s="265">
        <f t="shared" si="4"/>
        <v>6.1098265895953754E-2</v>
      </c>
      <c r="O66" s="1">
        <f t="shared" ref="O66:O70" si="5">11.7*0.0611</f>
        <v>0.71487000000000001</v>
      </c>
      <c r="P66" t="s">
        <v>896</v>
      </c>
      <c r="R66" t="s">
        <v>1119</v>
      </c>
    </row>
    <row r="67" spans="1:18">
      <c r="A67">
        <v>13</v>
      </c>
      <c r="B67" t="s">
        <v>361</v>
      </c>
      <c r="G67">
        <v>4</v>
      </c>
      <c r="H67" s="265">
        <v>9</v>
      </c>
      <c r="I67" s="265" t="s">
        <v>370</v>
      </c>
      <c r="J67" s="265" t="s">
        <v>22</v>
      </c>
      <c r="K67" s="265" t="s">
        <v>30</v>
      </c>
      <c r="L67" s="265" t="s">
        <v>33</v>
      </c>
      <c r="M67" s="265" t="s">
        <v>376</v>
      </c>
      <c r="N67" s="265">
        <f t="shared" si="4"/>
        <v>6.1098265895953754E-2</v>
      </c>
      <c r="O67" s="1">
        <f t="shared" si="5"/>
        <v>0.71487000000000001</v>
      </c>
      <c r="P67" t="s">
        <v>896</v>
      </c>
      <c r="R67" t="s">
        <v>1120</v>
      </c>
    </row>
    <row r="68" spans="1:18">
      <c r="A68">
        <v>13</v>
      </c>
      <c r="B68" t="s">
        <v>361</v>
      </c>
      <c r="G68">
        <v>5</v>
      </c>
      <c r="H68" s="265">
        <v>9</v>
      </c>
      <c r="I68" s="265" t="s">
        <v>370</v>
      </c>
      <c r="J68" s="265" t="s">
        <v>22</v>
      </c>
      <c r="K68" s="265" t="s">
        <v>30</v>
      </c>
      <c r="L68" s="265" t="s">
        <v>33</v>
      </c>
      <c r="M68" s="265" t="s">
        <v>376</v>
      </c>
      <c r="N68" s="265">
        <f t="shared" si="4"/>
        <v>6.1098265895953754E-2</v>
      </c>
      <c r="O68" s="1">
        <f t="shared" si="5"/>
        <v>0.71487000000000001</v>
      </c>
      <c r="P68" t="s">
        <v>896</v>
      </c>
      <c r="R68" t="s">
        <v>1121</v>
      </c>
    </row>
    <row r="69" spans="1:18">
      <c r="A69">
        <v>13</v>
      </c>
      <c r="B69" t="s">
        <v>361</v>
      </c>
      <c r="G69">
        <v>6</v>
      </c>
      <c r="H69" s="265">
        <v>9</v>
      </c>
      <c r="I69" s="265" t="s">
        <v>370</v>
      </c>
      <c r="J69" s="265" t="s">
        <v>22</v>
      </c>
      <c r="K69" s="265" t="s">
        <v>30</v>
      </c>
      <c r="L69" s="265" t="s">
        <v>33</v>
      </c>
      <c r="M69" s="265" t="s">
        <v>376</v>
      </c>
      <c r="N69" s="265">
        <f t="shared" si="4"/>
        <v>6.1098265895953754E-2</v>
      </c>
      <c r="O69" s="1">
        <f t="shared" si="5"/>
        <v>0.71487000000000001</v>
      </c>
      <c r="P69" t="s">
        <v>896</v>
      </c>
      <c r="R69" t="s">
        <v>1122</v>
      </c>
    </row>
    <row r="70" spans="1:18">
      <c r="A70">
        <v>13</v>
      </c>
      <c r="B70" t="s">
        <v>361</v>
      </c>
      <c r="G70">
        <v>7</v>
      </c>
      <c r="H70" s="265">
        <v>9</v>
      </c>
      <c r="I70" s="265" t="s">
        <v>370</v>
      </c>
      <c r="J70" s="265" t="s">
        <v>22</v>
      </c>
      <c r="K70" s="265" t="s">
        <v>30</v>
      </c>
      <c r="L70" s="265" t="s">
        <v>33</v>
      </c>
      <c r="M70" s="265" t="s">
        <v>376</v>
      </c>
      <c r="N70" s="265">
        <f t="shared" si="4"/>
        <v>6.1098265895953754E-2</v>
      </c>
      <c r="O70" s="1">
        <f t="shared" si="5"/>
        <v>0.71487000000000001</v>
      </c>
      <c r="P70" t="s">
        <v>896</v>
      </c>
      <c r="R70" t="s">
        <v>1123</v>
      </c>
    </row>
    <row r="71" spans="1:18">
      <c r="A71">
        <v>13</v>
      </c>
      <c r="B71" t="s">
        <v>361</v>
      </c>
      <c r="G71">
        <v>7</v>
      </c>
      <c r="H71" s="263" t="s">
        <v>1145</v>
      </c>
      <c r="I71" t="s">
        <v>362</v>
      </c>
      <c r="J71" t="s">
        <v>29</v>
      </c>
      <c r="K71" s="289" t="s">
        <v>981</v>
      </c>
      <c r="L71" s="265" t="s">
        <v>33</v>
      </c>
      <c r="M71" s="265" t="s">
        <v>377</v>
      </c>
      <c r="N71" s="265"/>
      <c r="O71" s="279">
        <f>28.67*9.06</f>
        <v>259.75020000000001</v>
      </c>
      <c r="P71" s="265" t="s">
        <v>1137</v>
      </c>
      <c r="R71" t="s">
        <v>1124</v>
      </c>
    </row>
    <row r="72" spans="1:18">
      <c r="A72">
        <v>13</v>
      </c>
      <c r="B72" t="s">
        <v>361</v>
      </c>
      <c r="G72">
        <v>7</v>
      </c>
      <c r="H72" s="263"/>
      <c r="I72" t="s">
        <v>362</v>
      </c>
      <c r="J72" t="s">
        <v>29</v>
      </c>
      <c r="K72" s="289" t="s">
        <v>981</v>
      </c>
      <c r="L72" s="265" t="s">
        <v>33</v>
      </c>
      <c r="M72" s="265" t="s">
        <v>378</v>
      </c>
      <c r="N72" s="265"/>
      <c r="O72" s="279">
        <f>6.72*9.06</f>
        <v>60.883200000000002</v>
      </c>
      <c r="P72" s="265" t="s">
        <v>1135</v>
      </c>
      <c r="R72" t="s">
        <v>1125</v>
      </c>
    </row>
    <row r="73" spans="1:18">
      <c r="A73">
        <v>13</v>
      </c>
      <c r="B73" t="s">
        <v>361</v>
      </c>
      <c r="G73">
        <v>7</v>
      </c>
      <c r="H73" s="263"/>
      <c r="I73" t="s">
        <v>362</v>
      </c>
      <c r="J73" t="s">
        <v>29</v>
      </c>
      <c r="K73" s="289" t="s">
        <v>981</v>
      </c>
      <c r="L73" s="265" t="s">
        <v>33</v>
      </c>
      <c r="M73" s="265" t="s">
        <v>379</v>
      </c>
      <c r="N73" s="265"/>
      <c r="O73" s="279">
        <f>13.23*9.06</f>
        <v>119.86380000000001</v>
      </c>
      <c r="P73" s="265" t="s">
        <v>1136</v>
      </c>
      <c r="R73" t="s">
        <v>1126</v>
      </c>
    </row>
    <row r="74" spans="1:18">
      <c r="K74" s="265"/>
      <c r="L74" s="265"/>
      <c r="M74" s="265"/>
      <c r="N74" s="265"/>
      <c r="O74" s="265"/>
    </row>
    <row r="76" spans="1:18">
      <c r="H76" t="s">
        <v>1187</v>
      </c>
    </row>
    <row r="77" spans="1:18">
      <c r="H77" t="s">
        <v>1188</v>
      </c>
    </row>
  </sheetData>
  <autoFilter ref="A1:R7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zoomScale="80" zoomScaleNormal="80" workbookViewId="0">
      <pane ySplit="1" topLeftCell="A2" activePane="bottomLeft" state="frozen"/>
      <selection pane="bottomLeft" activeCell="N2" sqref="N2"/>
    </sheetView>
  </sheetViews>
  <sheetFormatPr defaultRowHeight="14.5"/>
  <cols>
    <col min="2" max="2" width="9.26953125" bestFit="1" customWidth="1"/>
    <col min="3" max="3" width="3.453125" customWidth="1"/>
    <col min="4" max="4" width="4" customWidth="1"/>
    <col min="5" max="5" width="3.81640625" customWidth="1"/>
    <col min="6" max="6" width="3.453125" customWidth="1"/>
    <col min="8" max="8" width="15.26953125" bestFit="1" customWidth="1"/>
    <col min="9" max="9" width="14.54296875" bestFit="1" customWidth="1"/>
    <col min="10" max="10" width="16.7265625" bestFit="1" customWidth="1"/>
    <col min="11" max="11" width="17.26953125" bestFit="1" customWidth="1"/>
    <col min="12" max="12" width="14.453125" bestFit="1" customWidth="1"/>
    <col min="13" max="13" width="40.26953125" bestFit="1" customWidth="1"/>
    <col min="14" max="14" width="13.453125" bestFit="1" customWidth="1"/>
    <col min="15" max="15" width="8.81640625" bestFit="1" customWidth="1"/>
    <col min="16" max="16" width="95.26953125" bestFit="1" customWidth="1"/>
    <col min="17" max="17" width="11.26953125" bestFit="1" customWidth="1"/>
    <col min="18" max="18" width="8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14</v>
      </c>
      <c r="B2" t="s">
        <v>388</v>
      </c>
      <c r="G2">
        <v>1</v>
      </c>
      <c r="H2" s="265">
        <v>0</v>
      </c>
      <c r="I2" s="265" t="s">
        <v>389</v>
      </c>
      <c r="J2" s="265" t="s">
        <v>61</v>
      </c>
      <c r="K2" s="265" t="s">
        <v>981</v>
      </c>
      <c r="M2" t="s">
        <v>390</v>
      </c>
      <c r="O2" s="1">
        <v>647.5</v>
      </c>
    </row>
    <row r="3" spans="1:18">
      <c r="A3">
        <v>14</v>
      </c>
      <c r="B3" t="s">
        <v>388</v>
      </c>
      <c r="G3">
        <v>1</v>
      </c>
      <c r="H3" s="265">
        <v>0</v>
      </c>
      <c r="I3" s="265" t="s">
        <v>389</v>
      </c>
      <c r="J3" s="265" t="s">
        <v>61</v>
      </c>
      <c r="K3" s="265" t="s">
        <v>981</v>
      </c>
      <c r="M3" t="s">
        <v>391</v>
      </c>
      <c r="O3" s="1">
        <v>313.5</v>
      </c>
    </row>
    <row r="4" spans="1:18">
      <c r="A4">
        <v>14</v>
      </c>
      <c r="B4" t="s">
        <v>388</v>
      </c>
      <c r="G4">
        <v>1</v>
      </c>
      <c r="H4" s="263"/>
      <c r="I4" t="s">
        <v>389</v>
      </c>
      <c r="J4" t="s">
        <v>61</v>
      </c>
      <c r="K4" s="289" t="s">
        <v>981</v>
      </c>
      <c r="M4" t="s">
        <v>392</v>
      </c>
      <c r="N4" s="265"/>
      <c r="O4" s="1">
        <f>9.15*14/18</f>
        <v>7.1166666666666663</v>
      </c>
      <c r="P4" t="s">
        <v>1138</v>
      </c>
    </row>
    <row r="5" spans="1:18">
      <c r="A5">
        <v>14</v>
      </c>
      <c r="B5" t="s">
        <v>388</v>
      </c>
      <c r="G5">
        <v>1</v>
      </c>
      <c r="I5" t="s">
        <v>389</v>
      </c>
      <c r="J5" t="s">
        <v>61</v>
      </c>
      <c r="K5" t="s">
        <v>71</v>
      </c>
      <c r="M5" t="s">
        <v>393</v>
      </c>
      <c r="O5" s="1">
        <v>468.07</v>
      </c>
      <c r="P5" t="s">
        <v>400</v>
      </c>
    </row>
    <row r="6" spans="1:18">
      <c r="A6">
        <v>14</v>
      </c>
      <c r="B6" t="s">
        <v>388</v>
      </c>
      <c r="G6">
        <v>1</v>
      </c>
      <c r="I6" t="s">
        <v>389</v>
      </c>
      <c r="J6" t="s">
        <v>61</v>
      </c>
      <c r="K6" t="s">
        <v>408</v>
      </c>
      <c r="M6" t="s">
        <v>394</v>
      </c>
      <c r="O6" s="1">
        <f>30*40*5/10</f>
        <v>600</v>
      </c>
      <c r="P6" t="s">
        <v>401</v>
      </c>
    </row>
    <row r="7" spans="1:18">
      <c r="A7">
        <v>14</v>
      </c>
      <c r="B7" t="s">
        <v>388</v>
      </c>
      <c r="G7">
        <v>1</v>
      </c>
      <c r="I7" t="s">
        <v>389</v>
      </c>
      <c r="J7" t="s">
        <v>61</v>
      </c>
      <c r="K7" t="s">
        <v>408</v>
      </c>
      <c r="M7" t="s">
        <v>395</v>
      </c>
      <c r="O7" s="1">
        <v>212.75</v>
      </c>
      <c r="P7" t="s">
        <v>400</v>
      </c>
    </row>
    <row r="8" spans="1:18">
      <c r="A8">
        <v>14</v>
      </c>
      <c r="B8" t="s">
        <v>388</v>
      </c>
      <c r="G8">
        <v>1</v>
      </c>
      <c r="I8" t="s">
        <v>389</v>
      </c>
      <c r="J8" t="s">
        <v>61</v>
      </c>
      <c r="K8" t="s">
        <v>26</v>
      </c>
      <c r="M8" t="s">
        <v>396</v>
      </c>
      <c r="O8" s="1">
        <v>543.33000000000004</v>
      </c>
      <c r="P8" t="s">
        <v>402</v>
      </c>
    </row>
    <row r="9" spans="1:18">
      <c r="A9">
        <v>14</v>
      </c>
      <c r="B9" t="s">
        <v>388</v>
      </c>
      <c r="G9">
        <v>1</v>
      </c>
      <c r="H9" s="265">
        <v>11</v>
      </c>
      <c r="I9" s="265" t="s">
        <v>21</v>
      </c>
      <c r="J9" s="265" t="s">
        <v>25</v>
      </c>
      <c r="K9" s="265" t="s">
        <v>981</v>
      </c>
      <c r="L9" s="265"/>
      <c r="M9" s="265" t="s">
        <v>397</v>
      </c>
      <c r="N9" s="265"/>
      <c r="O9" s="279">
        <v>142.47</v>
      </c>
      <c r="P9" t="s">
        <v>403</v>
      </c>
    </row>
    <row r="10" spans="1:18">
      <c r="A10">
        <v>14</v>
      </c>
      <c r="B10" t="s">
        <v>388</v>
      </c>
      <c r="G10">
        <v>2</v>
      </c>
      <c r="H10" s="265">
        <v>11</v>
      </c>
      <c r="I10" s="265" t="s">
        <v>21</v>
      </c>
      <c r="J10" s="265" t="s">
        <v>25</v>
      </c>
      <c r="K10" s="265" t="s">
        <v>981</v>
      </c>
      <c r="L10" s="265"/>
      <c r="M10" s="265" t="s">
        <v>397</v>
      </c>
      <c r="N10" s="265"/>
      <c r="O10" s="279">
        <v>142.47</v>
      </c>
      <c r="P10" t="s">
        <v>403</v>
      </c>
    </row>
    <row r="11" spans="1:18">
      <c r="A11">
        <v>14</v>
      </c>
      <c r="B11" t="s">
        <v>388</v>
      </c>
      <c r="G11">
        <v>3</v>
      </c>
      <c r="H11" s="265">
        <v>11</v>
      </c>
      <c r="I11" s="265" t="s">
        <v>21</v>
      </c>
      <c r="J11" s="265" t="s">
        <v>25</v>
      </c>
      <c r="K11" s="265" t="s">
        <v>981</v>
      </c>
      <c r="L11" s="265"/>
      <c r="M11" s="265" t="s">
        <v>397</v>
      </c>
      <c r="N11" s="265"/>
      <c r="O11" s="279">
        <v>142.47</v>
      </c>
      <c r="P11" t="s">
        <v>403</v>
      </c>
    </row>
    <row r="12" spans="1:18">
      <c r="A12">
        <v>14</v>
      </c>
      <c r="B12" t="s">
        <v>388</v>
      </c>
      <c r="G12">
        <v>4</v>
      </c>
      <c r="H12" s="265">
        <v>11</v>
      </c>
      <c r="I12" s="265" t="s">
        <v>21</v>
      </c>
      <c r="J12" s="265" t="s">
        <v>25</v>
      </c>
      <c r="K12" s="265" t="s">
        <v>981</v>
      </c>
      <c r="L12" s="265"/>
      <c r="M12" s="265" t="s">
        <v>397</v>
      </c>
      <c r="N12" s="265"/>
      <c r="O12" s="279">
        <v>142.47</v>
      </c>
      <c r="P12" t="s">
        <v>403</v>
      </c>
    </row>
    <row r="13" spans="1:18">
      <c r="A13">
        <v>14</v>
      </c>
      <c r="B13" t="s">
        <v>388</v>
      </c>
      <c r="G13">
        <v>5</v>
      </c>
      <c r="H13" s="265">
        <v>11</v>
      </c>
      <c r="I13" s="265" t="s">
        <v>21</v>
      </c>
      <c r="J13" s="265" t="s">
        <v>25</v>
      </c>
      <c r="K13" s="265" t="s">
        <v>981</v>
      </c>
      <c r="L13" s="265"/>
      <c r="M13" s="265" t="s">
        <v>397</v>
      </c>
      <c r="N13" s="265"/>
      <c r="O13" s="279">
        <v>142.47</v>
      </c>
      <c r="P13" t="s">
        <v>403</v>
      </c>
    </row>
    <row r="14" spans="1:18">
      <c r="A14">
        <v>14</v>
      </c>
      <c r="B14" t="s">
        <v>388</v>
      </c>
      <c r="G14">
        <v>6</v>
      </c>
      <c r="H14" s="265">
        <v>11</v>
      </c>
      <c r="I14" s="265" t="s">
        <v>21</v>
      </c>
      <c r="J14" s="265" t="s">
        <v>25</v>
      </c>
      <c r="K14" s="265" t="s">
        <v>981</v>
      </c>
      <c r="L14" s="265"/>
      <c r="M14" s="265" t="s">
        <v>397</v>
      </c>
      <c r="N14" s="265"/>
      <c r="O14" s="279">
        <v>142.47</v>
      </c>
      <c r="P14" t="s">
        <v>403</v>
      </c>
    </row>
    <row r="15" spans="1:18">
      <c r="A15">
        <v>14</v>
      </c>
      <c r="B15" t="s">
        <v>388</v>
      </c>
      <c r="G15">
        <v>7</v>
      </c>
      <c r="H15" s="265">
        <v>11</v>
      </c>
      <c r="I15" s="265" t="s">
        <v>21</v>
      </c>
      <c r="J15" s="265" t="s">
        <v>25</v>
      </c>
      <c r="K15" s="265" t="s">
        <v>981</v>
      </c>
      <c r="L15" s="265"/>
      <c r="M15" s="265" t="s">
        <v>397</v>
      </c>
      <c r="N15" s="265"/>
      <c r="O15" s="279">
        <v>142.47</v>
      </c>
      <c r="P15" t="s">
        <v>403</v>
      </c>
    </row>
    <row r="16" spans="1:18">
      <c r="A16">
        <v>14</v>
      </c>
      <c r="B16" t="s">
        <v>388</v>
      </c>
      <c r="G16">
        <v>8</v>
      </c>
      <c r="H16" s="265">
        <v>11</v>
      </c>
      <c r="I16" s="265" t="s">
        <v>21</v>
      </c>
      <c r="J16" s="265" t="s">
        <v>25</v>
      </c>
      <c r="K16" s="265" t="s">
        <v>981</v>
      </c>
      <c r="L16" s="265"/>
      <c r="M16" s="265" t="s">
        <v>397</v>
      </c>
      <c r="N16" s="265"/>
      <c r="O16" s="279">
        <v>142.47</v>
      </c>
      <c r="P16" t="s">
        <v>403</v>
      </c>
    </row>
    <row r="17" spans="1:16">
      <c r="A17">
        <v>14</v>
      </c>
      <c r="B17" t="s">
        <v>388</v>
      </c>
      <c r="G17">
        <v>9</v>
      </c>
      <c r="H17" s="265">
        <v>11</v>
      </c>
      <c r="I17" s="265" t="s">
        <v>21</v>
      </c>
      <c r="J17" s="265" t="s">
        <v>25</v>
      </c>
      <c r="K17" s="265" t="s">
        <v>981</v>
      </c>
      <c r="L17" s="265"/>
      <c r="M17" s="265" t="s">
        <v>397</v>
      </c>
      <c r="N17" s="265"/>
      <c r="O17" s="279">
        <v>142.47</v>
      </c>
      <c r="P17" t="s">
        <v>403</v>
      </c>
    </row>
    <row r="18" spans="1:16">
      <c r="A18">
        <v>14</v>
      </c>
      <c r="B18" t="s">
        <v>388</v>
      </c>
      <c r="G18">
        <v>10</v>
      </c>
      <c r="H18" s="265">
        <v>11</v>
      </c>
      <c r="I18" s="265" t="s">
        <v>21</v>
      </c>
      <c r="J18" s="265" t="s">
        <v>25</v>
      </c>
      <c r="K18" s="265" t="s">
        <v>981</v>
      </c>
      <c r="L18" s="265"/>
      <c r="M18" s="265" t="s">
        <v>397</v>
      </c>
      <c r="N18" s="265"/>
      <c r="O18" s="279">
        <v>142.47</v>
      </c>
      <c r="P18" t="s">
        <v>403</v>
      </c>
    </row>
    <row r="19" spans="1:16">
      <c r="A19">
        <v>14</v>
      </c>
      <c r="B19" t="s">
        <v>388</v>
      </c>
      <c r="G19">
        <v>11</v>
      </c>
      <c r="H19" s="265">
        <v>11</v>
      </c>
      <c r="I19" s="265" t="s">
        <v>21</v>
      </c>
      <c r="J19" s="265" t="s">
        <v>25</v>
      </c>
      <c r="K19" s="265" t="s">
        <v>981</v>
      </c>
      <c r="L19" s="265"/>
      <c r="M19" s="265" t="s">
        <v>397</v>
      </c>
      <c r="N19" s="265"/>
      <c r="O19" s="279">
        <v>142.47</v>
      </c>
      <c r="P19" t="s">
        <v>403</v>
      </c>
    </row>
    <row r="20" spans="1:16">
      <c r="A20">
        <v>14</v>
      </c>
      <c r="B20" t="s">
        <v>388</v>
      </c>
      <c r="G20">
        <v>12</v>
      </c>
      <c r="H20" s="265">
        <v>11</v>
      </c>
      <c r="I20" s="265" t="s">
        <v>21</v>
      </c>
      <c r="J20" s="265" t="s">
        <v>25</v>
      </c>
      <c r="K20" s="265" t="s">
        <v>981</v>
      </c>
      <c r="L20" s="265"/>
      <c r="M20" s="265" t="s">
        <v>397</v>
      </c>
      <c r="N20" s="265"/>
      <c r="O20" s="279">
        <v>142.47</v>
      </c>
      <c r="P20" t="s">
        <v>403</v>
      </c>
    </row>
    <row r="21" spans="1:16">
      <c r="A21">
        <v>14</v>
      </c>
      <c r="B21" t="s">
        <v>388</v>
      </c>
      <c r="G21">
        <v>13</v>
      </c>
      <c r="H21" s="265">
        <v>11</v>
      </c>
      <c r="I21" s="265" t="s">
        <v>21</v>
      </c>
      <c r="J21" s="265" t="s">
        <v>25</v>
      </c>
      <c r="K21" s="265" t="s">
        <v>981</v>
      </c>
      <c r="L21" s="265"/>
      <c r="M21" s="265" t="s">
        <v>397</v>
      </c>
      <c r="N21" s="265"/>
      <c r="O21" s="279">
        <v>142.47</v>
      </c>
      <c r="P21" t="s">
        <v>403</v>
      </c>
    </row>
    <row r="22" spans="1:16">
      <c r="A22">
        <v>14</v>
      </c>
      <c r="B22" t="s">
        <v>388</v>
      </c>
      <c r="G22">
        <v>14</v>
      </c>
      <c r="H22" s="265">
        <v>11</v>
      </c>
      <c r="I22" s="265" t="s">
        <v>21</v>
      </c>
      <c r="J22" s="265" t="s">
        <v>25</v>
      </c>
      <c r="K22" s="265" t="s">
        <v>981</v>
      </c>
      <c r="L22" s="265"/>
      <c r="M22" s="265" t="s">
        <v>397</v>
      </c>
      <c r="N22" s="265"/>
      <c r="O22" s="279">
        <v>142.47</v>
      </c>
      <c r="P22" t="s">
        <v>403</v>
      </c>
    </row>
    <row r="23" spans="1:16">
      <c r="A23">
        <v>14</v>
      </c>
      <c r="B23" t="s">
        <v>388</v>
      </c>
      <c r="G23">
        <v>15</v>
      </c>
      <c r="H23" s="265">
        <v>11</v>
      </c>
      <c r="I23" s="265" t="s">
        <v>21</v>
      </c>
      <c r="J23" s="265" t="s">
        <v>25</v>
      </c>
      <c r="K23" s="265" t="s">
        <v>981</v>
      </c>
      <c r="L23" s="265"/>
      <c r="M23" s="265" t="s">
        <v>397</v>
      </c>
      <c r="N23" s="265"/>
      <c r="O23" s="279">
        <v>142.47</v>
      </c>
      <c r="P23" t="s">
        <v>403</v>
      </c>
    </row>
    <row r="24" spans="1:16">
      <c r="A24">
        <v>14</v>
      </c>
      <c r="B24" t="s">
        <v>388</v>
      </c>
      <c r="G24">
        <v>16</v>
      </c>
      <c r="H24" s="265">
        <v>11</v>
      </c>
      <c r="I24" s="265" t="s">
        <v>21</v>
      </c>
      <c r="J24" s="265" t="s">
        <v>25</v>
      </c>
      <c r="K24" s="265" t="s">
        <v>981</v>
      </c>
      <c r="L24" s="265"/>
      <c r="M24" s="265" t="s">
        <v>397</v>
      </c>
      <c r="N24" s="265"/>
      <c r="O24" s="279">
        <v>142.47</v>
      </c>
      <c r="P24" t="s">
        <v>403</v>
      </c>
    </row>
    <row r="25" spans="1:16">
      <c r="A25">
        <v>14</v>
      </c>
      <c r="B25" t="s">
        <v>388</v>
      </c>
      <c r="G25">
        <v>17</v>
      </c>
      <c r="H25" s="265">
        <v>11</v>
      </c>
      <c r="I25" s="265" t="s">
        <v>21</v>
      </c>
      <c r="J25" s="265" t="s">
        <v>25</v>
      </c>
      <c r="K25" s="265" t="s">
        <v>981</v>
      </c>
      <c r="L25" s="265"/>
      <c r="M25" s="265" t="s">
        <v>397</v>
      </c>
      <c r="N25" s="265"/>
      <c r="O25" s="279">
        <v>142.47</v>
      </c>
      <c r="P25" t="s">
        <v>403</v>
      </c>
    </row>
    <row r="26" spans="1:16">
      <c r="A26">
        <v>14</v>
      </c>
      <c r="B26" t="s">
        <v>388</v>
      </c>
      <c r="G26">
        <v>18</v>
      </c>
      <c r="H26" s="265">
        <v>11</v>
      </c>
      <c r="I26" s="265" t="s">
        <v>21</v>
      </c>
      <c r="J26" s="265" t="s">
        <v>25</v>
      </c>
      <c r="K26" s="265" t="s">
        <v>981</v>
      </c>
      <c r="L26" s="265"/>
      <c r="M26" s="265" t="s">
        <v>397</v>
      </c>
      <c r="N26" s="265"/>
      <c r="O26" s="279">
        <v>142.47</v>
      </c>
      <c r="P26" t="s">
        <v>403</v>
      </c>
    </row>
    <row r="27" spans="1:16">
      <c r="A27">
        <v>14</v>
      </c>
      <c r="B27" t="s">
        <v>388</v>
      </c>
      <c r="G27">
        <v>19</v>
      </c>
      <c r="H27" s="265">
        <v>11</v>
      </c>
      <c r="I27" s="265" t="s">
        <v>21</v>
      </c>
      <c r="J27" s="265" t="s">
        <v>25</v>
      </c>
      <c r="K27" s="265" t="s">
        <v>981</v>
      </c>
      <c r="L27" s="265"/>
      <c r="M27" s="265" t="s">
        <v>397</v>
      </c>
      <c r="N27" s="265"/>
      <c r="O27" s="279">
        <v>142.47</v>
      </c>
      <c r="P27" t="s">
        <v>403</v>
      </c>
    </row>
    <row r="28" spans="1:16">
      <c r="A28">
        <v>14</v>
      </c>
      <c r="B28" t="s">
        <v>388</v>
      </c>
      <c r="G28">
        <v>20</v>
      </c>
      <c r="H28" s="265">
        <v>11</v>
      </c>
      <c r="I28" s="265" t="s">
        <v>21</v>
      </c>
      <c r="J28" s="265" t="s">
        <v>25</v>
      </c>
      <c r="K28" s="265" t="s">
        <v>981</v>
      </c>
      <c r="L28" s="265"/>
      <c r="M28" s="265" t="s">
        <v>397</v>
      </c>
      <c r="N28" s="265"/>
      <c r="O28" s="279">
        <v>142.47</v>
      </c>
      <c r="P28" t="s">
        <v>403</v>
      </c>
    </row>
    <row r="29" spans="1:16">
      <c r="A29">
        <v>14</v>
      </c>
      <c r="B29" t="s">
        <v>388</v>
      </c>
      <c r="G29">
        <v>21</v>
      </c>
      <c r="H29" s="265">
        <v>11</v>
      </c>
      <c r="I29" s="265" t="s">
        <v>21</v>
      </c>
      <c r="J29" s="265" t="s">
        <v>25</v>
      </c>
      <c r="K29" s="265" t="s">
        <v>981</v>
      </c>
      <c r="L29" s="265"/>
      <c r="M29" s="265" t="s">
        <v>397</v>
      </c>
      <c r="N29" s="265"/>
      <c r="O29" s="279">
        <v>142.47</v>
      </c>
      <c r="P29" t="s">
        <v>403</v>
      </c>
    </row>
    <row r="30" spans="1:16">
      <c r="A30">
        <v>14</v>
      </c>
      <c r="B30" t="s">
        <v>388</v>
      </c>
      <c r="G30">
        <v>22</v>
      </c>
      <c r="H30" s="265">
        <v>11</v>
      </c>
      <c r="I30" s="265" t="s">
        <v>21</v>
      </c>
      <c r="J30" s="265" t="s">
        <v>25</v>
      </c>
      <c r="K30" s="265" t="s">
        <v>981</v>
      </c>
      <c r="L30" s="265"/>
      <c r="M30" s="265" t="s">
        <v>397</v>
      </c>
      <c r="N30" s="265"/>
      <c r="O30" s="279">
        <v>142.47</v>
      </c>
      <c r="P30" t="s">
        <v>403</v>
      </c>
    </row>
    <row r="31" spans="1:16">
      <c r="A31">
        <v>14</v>
      </c>
      <c r="B31" t="s">
        <v>388</v>
      </c>
      <c r="G31">
        <v>23</v>
      </c>
      <c r="H31" s="265">
        <v>11</v>
      </c>
      <c r="I31" s="265" t="s">
        <v>21</v>
      </c>
      <c r="J31" s="265" t="s">
        <v>25</v>
      </c>
      <c r="K31" s="265" t="s">
        <v>981</v>
      </c>
      <c r="L31" s="265"/>
      <c r="M31" s="265" t="s">
        <v>397</v>
      </c>
      <c r="N31" s="265"/>
      <c r="O31" s="279">
        <v>142.47</v>
      </c>
      <c r="P31" t="s">
        <v>403</v>
      </c>
    </row>
    <row r="32" spans="1:16">
      <c r="A32">
        <v>14</v>
      </c>
      <c r="B32" t="s">
        <v>388</v>
      </c>
      <c r="G32">
        <v>24</v>
      </c>
      <c r="H32" s="265">
        <v>11</v>
      </c>
      <c r="I32" s="265" t="s">
        <v>21</v>
      </c>
      <c r="J32" s="265" t="s">
        <v>25</v>
      </c>
      <c r="K32" s="265" t="s">
        <v>981</v>
      </c>
      <c r="L32" s="265"/>
      <c r="M32" s="265" t="s">
        <v>397</v>
      </c>
      <c r="N32" s="265"/>
      <c r="O32" s="279">
        <v>142.47</v>
      </c>
      <c r="P32" t="s">
        <v>403</v>
      </c>
    </row>
    <row r="33" spans="1:16">
      <c r="A33">
        <v>14</v>
      </c>
      <c r="B33" t="s">
        <v>388</v>
      </c>
      <c r="G33">
        <v>25</v>
      </c>
      <c r="H33" s="265">
        <v>11</v>
      </c>
      <c r="I33" s="265" t="s">
        <v>21</v>
      </c>
      <c r="J33" s="265" t="s">
        <v>25</v>
      </c>
      <c r="K33" s="265" t="s">
        <v>981</v>
      </c>
      <c r="L33" s="265"/>
      <c r="M33" s="265" t="s">
        <v>397</v>
      </c>
      <c r="N33" s="265"/>
      <c r="O33" s="279">
        <v>142.47</v>
      </c>
      <c r="P33" t="s">
        <v>403</v>
      </c>
    </row>
    <row r="34" spans="1:16">
      <c r="A34">
        <v>14</v>
      </c>
      <c r="B34" t="s">
        <v>388</v>
      </c>
      <c r="G34">
        <v>26</v>
      </c>
      <c r="H34" s="265">
        <v>11</v>
      </c>
      <c r="I34" s="265" t="s">
        <v>21</v>
      </c>
      <c r="J34" s="265" t="s">
        <v>25</v>
      </c>
      <c r="K34" s="265" t="s">
        <v>981</v>
      </c>
      <c r="L34" s="265"/>
      <c r="M34" s="265" t="s">
        <v>397</v>
      </c>
      <c r="N34" s="265"/>
      <c r="O34" s="279">
        <v>142.47</v>
      </c>
      <c r="P34" t="s">
        <v>403</v>
      </c>
    </row>
    <row r="35" spans="1:16">
      <c r="A35">
        <v>14</v>
      </c>
      <c r="B35" t="s">
        <v>388</v>
      </c>
      <c r="G35">
        <v>27</v>
      </c>
      <c r="H35" s="265">
        <v>11</v>
      </c>
      <c r="I35" s="265" t="s">
        <v>21</v>
      </c>
      <c r="J35" s="265" t="s">
        <v>25</v>
      </c>
      <c r="K35" s="265" t="s">
        <v>981</v>
      </c>
      <c r="L35" s="265"/>
      <c r="M35" s="265" t="s">
        <v>397</v>
      </c>
      <c r="N35" s="265"/>
      <c r="O35" s="279">
        <v>142.47</v>
      </c>
      <c r="P35" t="s">
        <v>403</v>
      </c>
    </row>
    <row r="36" spans="1:16">
      <c r="A36">
        <v>14</v>
      </c>
      <c r="B36" t="s">
        <v>388</v>
      </c>
      <c r="G36">
        <v>28</v>
      </c>
      <c r="H36" s="265">
        <v>11</v>
      </c>
      <c r="I36" s="265" t="s">
        <v>21</v>
      </c>
      <c r="J36" s="265" t="s">
        <v>25</v>
      </c>
      <c r="K36" s="265" t="s">
        <v>981</v>
      </c>
      <c r="L36" s="265"/>
      <c r="M36" s="265" t="s">
        <v>397</v>
      </c>
      <c r="N36" s="265"/>
      <c r="O36" s="279">
        <v>142.47</v>
      </c>
      <c r="P36" t="s">
        <v>403</v>
      </c>
    </row>
    <row r="37" spans="1:16">
      <c r="A37">
        <v>14</v>
      </c>
      <c r="B37" t="s">
        <v>388</v>
      </c>
      <c r="G37">
        <v>29</v>
      </c>
      <c r="H37" s="265">
        <v>11</v>
      </c>
      <c r="I37" s="265" t="s">
        <v>21</v>
      </c>
      <c r="J37" s="265" t="s">
        <v>25</v>
      </c>
      <c r="K37" s="265" t="s">
        <v>981</v>
      </c>
      <c r="L37" s="265"/>
      <c r="M37" s="265" t="s">
        <v>397</v>
      </c>
      <c r="N37" s="265"/>
      <c r="O37" s="279">
        <v>142.47</v>
      </c>
      <c r="P37" t="s">
        <v>403</v>
      </c>
    </row>
    <row r="38" spans="1:16">
      <c r="A38">
        <v>14</v>
      </c>
      <c r="B38" t="s">
        <v>388</v>
      </c>
      <c r="G38">
        <v>30</v>
      </c>
      <c r="H38" s="265">
        <v>11</v>
      </c>
      <c r="I38" s="265" t="s">
        <v>21</v>
      </c>
      <c r="J38" s="265" t="s">
        <v>25</v>
      </c>
      <c r="K38" s="265" t="s">
        <v>981</v>
      </c>
      <c r="L38" s="265"/>
      <c r="M38" s="265" t="s">
        <v>397</v>
      </c>
      <c r="N38" s="265"/>
      <c r="O38" s="279">
        <v>142.47</v>
      </c>
      <c r="P38" t="s">
        <v>403</v>
      </c>
    </row>
    <row r="39" spans="1:16">
      <c r="A39">
        <v>14</v>
      </c>
      <c r="B39" t="s">
        <v>388</v>
      </c>
      <c r="G39">
        <v>31</v>
      </c>
      <c r="H39" s="265">
        <v>11</v>
      </c>
      <c r="I39" s="265" t="s">
        <v>21</v>
      </c>
      <c r="J39" s="265" t="s">
        <v>25</v>
      </c>
      <c r="K39" s="265" t="s">
        <v>981</v>
      </c>
      <c r="L39" s="265"/>
      <c r="M39" s="265" t="s">
        <v>397</v>
      </c>
      <c r="N39" s="265"/>
      <c r="O39" s="279">
        <v>142.47</v>
      </c>
      <c r="P39" t="s">
        <v>403</v>
      </c>
    </row>
    <row r="40" spans="1:16">
      <c r="A40">
        <v>14</v>
      </c>
      <c r="B40" t="s">
        <v>388</v>
      </c>
      <c r="G40">
        <v>32</v>
      </c>
      <c r="H40" s="265">
        <v>11</v>
      </c>
      <c r="I40" s="265" t="s">
        <v>21</v>
      </c>
      <c r="J40" s="265" t="s">
        <v>25</v>
      </c>
      <c r="K40" s="265" t="s">
        <v>981</v>
      </c>
      <c r="L40" s="265"/>
      <c r="M40" s="265" t="s">
        <v>397</v>
      </c>
      <c r="N40" s="265"/>
      <c r="O40" s="279">
        <v>142.47</v>
      </c>
      <c r="P40" t="s">
        <v>403</v>
      </c>
    </row>
    <row r="41" spans="1:16">
      <c r="A41">
        <v>14</v>
      </c>
      <c r="B41" t="s">
        <v>388</v>
      </c>
      <c r="G41">
        <v>33</v>
      </c>
      <c r="H41" s="265">
        <v>11</v>
      </c>
      <c r="I41" s="265" t="s">
        <v>21</v>
      </c>
      <c r="J41" s="265" t="s">
        <v>25</v>
      </c>
      <c r="K41" s="265" t="s">
        <v>981</v>
      </c>
      <c r="L41" s="265"/>
      <c r="M41" s="265" t="s">
        <v>397</v>
      </c>
      <c r="N41" s="265"/>
      <c r="O41" s="279">
        <v>142.47</v>
      </c>
      <c r="P41" t="s">
        <v>403</v>
      </c>
    </row>
    <row r="42" spans="1:16">
      <c r="A42">
        <v>14</v>
      </c>
      <c r="B42" t="s">
        <v>388</v>
      </c>
      <c r="G42">
        <v>34</v>
      </c>
      <c r="H42" s="265">
        <v>11</v>
      </c>
      <c r="I42" s="265" t="s">
        <v>21</v>
      </c>
      <c r="J42" s="265" t="s">
        <v>25</v>
      </c>
      <c r="K42" s="265" t="s">
        <v>981</v>
      </c>
      <c r="L42" s="265"/>
      <c r="M42" s="265" t="s">
        <v>397</v>
      </c>
      <c r="N42" s="265"/>
      <c r="O42" s="279">
        <v>142.47</v>
      </c>
      <c r="P42" t="s">
        <v>403</v>
      </c>
    </row>
    <row r="43" spans="1:16">
      <c r="A43">
        <v>14</v>
      </c>
      <c r="B43" t="s">
        <v>388</v>
      </c>
      <c r="G43">
        <v>35</v>
      </c>
      <c r="H43" s="265">
        <v>11</v>
      </c>
      <c r="I43" s="265" t="s">
        <v>21</v>
      </c>
      <c r="J43" s="265" t="s">
        <v>25</v>
      </c>
      <c r="K43" s="265" t="s">
        <v>981</v>
      </c>
      <c r="L43" s="265"/>
      <c r="M43" s="265" t="s">
        <v>397</v>
      </c>
      <c r="N43" s="265"/>
      <c r="O43" s="279">
        <v>142.47</v>
      </c>
      <c r="P43" t="s">
        <v>403</v>
      </c>
    </row>
    <row r="44" spans="1:16">
      <c r="A44">
        <v>14</v>
      </c>
      <c r="B44" t="s">
        <v>388</v>
      </c>
      <c r="G44">
        <v>36</v>
      </c>
      <c r="H44" s="265">
        <v>11</v>
      </c>
      <c r="I44" s="265" t="s">
        <v>21</v>
      </c>
      <c r="J44" s="265" t="s">
        <v>25</v>
      </c>
      <c r="K44" s="265" t="s">
        <v>981</v>
      </c>
      <c r="L44" s="265"/>
      <c r="M44" s="265" t="s">
        <v>397</v>
      </c>
      <c r="N44" s="265"/>
      <c r="O44" s="279">
        <v>142.47</v>
      </c>
      <c r="P44" t="s">
        <v>403</v>
      </c>
    </row>
    <row r="45" spans="1:16">
      <c r="A45">
        <v>14</v>
      </c>
      <c r="B45" t="s">
        <v>388</v>
      </c>
      <c r="G45">
        <v>37</v>
      </c>
      <c r="H45" s="265">
        <v>11</v>
      </c>
      <c r="I45" s="265" t="s">
        <v>21</v>
      </c>
      <c r="J45" s="265" t="s">
        <v>25</v>
      </c>
      <c r="K45" s="265" t="s">
        <v>981</v>
      </c>
      <c r="L45" s="265"/>
      <c r="M45" s="265" t="s">
        <v>397</v>
      </c>
      <c r="N45" s="265"/>
      <c r="O45" s="279">
        <v>142.47</v>
      </c>
      <c r="P45" t="s">
        <v>403</v>
      </c>
    </row>
    <row r="46" spans="1:16">
      <c r="A46">
        <v>14</v>
      </c>
      <c r="B46" t="s">
        <v>388</v>
      </c>
      <c r="G46">
        <v>38</v>
      </c>
      <c r="H46" s="265">
        <v>11</v>
      </c>
      <c r="I46" s="265" t="s">
        <v>21</v>
      </c>
      <c r="J46" s="265" t="s">
        <v>25</v>
      </c>
      <c r="K46" s="265" t="s">
        <v>981</v>
      </c>
      <c r="L46" s="265"/>
      <c r="M46" s="265" t="s">
        <v>397</v>
      </c>
      <c r="N46" s="265"/>
      <c r="O46" s="279">
        <v>142.47</v>
      </c>
      <c r="P46" t="s">
        <v>403</v>
      </c>
    </row>
    <row r="47" spans="1:16">
      <c r="A47">
        <v>14</v>
      </c>
      <c r="B47" t="s">
        <v>388</v>
      </c>
      <c r="G47">
        <v>39</v>
      </c>
      <c r="H47" s="265">
        <v>11</v>
      </c>
      <c r="I47" s="265" t="s">
        <v>21</v>
      </c>
      <c r="J47" s="265" t="s">
        <v>25</v>
      </c>
      <c r="K47" s="265" t="s">
        <v>981</v>
      </c>
      <c r="L47" s="265"/>
      <c r="M47" s="265" t="s">
        <v>397</v>
      </c>
      <c r="N47" s="265"/>
      <c r="O47" s="279">
        <v>142.47</v>
      </c>
      <c r="P47" t="s">
        <v>403</v>
      </c>
    </row>
    <row r="48" spans="1:16">
      <c r="A48">
        <v>14</v>
      </c>
      <c r="B48" t="s">
        <v>388</v>
      </c>
      <c r="G48">
        <v>40</v>
      </c>
      <c r="H48" s="265">
        <v>11</v>
      </c>
      <c r="I48" s="265" t="s">
        <v>21</v>
      </c>
      <c r="J48" s="265" t="s">
        <v>25</v>
      </c>
      <c r="K48" s="265" t="s">
        <v>981</v>
      </c>
      <c r="L48" s="265"/>
      <c r="M48" s="265" t="s">
        <v>397</v>
      </c>
      <c r="N48" s="265"/>
      <c r="O48" s="279">
        <v>142.47</v>
      </c>
      <c r="P48" t="s">
        <v>403</v>
      </c>
    </row>
    <row r="49" spans="1:16">
      <c r="A49">
        <v>14</v>
      </c>
      <c r="B49" t="s">
        <v>388</v>
      </c>
      <c r="G49">
        <v>41</v>
      </c>
      <c r="H49" s="265">
        <v>11</v>
      </c>
      <c r="I49" s="265" t="s">
        <v>21</v>
      </c>
      <c r="J49" s="265" t="s">
        <v>25</v>
      </c>
      <c r="K49" s="265" t="s">
        <v>981</v>
      </c>
      <c r="L49" s="265"/>
      <c r="M49" s="265" t="s">
        <v>397</v>
      </c>
      <c r="N49" s="265"/>
      <c r="O49" s="279">
        <v>142.47</v>
      </c>
      <c r="P49" t="s">
        <v>403</v>
      </c>
    </row>
    <row r="50" spans="1:16">
      <c r="A50">
        <v>14</v>
      </c>
      <c r="B50" t="s">
        <v>388</v>
      </c>
      <c r="G50">
        <v>42</v>
      </c>
      <c r="H50" s="265">
        <v>11</v>
      </c>
      <c r="I50" s="265" t="s">
        <v>21</v>
      </c>
      <c r="J50" s="265" t="s">
        <v>25</v>
      </c>
      <c r="K50" s="265" t="s">
        <v>981</v>
      </c>
      <c r="L50" s="265"/>
      <c r="M50" s="265" t="s">
        <v>397</v>
      </c>
      <c r="N50" s="265"/>
      <c r="O50" s="279">
        <v>142.47</v>
      </c>
      <c r="P50" t="s">
        <v>403</v>
      </c>
    </row>
    <row r="51" spans="1:16">
      <c r="A51">
        <v>14</v>
      </c>
      <c r="B51" t="s">
        <v>388</v>
      </c>
      <c r="G51">
        <v>43</v>
      </c>
      <c r="H51" s="265">
        <v>11</v>
      </c>
      <c r="I51" s="265" t="s">
        <v>21</v>
      </c>
      <c r="J51" s="265" t="s">
        <v>25</v>
      </c>
      <c r="K51" s="265" t="s">
        <v>981</v>
      </c>
      <c r="L51" s="265"/>
      <c r="M51" s="265" t="s">
        <v>397</v>
      </c>
      <c r="N51" s="265"/>
      <c r="O51" s="279">
        <v>142.47</v>
      </c>
      <c r="P51" t="s">
        <v>403</v>
      </c>
    </row>
    <row r="52" spans="1:16">
      <c r="A52">
        <v>14</v>
      </c>
      <c r="B52" t="s">
        <v>388</v>
      </c>
      <c r="G52">
        <v>44</v>
      </c>
      <c r="H52" s="265">
        <v>11</v>
      </c>
      <c r="I52" s="265" t="s">
        <v>21</v>
      </c>
      <c r="J52" s="265" t="s">
        <v>25</v>
      </c>
      <c r="K52" s="265" t="s">
        <v>981</v>
      </c>
      <c r="L52" s="265"/>
      <c r="M52" s="265" t="s">
        <v>397</v>
      </c>
      <c r="N52" s="265"/>
      <c r="O52" s="279">
        <v>142.47</v>
      </c>
      <c r="P52" t="s">
        <v>403</v>
      </c>
    </row>
    <row r="53" spans="1:16">
      <c r="A53">
        <v>14</v>
      </c>
      <c r="B53" t="s">
        <v>388</v>
      </c>
      <c r="G53">
        <v>45</v>
      </c>
      <c r="H53" s="265">
        <v>11</v>
      </c>
      <c r="I53" s="265" t="s">
        <v>21</v>
      </c>
      <c r="J53" s="265" t="s">
        <v>25</v>
      </c>
      <c r="K53" s="265" t="s">
        <v>981</v>
      </c>
      <c r="L53" s="265"/>
      <c r="M53" s="265" t="s">
        <v>397</v>
      </c>
      <c r="N53" s="265"/>
      <c r="O53" s="279">
        <v>142.47</v>
      </c>
      <c r="P53" t="s">
        <v>403</v>
      </c>
    </row>
    <row r="54" spans="1:16">
      <c r="A54">
        <v>14</v>
      </c>
      <c r="B54" t="s">
        <v>388</v>
      </c>
      <c r="G54">
        <v>46</v>
      </c>
      <c r="H54" s="265">
        <v>11</v>
      </c>
      <c r="I54" s="265" t="s">
        <v>21</v>
      </c>
      <c r="J54" s="265" t="s">
        <v>25</v>
      </c>
      <c r="K54" s="265" t="s">
        <v>981</v>
      </c>
      <c r="L54" s="265"/>
      <c r="M54" s="265" t="s">
        <v>397</v>
      </c>
      <c r="N54" s="265"/>
      <c r="O54" s="279">
        <v>142.47</v>
      </c>
      <c r="P54" t="s">
        <v>403</v>
      </c>
    </row>
    <row r="55" spans="1:16">
      <c r="A55">
        <v>14</v>
      </c>
      <c r="B55" t="s">
        <v>388</v>
      </c>
      <c r="G55">
        <v>47</v>
      </c>
      <c r="H55" s="265">
        <v>11</v>
      </c>
      <c r="I55" s="265" t="s">
        <v>21</v>
      </c>
      <c r="J55" s="265" t="s">
        <v>25</v>
      </c>
      <c r="K55" s="265" t="s">
        <v>981</v>
      </c>
      <c r="L55" s="265"/>
      <c r="M55" s="265" t="s">
        <v>397</v>
      </c>
      <c r="N55" s="265"/>
      <c r="O55" s="279">
        <v>142.47</v>
      </c>
      <c r="P55" t="s">
        <v>403</v>
      </c>
    </row>
    <row r="56" spans="1:16">
      <c r="A56">
        <v>14</v>
      </c>
      <c r="B56" t="s">
        <v>388</v>
      </c>
      <c r="G56">
        <v>48</v>
      </c>
      <c r="H56" s="265">
        <v>11</v>
      </c>
      <c r="I56" s="265" t="s">
        <v>21</v>
      </c>
      <c r="J56" s="265" t="s">
        <v>25</v>
      </c>
      <c r="K56" s="265" t="s">
        <v>981</v>
      </c>
      <c r="L56" s="265"/>
      <c r="M56" s="265" t="s">
        <v>397</v>
      </c>
      <c r="N56" s="265"/>
      <c r="O56" s="279">
        <v>142.47</v>
      </c>
      <c r="P56" t="s">
        <v>403</v>
      </c>
    </row>
    <row r="57" spans="1:16">
      <c r="A57">
        <v>14</v>
      </c>
      <c r="B57" t="s">
        <v>388</v>
      </c>
      <c r="G57">
        <v>49</v>
      </c>
      <c r="H57" s="265">
        <v>11</v>
      </c>
      <c r="I57" s="265" t="s">
        <v>21</v>
      </c>
      <c r="J57" s="265" t="s">
        <v>25</v>
      </c>
      <c r="K57" s="265" t="s">
        <v>981</v>
      </c>
      <c r="L57" s="265"/>
      <c r="M57" s="265" t="s">
        <v>397</v>
      </c>
      <c r="N57" s="265"/>
      <c r="O57" s="279">
        <v>142.47</v>
      </c>
      <c r="P57" t="s">
        <v>403</v>
      </c>
    </row>
    <row r="58" spans="1:16">
      <c r="A58">
        <v>14</v>
      </c>
      <c r="B58" t="s">
        <v>388</v>
      </c>
      <c r="G58">
        <v>50</v>
      </c>
      <c r="H58" s="265">
        <v>11</v>
      </c>
      <c r="I58" s="265" t="s">
        <v>21</v>
      </c>
      <c r="J58" s="265" t="s">
        <v>25</v>
      </c>
      <c r="K58" s="265" t="s">
        <v>981</v>
      </c>
      <c r="L58" s="265"/>
      <c r="M58" s="265" t="s">
        <v>397</v>
      </c>
      <c r="N58" s="265"/>
      <c r="O58" s="279">
        <v>142.47</v>
      </c>
      <c r="P58" t="s">
        <v>403</v>
      </c>
    </row>
    <row r="59" spans="1:16">
      <c r="A59">
        <v>14</v>
      </c>
      <c r="B59" t="s">
        <v>388</v>
      </c>
      <c r="G59">
        <v>40</v>
      </c>
      <c r="H59" s="263"/>
      <c r="I59" s="265" t="s">
        <v>398</v>
      </c>
      <c r="J59" s="265" t="s">
        <v>25</v>
      </c>
      <c r="K59" s="289" t="s">
        <v>981</v>
      </c>
      <c r="L59" s="265"/>
      <c r="M59" s="265" t="s">
        <v>399</v>
      </c>
      <c r="N59" s="265"/>
      <c r="O59" s="279">
        <v>208.58</v>
      </c>
      <c r="P59" t="s">
        <v>404</v>
      </c>
    </row>
  </sheetData>
  <autoFilter ref="A1:R59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="80" zoomScaleNormal="80" workbookViewId="0">
      <pane ySplit="1" topLeftCell="A2" activePane="bottomLeft" state="frozen"/>
      <selection pane="bottomLeft" activeCell="J31" sqref="J31"/>
    </sheetView>
  </sheetViews>
  <sheetFormatPr defaultRowHeight="14.5"/>
  <cols>
    <col min="2" max="2" width="27.26953125" bestFit="1" customWidth="1"/>
    <col min="3" max="3" width="13.7265625" bestFit="1" customWidth="1"/>
    <col min="4" max="4" width="6.54296875" customWidth="1"/>
    <col min="5" max="5" width="6.7265625" customWidth="1"/>
    <col min="6" max="6" width="7.26953125" customWidth="1"/>
    <col min="7" max="7" width="5" bestFit="1" customWidth="1"/>
    <col min="8" max="8" width="12.1796875" bestFit="1" customWidth="1"/>
    <col min="9" max="9" width="10.26953125" customWidth="1"/>
    <col min="10" max="10" width="16.7265625" bestFit="1" customWidth="1"/>
    <col min="11" max="11" width="17.26953125" bestFit="1" customWidth="1"/>
    <col min="12" max="12" width="14.453125" bestFit="1" customWidth="1"/>
    <col min="13" max="13" width="37.26953125" bestFit="1" customWidth="1"/>
    <col min="14" max="14" width="12.81640625" bestFit="1" customWidth="1"/>
    <col min="15" max="15" width="11.54296875" bestFit="1" customWidth="1"/>
    <col min="16" max="16" width="88.7265625" bestFit="1" customWidth="1"/>
    <col min="17" max="17" width="11.1796875" bestFit="1" customWidth="1"/>
    <col min="18" max="18" width="63.453125" bestFit="1" customWidth="1"/>
    <col min="19" max="19" width="37.726562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406</v>
      </c>
      <c r="G2">
        <v>1</v>
      </c>
      <c r="I2" t="s">
        <v>21</v>
      </c>
      <c r="J2" t="s">
        <v>61</v>
      </c>
      <c r="K2" t="s">
        <v>26</v>
      </c>
      <c r="L2" s="52" t="s">
        <v>147</v>
      </c>
      <c r="M2" t="s">
        <v>407</v>
      </c>
      <c r="O2" s="1">
        <v>0</v>
      </c>
      <c r="P2" t="s">
        <v>409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406</v>
      </c>
      <c r="G3">
        <v>1</v>
      </c>
      <c r="I3" t="s">
        <v>21</v>
      </c>
      <c r="J3" t="s">
        <v>61</v>
      </c>
      <c r="K3" t="s">
        <v>71</v>
      </c>
      <c r="L3" t="s">
        <v>33</v>
      </c>
      <c r="M3" t="s">
        <v>701</v>
      </c>
      <c r="O3" s="1">
        <f>X15*V15*70</f>
        <v>31.499999999999996</v>
      </c>
      <c r="P3" t="s">
        <v>410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406</v>
      </c>
      <c r="G4">
        <v>1</v>
      </c>
      <c r="I4" t="s">
        <v>21</v>
      </c>
      <c r="J4" t="s">
        <v>61</v>
      </c>
      <c r="K4" t="s">
        <v>71</v>
      </c>
      <c r="L4" t="s">
        <v>33</v>
      </c>
      <c r="M4" t="s">
        <v>702</v>
      </c>
      <c r="O4" s="1">
        <f>X16*V16*70</f>
        <v>1400</v>
      </c>
      <c r="P4" t="s">
        <v>411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406</v>
      </c>
      <c r="G5">
        <v>1</v>
      </c>
      <c r="I5" t="s">
        <v>21</v>
      </c>
      <c r="J5" t="s">
        <v>61</v>
      </c>
      <c r="K5" t="s">
        <v>71</v>
      </c>
      <c r="L5" t="s">
        <v>33</v>
      </c>
      <c r="M5" t="s">
        <v>703</v>
      </c>
      <c r="O5" s="1">
        <f>V17*X17*70</f>
        <v>62.999999999999993</v>
      </c>
      <c r="P5" t="s">
        <v>412</v>
      </c>
      <c r="R5" t="s">
        <v>424</v>
      </c>
      <c r="S5" s="325" t="s">
        <v>666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406</v>
      </c>
      <c r="G6">
        <v>1</v>
      </c>
      <c r="H6" s="265">
        <v>10</v>
      </c>
      <c r="I6" s="265" t="s">
        <v>21</v>
      </c>
      <c r="J6" s="265" t="s">
        <v>61</v>
      </c>
      <c r="K6" s="265" t="s">
        <v>30</v>
      </c>
      <c r="L6" s="265" t="s">
        <v>33</v>
      </c>
      <c r="M6" s="265" t="s">
        <v>704</v>
      </c>
      <c r="N6" s="265">
        <f t="shared" ref="N6:N11" si="0">V20*70</f>
        <v>3.5</v>
      </c>
      <c r="O6" s="1">
        <f t="shared" ref="O6:O11" si="1">V20*X20*70</f>
        <v>35</v>
      </c>
      <c r="P6" t="s">
        <v>413</v>
      </c>
      <c r="R6" t="s">
        <v>424</v>
      </c>
      <c r="S6" s="325" t="s">
        <v>757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406</v>
      </c>
      <c r="G7">
        <v>1</v>
      </c>
      <c r="H7" s="265">
        <v>10</v>
      </c>
      <c r="I7" s="265" t="s">
        <v>21</v>
      </c>
      <c r="J7" s="265" t="s">
        <v>61</v>
      </c>
      <c r="K7" s="265" t="s">
        <v>30</v>
      </c>
      <c r="L7" s="265" t="s">
        <v>33</v>
      </c>
      <c r="M7" s="265" t="s">
        <v>705</v>
      </c>
      <c r="N7" s="265">
        <f t="shared" si="0"/>
        <v>14</v>
      </c>
      <c r="O7" s="1">
        <f t="shared" si="1"/>
        <v>140</v>
      </c>
      <c r="P7" t="s">
        <v>414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406</v>
      </c>
      <c r="G8">
        <v>1</v>
      </c>
      <c r="H8" s="265">
        <v>10</v>
      </c>
      <c r="I8" s="265" t="s">
        <v>21</v>
      </c>
      <c r="J8" s="265" t="s">
        <v>61</v>
      </c>
      <c r="K8" s="265" t="s">
        <v>30</v>
      </c>
      <c r="L8" s="265" t="s">
        <v>33</v>
      </c>
      <c r="M8" s="265" t="s">
        <v>432</v>
      </c>
      <c r="N8" s="265">
        <f t="shared" si="0"/>
        <v>7</v>
      </c>
      <c r="O8" s="1">
        <f t="shared" si="1"/>
        <v>70</v>
      </c>
      <c r="P8" t="s">
        <v>415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406</v>
      </c>
      <c r="G9">
        <v>1</v>
      </c>
      <c r="H9" s="265">
        <v>10</v>
      </c>
      <c r="I9" s="265" t="s">
        <v>21</v>
      </c>
      <c r="J9" s="265" t="s">
        <v>61</v>
      </c>
      <c r="K9" s="265" t="s">
        <v>30</v>
      </c>
      <c r="L9" s="265" t="s">
        <v>33</v>
      </c>
      <c r="M9" s="265" t="s">
        <v>706</v>
      </c>
      <c r="N9" s="265">
        <f t="shared" si="0"/>
        <v>10.5</v>
      </c>
      <c r="O9" s="1">
        <f t="shared" si="1"/>
        <v>105</v>
      </c>
      <c r="P9" t="s">
        <v>416</v>
      </c>
      <c r="R9" t="s">
        <v>424</v>
      </c>
      <c r="S9" s="15" t="s">
        <v>670</v>
      </c>
      <c r="T9" s="5"/>
      <c r="U9" s="5"/>
      <c r="V9" s="5"/>
      <c r="W9" s="5"/>
      <c r="X9" s="5"/>
      <c r="Y9" s="5"/>
    </row>
    <row r="10" spans="1:25">
      <c r="A10">
        <v>15</v>
      </c>
      <c r="B10" t="s">
        <v>405</v>
      </c>
      <c r="C10" t="s">
        <v>406</v>
      </c>
      <c r="G10">
        <v>1</v>
      </c>
      <c r="H10" s="265">
        <v>10</v>
      </c>
      <c r="I10" s="265" t="s">
        <v>21</v>
      </c>
      <c r="J10" s="265" t="s">
        <v>61</v>
      </c>
      <c r="K10" s="265" t="s">
        <v>30</v>
      </c>
      <c r="L10" s="265" t="s">
        <v>33</v>
      </c>
      <c r="M10" s="265" t="s">
        <v>707</v>
      </c>
      <c r="N10" s="265">
        <f t="shared" si="0"/>
        <v>17.5</v>
      </c>
      <c r="O10" s="1">
        <f t="shared" si="1"/>
        <v>175</v>
      </c>
      <c r="P10" t="s">
        <v>417</v>
      </c>
      <c r="R10" t="s">
        <v>424</v>
      </c>
      <c r="S10" s="5" t="s">
        <v>671</v>
      </c>
      <c r="T10" s="5"/>
      <c r="U10" s="5"/>
      <c r="V10" s="155">
        <v>120</v>
      </c>
      <c r="W10" s="210" t="s">
        <v>672</v>
      </c>
      <c r="X10" s="155">
        <v>3</v>
      </c>
      <c r="Y10" s="24">
        <f>V10*X10</f>
        <v>360</v>
      </c>
    </row>
    <row r="11" spans="1:25">
      <c r="A11">
        <v>15</v>
      </c>
      <c r="B11" t="s">
        <v>405</v>
      </c>
      <c r="C11" t="s">
        <v>406</v>
      </c>
      <c r="G11">
        <v>1</v>
      </c>
      <c r="H11" s="263" t="s">
        <v>1186</v>
      </c>
      <c r="I11" s="265" t="s">
        <v>21</v>
      </c>
      <c r="J11" s="265" t="s">
        <v>61</v>
      </c>
      <c r="K11" s="265" t="s">
        <v>30</v>
      </c>
      <c r="L11" s="265" t="s">
        <v>33</v>
      </c>
      <c r="M11" s="265" t="s">
        <v>708</v>
      </c>
      <c r="N11" s="265">
        <f t="shared" si="0"/>
        <v>140</v>
      </c>
      <c r="O11" s="1">
        <f t="shared" si="1"/>
        <v>1400</v>
      </c>
      <c r="P11" t="s">
        <v>418</v>
      </c>
      <c r="R11" t="s">
        <v>424</v>
      </c>
      <c r="S11" s="211" t="s">
        <v>673</v>
      </c>
      <c r="T11" s="5"/>
      <c r="U11" s="5"/>
      <c r="V11" s="5"/>
      <c r="W11" s="5"/>
      <c r="X11" s="5"/>
      <c r="Y11" s="26">
        <f>Y10</f>
        <v>360</v>
      </c>
    </row>
    <row r="12" spans="1:25">
      <c r="A12">
        <v>15</v>
      </c>
      <c r="B12" t="s">
        <v>405</v>
      </c>
      <c r="C12" t="s">
        <v>406</v>
      </c>
      <c r="G12">
        <v>1</v>
      </c>
      <c r="H12" s="265"/>
      <c r="I12" s="265" t="s">
        <v>21</v>
      </c>
      <c r="J12" s="265" t="s">
        <v>29</v>
      </c>
      <c r="K12" s="265" t="s">
        <v>26</v>
      </c>
      <c r="L12" s="265" t="s">
        <v>33</v>
      </c>
      <c r="M12" s="265" t="s">
        <v>709</v>
      </c>
      <c r="N12" s="265"/>
      <c r="O12" s="1">
        <f>V31*X31*70</f>
        <v>251.99999999999997</v>
      </c>
      <c r="P12" t="s">
        <v>419</v>
      </c>
      <c r="R12" t="s">
        <v>424</v>
      </c>
      <c r="S12" s="5"/>
      <c r="T12" s="5"/>
      <c r="U12" s="5"/>
      <c r="V12" s="5"/>
      <c r="W12" s="5"/>
      <c r="X12" s="5"/>
      <c r="Y12" s="5"/>
    </row>
    <row r="13" spans="1:25">
      <c r="A13">
        <v>15</v>
      </c>
      <c r="B13" t="s">
        <v>405</v>
      </c>
      <c r="C13" t="s">
        <v>406</v>
      </c>
      <c r="G13">
        <v>1</v>
      </c>
      <c r="H13" s="265">
        <v>14</v>
      </c>
      <c r="I13" s="265" t="s">
        <v>21</v>
      </c>
      <c r="J13" s="265" t="s">
        <v>29</v>
      </c>
      <c r="K13" s="265" t="s">
        <v>30</v>
      </c>
      <c r="L13" s="265" t="s">
        <v>33</v>
      </c>
      <c r="M13" s="265" t="s">
        <v>690</v>
      </c>
      <c r="N13" s="308">
        <f>V33*70</f>
        <v>1050</v>
      </c>
      <c r="O13" s="1">
        <f>V33*X33*70</f>
        <v>10500</v>
      </c>
      <c r="P13" t="s">
        <v>420</v>
      </c>
      <c r="R13" t="s">
        <v>424</v>
      </c>
      <c r="S13" s="15" t="s">
        <v>674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406</v>
      </c>
      <c r="G14">
        <v>1</v>
      </c>
      <c r="H14" s="265">
        <v>15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710</v>
      </c>
      <c r="N14" s="265">
        <f>V34*70</f>
        <v>35</v>
      </c>
      <c r="O14" s="1">
        <f>V34*X34*70</f>
        <v>350</v>
      </c>
      <c r="P14" t="s">
        <v>421</v>
      </c>
      <c r="R14" t="s">
        <v>424</v>
      </c>
      <c r="S14" s="5" t="s">
        <v>675</v>
      </c>
      <c r="T14" s="5"/>
      <c r="U14" s="5"/>
      <c r="V14" s="5"/>
      <c r="W14" s="212"/>
      <c r="X14" s="213"/>
      <c r="Y14" s="213"/>
    </row>
    <row r="15" spans="1:25">
      <c r="A15">
        <v>15</v>
      </c>
      <c r="B15" t="s">
        <v>405</v>
      </c>
      <c r="C15" t="s">
        <v>406</v>
      </c>
      <c r="G15">
        <v>1</v>
      </c>
      <c r="I15" s="265" t="s">
        <v>21</v>
      </c>
      <c r="J15" s="265" t="s">
        <v>25</v>
      </c>
      <c r="K15" s="265" t="s">
        <v>408</v>
      </c>
      <c r="L15" s="265" t="s">
        <v>32</v>
      </c>
      <c r="M15" s="265" t="s">
        <v>711</v>
      </c>
      <c r="O15" s="1">
        <f>Y43*70</f>
        <v>79.8</v>
      </c>
      <c r="P15" t="s">
        <v>422</v>
      </c>
      <c r="R15" t="s">
        <v>424</v>
      </c>
      <c r="S15" s="20" t="s">
        <v>676</v>
      </c>
      <c r="T15" s="5"/>
      <c r="U15" s="5"/>
      <c r="V15" s="155">
        <v>0.75</v>
      </c>
      <c r="W15" s="214" t="s">
        <v>672</v>
      </c>
      <c r="X15" s="215">
        <v>0.6</v>
      </c>
      <c r="Y15" s="22">
        <f>V15*X15</f>
        <v>0.44999999999999996</v>
      </c>
    </row>
    <row r="16" spans="1:25">
      <c r="A16">
        <v>15</v>
      </c>
      <c r="B16" t="s">
        <v>405</v>
      </c>
      <c r="C16" t="s">
        <v>406</v>
      </c>
      <c r="G16">
        <v>1</v>
      </c>
      <c r="I16" t="s">
        <v>21</v>
      </c>
      <c r="J16" t="s">
        <v>25</v>
      </c>
      <c r="K16" t="s">
        <v>408</v>
      </c>
      <c r="L16" t="s">
        <v>32</v>
      </c>
      <c r="M16" t="s">
        <v>712</v>
      </c>
      <c r="O16" s="1">
        <f>Y44*70</f>
        <v>499.79999999999995</v>
      </c>
      <c r="P16" t="s">
        <v>423</v>
      </c>
      <c r="R16" t="s">
        <v>424</v>
      </c>
      <c r="S16" s="20" t="s">
        <v>62</v>
      </c>
      <c r="T16" s="5"/>
      <c r="U16" s="5"/>
      <c r="V16" s="155">
        <v>2</v>
      </c>
      <c r="W16" s="214" t="s">
        <v>672</v>
      </c>
      <c r="X16" s="215">
        <v>10</v>
      </c>
      <c r="Y16" s="213">
        <f>V16*X16</f>
        <v>20</v>
      </c>
    </row>
    <row r="17" spans="1:25">
      <c r="A17">
        <v>15</v>
      </c>
      <c r="B17" t="s">
        <v>405</v>
      </c>
      <c r="C17" t="s">
        <v>406</v>
      </c>
      <c r="G17">
        <v>1</v>
      </c>
      <c r="I17" t="s">
        <v>21</v>
      </c>
      <c r="J17" t="s">
        <v>25</v>
      </c>
      <c r="K17" t="s">
        <v>26</v>
      </c>
      <c r="L17" t="s">
        <v>32</v>
      </c>
      <c r="M17" t="s">
        <v>713</v>
      </c>
      <c r="O17" s="1">
        <f>Y45*70</f>
        <v>160.30000000000001</v>
      </c>
      <c r="P17" t="s">
        <v>714</v>
      </c>
      <c r="R17" t="s">
        <v>424</v>
      </c>
      <c r="S17" s="20" t="s">
        <v>429</v>
      </c>
      <c r="T17" s="5"/>
      <c r="U17" s="5"/>
      <c r="V17" s="155">
        <v>6</v>
      </c>
      <c r="W17" s="214" t="s">
        <v>672</v>
      </c>
      <c r="X17" s="215">
        <v>0.15</v>
      </c>
      <c r="Y17" s="213">
        <f>V17*X17</f>
        <v>0.89999999999999991</v>
      </c>
    </row>
    <row r="18" spans="1:25">
      <c r="S18" s="20" t="s">
        <v>26</v>
      </c>
      <c r="T18" s="5"/>
      <c r="U18" s="5"/>
      <c r="V18" s="155">
        <v>0</v>
      </c>
      <c r="W18" s="214" t="s">
        <v>672</v>
      </c>
      <c r="X18" s="215">
        <v>0</v>
      </c>
      <c r="Y18" s="213">
        <f>V18*X18</f>
        <v>0</v>
      </c>
    </row>
    <row r="19" spans="1:25">
      <c r="H19" s="3" t="s">
        <v>989</v>
      </c>
      <c r="S19" s="5" t="s">
        <v>677</v>
      </c>
      <c r="T19" s="5"/>
      <c r="U19" s="5"/>
      <c r="V19" s="5"/>
      <c r="W19" s="212"/>
      <c r="X19" s="213"/>
      <c r="Y19" s="213"/>
    </row>
    <row r="20" spans="1:25">
      <c r="S20" s="20" t="s">
        <v>678</v>
      </c>
      <c r="T20" s="5"/>
      <c r="U20" s="5"/>
      <c r="V20" s="155">
        <v>0.05</v>
      </c>
      <c r="W20" s="214" t="s">
        <v>679</v>
      </c>
      <c r="X20" s="215">
        <v>10</v>
      </c>
      <c r="Y20" s="213">
        <f t="shared" ref="Y20:Y27" si="2">V20*X20</f>
        <v>0.5</v>
      </c>
    </row>
    <row r="21" spans="1:25">
      <c r="S21" s="20" t="s">
        <v>680</v>
      </c>
      <c r="T21" s="5"/>
      <c r="U21" s="5"/>
      <c r="V21" s="215">
        <v>0.2</v>
      </c>
      <c r="W21" s="214" t="s">
        <v>679</v>
      </c>
      <c r="X21" s="215">
        <v>10</v>
      </c>
      <c r="Y21" s="213">
        <f t="shared" si="2"/>
        <v>2</v>
      </c>
    </row>
    <row r="22" spans="1:25">
      <c r="S22" s="20" t="s">
        <v>681</v>
      </c>
      <c r="T22" s="5"/>
      <c r="U22" s="5"/>
      <c r="V22" s="215">
        <v>0.1</v>
      </c>
      <c r="W22" s="214" t="s">
        <v>679</v>
      </c>
      <c r="X22" s="215">
        <v>10</v>
      </c>
      <c r="Y22" s="213">
        <f t="shared" si="2"/>
        <v>1</v>
      </c>
    </row>
    <row r="23" spans="1:25">
      <c r="S23" s="20" t="s">
        <v>682</v>
      </c>
      <c r="T23" s="5"/>
      <c r="U23" s="5"/>
      <c r="V23" s="215">
        <v>0.15</v>
      </c>
      <c r="W23" s="214" t="s">
        <v>679</v>
      </c>
      <c r="X23" s="215">
        <v>10</v>
      </c>
      <c r="Y23" s="213">
        <f t="shared" si="2"/>
        <v>1.5</v>
      </c>
    </row>
    <row r="24" spans="1:25">
      <c r="S24" s="20" t="s">
        <v>683</v>
      </c>
      <c r="T24" s="5"/>
      <c r="U24" s="5"/>
      <c r="V24" s="215">
        <v>0.25</v>
      </c>
      <c r="W24" s="214" t="s">
        <v>679</v>
      </c>
      <c r="X24" s="215">
        <v>10</v>
      </c>
      <c r="Y24" s="213">
        <f t="shared" si="2"/>
        <v>2.5</v>
      </c>
    </row>
    <row r="25" spans="1:25">
      <c r="S25" s="20" t="s">
        <v>684</v>
      </c>
      <c r="T25" s="5"/>
      <c r="U25" s="5"/>
      <c r="V25" s="215">
        <v>2</v>
      </c>
      <c r="W25" s="214" t="s">
        <v>679</v>
      </c>
      <c r="X25" s="215">
        <v>10</v>
      </c>
      <c r="Y25" s="213">
        <f t="shared" si="2"/>
        <v>20</v>
      </c>
    </row>
    <row r="26" spans="1:25">
      <c r="S26" s="20" t="s">
        <v>26</v>
      </c>
      <c r="T26" s="5"/>
      <c r="U26" s="5"/>
      <c r="V26" s="215">
        <v>0</v>
      </c>
      <c r="W26" s="214" t="s">
        <v>679</v>
      </c>
      <c r="X26" s="215">
        <v>0</v>
      </c>
      <c r="Y26" s="213">
        <f t="shared" si="2"/>
        <v>0</v>
      </c>
    </row>
    <row r="27" spans="1:25">
      <c r="S27" s="5" t="s">
        <v>685</v>
      </c>
      <c r="T27" s="5"/>
      <c r="U27" s="5"/>
      <c r="V27" s="213">
        <f>SUM(Y15:Y25)</f>
        <v>48.849999999999994</v>
      </c>
      <c r="W27" s="214" t="s">
        <v>686</v>
      </c>
      <c r="X27" s="216">
        <v>3.5000000000000003E-2</v>
      </c>
      <c r="Y27" s="217">
        <f t="shared" si="2"/>
        <v>1.7097499999999999</v>
      </c>
    </row>
    <row r="28" spans="1:25">
      <c r="S28" s="211" t="s">
        <v>687</v>
      </c>
      <c r="T28" s="5"/>
      <c r="U28" s="5"/>
      <c r="V28" s="5"/>
      <c r="W28" s="212"/>
      <c r="X28" s="213"/>
      <c r="Y28" s="26">
        <f>SUM(Y15:Y27)</f>
        <v>50.559749999999994</v>
      </c>
    </row>
    <row r="29" spans="1:25">
      <c r="S29" s="5"/>
      <c r="T29" s="5"/>
      <c r="U29" s="5"/>
      <c r="V29" s="5"/>
      <c r="W29" s="212"/>
      <c r="X29" s="213"/>
      <c r="Y29" s="213"/>
    </row>
    <row r="30" spans="1:25">
      <c r="S30" s="15" t="s">
        <v>29</v>
      </c>
      <c r="T30" s="5"/>
      <c r="U30" s="5"/>
      <c r="V30" s="218" t="s">
        <v>667</v>
      </c>
      <c r="W30" s="218" t="s">
        <v>668</v>
      </c>
      <c r="X30" s="219" t="s">
        <v>669</v>
      </c>
      <c r="Y30" s="218" t="s">
        <v>87</v>
      </c>
    </row>
    <row r="31" spans="1:25">
      <c r="S31" s="5" t="s">
        <v>688</v>
      </c>
      <c r="T31" s="5"/>
      <c r="U31" s="5"/>
      <c r="V31" s="220">
        <f>V10</f>
        <v>120</v>
      </c>
      <c r="W31" s="221" t="s">
        <v>689</v>
      </c>
      <c r="X31" s="215">
        <v>0.03</v>
      </c>
      <c r="Y31" s="22">
        <f>V31*X31</f>
        <v>3.5999999999999996</v>
      </c>
    </row>
    <row r="32" spans="1:25">
      <c r="S32" s="5" t="s">
        <v>30</v>
      </c>
      <c r="T32" s="5"/>
      <c r="U32" s="5"/>
      <c r="V32" s="5"/>
      <c r="W32" s="212"/>
      <c r="X32" s="213"/>
      <c r="Y32" s="213"/>
    </row>
    <row r="33" spans="19:25">
      <c r="S33" s="20" t="s">
        <v>690</v>
      </c>
      <c r="T33" s="5"/>
      <c r="U33" s="5"/>
      <c r="V33" s="215">
        <v>15</v>
      </c>
      <c r="W33" s="214" t="s">
        <v>679</v>
      </c>
      <c r="X33" s="215">
        <v>10</v>
      </c>
      <c r="Y33" s="222">
        <f>V33*X33</f>
        <v>150</v>
      </c>
    </row>
    <row r="34" spans="19:25">
      <c r="S34" s="20" t="s">
        <v>691</v>
      </c>
      <c r="T34" s="5"/>
      <c r="U34" s="5"/>
      <c r="V34" s="215">
        <v>0.5</v>
      </c>
      <c r="W34" s="214" t="s">
        <v>679</v>
      </c>
      <c r="X34" s="215">
        <v>10</v>
      </c>
      <c r="Y34" s="222">
        <f>V34*X34</f>
        <v>5</v>
      </c>
    </row>
    <row r="35" spans="19:25">
      <c r="S35" s="20" t="s">
        <v>26</v>
      </c>
      <c r="T35" s="5"/>
      <c r="U35" s="5"/>
      <c r="V35" s="215">
        <v>0</v>
      </c>
      <c r="W35" s="214" t="s">
        <v>679</v>
      </c>
      <c r="X35" s="215">
        <v>0</v>
      </c>
      <c r="Y35" s="223">
        <f>V35*X35</f>
        <v>0</v>
      </c>
    </row>
    <row r="36" spans="19:25">
      <c r="S36" s="211" t="s">
        <v>692</v>
      </c>
      <c r="T36" s="5"/>
      <c r="U36" s="5"/>
      <c r="V36" s="5"/>
      <c r="W36" s="212"/>
      <c r="X36" s="213"/>
      <c r="Y36" s="26">
        <f>SUM(Y31:Y35)</f>
        <v>158.6</v>
      </c>
    </row>
    <row r="37" spans="19:25">
      <c r="S37" s="5"/>
      <c r="T37" s="5"/>
      <c r="U37" s="5"/>
      <c r="V37" s="5"/>
      <c r="W37" s="212"/>
      <c r="X37" s="213"/>
      <c r="Y37" s="22"/>
    </row>
    <row r="38" spans="19:25">
      <c r="S38" s="15" t="s">
        <v>693</v>
      </c>
      <c r="T38" s="5"/>
      <c r="U38" s="5"/>
      <c r="V38" s="5"/>
      <c r="W38" s="212"/>
      <c r="X38" s="213"/>
      <c r="Y38" s="213"/>
    </row>
    <row r="39" spans="19:25">
      <c r="S39" s="5" t="s">
        <v>694</v>
      </c>
      <c r="T39" s="5"/>
      <c r="U39" s="5"/>
      <c r="V39" s="5"/>
      <c r="W39" s="212"/>
      <c r="X39" s="213"/>
      <c r="Y39" s="22">
        <f>Y28+Y36</f>
        <v>209.15974999999997</v>
      </c>
    </row>
    <row r="40" spans="19:25">
      <c r="S40" s="5" t="s">
        <v>695</v>
      </c>
      <c r="T40" s="5"/>
      <c r="U40" s="5"/>
      <c r="V40" s="5"/>
      <c r="W40" s="212"/>
      <c r="X40" s="213"/>
      <c r="Y40" s="213">
        <f>IF(V10&gt;0, Y39/V10, 0)</f>
        <v>1.7429979166666665</v>
      </c>
    </row>
    <row r="41" spans="19:25">
      <c r="S41" s="5"/>
      <c r="T41" s="5"/>
      <c r="U41" s="5"/>
      <c r="V41" s="5"/>
      <c r="W41" s="212"/>
      <c r="X41" s="5"/>
      <c r="Y41" s="213"/>
    </row>
    <row r="42" spans="19:25">
      <c r="S42" s="15" t="s">
        <v>696</v>
      </c>
      <c r="T42" s="5"/>
      <c r="U42" s="5"/>
      <c r="V42" s="5"/>
      <c r="W42" s="212"/>
      <c r="X42" s="5"/>
      <c r="Y42" s="213"/>
    </row>
    <row r="43" spans="19:25">
      <c r="S43" s="20" t="s">
        <v>697</v>
      </c>
      <c r="T43" s="5"/>
      <c r="U43" s="5"/>
      <c r="V43" s="5"/>
      <c r="W43" s="212"/>
      <c r="X43" s="5"/>
      <c r="Y43" s="21">
        <v>1.1399999999999999</v>
      </c>
    </row>
    <row r="44" spans="19:25">
      <c r="S44" s="20" t="s">
        <v>23</v>
      </c>
      <c r="T44" s="5"/>
      <c r="U44" s="5"/>
      <c r="V44" s="5"/>
      <c r="W44" s="212"/>
      <c r="X44" s="5"/>
      <c r="Y44" s="215">
        <v>7.14</v>
      </c>
    </row>
    <row r="45" spans="19:25">
      <c r="S45" s="20" t="s">
        <v>34</v>
      </c>
      <c r="T45" s="5"/>
      <c r="U45" s="5"/>
      <c r="V45" s="5"/>
      <c r="W45" s="212"/>
      <c r="X45" s="5"/>
      <c r="Y45" s="224">
        <v>2.29</v>
      </c>
    </row>
    <row r="46" spans="19:25">
      <c r="S46" s="85" t="s">
        <v>692</v>
      </c>
      <c r="T46" s="5"/>
      <c r="U46" s="5"/>
      <c r="V46" s="5"/>
      <c r="W46" s="212"/>
      <c r="X46" s="5"/>
      <c r="Y46" s="26">
        <f>SUM(Y43:Y45)</f>
        <v>10.57</v>
      </c>
    </row>
    <row r="47" spans="19:25">
      <c r="S47" s="5"/>
      <c r="T47" s="5"/>
      <c r="U47" s="5"/>
      <c r="V47" s="5"/>
      <c r="W47" s="212"/>
      <c r="X47" s="5"/>
      <c r="Y47" s="213"/>
    </row>
    <row r="48" spans="19:25">
      <c r="S48" s="15" t="s">
        <v>698</v>
      </c>
      <c r="T48" s="5"/>
      <c r="U48" s="5"/>
      <c r="V48" s="5"/>
      <c r="W48" s="212"/>
      <c r="X48" s="5"/>
      <c r="Y48" s="213"/>
    </row>
    <row r="49" spans="19:25">
      <c r="S49" s="5" t="s">
        <v>694</v>
      </c>
      <c r="T49" s="5"/>
      <c r="U49" s="5"/>
      <c r="V49" s="5"/>
      <c r="W49" s="212"/>
      <c r="X49" s="5"/>
      <c r="Y49" s="22">
        <f>Y39+Y46</f>
        <v>219.72974999999997</v>
      </c>
    </row>
    <row r="50" spans="19:25">
      <c r="S50" s="5" t="str">
        <f>S40</f>
        <v xml:space="preserve">   Per lb</v>
      </c>
      <c r="T50" s="5"/>
      <c r="U50" s="5"/>
      <c r="V50" s="5"/>
      <c r="W50" s="212"/>
      <c r="X50" s="5"/>
      <c r="Y50" s="213">
        <f>IF(V10&gt;0, Y49/V10, 0)</f>
        <v>1.8310812499999998</v>
      </c>
    </row>
    <row r="51" spans="19:25">
      <c r="S51" s="5"/>
      <c r="T51" s="5"/>
      <c r="U51" s="5"/>
      <c r="V51" s="5"/>
      <c r="W51" s="5"/>
      <c r="X51" s="5"/>
      <c r="Y51" s="213"/>
    </row>
    <row r="52" spans="19:25">
      <c r="S52" s="15" t="s">
        <v>699</v>
      </c>
      <c r="T52" s="5"/>
      <c r="U52" s="5"/>
      <c r="V52" s="5"/>
      <c r="W52" s="5"/>
      <c r="X52" s="5"/>
      <c r="Y52" s="26">
        <f>Y11-Y39</f>
        <v>150.84025000000003</v>
      </c>
    </row>
    <row r="53" spans="19:25">
      <c r="S53" s="5"/>
      <c r="T53" s="5"/>
      <c r="U53" s="5"/>
      <c r="V53" s="5"/>
      <c r="W53" s="5"/>
      <c r="X53" s="5"/>
      <c r="Y53" s="225"/>
    </row>
    <row r="54" spans="19:25">
      <c r="S54" s="15" t="s">
        <v>700</v>
      </c>
      <c r="T54" s="5"/>
      <c r="U54" s="5"/>
      <c r="V54" s="5"/>
      <c r="W54" s="5"/>
      <c r="X54" s="5"/>
      <c r="Y54" s="26">
        <f>Y11-Y49</f>
        <v>140.27025000000003</v>
      </c>
    </row>
  </sheetData>
  <autoFilter ref="A1:Y28"/>
  <mergeCells count="4">
    <mergeCell ref="S2:U2"/>
    <mergeCell ref="S5:U5"/>
    <mergeCell ref="S6:U6"/>
    <mergeCell ref="S7:U7"/>
  </mergeCells>
  <hyperlinks>
    <hyperlink ref="H19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4.5"/>
  <cols>
    <col min="2" max="2" width="27.26953125" bestFit="1" customWidth="1"/>
    <col min="3" max="3" width="13.54296875" bestFit="1" customWidth="1"/>
    <col min="4" max="4" width="7" customWidth="1"/>
    <col min="5" max="5" width="7.54296875" customWidth="1"/>
    <col min="6" max="6" width="7.1796875" customWidth="1"/>
    <col min="7" max="7" width="5.1796875" bestFit="1" customWidth="1"/>
    <col min="8" max="8" width="12.453125" bestFit="1" customWidth="1"/>
    <col min="9" max="9" width="13.54296875" bestFit="1" customWidth="1"/>
    <col min="10" max="10" width="23.81640625" bestFit="1" customWidth="1"/>
    <col min="11" max="11" width="17.26953125" bestFit="1" customWidth="1"/>
    <col min="12" max="12" width="14.453125" bestFit="1" customWidth="1"/>
    <col min="13" max="13" width="44.1796875" bestFit="1" customWidth="1"/>
    <col min="14" max="14" width="13.453125" bestFit="1" customWidth="1"/>
    <col min="15" max="15" width="10.54296875" bestFit="1" customWidth="1"/>
    <col min="16" max="16" width="59.26953125" bestFit="1" customWidth="1"/>
    <col min="17" max="17" width="17.54296875" customWidth="1"/>
    <col min="18" max="18" width="63.453125" bestFit="1" customWidth="1"/>
    <col min="19" max="19" width="55" bestFit="1" customWidth="1"/>
    <col min="22" max="22" width="9.26953125" bestFit="1" customWidth="1"/>
    <col min="23" max="23" width="13.453125" bestFit="1" customWidth="1"/>
    <col min="24" max="24" width="7.1796875" bestFit="1" customWidth="1"/>
    <col min="25" max="25" width="9.8164062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15</v>
      </c>
      <c r="B2" t="s">
        <v>405</v>
      </c>
      <c r="C2" t="s">
        <v>425</v>
      </c>
      <c r="G2">
        <v>0</v>
      </c>
      <c r="I2" t="s">
        <v>426</v>
      </c>
      <c r="J2" t="s">
        <v>61</v>
      </c>
      <c r="K2" t="s">
        <v>71</v>
      </c>
      <c r="L2" t="s">
        <v>33</v>
      </c>
      <c r="M2" t="s">
        <v>427</v>
      </c>
      <c r="O2" s="1">
        <f>V28*X28</f>
        <v>45</v>
      </c>
      <c r="P2" t="s">
        <v>449</v>
      </c>
      <c r="R2" t="s">
        <v>424</v>
      </c>
      <c r="S2" s="322" t="s">
        <v>664</v>
      </c>
      <c r="T2" s="323"/>
      <c r="U2" s="324"/>
      <c r="V2" s="206"/>
      <c r="W2" s="206"/>
      <c r="X2" s="206"/>
      <c r="Y2" s="206"/>
    </row>
    <row r="3" spans="1:25">
      <c r="A3">
        <v>15</v>
      </c>
      <c r="B3" t="s">
        <v>405</v>
      </c>
      <c r="C3" t="s">
        <v>425</v>
      </c>
      <c r="G3">
        <v>0</v>
      </c>
      <c r="I3" t="s">
        <v>426</v>
      </c>
      <c r="J3" t="s">
        <v>61</v>
      </c>
      <c r="K3" t="s">
        <v>71</v>
      </c>
      <c r="L3" t="s">
        <v>33</v>
      </c>
      <c r="M3" t="s">
        <v>428</v>
      </c>
      <c r="O3" s="1">
        <f>(V29*1000)*(X29/1000)</f>
        <v>500</v>
      </c>
      <c r="P3" t="s">
        <v>450</v>
      </c>
      <c r="R3" t="s">
        <v>424</v>
      </c>
      <c r="S3" s="207"/>
      <c r="T3" s="207"/>
      <c r="U3" s="207"/>
      <c r="V3" s="206"/>
      <c r="W3" s="206"/>
      <c r="X3" s="206"/>
      <c r="Y3" s="206"/>
    </row>
    <row r="4" spans="1:25">
      <c r="A4">
        <v>15</v>
      </c>
      <c r="B4" t="s">
        <v>405</v>
      </c>
      <c r="C4" t="s">
        <v>425</v>
      </c>
      <c r="G4">
        <v>0</v>
      </c>
      <c r="I4" t="s">
        <v>426</v>
      </c>
      <c r="J4" t="s">
        <v>61</v>
      </c>
      <c r="K4" t="s">
        <v>71</v>
      </c>
      <c r="L4" t="s">
        <v>33</v>
      </c>
      <c r="M4" t="s">
        <v>429</v>
      </c>
      <c r="O4" s="1">
        <f>V30*X30</f>
        <v>45</v>
      </c>
      <c r="P4" t="s">
        <v>451</v>
      </c>
      <c r="R4" t="s">
        <v>424</v>
      </c>
      <c r="S4" s="207" t="s">
        <v>665</v>
      </c>
      <c r="T4" s="207"/>
      <c r="U4" s="207"/>
      <c r="V4" s="206"/>
      <c r="W4" s="206"/>
      <c r="X4" s="206"/>
      <c r="Y4" s="206"/>
    </row>
    <row r="5" spans="1:25">
      <c r="A5">
        <v>15</v>
      </c>
      <c r="B5" t="s">
        <v>405</v>
      </c>
      <c r="C5" t="s">
        <v>425</v>
      </c>
      <c r="G5">
        <v>0</v>
      </c>
      <c r="I5" t="s">
        <v>426</v>
      </c>
      <c r="J5" t="s">
        <v>61</v>
      </c>
      <c r="K5" t="s">
        <v>71</v>
      </c>
      <c r="L5" t="s">
        <v>33</v>
      </c>
      <c r="M5" t="s">
        <v>430</v>
      </c>
      <c r="O5" s="1">
        <f>V31*X31</f>
        <v>315</v>
      </c>
      <c r="P5" t="s">
        <v>452</v>
      </c>
      <c r="R5" t="s">
        <v>424</v>
      </c>
      <c r="S5" s="325" t="s">
        <v>721</v>
      </c>
      <c r="T5" s="326"/>
      <c r="U5" s="327"/>
      <c r="V5" s="5"/>
      <c r="W5" s="5"/>
      <c r="X5" s="5"/>
      <c r="Y5" s="5"/>
    </row>
    <row r="6" spans="1:25">
      <c r="A6">
        <v>15</v>
      </c>
      <c r="B6" t="s">
        <v>405</v>
      </c>
      <c r="C6" t="s">
        <v>425</v>
      </c>
      <c r="G6">
        <v>0</v>
      </c>
      <c r="H6" s="263" t="s">
        <v>1001</v>
      </c>
      <c r="I6" s="265" t="s">
        <v>426</v>
      </c>
      <c r="J6" s="265" t="s">
        <v>61</v>
      </c>
      <c r="K6" s="265" t="s">
        <v>30</v>
      </c>
      <c r="L6" s="265" t="s">
        <v>33</v>
      </c>
      <c r="M6" s="265" t="s">
        <v>719</v>
      </c>
      <c r="N6" s="308">
        <f>V34</f>
        <v>3</v>
      </c>
      <c r="O6" s="1">
        <f>V34*X34</f>
        <v>30</v>
      </c>
      <c r="P6" t="s">
        <v>453</v>
      </c>
      <c r="R6" t="s">
        <v>424</v>
      </c>
      <c r="S6" s="325" t="s">
        <v>722</v>
      </c>
      <c r="T6" s="326"/>
      <c r="U6" s="327"/>
      <c r="V6" s="5"/>
      <c r="W6" s="5"/>
      <c r="X6" s="5"/>
      <c r="Y6" s="5"/>
    </row>
    <row r="7" spans="1:25">
      <c r="A7">
        <v>15</v>
      </c>
      <c r="B7" t="s">
        <v>405</v>
      </c>
      <c r="C7" t="s">
        <v>425</v>
      </c>
      <c r="G7">
        <v>0</v>
      </c>
      <c r="H7" s="265">
        <v>14</v>
      </c>
      <c r="I7" s="265" t="s">
        <v>426</v>
      </c>
      <c r="J7" s="265" t="s">
        <v>61</v>
      </c>
      <c r="K7" s="265" t="s">
        <v>30</v>
      </c>
      <c r="L7" s="265" t="s">
        <v>33</v>
      </c>
      <c r="M7" s="265" t="s">
        <v>431</v>
      </c>
      <c r="N7" s="308">
        <f>V35</f>
        <v>1</v>
      </c>
      <c r="O7" s="1">
        <f>V35*X35</f>
        <v>10</v>
      </c>
      <c r="P7" t="s">
        <v>454</v>
      </c>
      <c r="R7" t="s">
        <v>424</v>
      </c>
      <c r="S7" s="325"/>
      <c r="T7" s="326"/>
      <c r="U7" s="327"/>
      <c r="V7" s="5"/>
      <c r="W7" s="5"/>
      <c r="X7" s="5"/>
      <c r="Y7" s="5"/>
    </row>
    <row r="8" spans="1:25">
      <c r="A8">
        <v>15</v>
      </c>
      <c r="B8" t="s">
        <v>405</v>
      </c>
      <c r="C8" t="s">
        <v>425</v>
      </c>
      <c r="G8">
        <v>0</v>
      </c>
      <c r="H8" s="265">
        <v>8</v>
      </c>
      <c r="I8" s="265" t="s">
        <v>426</v>
      </c>
      <c r="J8" s="265" t="s">
        <v>61</v>
      </c>
      <c r="K8" s="265" t="s">
        <v>30</v>
      </c>
      <c r="L8" s="265" t="s">
        <v>33</v>
      </c>
      <c r="M8" s="265" t="s">
        <v>432</v>
      </c>
      <c r="N8" s="308">
        <f>V35/6</f>
        <v>0.16666666666666666</v>
      </c>
      <c r="O8" s="1">
        <f>V36*X36/6</f>
        <v>1.6666666666666667</v>
      </c>
      <c r="P8" t="s">
        <v>1047</v>
      </c>
      <c r="R8" t="s">
        <v>424</v>
      </c>
      <c r="S8" s="208"/>
      <c r="T8" s="208"/>
      <c r="U8" s="208"/>
      <c r="V8" s="209" t="s">
        <v>667</v>
      </c>
      <c r="W8" s="209" t="s">
        <v>668</v>
      </c>
      <c r="X8" s="209" t="s">
        <v>669</v>
      </c>
      <c r="Y8" s="209" t="s">
        <v>87</v>
      </c>
    </row>
    <row r="9" spans="1:25">
      <c r="A9">
        <v>15</v>
      </c>
      <c r="B9" t="s">
        <v>405</v>
      </c>
      <c r="C9" t="s">
        <v>425</v>
      </c>
      <c r="G9">
        <v>0</v>
      </c>
      <c r="H9" s="265">
        <v>9</v>
      </c>
      <c r="I9" s="265" t="s">
        <v>426</v>
      </c>
      <c r="J9" s="265" t="s">
        <v>61</v>
      </c>
      <c r="K9" s="265" t="s">
        <v>30</v>
      </c>
      <c r="L9" s="265" t="s">
        <v>33</v>
      </c>
      <c r="M9" s="265" t="s">
        <v>432</v>
      </c>
      <c r="N9" s="308">
        <f>V35/6</f>
        <v>0.16666666666666666</v>
      </c>
      <c r="O9" s="1">
        <f>V36*X36/6</f>
        <v>1.6666666666666667</v>
      </c>
      <c r="P9" t="s">
        <v>1047</v>
      </c>
      <c r="R9" t="s">
        <v>424</v>
      </c>
      <c r="S9" s="305"/>
      <c r="T9" s="305"/>
      <c r="U9" s="305"/>
      <c r="V9" s="218"/>
      <c r="W9" s="218"/>
      <c r="X9" s="218"/>
      <c r="Y9" s="218"/>
    </row>
    <row r="10" spans="1:25">
      <c r="A10">
        <v>15</v>
      </c>
      <c r="B10" t="s">
        <v>405</v>
      </c>
      <c r="C10" t="s">
        <v>425</v>
      </c>
      <c r="G10">
        <v>0</v>
      </c>
      <c r="H10" s="265">
        <v>10</v>
      </c>
      <c r="I10" s="265" t="s">
        <v>426</v>
      </c>
      <c r="J10" s="265" t="s">
        <v>61</v>
      </c>
      <c r="K10" s="265" t="s">
        <v>30</v>
      </c>
      <c r="L10" s="265" t="s">
        <v>33</v>
      </c>
      <c r="M10" s="265" t="s">
        <v>432</v>
      </c>
      <c r="N10" s="308">
        <f>V35/6</f>
        <v>0.16666666666666666</v>
      </c>
      <c r="O10" s="1">
        <f>V36*X36/6</f>
        <v>1.6666666666666667</v>
      </c>
      <c r="P10" t="s">
        <v>1047</v>
      </c>
      <c r="R10" t="s">
        <v>424</v>
      </c>
      <c r="S10" s="305"/>
      <c r="T10" s="305"/>
      <c r="U10" s="305"/>
      <c r="V10" s="218"/>
      <c r="W10" s="218"/>
      <c r="X10" s="218"/>
      <c r="Y10" s="218"/>
    </row>
    <row r="11" spans="1:25">
      <c r="A11">
        <v>15</v>
      </c>
      <c r="B11" t="s">
        <v>405</v>
      </c>
      <c r="C11" t="s">
        <v>425</v>
      </c>
      <c r="G11">
        <v>0</v>
      </c>
      <c r="H11" s="265">
        <v>11</v>
      </c>
      <c r="I11" s="265" t="s">
        <v>426</v>
      </c>
      <c r="J11" s="265" t="s">
        <v>61</v>
      </c>
      <c r="K11" s="265" t="s">
        <v>30</v>
      </c>
      <c r="L11" s="265" t="s">
        <v>33</v>
      </c>
      <c r="M11" s="265" t="s">
        <v>432</v>
      </c>
      <c r="N11" s="308">
        <f>V35/6</f>
        <v>0.16666666666666666</v>
      </c>
      <c r="O11" s="1">
        <f>V36*X36/6</f>
        <v>1.6666666666666667</v>
      </c>
      <c r="P11" t="s">
        <v>1047</v>
      </c>
      <c r="R11" t="s">
        <v>424</v>
      </c>
      <c r="S11" s="305"/>
      <c r="T11" s="305"/>
      <c r="U11" s="305"/>
      <c r="V11" s="218"/>
      <c r="W11" s="218"/>
      <c r="X11" s="218"/>
      <c r="Y11" s="218"/>
    </row>
    <row r="12" spans="1:25">
      <c r="A12">
        <v>15</v>
      </c>
      <c r="B12" t="s">
        <v>405</v>
      </c>
      <c r="C12" t="s">
        <v>425</v>
      </c>
      <c r="G12">
        <v>0</v>
      </c>
      <c r="H12" s="265">
        <v>16</v>
      </c>
      <c r="I12" s="265" t="s">
        <v>426</v>
      </c>
      <c r="J12" s="265" t="s">
        <v>61</v>
      </c>
      <c r="K12" s="265" t="s">
        <v>30</v>
      </c>
      <c r="L12" s="265" t="s">
        <v>33</v>
      </c>
      <c r="M12" s="265" t="s">
        <v>432</v>
      </c>
      <c r="N12" s="308">
        <f>V35/3</f>
        <v>0.33333333333333331</v>
      </c>
      <c r="O12" s="1">
        <f>V36*X36/3</f>
        <v>3.3333333333333335</v>
      </c>
      <c r="P12" t="s">
        <v>1048</v>
      </c>
      <c r="R12" t="s">
        <v>424</v>
      </c>
      <c r="S12" s="305"/>
      <c r="T12" s="305"/>
      <c r="U12" s="305"/>
      <c r="V12" s="218"/>
      <c r="W12" s="218"/>
      <c r="X12" s="218"/>
      <c r="Y12" s="218"/>
    </row>
    <row r="13" spans="1:25">
      <c r="A13">
        <v>15</v>
      </c>
      <c r="B13" t="s">
        <v>405</v>
      </c>
      <c r="C13" t="s">
        <v>425</v>
      </c>
      <c r="G13">
        <v>0</v>
      </c>
      <c r="H13" s="263" t="s">
        <v>1000</v>
      </c>
      <c r="I13" s="265" t="s">
        <v>426</v>
      </c>
      <c r="J13" s="265" t="s">
        <v>61</v>
      </c>
      <c r="K13" s="265" t="s">
        <v>30</v>
      </c>
      <c r="L13" s="265" t="s">
        <v>33</v>
      </c>
      <c r="M13" s="265" t="s">
        <v>433</v>
      </c>
      <c r="N13" s="308">
        <f t="shared" ref="N13" si="0">V37</f>
        <v>18</v>
      </c>
      <c r="O13" s="1">
        <f t="shared" ref="O13" si="1">V37*X37</f>
        <v>180</v>
      </c>
      <c r="P13" t="s">
        <v>455</v>
      </c>
      <c r="R13" t="s">
        <v>424</v>
      </c>
      <c r="S13" s="15" t="s">
        <v>670</v>
      </c>
      <c r="T13" s="5"/>
      <c r="U13" s="5"/>
      <c r="V13" s="5"/>
      <c r="W13" s="5"/>
      <c r="X13" s="5"/>
      <c r="Y13" s="5"/>
    </row>
    <row r="14" spans="1:25">
      <c r="A14">
        <v>15</v>
      </c>
      <c r="B14" t="s">
        <v>405</v>
      </c>
      <c r="C14" t="s">
        <v>425</v>
      </c>
      <c r="G14">
        <v>0</v>
      </c>
      <c r="H14" s="316">
        <v>8</v>
      </c>
      <c r="I14" s="265" t="s">
        <v>426</v>
      </c>
      <c r="J14" s="265" t="s">
        <v>61</v>
      </c>
      <c r="K14" s="265" t="s">
        <v>30</v>
      </c>
      <c r="L14" s="265" t="s">
        <v>33</v>
      </c>
      <c r="M14" s="265" t="s">
        <v>434</v>
      </c>
      <c r="N14" s="308">
        <f>V38/2</f>
        <v>45</v>
      </c>
      <c r="O14" s="1">
        <f>V38*X38/2</f>
        <v>450</v>
      </c>
      <c r="P14" t="s">
        <v>1046</v>
      </c>
      <c r="R14" t="s">
        <v>424</v>
      </c>
      <c r="S14" s="5" t="s">
        <v>723</v>
      </c>
      <c r="T14" s="5"/>
      <c r="U14" s="5"/>
      <c r="V14" s="5"/>
      <c r="W14" s="5"/>
      <c r="X14" s="5"/>
      <c r="Y14" s="5"/>
    </row>
    <row r="15" spans="1:25">
      <c r="A15">
        <v>15</v>
      </c>
      <c r="B15" t="s">
        <v>405</v>
      </c>
      <c r="C15" t="s">
        <v>425</v>
      </c>
      <c r="G15">
        <v>0</v>
      </c>
      <c r="H15" s="316">
        <v>9</v>
      </c>
      <c r="I15" s="265" t="s">
        <v>426</v>
      </c>
      <c r="J15" s="265" t="s">
        <v>61</v>
      </c>
      <c r="K15" s="265" t="s">
        <v>30</v>
      </c>
      <c r="L15" s="265" t="s">
        <v>33</v>
      </c>
      <c r="M15" s="265" t="s">
        <v>434</v>
      </c>
      <c r="N15" s="308">
        <f>V38/2</f>
        <v>45</v>
      </c>
      <c r="O15" s="1">
        <f>V38*X38/2</f>
        <v>450</v>
      </c>
      <c r="P15" t="s">
        <v>1046</v>
      </c>
      <c r="R15" t="s">
        <v>424</v>
      </c>
      <c r="S15" s="5"/>
      <c r="T15" s="5"/>
      <c r="U15" s="5"/>
      <c r="V15" s="5"/>
      <c r="W15" s="5"/>
      <c r="X15" s="5"/>
      <c r="Y15" s="5"/>
    </row>
    <row r="16" spans="1:25">
      <c r="A16">
        <v>15</v>
      </c>
      <c r="B16" t="s">
        <v>405</v>
      </c>
      <c r="C16" t="s">
        <v>425</v>
      </c>
      <c r="G16">
        <v>0</v>
      </c>
      <c r="H16" s="316">
        <v>9</v>
      </c>
      <c r="I16" s="265" t="s">
        <v>426</v>
      </c>
      <c r="J16" s="265" t="s">
        <v>61</v>
      </c>
      <c r="K16" s="265" t="s">
        <v>30</v>
      </c>
      <c r="L16" s="265" t="s">
        <v>33</v>
      </c>
      <c r="M16" s="265" t="s">
        <v>435</v>
      </c>
      <c r="N16" s="308">
        <f>V39/4</f>
        <v>0.5</v>
      </c>
      <c r="O16" s="1">
        <f>V39*X39/4</f>
        <v>5</v>
      </c>
      <c r="P16" t="s">
        <v>1045</v>
      </c>
      <c r="R16" t="s">
        <v>424</v>
      </c>
      <c r="S16" s="5" t="s">
        <v>724</v>
      </c>
      <c r="T16" s="5"/>
      <c r="U16" s="5"/>
      <c r="V16" s="226">
        <v>4000</v>
      </c>
      <c r="W16" s="214" t="s">
        <v>725</v>
      </c>
      <c r="X16" s="227">
        <v>2.25</v>
      </c>
      <c r="Y16" s="22">
        <f>V16*X16</f>
        <v>9000</v>
      </c>
    </row>
    <row r="17" spans="1:25">
      <c r="A17">
        <v>15</v>
      </c>
      <c r="B17" t="s">
        <v>405</v>
      </c>
      <c r="C17" t="s">
        <v>425</v>
      </c>
      <c r="G17">
        <v>0</v>
      </c>
      <c r="H17" s="316">
        <v>10</v>
      </c>
      <c r="I17" s="265" t="s">
        <v>426</v>
      </c>
      <c r="J17" s="265" t="s">
        <v>61</v>
      </c>
      <c r="K17" s="265" t="s">
        <v>30</v>
      </c>
      <c r="L17" s="265" t="s">
        <v>33</v>
      </c>
      <c r="M17" s="265" t="s">
        <v>435</v>
      </c>
      <c r="N17" s="308">
        <f>V39/4</f>
        <v>0.5</v>
      </c>
      <c r="O17" s="1">
        <f>V39*X39/4</f>
        <v>5</v>
      </c>
      <c r="P17" t="s">
        <v>1045</v>
      </c>
      <c r="R17" t="s">
        <v>424</v>
      </c>
      <c r="S17" s="5"/>
      <c r="T17" s="5"/>
      <c r="U17" s="5"/>
      <c r="V17" s="226"/>
      <c r="W17" s="214"/>
      <c r="X17" s="227"/>
      <c r="Y17" s="22"/>
    </row>
    <row r="18" spans="1:25">
      <c r="A18">
        <v>15</v>
      </c>
      <c r="B18" t="s">
        <v>405</v>
      </c>
      <c r="C18" t="s">
        <v>425</v>
      </c>
      <c r="G18">
        <v>0</v>
      </c>
      <c r="H18" s="316">
        <v>11</v>
      </c>
      <c r="I18" s="265" t="s">
        <v>426</v>
      </c>
      <c r="J18" s="265" t="s">
        <v>61</v>
      </c>
      <c r="K18" s="265" t="s">
        <v>30</v>
      </c>
      <c r="L18" s="265" t="s">
        <v>33</v>
      </c>
      <c r="M18" s="265" t="s">
        <v>435</v>
      </c>
      <c r="N18" s="308">
        <f>V39/4</f>
        <v>0.5</v>
      </c>
      <c r="O18" s="1">
        <f>V39*X39/4</f>
        <v>5</v>
      </c>
      <c r="P18" t="s">
        <v>1045</v>
      </c>
      <c r="R18" t="s">
        <v>424</v>
      </c>
      <c r="S18" s="5"/>
      <c r="T18" s="5"/>
      <c r="U18" s="5"/>
      <c r="V18" s="226"/>
      <c r="W18" s="214"/>
      <c r="X18" s="227"/>
      <c r="Y18" s="22"/>
    </row>
    <row r="19" spans="1:25">
      <c r="A19">
        <v>15</v>
      </c>
      <c r="B19" t="s">
        <v>405</v>
      </c>
      <c r="C19" t="s">
        <v>425</v>
      </c>
      <c r="G19">
        <v>0</v>
      </c>
      <c r="H19" s="316">
        <v>12</v>
      </c>
      <c r="I19" s="265" t="s">
        <v>426</v>
      </c>
      <c r="J19" s="265" t="s">
        <v>61</v>
      </c>
      <c r="K19" s="265" t="s">
        <v>30</v>
      </c>
      <c r="L19" s="265" t="s">
        <v>33</v>
      </c>
      <c r="M19" s="265" t="s">
        <v>435</v>
      </c>
      <c r="N19" s="308">
        <f>V39/4</f>
        <v>0.5</v>
      </c>
      <c r="O19" s="1">
        <f>V39*X39/4</f>
        <v>5</v>
      </c>
      <c r="P19" t="s">
        <v>1045</v>
      </c>
      <c r="R19" t="s">
        <v>424</v>
      </c>
      <c r="S19" s="5"/>
      <c r="T19" s="5"/>
      <c r="U19" s="5"/>
      <c r="V19" s="226"/>
      <c r="W19" s="214"/>
      <c r="X19" s="227"/>
      <c r="Y19" s="22"/>
    </row>
    <row r="20" spans="1:25">
      <c r="A20">
        <v>15</v>
      </c>
      <c r="B20" t="s">
        <v>405</v>
      </c>
      <c r="C20" t="s">
        <v>425</v>
      </c>
      <c r="G20">
        <v>0</v>
      </c>
      <c r="H20" s="316">
        <v>20</v>
      </c>
      <c r="I20" s="265" t="s">
        <v>426</v>
      </c>
      <c r="J20" s="265" t="s">
        <v>61</v>
      </c>
      <c r="K20" s="265" t="s">
        <v>30</v>
      </c>
      <c r="L20" s="265" t="s">
        <v>33</v>
      </c>
      <c r="M20" s="265" t="s">
        <v>436</v>
      </c>
      <c r="N20" s="308">
        <f>V40/2</f>
        <v>8</v>
      </c>
      <c r="O20" s="1">
        <f>V40*X40/2</f>
        <v>80</v>
      </c>
      <c r="P20" t="s">
        <v>1036</v>
      </c>
      <c r="R20" t="s">
        <v>424</v>
      </c>
      <c r="S20" s="5"/>
      <c r="T20" s="5"/>
      <c r="U20" s="5"/>
      <c r="V20" s="226"/>
      <c r="W20" s="214"/>
      <c r="X20" s="227"/>
      <c r="Y20" s="22"/>
    </row>
    <row r="21" spans="1:25">
      <c r="A21">
        <v>15</v>
      </c>
      <c r="B21" t="s">
        <v>405</v>
      </c>
      <c r="C21" t="s">
        <v>425</v>
      </c>
      <c r="G21">
        <v>0</v>
      </c>
      <c r="H21" s="265">
        <v>21</v>
      </c>
      <c r="I21" s="265" t="s">
        <v>426</v>
      </c>
      <c r="J21" s="265" t="s">
        <v>61</v>
      </c>
      <c r="K21" s="265" t="s">
        <v>30</v>
      </c>
      <c r="L21" s="265" t="s">
        <v>33</v>
      </c>
      <c r="M21" s="265" t="s">
        <v>436</v>
      </c>
      <c r="N21" s="308">
        <f>V40/2</f>
        <v>8</v>
      </c>
      <c r="O21" s="1">
        <f>V40*X40/2</f>
        <v>80</v>
      </c>
      <c r="P21" t="s">
        <v>1036</v>
      </c>
      <c r="R21" t="s">
        <v>424</v>
      </c>
      <c r="S21" s="5" t="s">
        <v>726</v>
      </c>
      <c r="T21" s="5"/>
      <c r="U21" s="5"/>
      <c r="V21" s="226">
        <v>3000</v>
      </c>
      <c r="W21" s="214" t="s">
        <v>725</v>
      </c>
      <c r="X21" s="227">
        <v>2.5</v>
      </c>
      <c r="Y21" s="222">
        <f>V21*X21</f>
        <v>7500</v>
      </c>
    </row>
    <row r="22" spans="1:25">
      <c r="A22">
        <v>15</v>
      </c>
      <c r="B22" t="s">
        <v>405</v>
      </c>
      <c r="C22" t="s">
        <v>425</v>
      </c>
      <c r="G22">
        <v>0</v>
      </c>
      <c r="H22" s="265">
        <v>9</v>
      </c>
      <c r="I22" s="265" t="s">
        <v>426</v>
      </c>
      <c r="J22" s="265" t="s">
        <v>61</v>
      </c>
      <c r="K22" s="265" t="s">
        <v>30</v>
      </c>
      <c r="L22" s="265" t="s">
        <v>33</v>
      </c>
      <c r="M22" s="265" t="s">
        <v>437</v>
      </c>
      <c r="N22" s="308">
        <f>V41/2</f>
        <v>2</v>
      </c>
      <c r="O22" s="1">
        <f>V41*X41/2</f>
        <v>20</v>
      </c>
      <c r="P22" t="s">
        <v>1035</v>
      </c>
      <c r="R22" t="s">
        <v>424</v>
      </c>
      <c r="S22" s="5"/>
      <c r="T22" s="5"/>
      <c r="U22" s="5"/>
      <c r="V22" s="226"/>
      <c r="W22" s="214"/>
      <c r="X22" s="227"/>
      <c r="Y22" s="222"/>
    </row>
    <row r="23" spans="1:25">
      <c r="A23">
        <v>15</v>
      </c>
      <c r="B23" t="s">
        <v>405</v>
      </c>
      <c r="C23" t="s">
        <v>425</v>
      </c>
      <c r="G23">
        <v>0</v>
      </c>
      <c r="H23" s="265">
        <v>21</v>
      </c>
      <c r="I23" s="265" t="s">
        <v>426</v>
      </c>
      <c r="J23" s="265" t="s">
        <v>61</v>
      </c>
      <c r="K23" s="265" t="s">
        <v>30</v>
      </c>
      <c r="L23" s="265" t="s">
        <v>33</v>
      </c>
      <c r="M23" s="265" t="s">
        <v>437</v>
      </c>
      <c r="N23" s="308">
        <f>V41/2</f>
        <v>2</v>
      </c>
      <c r="O23" s="1">
        <f>V41*X41/2</f>
        <v>20</v>
      </c>
      <c r="P23" t="s">
        <v>1035</v>
      </c>
      <c r="R23" t="s">
        <v>424</v>
      </c>
      <c r="S23" s="5" t="s">
        <v>727</v>
      </c>
      <c r="T23" s="5"/>
      <c r="U23" s="5"/>
      <c r="V23" s="228">
        <v>2000</v>
      </c>
      <c r="W23" s="214" t="s">
        <v>725</v>
      </c>
      <c r="X23" s="227">
        <v>3</v>
      </c>
      <c r="Y23" s="223">
        <f>V23*X23</f>
        <v>6000</v>
      </c>
    </row>
    <row r="24" spans="1:25">
      <c r="A24">
        <v>15</v>
      </c>
      <c r="B24" t="s">
        <v>405</v>
      </c>
      <c r="C24" t="s">
        <v>425</v>
      </c>
      <c r="G24">
        <v>1</v>
      </c>
      <c r="I24" t="s">
        <v>21</v>
      </c>
      <c r="J24" t="s">
        <v>22</v>
      </c>
      <c r="K24" t="s">
        <v>71</v>
      </c>
      <c r="L24" t="s">
        <v>33</v>
      </c>
      <c r="M24" t="s">
        <v>429</v>
      </c>
      <c r="N24" s="265"/>
      <c r="O24" s="1">
        <f>V53*X53</f>
        <v>45</v>
      </c>
      <c r="P24" t="s">
        <v>451</v>
      </c>
      <c r="R24" t="s">
        <v>424</v>
      </c>
      <c r="S24" s="211" t="s">
        <v>728</v>
      </c>
      <c r="T24" s="5"/>
      <c r="U24" s="5"/>
      <c r="V24" s="229">
        <f>SUM(V16:V23)/3</f>
        <v>3000</v>
      </c>
      <c r="W24" s="5"/>
      <c r="X24" s="5"/>
      <c r="Y24" s="26">
        <f>SUM(Y16:Y23)/3</f>
        <v>7500</v>
      </c>
    </row>
    <row r="25" spans="1:25">
      <c r="A25">
        <v>15</v>
      </c>
      <c r="B25" t="s">
        <v>405</v>
      </c>
      <c r="C25" t="s">
        <v>425</v>
      </c>
      <c r="G25">
        <v>2</v>
      </c>
      <c r="I25" t="s">
        <v>21</v>
      </c>
      <c r="J25" t="s">
        <v>22</v>
      </c>
      <c r="K25" t="s">
        <v>71</v>
      </c>
      <c r="L25" t="s">
        <v>33</v>
      </c>
      <c r="M25" t="s">
        <v>429</v>
      </c>
      <c r="N25" s="265"/>
      <c r="O25" s="1">
        <f>V53*X53</f>
        <v>45</v>
      </c>
      <c r="P25" t="s">
        <v>451</v>
      </c>
      <c r="R25" t="s">
        <v>424</v>
      </c>
      <c r="S25" s="5"/>
      <c r="T25" s="5"/>
      <c r="U25" s="5"/>
      <c r="V25" s="5"/>
      <c r="W25" s="5"/>
      <c r="X25" s="5"/>
      <c r="Y25" s="5"/>
    </row>
    <row r="26" spans="1:25">
      <c r="A26">
        <v>15</v>
      </c>
      <c r="B26" t="s">
        <v>405</v>
      </c>
      <c r="C26" t="s">
        <v>425</v>
      </c>
      <c r="G26">
        <v>3</v>
      </c>
      <c r="I26" t="s">
        <v>21</v>
      </c>
      <c r="J26" t="s">
        <v>22</v>
      </c>
      <c r="K26" t="s">
        <v>71</v>
      </c>
      <c r="L26" t="s">
        <v>33</v>
      </c>
      <c r="M26" t="s">
        <v>429</v>
      </c>
      <c r="N26" s="265"/>
      <c r="O26" s="1">
        <f>V53*X53</f>
        <v>45</v>
      </c>
      <c r="P26" t="s">
        <v>451</v>
      </c>
      <c r="R26" t="s">
        <v>424</v>
      </c>
      <c r="S26" s="230" t="s">
        <v>729</v>
      </c>
      <c r="T26" s="5"/>
      <c r="U26" s="5"/>
      <c r="V26" s="5"/>
      <c r="W26" s="5"/>
      <c r="X26" s="5"/>
      <c r="Y26" s="5"/>
    </row>
    <row r="27" spans="1:25">
      <c r="A27">
        <v>15</v>
      </c>
      <c r="B27" t="s">
        <v>405</v>
      </c>
      <c r="C27" t="s">
        <v>425</v>
      </c>
      <c r="G27">
        <v>1</v>
      </c>
      <c r="I27" t="s">
        <v>21</v>
      </c>
      <c r="J27" t="s">
        <v>22</v>
      </c>
      <c r="K27" t="s">
        <v>71</v>
      </c>
      <c r="L27" t="s">
        <v>33</v>
      </c>
      <c r="M27" t="s">
        <v>438</v>
      </c>
      <c r="N27" s="265"/>
      <c r="O27" s="1">
        <f>V54*X54</f>
        <v>315</v>
      </c>
      <c r="P27" t="s">
        <v>452</v>
      </c>
      <c r="R27" t="s">
        <v>424</v>
      </c>
      <c r="S27" s="5" t="s">
        <v>675</v>
      </c>
      <c r="T27" s="5"/>
      <c r="U27" s="5"/>
      <c r="V27" s="5"/>
      <c r="W27" s="5"/>
      <c r="X27" s="5"/>
      <c r="Y27" s="5"/>
    </row>
    <row r="28" spans="1:25">
      <c r="A28">
        <v>15</v>
      </c>
      <c r="B28" t="s">
        <v>405</v>
      </c>
      <c r="C28" t="s">
        <v>425</v>
      </c>
      <c r="G28">
        <v>2</v>
      </c>
      <c r="I28" t="s">
        <v>21</v>
      </c>
      <c r="J28" t="s">
        <v>22</v>
      </c>
      <c r="K28" t="s">
        <v>71</v>
      </c>
      <c r="L28" t="s">
        <v>33</v>
      </c>
      <c r="M28" t="s">
        <v>438</v>
      </c>
      <c r="N28" s="265"/>
      <c r="O28" s="1">
        <f>V54*X54</f>
        <v>315</v>
      </c>
      <c r="P28" t="s">
        <v>452</v>
      </c>
      <c r="R28" t="s">
        <v>424</v>
      </c>
      <c r="S28" s="20" t="s">
        <v>730</v>
      </c>
      <c r="T28" s="5"/>
      <c r="U28" s="5"/>
      <c r="V28" s="215">
        <v>75</v>
      </c>
      <c r="W28" s="214" t="s">
        <v>672</v>
      </c>
      <c r="X28" s="215">
        <v>0.6</v>
      </c>
      <c r="Y28" s="22">
        <f>V28*X28</f>
        <v>45</v>
      </c>
    </row>
    <row r="29" spans="1:25">
      <c r="A29">
        <v>15</v>
      </c>
      <c r="B29" t="s">
        <v>405</v>
      </c>
      <c r="C29" t="s">
        <v>425</v>
      </c>
      <c r="G29">
        <v>3</v>
      </c>
      <c r="I29" t="s">
        <v>21</v>
      </c>
      <c r="J29" t="s">
        <v>22</v>
      </c>
      <c r="K29" t="s">
        <v>71</v>
      </c>
      <c r="L29" t="s">
        <v>33</v>
      </c>
      <c r="M29" t="s">
        <v>438</v>
      </c>
      <c r="N29" s="265"/>
      <c r="O29" s="1">
        <f>V54*X54</f>
        <v>315</v>
      </c>
      <c r="P29" t="s">
        <v>452</v>
      </c>
      <c r="R29" t="s">
        <v>424</v>
      </c>
      <c r="S29" s="20" t="s">
        <v>428</v>
      </c>
      <c r="T29" s="5"/>
      <c r="U29" s="5"/>
      <c r="V29" s="215">
        <v>5</v>
      </c>
      <c r="W29" s="214" t="s">
        <v>731</v>
      </c>
      <c r="X29" s="215">
        <v>100</v>
      </c>
      <c r="Y29" s="213">
        <f>V29*X29</f>
        <v>500</v>
      </c>
    </row>
    <row r="30" spans="1:25">
      <c r="A30">
        <v>15</v>
      </c>
      <c r="B30" t="s">
        <v>405</v>
      </c>
      <c r="C30" t="s">
        <v>425</v>
      </c>
      <c r="G30">
        <v>1</v>
      </c>
      <c r="H30" s="265">
        <v>8</v>
      </c>
      <c r="I30" s="265" t="s">
        <v>21</v>
      </c>
      <c r="J30" s="265" t="s">
        <v>22</v>
      </c>
      <c r="K30" s="265" t="s">
        <v>30</v>
      </c>
      <c r="L30" s="265" t="s">
        <v>33</v>
      </c>
      <c r="M30" s="265" t="s">
        <v>439</v>
      </c>
      <c r="N30" s="308">
        <f>V59</f>
        <v>8</v>
      </c>
      <c r="O30" s="1">
        <f>V59*X59</f>
        <v>80</v>
      </c>
      <c r="P30" t="s">
        <v>456</v>
      </c>
      <c r="R30" t="s">
        <v>424</v>
      </c>
      <c r="S30" s="20" t="s">
        <v>429</v>
      </c>
      <c r="T30" s="5"/>
      <c r="U30" s="5"/>
      <c r="V30" s="215">
        <v>300</v>
      </c>
      <c r="W30" s="214" t="s">
        <v>672</v>
      </c>
      <c r="X30" s="215">
        <v>0.15</v>
      </c>
      <c r="Y30" s="213">
        <f>V30*X30</f>
        <v>45</v>
      </c>
    </row>
    <row r="31" spans="1:25">
      <c r="A31">
        <v>15</v>
      </c>
      <c r="B31" t="s">
        <v>405</v>
      </c>
      <c r="C31" t="s">
        <v>425</v>
      </c>
      <c r="G31">
        <v>2</v>
      </c>
      <c r="H31" s="265">
        <v>8</v>
      </c>
      <c r="I31" s="265" t="s">
        <v>21</v>
      </c>
      <c r="J31" s="265" t="s">
        <v>22</v>
      </c>
      <c r="K31" s="265" t="s">
        <v>30</v>
      </c>
      <c r="L31" s="265" t="s">
        <v>33</v>
      </c>
      <c r="M31" s="265" t="s">
        <v>439</v>
      </c>
      <c r="N31" s="308">
        <f>V59</f>
        <v>8</v>
      </c>
      <c r="O31" s="1">
        <f>V59*X59</f>
        <v>80</v>
      </c>
      <c r="P31" t="s">
        <v>456</v>
      </c>
      <c r="R31" t="s">
        <v>424</v>
      </c>
      <c r="S31" s="20" t="s">
        <v>430</v>
      </c>
      <c r="T31" s="5"/>
      <c r="U31" s="5"/>
      <c r="V31" s="215">
        <v>7</v>
      </c>
      <c r="W31" s="214" t="s">
        <v>732</v>
      </c>
      <c r="X31" s="215">
        <v>45</v>
      </c>
      <c r="Y31" s="213">
        <f>V31*X31</f>
        <v>315</v>
      </c>
    </row>
    <row r="32" spans="1:25">
      <c r="A32">
        <v>15</v>
      </c>
      <c r="B32" t="s">
        <v>405</v>
      </c>
      <c r="C32" t="s">
        <v>425</v>
      </c>
      <c r="G32">
        <v>3</v>
      </c>
      <c r="H32" s="265">
        <v>8</v>
      </c>
      <c r="I32" s="265" t="s">
        <v>21</v>
      </c>
      <c r="J32" s="265" t="s">
        <v>22</v>
      </c>
      <c r="K32" s="265" t="s">
        <v>30</v>
      </c>
      <c r="L32" s="265" t="s">
        <v>33</v>
      </c>
      <c r="M32" s="265" t="s">
        <v>439</v>
      </c>
      <c r="N32" s="308">
        <f>V59</f>
        <v>8</v>
      </c>
      <c r="O32" s="1">
        <f>V59*X59</f>
        <v>80</v>
      </c>
      <c r="P32" t="s">
        <v>456</v>
      </c>
      <c r="R32" t="s">
        <v>424</v>
      </c>
      <c r="S32" s="20" t="s">
        <v>26</v>
      </c>
      <c r="T32" s="5"/>
      <c r="U32" s="5"/>
      <c r="V32" s="215">
        <v>0</v>
      </c>
      <c r="W32" s="214"/>
      <c r="X32" s="215">
        <v>0</v>
      </c>
      <c r="Y32" s="213">
        <f>V32*X32</f>
        <v>0</v>
      </c>
    </row>
    <row r="33" spans="1:25">
      <c r="A33">
        <v>15</v>
      </c>
      <c r="B33" t="s">
        <v>405</v>
      </c>
      <c r="C33" t="s">
        <v>425</v>
      </c>
      <c r="G33">
        <v>1</v>
      </c>
      <c r="H33" s="316">
        <v>8</v>
      </c>
      <c r="I33" s="265" t="s">
        <v>21</v>
      </c>
      <c r="J33" s="265" t="s">
        <v>22</v>
      </c>
      <c r="K33" s="265" t="s">
        <v>30</v>
      </c>
      <c r="L33" s="265" t="s">
        <v>33</v>
      </c>
      <c r="M33" s="265" t="s">
        <v>440</v>
      </c>
      <c r="N33" s="308">
        <f>V36/3</f>
        <v>0.33333333333333331</v>
      </c>
      <c r="O33" s="1">
        <f>V36*X36/3</f>
        <v>3.3333333333333335</v>
      </c>
      <c r="P33" t="s">
        <v>1039</v>
      </c>
      <c r="R33" t="s">
        <v>424</v>
      </c>
      <c r="S33" s="5" t="s">
        <v>30</v>
      </c>
      <c r="T33" s="5"/>
      <c r="U33" s="5"/>
      <c r="V33" s="5"/>
      <c r="W33" s="212"/>
      <c r="X33" s="213"/>
      <c r="Y33" s="213"/>
    </row>
    <row r="34" spans="1:25">
      <c r="A34">
        <v>15</v>
      </c>
      <c r="B34" t="s">
        <v>405</v>
      </c>
      <c r="C34" t="s">
        <v>425</v>
      </c>
      <c r="G34">
        <v>2</v>
      </c>
      <c r="H34" s="316">
        <v>8</v>
      </c>
      <c r="I34" s="265" t="s">
        <v>21</v>
      </c>
      <c r="J34" s="265" t="s">
        <v>22</v>
      </c>
      <c r="K34" s="265" t="s">
        <v>30</v>
      </c>
      <c r="L34" s="265" t="s">
        <v>33</v>
      </c>
      <c r="M34" s="265" t="s">
        <v>440</v>
      </c>
      <c r="N34" s="308">
        <f>V36/3</f>
        <v>0.33333333333333331</v>
      </c>
      <c r="O34" s="1">
        <f>V36*X36/3</f>
        <v>3.3333333333333335</v>
      </c>
      <c r="P34" t="s">
        <v>1039</v>
      </c>
      <c r="R34" t="s">
        <v>424</v>
      </c>
      <c r="S34" s="20" t="s">
        <v>678</v>
      </c>
      <c r="T34" s="5"/>
      <c r="U34" s="5"/>
      <c r="V34" s="215">
        <v>3</v>
      </c>
      <c r="W34" s="214" t="s">
        <v>679</v>
      </c>
      <c r="X34" s="215">
        <v>10</v>
      </c>
      <c r="Y34" s="213">
        <f>V34*X34</f>
        <v>30</v>
      </c>
    </row>
    <row r="35" spans="1:25">
      <c r="A35">
        <v>15</v>
      </c>
      <c r="B35" t="s">
        <v>405</v>
      </c>
      <c r="C35" t="s">
        <v>425</v>
      </c>
      <c r="G35">
        <v>3</v>
      </c>
      <c r="H35" s="316">
        <v>8</v>
      </c>
      <c r="I35" s="265" t="s">
        <v>21</v>
      </c>
      <c r="J35" s="265" t="s">
        <v>22</v>
      </c>
      <c r="K35" s="265" t="s">
        <v>30</v>
      </c>
      <c r="L35" s="265" t="s">
        <v>33</v>
      </c>
      <c r="M35" s="265" t="s">
        <v>440</v>
      </c>
      <c r="N35" s="308">
        <f>V36/3</f>
        <v>0.33333333333333331</v>
      </c>
      <c r="O35" s="1">
        <f>V36*X36/3</f>
        <v>3.3333333333333335</v>
      </c>
      <c r="P35" t="s">
        <v>1039</v>
      </c>
      <c r="R35" t="s">
        <v>424</v>
      </c>
      <c r="S35" s="20" t="s">
        <v>733</v>
      </c>
      <c r="T35" s="5"/>
      <c r="U35" s="5"/>
      <c r="V35" s="215">
        <v>1</v>
      </c>
      <c r="W35" s="214" t="s">
        <v>679</v>
      </c>
      <c r="X35" s="215">
        <v>10</v>
      </c>
      <c r="Y35" s="213">
        <f t="shared" ref="Y35:Y43" si="2">V35*X35</f>
        <v>10</v>
      </c>
    </row>
    <row r="36" spans="1:25">
      <c r="A36">
        <v>15</v>
      </c>
      <c r="B36" t="s">
        <v>405</v>
      </c>
      <c r="C36" t="s">
        <v>425</v>
      </c>
      <c r="G36">
        <v>1</v>
      </c>
      <c r="H36" s="316">
        <v>9</v>
      </c>
      <c r="I36" s="265" t="s">
        <v>21</v>
      </c>
      <c r="J36" s="265" t="s">
        <v>22</v>
      </c>
      <c r="K36" s="265" t="s">
        <v>30</v>
      </c>
      <c r="L36" s="265" t="s">
        <v>33</v>
      </c>
      <c r="M36" s="265" t="s">
        <v>440</v>
      </c>
      <c r="N36" s="308">
        <f>V36/3</f>
        <v>0.33333333333333331</v>
      </c>
      <c r="O36" s="1">
        <f>V36*X36/3</f>
        <v>3.3333333333333335</v>
      </c>
      <c r="P36" t="s">
        <v>1039</v>
      </c>
      <c r="R36" t="s">
        <v>424</v>
      </c>
      <c r="S36" s="20" t="s">
        <v>681</v>
      </c>
      <c r="T36" s="5"/>
      <c r="U36" s="5"/>
      <c r="V36" s="215">
        <v>1</v>
      </c>
      <c r="W36" s="214" t="s">
        <v>679</v>
      </c>
      <c r="X36" s="215">
        <v>10</v>
      </c>
      <c r="Y36" s="213">
        <f t="shared" si="2"/>
        <v>10</v>
      </c>
    </row>
    <row r="37" spans="1:25">
      <c r="A37">
        <v>15</v>
      </c>
      <c r="B37" t="s">
        <v>405</v>
      </c>
      <c r="C37" t="s">
        <v>425</v>
      </c>
      <c r="G37">
        <v>2</v>
      </c>
      <c r="H37" s="316">
        <v>9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440</v>
      </c>
      <c r="N37" s="308">
        <f>V36/3</f>
        <v>0.33333333333333331</v>
      </c>
      <c r="O37" s="1">
        <f>V36*X36/3</f>
        <v>3.3333333333333335</v>
      </c>
      <c r="P37" t="s">
        <v>1039</v>
      </c>
      <c r="R37" t="s">
        <v>424</v>
      </c>
      <c r="S37" s="20" t="s">
        <v>715</v>
      </c>
      <c r="T37" s="5"/>
      <c r="U37" s="5"/>
      <c r="V37" s="215">
        <v>18</v>
      </c>
      <c r="W37" s="214" t="s">
        <v>679</v>
      </c>
      <c r="X37" s="215">
        <v>10</v>
      </c>
      <c r="Y37" s="213">
        <f t="shared" si="2"/>
        <v>180</v>
      </c>
    </row>
    <row r="38" spans="1:25">
      <c r="A38">
        <v>15</v>
      </c>
      <c r="B38" t="s">
        <v>405</v>
      </c>
      <c r="C38" t="s">
        <v>425</v>
      </c>
      <c r="G38">
        <v>3</v>
      </c>
      <c r="H38" s="316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440</v>
      </c>
      <c r="N38" s="308">
        <f>V36/3</f>
        <v>0.33333333333333331</v>
      </c>
      <c r="O38" s="1">
        <f>V36*X36/3</f>
        <v>3.3333333333333335</v>
      </c>
      <c r="P38" t="s">
        <v>1039</v>
      </c>
      <c r="R38" t="s">
        <v>424</v>
      </c>
      <c r="S38" s="20" t="s">
        <v>734</v>
      </c>
      <c r="T38" s="5"/>
      <c r="U38" s="5"/>
      <c r="V38" s="215">
        <v>90</v>
      </c>
      <c r="W38" s="214" t="s">
        <v>679</v>
      </c>
      <c r="X38" s="215">
        <v>10</v>
      </c>
      <c r="Y38" s="213">
        <f t="shared" si="2"/>
        <v>900</v>
      </c>
    </row>
    <row r="39" spans="1:25">
      <c r="A39">
        <v>15</v>
      </c>
      <c r="B39" t="s">
        <v>405</v>
      </c>
      <c r="C39" t="s">
        <v>425</v>
      </c>
      <c r="G39">
        <v>1</v>
      </c>
      <c r="H39" s="316">
        <v>16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440</v>
      </c>
      <c r="N39" s="308">
        <f>V36/2</f>
        <v>0.5</v>
      </c>
      <c r="O39" s="1">
        <f>V36*X36/2</f>
        <v>5</v>
      </c>
      <c r="P39" t="s">
        <v>1040</v>
      </c>
      <c r="R39" t="s">
        <v>424</v>
      </c>
      <c r="S39" s="20" t="s">
        <v>735</v>
      </c>
      <c r="T39" s="5"/>
      <c r="U39" s="5"/>
      <c r="V39" s="215">
        <v>2</v>
      </c>
      <c r="W39" s="214" t="s">
        <v>679</v>
      </c>
      <c r="X39" s="215">
        <v>10</v>
      </c>
      <c r="Y39" s="213">
        <f t="shared" si="2"/>
        <v>20</v>
      </c>
    </row>
    <row r="40" spans="1:25">
      <c r="A40">
        <v>15</v>
      </c>
      <c r="B40" t="s">
        <v>405</v>
      </c>
      <c r="C40" t="s">
        <v>425</v>
      </c>
      <c r="G40">
        <v>2</v>
      </c>
      <c r="H40" s="316">
        <v>16</v>
      </c>
      <c r="I40" s="265" t="s">
        <v>21</v>
      </c>
      <c r="J40" s="265" t="s">
        <v>22</v>
      </c>
      <c r="K40" s="265" t="s">
        <v>30</v>
      </c>
      <c r="L40" s="265" t="s">
        <v>33</v>
      </c>
      <c r="M40" s="265" t="s">
        <v>440</v>
      </c>
      <c r="N40" s="308">
        <f>V36/2</f>
        <v>0.5</v>
      </c>
      <c r="O40" s="1">
        <f>V36*X36/2</f>
        <v>5</v>
      </c>
      <c r="P40" t="s">
        <v>1040</v>
      </c>
      <c r="R40" t="s">
        <v>424</v>
      </c>
      <c r="S40" s="20" t="s">
        <v>444</v>
      </c>
      <c r="T40" s="5"/>
      <c r="U40" s="5"/>
      <c r="V40" s="215">
        <v>16</v>
      </c>
      <c r="W40" s="214" t="s">
        <v>679</v>
      </c>
      <c r="X40" s="215">
        <v>10</v>
      </c>
      <c r="Y40" s="213">
        <f t="shared" si="2"/>
        <v>160</v>
      </c>
    </row>
    <row r="41" spans="1:25">
      <c r="A41">
        <v>15</v>
      </c>
      <c r="B41" t="s">
        <v>405</v>
      </c>
      <c r="C41" t="s">
        <v>425</v>
      </c>
      <c r="G41">
        <v>3</v>
      </c>
      <c r="H41" s="316">
        <v>16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440</v>
      </c>
      <c r="N41" s="308">
        <f>V36/2</f>
        <v>0.5</v>
      </c>
      <c r="O41" s="1">
        <f>V36*X36/2</f>
        <v>5</v>
      </c>
      <c r="P41" t="s">
        <v>1040</v>
      </c>
      <c r="R41" t="s">
        <v>424</v>
      </c>
      <c r="S41" s="20" t="s">
        <v>683</v>
      </c>
      <c r="T41" s="5"/>
      <c r="U41" s="5"/>
      <c r="V41" s="215">
        <v>4</v>
      </c>
      <c r="W41" s="214" t="s">
        <v>679</v>
      </c>
      <c r="X41" s="215">
        <v>10</v>
      </c>
      <c r="Y41" s="213">
        <f t="shared" si="2"/>
        <v>40</v>
      </c>
    </row>
    <row r="42" spans="1:25">
      <c r="A42">
        <v>15</v>
      </c>
      <c r="B42" t="s">
        <v>405</v>
      </c>
      <c r="C42" t="s">
        <v>425</v>
      </c>
      <c r="G42">
        <v>1</v>
      </c>
      <c r="H42" s="265">
        <v>8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441</v>
      </c>
      <c r="N42" s="308">
        <f>V61/2</f>
        <v>15</v>
      </c>
      <c r="O42" s="1">
        <f>V61*X61/2</f>
        <v>150</v>
      </c>
      <c r="P42" t="s">
        <v>1038</v>
      </c>
      <c r="R42" t="s">
        <v>424</v>
      </c>
      <c r="S42" s="20" t="s">
        <v>26</v>
      </c>
      <c r="T42" s="5"/>
      <c r="U42" s="5"/>
      <c r="V42" s="215">
        <v>0</v>
      </c>
      <c r="W42" s="214"/>
      <c r="X42" s="215">
        <v>0</v>
      </c>
      <c r="Y42" s="213">
        <f>V42*X42</f>
        <v>0</v>
      </c>
    </row>
    <row r="43" spans="1:25">
      <c r="A43">
        <v>15</v>
      </c>
      <c r="B43" t="s">
        <v>405</v>
      </c>
      <c r="C43" t="s">
        <v>425</v>
      </c>
      <c r="G43">
        <v>2</v>
      </c>
      <c r="H43" s="265">
        <v>8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441</v>
      </c>
      <c r="N43" s="308">
        <f>V61/2</f>
        <v>15</v>
      </c>
      <c r="O43" s="1">
        <f>V61*X61/2</f>
        <v>150</v>
      </c>
      <c r="P43" t="s">
        <v>1038</v>
      </c>
      <c r="R43" t="s">
        <v>424</v>
      </c>
      <c r="S43" s="5" t="s">
        <v>736</v>
      </c>
      <c r="T43" s="5"/>
      <c r="U43" s="5"/>
      <c r="V43" s="222">
        <f>SUM(Y28:Y41)</f>
        <v>2255</v>
      </c>
      <c r="W43" s="214" t="s">
        <v>686</v>
      </c>
      <c r="X43" s="215">
        <v>7.0000000000000007E-2</v>
      </c>
      <c r="Y43" s="217">
        <f t="shared" si="2"/>
        <v>157.85000000000002</v>
      </c>
    </row>
    <row r="44" spans="1:25">
      <c r="A44">
        <v>15</v>
      </c>
      <c r="B44" t="s">
        <v>405</v>
      </c>
      <c r="C44" t="s">
        <v>425</v>
      </c>
      <c r="G44">
        <v>3</v>
      </c>
      <c r="H44" s="265">
        <v>8</v>
      </c>
      <c r="I44" s="265" t="s">
        <v>21</v>
      </c>
      <c r="J44" s="265" t="s">
        <v>22</v>
      </c>
      <c r="K44" s="265" t="s">
        <v>30</v>
      </c>
      <c r="L44" s="265" t="s">
        <v>33</v>
      </c>
      <c r="M44" s="265" t="s">
        <v>441</v>
      </c>
      <c r="N44" s="308">
        <f>V61/2</f>
        <v>15</v>
      </c>
      <c r="O44" s="1">
        <f>V61*X61/2</f>
        <v>150</v>
      </c>
      <c r="P44" t="s">
        <v>1038</v>
      </c>
      <c r="R44" t="s">
        <v>424</v>
      </c>
      <c r="S44" s="5"/>
      <c r="T44" s="5"/>
      <c r="U44" s="5"/>
      <c r="V44" s="222"/>
      <c r="W44" s="214"/>
      <c r="X44" s="306"/>
      <c r="Y44" s="217"/>
    </row>
    <row r="45" spans="1:25">
      <c r="A45">
        <v>15</v>
      </c>
      <c r="B45" t="s">
        <v>405</v>
      </c>
      <c r="C45" t="s">
        <v>425</v>
      </c>
      <c r="G45">
        <v>1</v>
      </c>
      <c r="H45" s="265">
        <v>9</v>
      </c>
      <c r="I45" s="265" t="s">
        <v>21</v>
      </c>
      <c r="J45" s="265" t="s">
        <v>22</v>
      </c>
      <c r="K45" s="265" t="s">
        <v>30</v>
      </c>
      <c r="L45" s="265" t="s">
        <v>33</v>
      </c>
      <c r="M45" s="265" t="s">
        <v>441</v>
      </c>
      <c r="N45" s="308">
        <f>V61/2</f>
        <v>15</v>
      </c>
      <c r="O45" s="1">
        <f>V61*X61/2</f>
        <v>150</v>
      </c>
      <c r="P45" t="s">
        <v>1038</v>
      </c>
      <c r="R45" t="s">
        <v>424</v>
      </c>
      <c r="S45" s="5"/>
      <c r="T45" s="5"/>
      <c r="U45" s="5"/>
      <c r="V45" s="222"/>
      <c r="W45" s="214"/>
      <c r="X45" s="306"/>
      <c r="Y45" s="217"/>
    </row>
    <row r="46" spans="1:25">
      <c r="A46">
        <v>15</v>
      </c>
      <c r="B46" t="s">
        <v>405</v>
      </c>
      <c r="C46" t="s">
        <v>425</v>
      </c>
      <c r="G46">
        <v>2</v>
      </c>
      <c r="H46" s="265">
        <v>9</v>
      </c>
      <c r="I46" s="265" t="s">
        <v>21</v>
      </c>
      <c r="J46" s="265" t="s">
        <v>22</v>
      </c>
      <c r="K46" s="265" t="s">
        <v>30</v>
      </c>
      <c r="L46" s="265" t="s">
        <v>33</v>
      </c>
      <c r="M46" s="265" t="s">
        <v>441</v>
      </c>
      <c r="N46" s="308">
        <f>V61/2</f>
        <v>15</v>
      </c>
      <c r="O46" s="1">
        <f>V61*X61/2</f>
        <v>150</v>
      </c>
      <c r="P46" t="s">
        <v>1038</v>
      </c>
      <c r="R46" t="s">
        <v>424</v>
      </c>
      <c r="S46" s="5"/>
      <c r="T46" s="5"/>
      <c r="U46" s="5"/>
      <c r="V46" s="222"/>
      <c r="W46" s="214"/>
      <c r="X46" s="306"/>
      <c r="Y46" s="217"/>
    </row>
    <row r="47" spans="1:25">
      <c r="A47">
        <v>15</v>
      </c>
      <c r="B47" t="s">
        <v>405</v>
      </c>
      <c r="C47" t="s">
        <v>425</v>
      </c>
      <c r="G47">
        <v>3</v>
      </c>
      <c r="H47" s="265">
        <v>9</v>
      </c>
      <c r="I47" s="265" t="s">
        <v>21</v>
      </c>
      <c r="J47" s="265" t="s">
        <v>22</v>
      </c>
      <c r="K47" s="265" t="s">
        <v>30</v>
      </c>
      <c r="L47" s="265" t="s">
        <v>33</v>
      </c>
      <c r="M47" s="265" t="s">
        <v>441</v>
      </c>
      <c r="N47" s="308">
        <f>V61/2</f>
        <v>15</v>
      </c>
      <c r="O47" s="1">
        <f>V61*X61/2</f>
        <v>150</v>
      </c>
      <c r="P47" t="s">
        <v>1038</v>
      </c>
      <c r="R47" t="s">
        <v>424</v>
      </c>
      <c r="S47" s="15" t="s">
        <v>737</v>
      </c>
      <c r="T47" s="5"/>
      <c r="U47" s="5"/>
      <c r="V47" s="5"/>
      <c r="W47" s="212"/>
      <c r="X47" s="213"/>
      <c r="Y47" s="26">
        <f>SUM(Y28:Y43)</f>
        <v>2412.85</v>
      </c>
    </row>
    <row r="48" spans="1:25">
      <c r="A48">
        <v>15</v>
      </c>
      <c r="B48" t="s">
        <v>405</v>
      </c>
      <c r="C48" t="s">
        <v>425</v>
      </c>
      <c r="G48">
        <v>1</v>
      </c>
      <c r="H48" s="265">
        <v>8</v>
      </c>
      <c r="I48" s="265" t="s">
        <v>21</v>
      </c>
      <c r="J48" s="265" t="s">
        <v>22</v>
      </c>
      <c r="K48" s="265" t="s">
        <v>30</v>
      </c>
      <c r="L48" s="265" t="s">
        <v>33</v>
      </c>
      <c r="M48" s="265" t="s">
        <v>442</v>
      </c>
      <c r="N48" s="308">
        <f>V62</f>
        <v>1</v>
      </c>
      <c r="O48" s="1">
        <f>V62*X62</f>
        <v>10</v>
      </c>
      <c r="P48" t="s">
        <v>454</v>
      </c>
      <c r="Q48" t="s">
        <v>1002</v>
      </c>
      <c r="R48" t="s">
        <v>424</v>
      </c>
      <c r="S48" s="5"/>
      <c r="T48" s="5"/>
      <c r="U48" s="5"/>
      <c r="V48" s="5"/>
      <c r="W48" s="212"/>
      <c r="X48" s="213"/>
      <c r="Y48" s="213"/>
    </row>
    <row r="49" spans="1:25">
      <c r="A49">
        <v>15</v>
      </c>
      <c r="B49" t="s">
        <v>405</v>
      </c>
      <c r="C49" t="s">
        <v>425</v>
      </c>
      <c r="G49">
        <v>2</v>
      </c>
      <c r="H49" s="265">
        <v>8</v>
      </c>
      <c r="I49" s="265" t="s">
        <v>21</v>
      </c>
      <c r="J49" s="265" t="s">
        <v>22</v>
      </c>
      <c r="K49" s="265" t="s">
        <v>30</v>
      </c>
      <c r="L49" s="265" t="s">
        <v>33</v>
      </c>
      <c r="M49" s="265" t="s">
        <v>442</v>
      </c>
      <c r="N49" s="308">
        <f>V62</f>
        <v>1</v>
      </c>
      <c r="O49" s="1">
        <f>V62*X62</f>
        <v>10</v>
      </c>
      <c r="P49" t="s">
        <v>454</v>
      </c>
      <c r="R49" t="s">
        <v>424</v>
      </c>
      <c r="S49" s="15" t="s">
        <v>738</v>
      </c>
      <c r="T49" s="5"/>
      <c r="U49" s="5"/>
      <c r="V49" s="219" t="s">
        <v>667</v>
      </c>
      <c r="W49" s="218" t="s">
        <v>668</v>
      </c>
      <c r="X49" s="219" t="s">
        <v>669</v>
      </c>
      <c r="Y49" s="218" t="s">
        <v>87</v>
      </c>
    </row>
    <row r="50" spans="1:25">
      <c r="A50">
        <v>15</v>
      </c>
      <c r="B50" t="s">
        <v>405</v>
      </c>
      <c r="C50" t="s">
        <v>425</v>
      </c>
      <c r="G50">
        <v>3</v>
      </c>
      <c r="H50" s="265">
        <v>8</v>
      </c>
      <c r="I50" s="265" t="s">
        <v>21</v>
      </c>
      <c r="J50" s="265" t="s">
        <v>22</v>
      </c>
      <c r="K50" s="265" t="s">
        <v>30</v>
      </c>
      <c r="L50" s="265" t="s">
        <v>33</v>
      </c>
      <c r="M50" s="265" t="s">
        <v>442</v>
      </c>
      <c r="N50" s="308">
        <f>V62</f>
        <v>1</v>
      </c>
      <c r="O50" s="1">
        <f>V62*X62</f>
        <v>10</v>
      </c>
      <c r="P50" t="s">
        <v>454</v>
      </c>
      <c r="R50" t="s">
        <v>424</v>
      </c>
      <c r="S50" s="15"/>
      <c r="T50" s="5"/>
      <c r="U50" s="5"/>
      <c r="V50" s="219"/>
      <c r="W50" s="218"/>
      <c r="X50" s="219"/>
      <c r="Y50" s="218"/>
    </row>
    <row r="51" spans="1:25">
      <c r="A51">
        <v>15</v>
      </c>
      <c r="B51" t="s">
        <v>405</v>
      </c>
      <c r="C51" t="s">
        <v>425</v>
      </c>
      <c r="G51">
        <v>1</v>
      </c>
      <c r="H51" s="265">
        <v>8</v>
      </c>
      <c r="I51" s="265" t="s">
        <v>21</v>
      </c>
      <c r="J51" s="265" t="s">
        <v>22</v>
      </c>
      <c r="K51" s="265" t="s">
        <v>30</v>
      </c>
      <c r="L51" s="265" t="s">
        <v>33</v>
      </c>
      <c r="M51" s="265" t="s">
        <v>443</v>
      </c>
      <c r="N51" s="308">
        <f>V63/2</f>
        <v>2</v>
      </c>
      <c r="O51" s="1">
        <f>V63*X63/2</f>
        <v>20</v>
      </c>
      <c r="P51" t="s">
        <v>1035</v>
      </c>
      <c r="Q51" t="s">
        <v>1003</v>
      </c>
      <c r="R51" t="s">
        <v>424</v>
      </c>
      <c r="S51" s="15"/>
      <c r="T51" s="5"/>
      <c r="U51" s="5"/>
      <c r="V51" s="219"/>
      <c r="W51" s="218"/>
      <c r="X51" s="219"/>
      <c r="Y51" s="218"/>
    </row>
    <row r="52" spans="1:25">
      <c r="A52">
        <v>15</v>
      </c>
      <c r="B52" t="s">
        <v>405</v>
      </c>
      <c r="C52" t="s">
        <v>425</v>
      </c>
      <c r="G52">
        <v>2</v>
      </c>
      <c r="H52" s="265">
        <v>8</v>
      </c>
      <c r="I52" s="265" t="s">
        <v>21</v>
      </c>
      <c r="J52" s="265" t="s">
        <v>22</v>
      </c>
      <c r="K52" s="265" t="s">
        <v>30</v>
      </c>
      <c r="L52" s="265" t="s">
        <v>33</v>
      </c>
      <c r="M52" s="265" t="s">
        <v>443</v>
      </c>
      <c r="N52" s="308">
        <f>V63/2</f>
        <v>2</v>
      </c>
      <c r="O52" s="1">
        <f>V63*X63/2</f>
        <v>20</v>
      </c>
      <c r="P52" t="s">
        <v>1035</v>
      </c>
      <c r="R52" t="s">
        <v>424</v>
      </c>
      <c r="S52" s="15"/>
      <c r="T52" s="5"/>
      <c r="U52" s="5"/>
      <c r="V52" s="219"/>
      <c r="W52" s="218"/>
      <c r="X52" s="219"/>
      <c r="Y52" s="218"/>
    </row>
    <row r="53" spans="1:25">
      <c r="A53">
        <v>15</v>
      </c>
      <c r="B53" t="s">
        <v>405</v>
      </c>
      <c r="C53" t="s">
        <v>425</v>
      </c>
      <c r="G53">
        <v>3</v>
      </c>
      <c r="H53" s="265">
        <v>8</v>
      </c>
      <c r="I53" s="265" t="s">
        <v>21</v>
      </c>
      <c r="J53" s="265" t="s">
        <v>22</v>
      </c>
      <c r="K53" s="265" t="s">
        <v>30</v>
      </c>
      <c r="L53" s="265" t="s">
        <v>33</v>
      </c>
      <c r="M53" s="265" t="s">
        <v>443</v>
      </c>
      <c r="N53" s="308">
        <f>V63/2</f>
        <v>2</v>
      </c>
      <c r="O53" s="1">
        <f>V63*X63/2</f>
        <v>20</v>
      </c>
      <c r="P53" t="s">
        <v>1035</v>
      </c>
      <c r="R53" t="s">
        <v>424</v>
      </c>
      <c r="S53" s="5" t="s">
        <v>703</v>
      </c>
      <c r="T53" s="5"/>
      <c r="U53" s="5"/>
      <c r="V53" s="215">
        <v>300</v>
      </c>
      <c r="W53" s="214" t="s">
        <v>672</v>
      </c>
      <c r="X53" s="215">
        <v>0.15</v>
      </c>
      <c r="Y53" s="22">
        <f>V53*X53</f>
        <v>45</v>
      </c>
    </row>
    <row r="54" spans="1:25">
      <c r="A54">
        <v>15</v>
      </c>
      <c r="B54" t="s">
        <v>405</v>
      </c>
      <c r="C54" t="s">
        <v>425</v>
      </c>
      <c r="G54">
        <v>1</v>
      </c>
      <c r="H54" s="265">
        <v>9</v>
      </c>
      <c r="I54" s="265" t="s">
        <v>21</v>
      </c>
      <c r="J54" s="265" t="s">
        <v>22</v>
      </c>
      <c r="K54" s="265" t="s">
        <v>30</v>
      </c>
      <c r="L54" s="265" t="s">
        <v>33</v>
      </c>
      <c r="M54" s="265" t="s">
        <v>443</v>
      </c>
      <c r="N54" s="308">
        <f>V63/2</f>
        <v>2</v>
      </c>
      <c r="O54" s="1">
        <f>V63*X63/2</f>
        <v>20</v>
      </c>
      <c r="P54" t="s">
        <v>1035</v>
      </c>
      <c r="R54" t="s">
        <v>424</v>
      </c>
      <c r="S54" s="5" t="s">
        <v>438</v>
      </c>
      <c r="T54" s="5"/>
      <c r="U54" s="5"/>
      <c r="V54" s="215">
        <v>7</v>
      </c>
      <c r="W54" s="214" t="s">
        <v>732</v>
      </c>
      <c r="X54" s="215">
        <v>45</v>
      </c>
      <c r="Y54" s="213">
        <f>V54*X54</f>
        <v>315</v>
      </c>
    </row>
    <row r="55" spans="1:25">
      <c r="A55">
        <v>15</v>
      </c>
      <c r="B55" t="s">
        <v>405</v>
      </c>
      <c r="C55" t="s">
        <v>425</v>
      </c>
      <c r="G55">
        <v>2</v>
      </c>
      <c r="H55" s="265">
        <v>9</v>
      </c>
      <c r="I55" s="265" t="s">
        <v>21</v>
      </c>
      <c r="J55" s="265" t="s">
        <v>22</v>
      </c>
      <c r="K55" s="265" t="s">
        <v>30</v>
      </c>
      <c r="L55" s="265" t="s">
        <v>33</v>
      </c>
      <c r="M55" s="265" t="s">
        <v>443</v>
      </c>
      <c r="N55" s="308">
        <f>V63/2</f>
        <v>2</v>
      </c>
      <c r="O55" s="1">
        <f>V63*X63/2</f>
        <v>20</v>
      </c>
      <c r="P55" t="s">
        <v>1035</v>
      </c>
      <c r="R55" t="s">
        <v>424</v>
      </c>
      <c r="S55" s="5" t="s">
        <v>30</v>
      </c>
      <c r="T55" s="5"/>
      <c r="U55" s="5"/>
      <c r="V55" s="213"/>
      <c r="W55" s="212"/>
      <c r="X55" s="213"/>
      <c r="Y55" s="213"/>
    </row>
    <row r="56" spans="1:25">
      <c r="A56">
        <v>15</v>
      </c>
      <c r="B56" t="s">
        <v>405</v>
      </c>
      <c r="C56" t="s">
        <v>425</v>
      </c>
      <c r="G56">
        <v>3</v>
      </c>
      <c r="H56" s="265">
        <v>9</v>
      </c>
      <c r="I56" s="265" t="s">
        <v>21</v>
      </c>
      <c r="J56" s="265" t="s">
        <v>22</v>
      </c>
      <c r="K56" s="265" t="s">
        <v>30</v>
      </c>
      <c r="L56" s="265" t="s">
        <v>33</v>
      </c>
      <c r="M56" s="265" t="s">
        <v>443</v>
      </c>
      <c r="N56" s="308">
        <f>V63/2</f>
        <v>2</v>
      </c>
      <c r="O56" s="1">
        <f>V63*X63/2</f>
        <v>20</v>
      </c>
      <c r="P56" t="s">
        <v>1035</v>
      </c>
      <c r="R56" t="s">
        <v>424</v>
      </c>
      <c r="S56" s="5"/>
      <c r="T56" s="5"/>
      <c r="U56" s="5"/>
      <c r="V56" s="213"/>
      <c r="W56" s="212"/>
      <c r="X56" s="213"/>
      <c r="Y56" s="213"/>
    </row>
    <row r="57" spans="1:25">
      <c r="A57">
        <v>15</v>
      </c>
      <c r="B57" t="s">
        <v>405</v>
      </c>
      <c r="C57" t="s">
        <v>425</v>
      </c>
      <c r="G57">
        <v>1</v>
      </c>
      <c r="H57" s="265">
        <v>20</v>
      </c>
      <c r="I57" s="265" t="s">
        <v>21</v>
      </c>
      <c r="J57" s="265" t="s">
        <v>22</v>
      </c>
      <c r="K57" s="265" t="s">
        <v>30</v>
      </c>
      <c r="L57" s="265" t="s">
        <v>33</v>
      </c>
      <c r="M57" s="265" t="s">
        <v>444</v>
      </c>
      <c r="N57" s="308">
        <f>V64/2</f>
        <v>8</v>
      </c>
      <c r="O57" s="1">
        <f>V64*X64/2</f>
        <v>80</v>
      </c>
      <c r="P57" t="s">
        <v>1036</v>
      </c>
      <c r="R57" t="s">
        <v>424</v>
      </c>
      <c r="S57" s="5"/>
      <c r="T57" s="5"/>
      <c r="U57" s="5"/>
      <c r="V57" s="213"/>
      <c r="W57" s="212"/>
      <c r="X57" s="213"/>
      <c r="Y57" s="213"/>
    </row>
    <row r="58" spans="1:25">
      <c r="A58">
        <v>15</v>
      </c>
      <c r="B58" t="s">
        <v>405</v>
      </c>
      <c r="C58" t="s">
        <v>425</v>
      </c>
      <c r="G58">
        <v>2</v>
      </c>
      <c r="H58" s="265">
        <v>20</v>
      </c>
      <c r="I58" s="265" t="s">
        <v>21</v>
      </c>
      <c r="J58" s="265" t="s">
        <v>22</v>
      </c>
      <c r="K58" s="265" t="s">
        <v>30</v>
      </c>
      <c r="L58" s="265" t="s">
        <v>33</v>
      </c>
      <c r="M58" s="265" t="s">
        <v>444</v>
      </c>
      <c r="N58" s="308">
        <f>V64/2</f>
        <v>8</v>
      </c>
      <c r="O58" s="1">
        <f>V64*X64/2</f>
        <v>80</v>
      </c>
      <c r="P58" t="s">
        <v>1036</v>
      </c>
      <c r="R58" t="s">
        <v>424</v>
      </c>
      <c r="S58" s="5"/>
      <c r="T58" s="5"/>
      <c r="U58" s="5"/>
      <c r="V58" s="213"/>
      <c r="W58" s="212"/>
      <c r="X58" s="213"/>
      <c r="Y58" s="213"/>
    </row>
    <row r="59" spans="1:25">
      <c r="A59">
        <v>15</v>
      </c>
      <c r="B59" t="s">
        <v>405</v>
      </c>
      <c r="C59" t="s">
        <v>425</v>
      </c>
      <c r="G59">
        <v>3</v>
      </c>
      <c r="H59" s="265">
        <v>20</v>
      </c>
      <c r="I59" s="265" t="s">
        <v>21</v>
      </c>
      <c r="J59" s="265" t="s">
        <v>22</v>
      </c>
      <c r="K59" s="265" t="s">
        <v>30</v>
      </c>
      <c r="L59" s="265" t="s">
        <v>33</v>
      </c>
      <c r="M59" s="265" t="s">
        <v>444</v>
      </c>
      <c r="N59" s="308">
        <f>V64/2</f>
        <v>8</v>
      </c>
      <c r="O59" s="1">
        <f>V64*X64/2</f>
        <v>80</v>
      </c>
      <c r="P59" t="s">
        <v>1036</v>
      </c>
      <c r="R59" t="s">
        <v>424</v>
      </c>
      <c r="S59" s="20" t="s">
        <v>716</v>
      </c>
      <c r="T59" s="5"/>
      <c r="U59" s="5"/>
      <c r="V59" s="215">
        <v>8</v>
      </c>
      <c r="W59" s="214" t="s">
        <v>679</v>
      </c>
      <c r="X59" s="215">
        <v>10</v>
      </c>
      <c r="Y59" s="213">
        <f t="shared" ref="Y59:Y67" si="3">V59*X59</f>
        <v>80</v>
      </c>
    </row>
    <row r="60" spans="1:25">
      <c r="A60">
        <v>15</v>
      </c>
      <c r="B60" t="s">
        <v>405</v>
      </c>
      <c r="C60" t="s">
        <v>425</v>
      </c>
      <c r="G60">
        <v>1</v>
      </c>
      <c r="H60" s="265">
        <v>21</v>
      </c>
      <c r="I60" s="265" t="s">
        <v>21</v>
      </c>
      <c r="J60" s="265" t="s">
        <v>22</v>
      </c>
      <c r="K60" s="265" t="s">
        <v>30</v>
      </c>
      <c r="L60" s="265" t="s">
        <v>33</v>
      </c>
      <c r="M60" s="265" t="s">
        <v>444</v>
      </c>
      <c r="N60" s="308">
        <f>V64/2</f>
        <v>8</v>
      </c>
      <c r="O60" s="1">
        <f>V64*X64/2</f>
        <v>80</v>
      </c>
      <c r="P60" t="s">
        <v>1036</v>
      </c>
      <c r="R60" t="s">
        <v>424</v>
      </c>
      <c r="S60" s="20" t="s">
        <v>440</v>
      </c>
      <c r="T60" s="5"/>
      <c r="U60" s="5"/>
      <c r="V60" s="215">
        <v>1</v>
      </c>
      <c r="W60" s="214" t="s">
        <v>679</v>
      </c>
      <c r="X60" s="215">
        <v>10</v>
      </c>
      <c r="Y60" s="213">
        <f t="shared" si="3"/>
        <v>10</v>
      </c>
    </row>
    <row r="61" spans="1:25">
      <c r="A61">
        <v>15</v>
      </c>
      <c r="B61" t="s">
        <v>405</v>
      </c>
      <c r="C61" t="s">
        <v>425</v>
      </c>
      <c r="G61">
        <v>2</v>
      </c>
      <c r="H61" s="265">
        <v>21</v>
      </c>
      <c r="I61" s="265" t="s">
        <v>21</v>
      </c>
      <c r="J61" s="265" t="s">
        <v>22</v>
      </c>
      <c r="K61" s="265" t="s">
        <v>30</v>
      </c>
      <c r="L61" s="265" t="s">
        <v>33</v>
      </c>
      <c r="M61" s="265" t="s">
        <v>444</v>
      </c>
      <c r="N61" s="308">
        <f>V64/2</f>
        <v>8</v>
      </c>
      <c r="O61" s="1">
        <f>V64*X64/2</f>
        <v>80</v>
      </c>
      <c r="P61" t="s">
        <v>1036</v>
      </c>
      <c r="R61" t="s">
        <v>424</v>
      </c>
      <c r="S61" s="20" t="s">
        <v>441</v>
      </c>
      <c r="T61" s="5"/>
      <c r="U61" s="5"/>
      <c r="V61" s="215">
        <v>30</v>
      </c>
      <c r="W61" s="214" t="s">
        <v>679</v>
      </c>
      <c r="X61" s="215">
        <v>10</v>
      </c>
      <c r="Y61" s="213">
        <f t="shared" si="3"/>
        <v>300</v>
      </c>
    </row>
    <row r="62" spans="1:25">
      <c r="A62">
        <v>15</v>
      </c>
      <c r="B62" t="s">
        <v>405</v>
      </c>
      <c r="C62" t="s">
        <v>425</v>
      </c>
      <c r="G62">
        <v>3</v>
      </c>
      <c r="H62" s="265">
        <v>21</v>
      </c>
      <c r="I62" s="265" t="s">
        <v>21</v>
      </c>
      <c r="J62" s="265" t="s">
        <v>22</v>
      </c>
      <c r="K62" s="265" t="s">
        <v>30</v>
      </c>
      <c r="L62" s="265" t="s">
        <v>33</v>
      </c>
      <c r="M62" s="265" t="s">
        <v>444</v>
      </c>
      <c r="N62" s="308">
        <f>V64/2</f>
        <v>8</v>
      </c>
      <c r="O62" s="1">
        <f>V64*X64/2</f>
        <v>80</v>
      </c>
      <c r="P62" t="s">
        <v>1036</v>
      </c>
      <c r="R62" t="s">
        <v>424</v>
      </c>
      <c r="S62" s="20" t="s">
        <v>442</v>
      </c>
      <c r="T62" s="5"/>
      <c r="U62" s="5"/>
      <c r="V62" s="215">
        <v>1</v>
      </c>
      <c r="W62" s="214" t="s">
        <v>679</v>
      </c>
      <c r="X62" s="215">
        <v>10</v>
      </c>
      <c r="Y62" s="213">
        <f t="shared" si="3"/>
        <v>10</v>
      </c>
    </row>
    <row r="63" spans="1:25">
      <c r="A63">
        <v>15</v>
      </c>
      <c r="B63" t="s">
        <v>405</v>
      </c>
      <c r="C63" t="s">
        <v>425</v>
      </c>
      <c r="G63">
        <v>1</v>
      </c>
      <c r="H63" s="265">
        <v>9</v>
      </c>
      <c r="I63" s="265" t="s">
        <v>21</v>
      </c>
      <c r="J63" s="265" t="s">
        <v>22</v>
      </c>
      <c r="K63" s="265" t="s">
        <v>30</v>
      </c>
      <c r="L63" s="265" t="s">
        <v>33</v>
      </c>
      <c r="M63" s="265" t="s">
        <v>445</v>
      </c>
      <c r="N63" s="308">
        <f>V65/2</f>
        <v>1</v>
      </c>
      <c r="O63" s="1">
        <f>X65</f>
        <v>10</v>
      </c>
      <c r="P63" t="s">
        <v>1037</v>
      </c>
      <c r="R63" t="s">
        <v>424</v>
      </c>
      <c r="S63" s="20" t="s">
        <v>443</v>
      </c>
      <c r="T63" s="5"/>
      <c r="U63" s="5"/>
      <c r="V63" s="215">
        <v>4</v>
      </c>
      <c r="W63" s="214" t="s">
        <v>679</v>
      </c>
      <c r="X63" s="215">
        <v>10</v>
      </c>
      <c r="Y63" s="213">
        <f t="shared" si="3"/>
        <v>40</v>
      </c>
    </row>
    <row r="64" spans="1:25">
      <c r="A64">
        <v>15</v>
      </c>
      <c r="B64" t="s">
        <v>405</v>
      </c>
      <c r="C64" t="s">
        <v>425</v>
      </c>
      <c r="G64">
        <v>2</v>
      </c>
      <c r="H64" s="265">
        <v>9</v>
      </c>
      <c r="I64" s="265" t="s">
        <v>21</v>
      </c>
      <c r="J64" s="265" t="s">
        <v>22</v>
      </c>
      <c r="K64" s="265" t="s">
        <v>30</v>
      </c>
      <c r="L64" s="265" t="s">
        <v>33</v>
      </c>
      <c r="M64" s="265" t="s">
        <v>445</v>
      </c>
      <c r="N64" s="308">
        <f>V65/2</f>
        <v>1</v>
      </c>
      <c r="O64" s="1">
        <f>X65</f>
        <v>10</v>
      </c>
      <c r="P64" t="s">
        <v>1037</v>
      </c>
      <c r="R64" t="s">
        <v>424</v>
      </c>
      <c r="S64" s="20" t="s">
        <v>444</v>
      </c>
      <c r="T64" s="5"/>
      <c r="U64" s="5"/>
      <c r="V64" s="215">
        <v>16</v>
      </c>
      <c r="W64" s="214" t="s">
        <v>679</v>
      </c>
      <c r="X64" s="215">
        <v>10</v>
      </c>
      <c r="Y64" s="213">
        <f t="shared" si="3"/>
        <v>160</v>
      </c>
    </row>
    <row r="65" spans="1:25">
      <c r="A65">
        <v>15</v>
      </c>
      <c r="B65" t="s">
        <v>405</v>
      </c>
      <c r="C65" t="s">
        <v>425</v>
      </c>
      <c r="G65">
        <v>3</v>
      </c>
      <c r="H65" s="265">
        <v>9</v>
      </c>
      <c r="I65" s="265" t="s">
        <v>21</v>
      </c>
      <c r="J65" s="265" t="s">
        <v>22</v>
      </c>
      <c r="K65" s="265" t="s">
        <v>30</v>
      </c>
      <c r="L65" s="265" t="s">
        <v>33</v>
      </c>
      <c r="M65" s="265" t="s">
        <v>445</v>
      </c>
      <c r="N65" s="308">
        <f>V65/2</f>
        <v>1</v>
      </c>
      <c r="O65" s="1">
        <f>X65</f>
        <v>10</v>
      </c>
      <c r="P65" t="s">
        <v>1037</v>
      </c>
      <c r="R65" t="s">
        <v>424</v>
      </c>
      <c r="S65" s="20" t="s">
        <v>445</v>
      </c>
      <c r="T65" s="5"/>
      <c r="U65" s="5"/>
      <c r="V65" s="215">
        <v>2</v>
      </c>
      <c r="W65" s="214" t="s">
        <v>679</v>
      </c>
      <c r="X65" s="215">
        <v>10</v>
      </c>
      <c r="Y65" s="213">
        <f t="shared" si="3"/>
        <v>20</v>
      </c>
    </row>
    <row r="66" spans="1:25">
      <c r="A66">
        <v>15</v>
      </c>
      <c r="B66" t="s">
        <v>405</v>
      </c>
      <c r="C66" t="s">
        <v>425</v>
      </c>
      <c r="G66">
        <v>1</v>
      </c>
      <c r="H66" s="265">
        <v>21</v>
      </c>
      <c r="I66" s="265" t="s">
        <v>21</v>
      </c>
      <c r="J66" s="265" t="s">
        <v>22</v>
      </c>
      <c r="K66" s="265" t="s">
        <v>30</v>
      </c>
      <c r="L66" s="265" t="s">
        <v>33</v>
      </c>
      <c r="M66" s="265" t="s">
        <v>445</v>
      </c>
      <c r="N66" s="308">
        <f>V65/2</f>
        <v>1</v>
      </c>
      <c r="O66" s="1">
        <f>X65</f>
        <v>10</v>
      </c>
      <c r="P66" t="s">
        <v>1037</v>
      </c>
      <c r="R66" t="s">
        <v>424</v>
      </c>
      <c r="S66" s="20" t="s">
        <v>26</v>
      </c>
      <c r="T66" s="5"/>
      <c r="U66" s="5"/>
      <c r="V66" s="215">
        <v>0</v>
      </c>
      <c r="W66" s="214"/>
      <c r="X66" s="215">
        <v>0</v>
      </c>
      <c r="Y66" s="213">
        <f>V66*X66</f>
        <v>0</v>
      </c>
    </row>
    <row r="67" spans="1:25">
      <c r="A67">
        <v>15</v>
      </c>
      <c r="B67" t="s">
        <v>405</v>
      </c>
      <c r="C67" t="s">
        <v>425</v>
      </c>
      <c r="G67">
        <v>2</v>
      </c>
      <c r="H67" s="265">
        <v>21</v>
      </c>
      <c r="I67" s="265" t="s">
        <v>21</v>
      </c>
      <c r="J67" s="265" t="s">
        <v>22</v>
      </c>
      <c r="K67" s="265" t="s">
        <v>30</v>
      </c>
      <c r="L67" s="265" t="s">
        <v>33</v>
      </c>
      <c r="M67" s="265" t="s">
        <v>445</v>
      </c>
      <c r="N67" s="308">
        <f>V65/2</f>
        <v>1</v>
      </c>
      <c r="O67" s="1">
        <f>X65</f>
        <v>10</v>
      </c>
      <c r="P67" t="s">
        <v>1037</v>
      </c>
      <c r="R67" t="s">
        <v>424</v>
      </c>
      <c r="S67" s="5" t="s">
        <v>739</v>
      </c>
      <c r="T67" s="5"/>
      <c r="U67" s="5"/>
      <c r="V67" s="222">
        <f>SUM(Y53:Y65)+Y47</f>
        <v>3392.85</v>
      </c>
      <c r="W67" s="214" t="s">
        <v>686</v>
      </c>
      <c r="X67" s="216">
        <v>3.5000000000000003E-2</v>
      </c>
      <c r="Y67" s="217">
        <f t="shared" si="3"/>
        <v>118.74975000000001</v>
      </c>
    </row>
    <row r="68" spans="1:25">
      <c r="A68">
        <v>15</v>
      </c>
      <c r="B68" t="s">
        <v>405</v>
      </c>
      <c r="C68" t="s">
        <v>425</v>
      </c>
      <c r="G68">
        <v>3</v>
      </c>
      <c r="H68" s="265">
        <v>21</v>
      </c>
      <c r="I68" s="265" t="s">
        <v>21</v>
      </c>
      <c r="J68" s="265" t="s">
        <v>22</v>
      </c>
      <c r="K68" s="265" t="s">
        <v>30</v>
      </c>
      <c r="L68" s="265" t="s">
        <v>33</v>
      </c>
      <c r="M68" s="265" t="s">
        <v>445</v>
      </c>
      <c r="N68" s="308">
        <f>V65/2</f>
        <v>1</v>
      </c>
      <c r="O68" s="1">
        <f>X65</f>
        <v>10</v>
      </c>
      <c r="P68" t="s">
        <v>1037</v>
      </c>
      <c r="R68" t="s">
        <v>424</v>
      </c>
      <c r="S68" s="15" t="s">
        <v>740</v>
      </c>
      <c r="T68" s="5"/>
      <c r="U68" s="5"/>
      <c r="V68" s="5"/>
      <c r="W68" s="212"/>
      <c r="X68" s="213"/>
      <c r="Y68" s="26">
        <f>SUM(Y53:Y67)</f>
        <v>1098.7497499999999</v>
      </c>
    </row>
    <row r="69" spans="1:25">
      <c r="A69">
        <v>15</v>
      </c>
      <c r="B69" t="s">
        <v>405</v>
      </c>
      <c r="C69" t="s">
        <v>425</v>
      </c>
      <c r="G69">
        <v>1</v>
      </c>
      <c r="I69" t="s">
        <v>426</v>
      </c>
      <c r="J69" t="s">
        <v>29</v>
      </c>
      <c r="K69" t="s">
        <v>408</v>
      </c>
      <c r="L69" t="s">
        <v>33</v>
      </c>
      <c r="M69" t="s">
        <v>446</v>
      </c>
      <c r="O69" s="1">
        <f>(V71/V16)*(V16*X71)</f>
        <v>150</v>
      </c>
      <c r="P69" t="s">
        <v>457</v>
      </c>
      <c r="R69" t="s">
        <v>424</v>
      </c>
      <c r="S69" s="5"/>
      <c r="T69" s="5"/>
      <c r="U69" s="5"/>
      <c r="V69" s="5"/>
      <c r="W69" s="212"/>
      <c r="X69" s="213"/>
      <c r="Y69" s="22"/>
    </row>
    <row r="70" spans="1:25">
      <c r="A70">
        <v>15</v>
      </c>
      <c r="B70" t="s">
        <v>405</v>
      </c>
      <c r="C70" t="s">
        <v>425</v>
      </c>
      <c r="G70">
        <v>1</v>
      </c>
      <c r="I70" t="s">
        <v>426</v>
      </c>
      <c r="J70" t="s">
        <v>29</v>
      </c>
      <c r="K70" t="s">
        <v>408</v>
      </c>
      <c r="L70" t="s">
        <v>33</v>
      </c>
      <c r="M70" t="s">
        <v>447</v>
      </c>
      <c r="O70" s="1">
        <f>(V72/V16)*(V16*X72)</f>
        <v>100</v>
      </c>
      <c r="P70" t="s">
        <v>458</v>
      </c>
      <c r="R70" t="s">
        <v>424</v>
      </c>
      <c r="S70" s="5" t="s">
        <v>741</v>
      </c>
      <c r="T70" s="5"/>
      <c r="U70" s="5"/>
      <c r="V70" s="5"/>
      <c r="W70" s="231">
        <f>V16</f>
        <v>4000</v>
      </c>
      <c r="X70" s="213"/>
      <c r="Y70" s="213"/>
    </row>
    <row r="71" spans="1:25">
      <c r="A71">
        <v>15</v>
      </c>
      <c r="B71" t="s">
        <v>405</v>
      </c>
      <c r="C71" t="s">
        <v>425</v>
      </c>
      <c r="G71">
        <v>1</v>
      </c>
      <c r="I71" t="s">
        <v>426</v>
      </c>
      <c r="J71" t="s">
        <v>29</v>
      </c>
      <c r="K71" t="s">
        <v>408</v>
      </c>
      <c r="L71" t="s">
        <v>33</v>
      </c>
      <c r="M71" t="s">
        <v>448</v>
      </c>
      <c r="O71" s="1">
        <f>V74*X74</f>
        <v>750</v>
      </c>
      <c r="P71" t="s">
        <v>459</v>
      </c>
      <c r="R71" t="s">
        <v>424</v>
      </c>
      <c r="S71" s="20" t="s">
        <v>717</v>
      </c>
      <c r="T71" s="5"/>
      <c r="U71" s="5"/>
      <c r="V71" s="215">
        <v>1000</v>
      </c>
      <c r="W71" s="214" t="s">
        <v>742</v>
      </c>
      <c r="X71" s="215">
        <v>0.15</v>
      </c>
      <c r="Y71" s="22">
        <f>V71*X71</f>
        <v>150</v>
      </c>
    </row>
    <row r="72" spans="1:25">
      <c r="A72">
        <v>15</v>
      </c>
      <c r="B72" t="s">
        <v>405</v>
      </c>
      <c r="C72" t="s">
        <v>425</v>
      </c>
      <c r="G72">
        <v>2</v>
      </c>
      <c r="I72" t="s">
        <v>426</v>
      </c>
      <c r="J72" t="s">
        <v>29</v>
      </c>
      <c r="K72" t="s">
        <v>408</v>
      </c>
      <c r="L72" t="s">
        <v>33</v>
      </c>
      <c r="M72" t="s">
        <v>446</v>
      </c>
      <c r="O72" s="1">
        <f>(V83/V21)*(V21*X83)</f>
        <v>150</v>
      </c>
      <c r="P72" t="s">
        <v>863</v>
      </c>
      <c r="R72" t="s">
        <v>424</v>
      </c>
      <c r="S72" s="20" t="s">
        <v>743</v>
      </c>
      <c r="T72" s="5"/>
      <c r="U72" s="5"/>
      <c r="V72" s="215">
        <v>100</v>
      </c>
      <c r="W72" s="214" t="s">
        <v>744</v>
      </c>
      <c r="X72" s="215">
        <v>1</v>
      </c>
      <c r="Y72" s="213">
        <f>V72*X72</f>
        <v>100</v>
      </c>
    </row>
    <row r="73" spans="1:25">
      <c r="A73">
        <v>15</v>
      </c>
      <c r="B73" t="s">
        <v>405</v>
      </c>
      <c r="C73" t="s">
        <v>425</v>
      </c>
      <c r="G73">
        <v>2</v>
      </c>
      <c r="I73" t="s">
        <v>426</v>
      </c>
      <c r="J73" t="s">
        <v>29</v>
      </c>
      <c r="K73" t="s">
        <v>408</v>
      </c>
      <c r="L73" t="s">
        <v>33</v>
      </c>
      <c r="M73" t="s">
        <v>447</v>
      </c>
      <c r="O73" s="1">
        <f>(V84/V21)*(V21*X84)</f>
        <v>75</v>
      </c>
      <c r="P73" t="s">
        <v>864</v>
      </c>
      <c r="R73" t="s">
        <v>424</v>
      </c>
      <c r="S73" s="5" t="s">
        <v>30</v>
      </c>
      <c r="T73" s="5"/>
      <c r="U73" s="5"/>
      <c r="V73" s="5"/>
      <c r="W73" s="5"/>
      <c r="X73" s="5"/>
      <c r="Y73" s="5"/>
    </row>
    <row r="74" spans="1:25">
      <c r="A74">
        <v>15</v>
      </c>
      <c r="B74" t="s">
        <v>405</v>
      </c>
      <c r="C74" t="s">
        <v>425</v>
      </c>
      <c r="G74">
        <v>2</v>
      </c>
      <c r="I74" t="s">
        <v>426</v>
      </c>
      <c r="J74" t="s">
        <v>29</v>
      </c>
      <c r="K74" t="s">
        <v>408</v>
      </c>
      <c r="L74" t="s">
        <v>33</v>
      </c>
      <c r="M74" t="s">
        <v>448</v>
      </c>
      <c r="O74" s="1">
        <f>V86*X86</f>
        <v>750</v>
      </c>
      <c r="P74" t="s">
        <v>459</v>
      </c>
      <c r="R74" t="s">
        <v>424</v>
      </c>
      <c r="S74" s="20" t="s">
        <v>718</v>
      </c>
      <c r="T74" s="5"/>
      <c r="U74" s="5"/>
      <c r="V74" s="215">
        <v>1000</v>
      </c>
      <c r="W74" s="214" t="s">
        <v>745</v>
      </c>
      <c r="X74" s="215">
        <v>0.75</v>
      </c>
      <c r="Y74" s="213">
        <f>V74*X74</f>
        <v>750</v>
      </c>
    </row>
    <row r="75" spans="1:25">
      <c r="A75">
        <v>15</v>
      </c>
      <c r="B75" t="s">
        <v>405</v>
      </c>
      <c r="C75" t="s">
        <v>425</v>
      </c>
      <c r="G75">
        <v>3</v>
      </c>
      <c r="I75" t="s">
        <v>426</v>
      </c>
      <c r="J75" t="s">
        <v>29</v>
      </c>
      <c r="K75" t="s">
        <v>408</v>
      </c>
      <c r="L75" t="s">
        <v>33</v>
      </c>
      <c r="M75" t="s">
        <v>446</v>
      </c>
      <c r="O75" s="1">
        <f>(V95/V23)*(V23*X95)</f>
        <v>150</v>
      </c>
      <c r="P75" t="s">
        <v>865</v>
      </c>
      <c r="R75" t="s">
        <v>424</v>
      </c>
      <c r="S75" s="20" t="s">
        <v>26</v>
      </c>
      <c r="T75" s="5"/>
      <c r="U75" s="5"/>
      <c r="V75" s="215">
        <v>0</v>
      </c>
      <c r="W75" s="214"/>
      <c r="X75" s="215">
        <v>0</v>
      </c>
      <c r="Y75" s="217">
        <f>V75*X75</f>
        <v>0</v>
      </c>
    </row>
    <row r="76" spans="1:25">
      <c r="A76">
        <v>15</v>
      </c>
      <c r="B76" t="s">
        <v>405</v>
      </c>
      <c r="C76" t="s">
        <v>425</v>
      </c>
      <c r="G76">
        <v>3</v>
      </c>
      <c r="I76" t="s">
        <v>426</v>
      </c>
      <c r="J76" t="s">
        <v>29</v>
      </c>
      <c r="K76" t="s">
        <v>408</v>
      </c>
      <c r="L76" t="s">
        <v>33</v>
      </c>
      <c r="M76" t="s">
        <v>447</v>
      </c>
      <c r="O76" s="1">
        <f>(V96/V23)*(V23*X96)</f>
        <v>50</v>
      </c>
      <c r="P76" t="s">
        <v>866</v>
      </c>
      <c r="R76" t="s">
        <v>424</v>
      </c>
      <c r="S76" s="211" t="s">
        <v>746</v>
      </c>
      <c r="T76" s="5"/>
      <c r="U76" s="5"/>
      <c r="V76" s="5"/>
      <c r="W76" s="212"/>
      <c r="X76" s="213"/>
      <c r="Y76" s="26">
        <f>SUM(Y71:Y75)</f>
        <v>1000</v>
      </c>
    </row>
    <row r="77" spans="1:25">
      <c r="A77">
        <v>15</v>
      </c>
      <c r="B77" t="s">
        <v>405</v>
      </c>
      <c r="C77" t="s">
        <v>425</v>
      </c>
      <c r="G77">
        <v>3</v>
      </c>
      <c r="I77" t="s">
        <v>426</v>
      </c>
      <c r="J77" t="s">
        <v>29</v>
      </c>
      <c r="K77" t="s">
        <v>408</v>
      </c>
      <c r="L77" t="s">
        <v>33</v>
      </c>
      <c r="M77" t="s">
        <v>448</v>
      </c>
      <c r="O77" s="1">
        <f>V98*X98</f>
        <v>750</v>
      </c>
      <c r="P77" t="s">
        <v>459</v>
      </c>
      <c r="R77" t="s">
        <v>424</v>
      </c>
      <c r="S77" s="15" t="s">
        <v>747</v>
      </c>
      <c r="T77" s="5"/>
      <c r="U77" s="5"/>
      <c r="V77" s="5"/>
      <c r="W77" s="212"/>
      <c r="X77" s="213"/>
      <c r="Y77" s="26">
        <f>Y68+Y76</f>
        <v>2098.7497499999999</v>
      </c>
    </row>
    <row r="78" spans="1:25">
      <c r="A78">
        <v>15</v>
      </c>
      <c r="B78" t="s">
        <v>405</v>
      </c>
      <c r="C78" t="s">
        <v>425</v>
      </c>
      <c r="G78">
        <v>1</v>
      </c>
      <c r="I78" t="s">
        <v>21</v>
      </c>
      <c r="J78" t="s">
        <v>25</v>
      </c>
      <c r="K78" t="s">
        <v>408</v>
      </c>
      <c r="L78" t="s">
        <v>32</v>
      </c>
      <c r="M78" t="s">
        <v>711</v>
      </c>
      <c r="O78" s="1">
        <f>Y108</f>
        <v>80</v>
      </c>
      <c r="P78" t="s">
        <v>460</v>
      </c>
      <c r="R78" t="s">
        <v>424</v>
      </c>
      <c r="S78" s="5"/>
      <c r="T78" s="5"/>
      <c r="U78" s="5"/>
      <c r="V78" s="5"/>
      <c r="W78" s="212"/>
      <c r="X78" s="213"/>
      <c r="Y78" s="22"/>
    </row>
    <row r="79" spans="1:25">
      <c r="A79">
        <v>15</v>
      </c>
      <c r="B79" t="s">
        <v>405</v>
      </c>
      <c r="C79" t="s">
        <v>425</v>
      </c>
      <c r="G79">
        <v>2</v>
      </c>
      <c r="I79" t="s">
        <v>21</v>
      </c>
      <c r="J79" t="s">
        <v>25</v>
      </c>
      <c r="K79" t="s">
        <v>408</v>
      </c>
      <c r="L79" t="s">
        <v>32</v>
      </c>
      <c r="M79" t="s">
        <v>711</v>
      </c>
      <c r="O79" s="1">
        <f>Y108</f>
        <v>80</v>
      </c>
      <c r="P79" t="s">
        <v>460</v>
      </c>
      <c r="R79" t="s">
        <v>424</v>
      </c>
      <c r="S79" s="15" t="s">
        <v>748</v>
      </c>
      <c r="T79" s="5"/>
      <c r="U79" s="5"/>
      <c r="V79" s="218" t="s">
        <v>667</v>
      </c>
      <c r="W79" s="218" t="s">
        <v>668</v>
      </c>
      <c r="X79" s="218" t="s">
        <v>669</v>
      </c>
      <c r="Y79" s="218" t="s">
        <v>87</v>
      </c>
    </row>
    <row r="80" spans="1:25">
      <c r="A80">
        <v>15</v>
      </c>
      <c r="B80" t="s">
        <v>405</v>
      </c>
      <c r="C80" t="s">
        <v>425</v>
      </c>
      <c r="G80">
        <v>3</v>
      </c>
      <c r="I80" t="s">
        <v>21</v>
      </c>
      <c r="J80" t="s">
        <v>25</v>
      </c>
      <c r="K80" t="s">
        <v>408</v>
      </c>
      <c r="L80" t="s">
        <v>32</v>
      </c>
      <c r="M80" t="s">
        <v>711</v>
      </c>
      <c r="O80" s="1">
        <f>Y108</f>
        <v>80</v>
      </c>
      <c r="P80" t="s">
        <v>460</v>
      </c>
      <c r="R80" t="s">
        <v>424</v>
      </c>
      <c r="S80" s="29" t="s">
        <v>749</v>
      </c>
      <c r="T80" s="5"/>
      <c r="U80" s="5"/>
      <c r="V80" s="5"/>
      <c r="W80" s="212"/>
      <c r="X80" s="213"/>
      <c r="Y80" s="22">
        <f>Y68</f>
        <v>1098.7497499999999</v>
      </c>
    </row>
    <row r="81" spans="1:25">
      <c r="A81">
        <v>15</v>
      </c>
      <c r="B81" t="s">
        <v>405</v>
      </c>
      <c r="C81" t="s">
        <v>425</v>
      </c>
      <c r="G81">
        <v>1</v>
      </c>
      <c r="I81" t="s">
        <v>21</v>
      </c>
      <c r="J81" t="s">
        <v>25</v>
      </c>
      <c r="K81" t="s">
        <v>408</v>
      </c>
      <c r="L81" t="s">
        <v>32</v>
      </c>
      <c r="M81" t="s">
        <v>712</v>
      </c>
      <c r="O81" s="1">
        <f>Y109</f>
        <v>500</v>
      </c>
      <c r="P81" t="s">
        <v>461</v>
      </c>
      <c r="R81" t="s">
        <v>424</v>
      </c>
      <c r="S81" s="5"/>
      <c r="T81" s="5"/>
      <c r="U81" s="5"/>
      <c r="V81" s="5"/>
      <c r="W81" s="212"/>
      <c r="X81" s="213"/>
      <c r="Y81" s="22"/>
    </row>
    <row r="82" spans="1:25">
      <c r="A82">
        <v>15</v>
      </c>
      <c r="B82" t="s">
        <v>405</v>
      </c>
      <c r="C82" t="s">
        <v>425</v>
      </c>
      <c r="G82">
        <v>2</v>
      </c>
      <c r="I82" t="s">
        <v>21</v>
      </c>
      <c r="J82" t="s">
        <v>25</v>
      </c>
      <c r="K82" t="s">
        <v>408</v>
      </c>
      <c r="L82" t="s">
        <v>32</v>
      </c>
      <c r="M82" t="s">
        <v>712</v>
      </c>
      <c r="O82" s="1">
        <f>Y109</f>
        <v>500</v>
      </c>
      <c r="P82" t="s">
        <v>461</v>
      </c>
      <c r="R82" t="s">
        <v>424</v>
      </c>
      <c r="S82" s="5" t="s">
        <v>741</v>
      </c>
      <c r="T82" s="5"/>
      <c r="U82" s="5"/>
      <c r="V82" s="5"/>
      <c r="W82" s="231">
        <f>V21</f>
        <v>3000</v>
      </c>
      <c r="X82" s="213"/>
      <c r="Y82" s="213"/>
    </row>
    <row r="83" spans="1:25">
      <c r="A83">
        <v>15</v>
      </c>
      <c r="B83" t="s">
        <v>405</v>
      </c>
      <c r="C83" t="s">
        <v>425</v>
      </c>
      <c r="G83">
        <v>3</v>
      </c>
      <c r="I83" t="s">
        <v>21</v>
      </c>
      <c r="J83" t="s">
        <v>25</v>
      </c>
      <c r="K83" t="s">
        <v>408</v>
      </c>
      <c r="L83" t="s">
        <v>32</v>
      </c>
      <c r="M83" t="s">
        <v>712</v>
      </c>
      <c r="O83" s="1">
        <f>Y109</f>
        <v>500</v>
      </c>
      <c r="P83" t="s">
        <v>461</v>
      </c>
      <c r="R83" t="s">
        <v>424</v>
      </c>
      <c r="S83" s="20" t="s">
        <v>717</v>
      </c>
      <c r="T83" s="5"/>
      <c r="U83" s="5"/>
      <c r="V83" s="215">
        <v>1000</v>
      </c>
      <c r="W83" s="214" t="s">
        <v>742</v>
      </c>
      <c r="X83" s="215">
        <v>0.15</v>
      </c>
      <c r="Y83" s="22">
        <f>V83*X83</f>
        <v>150</v>
      </c>
    </row>
    <row r="84" spans="1:25">
      <c r="A84">
        <v>15</v>
      </c>
      <c r="B84" t="s">
        <v>405</v>
      </c>
      <c r="C84" t="s">
        <v>425</v>
      </c>
      <c r="G84">
        <v>1</v>
      </c>
      <c r="I84" t="s">
        <v>21</v>
      </c>
      <c r="J84" t="s">
        <v>25</v>
      </c>
      <c r="K84" t="s">
        <v>26</v>
      </c>
      <c r="L84" t="s">
        <v>32</v>
      </c>
      <c r="M84" t="s">
        <v>720</v>
      </c>
      <c r="O84" s="1">
        <f>Y110</f>
        <v>160</v>
      </c>
      <c r="P84" t="s">
        <v>462</v>
      </c>
      <c r="R84" t="s">
        <v>424</v>
      </c>
      <c r="S84" s="20" t="s">
        <v>743</v>
      </c>
      <c r="T84" s="5"/>
      <c r="U84" s="5"/>
      <c r="V84" s="215">
        <v>75</v>
      </c>
      <c r="W84" s="214" t="s">
        <v>744</v>
      </c>
      <c r="X84" s="215">
        <v>1</v>
      </c>
      <c r="Y84" s="213">
        <f>V84*X84</f>
        <v>75</v>
      </c>
    </row>
    <row r="85" spans="1:25">
      <c r="A85">
        <v>15</v>
      </c>
      <c r="B85" t="s">
        <v>405</v>
      </c>
      <c r="C85" t="s">
        <v>425</v>
      </c>
      <c r="G85">
        <v>2</v>
      </c>
      <c r="I85" t="s">
        <v>21</v>
      </c>
      <c r="J85" t="s">
        <v>25</v>
      </c>
      <c r="K85" t="s">
        <v>26</v>
      </c>
      <c r="L85" t="s">
        <v>32</v>
      </c>
      <c r="M85" t="s">
        <v>720</v>
      </c>
      <c r="O85" s="1">
        <f>Y110</f>
        <v>160</v>
      </c>
      <c r="P85" t="s">
        <v>462</v>
      </c>
      <c r="R85" t="s">
        <v>424</v>
      </c>
      <c r="S85" s="5" t="s">
        <v>30</v>
      </c>
      <c r="T85" s="5"/>
      <c r="U85" s="5"/>
      <c r="V85" s="213"/>
      <c r="W85" s="5"/>
      <c r="X85" s="5"/>
      <c r="Y85" s="5"/>
    </row>
    <row r="86" spans="1:25">
      <c r="A86">
        <v>15</v>
      </c>
      <c r="B86" t="s">
        <v>405</v>
      </c>
      <c r="C86" t="s">
        <v>425</v>
      </c>
      <c r="G86">
        <v>3</v>
      </c>
      <c r="I86" t="s">
        <v>21</v>
      </c>
      <c r="J86" t="s">
        <v>25</v>
      </c>
      <c r="K86" t="s">
        <v>26</v>
      </c>
      <c r="L86" t="s">
        <v>32</v>
      </c>
      <c r="M86" t="s">
        <v>720</v>
      </c>
      <c r="O86" s="1">
        <f>Y110</f>
        <v>160</v>
      </c>
      <c r="P86" t="s">
        <v>462</v>
      </c>
      <c r="R86" t="s">
        <v>424</v>
      </c>
      <c r="S86" s="20" t="s">
        <v>718</v>
      </c>
      <c r="T86" s="5"/>
      <c r="U86" s="5"/>
      <c r="V86" s="215">
        <v>1000</v>
      </c>
      <c r="W86" s="214" t="s">
        <v>745</v>
      </c>
      <c r="X86" s="215">
        <v>0.75</v>
      </c>
      <c r="Y86" s="213">
        <f>V86*X86</f>
        <v>750</v>
      </c>
    </row>
    <row r="87" spans="1:25">
      <c r="S87" s="20" t="s">
        <v>26</v>
      </c>
      <c r="T87" s="5"/>
      <c r="U87" s="5"/>
      <c r="V87" s="215">
        <v>0</v>
      </c>
      <c r="W87" s="214"/>
      <c r="X87" s="215">
        <v>0</v>
      </c>
      <c r="Y87" s="217">
        <f>V87*X87</f>
        <v>0</v>
      </c>
    </row>
    <row r="88" spans="1:25">
      <c r="S88" s="211" t="s">
        <v>746</v>
      </c>
      <c r="T88" s="5"/>
      <c r="U88" s="5"/>
      <c r="V88" s="5"/>
      <c r="W88" s="212"/>
      <c r="X88" s="213"/>
      <c r="Y88" s="26">
        <f>SUM(Y83:Y87)</f>
        <v>975</v>
      </c>
    </row>
    <row r="89" spans="1:25">
      <c r="S89" s="15" t="s">
        <v>750</v>
      </c>
      <c r="T89" s="5"/>
      <c r="U89" s="5"/>
      <c r="V89" s="5"/>
      <c r="W89" s="212"/>
      <c r="X89" s="213"/>
      <c r="Y89" s="26">
        <f>Y80+Y88</f>
        <v>2073.7497499999999</v>
      </c>
    </row>
    <row r="90" spans="1:25">
      <c r="H90" t="s">
        <v>990</v>
      </c>
      <c r="S90" s="5"/>
      <c r="T90" s="5"/>
      <c r="U90" s="5"/>
      <c r="V90" s="5"/>
      <c r="W90" s="212"/>
      <c r="X90" s="213"/>
      <c r="Y90" s="22"/>
    </row>
    <row r="91" spans="1:25">
      <c r="H91" t="s">
        <v>999</v>
      </c>
      <c r="S91" s="15" t="s">
        <v>751</v>
      </c>
      <c r="T91" s="5"/>
      <c r="U91" s="5"/>
      <c r="V91" s="218" t="s">
        <v>667</v>
      </c>
      <c r="W91" s="218" t="s">
        <v>668</v>
      </c>
      <c r="X91" s="218" t="s">
        <v>669</v>
      </c>
      <c r="Y91" s="218" t="s">
        <v>87</v>
      </c>
    </row>
    <row r="92" spans="1:25">
      <c r="H92" t="s">
        <v>1004</v>
      </c>
      <c r="S92" s="29" t="s">
        <v>749</v>
      </c>
      <c r="T92" s="5"/>
      <c r="U92" s="5"/>
      <c r="V92" s="5"/>
      <c r="W92" s="212"/>
      <c r="X92" s="213"/>
      <c r="Y92" s="22">
        <f>Y80</f>
        <v>1098.7497499999999</v>
      </c>
    </row>
    <row r="93" spans="1:25">
      <c r="S93" s="5"/>
      <c r="T93" s="5"/>
      <c r="U93" s="5"/>
      <c r="V93" s="5"/>
      <c r="W93" s="212"/>
      <c r="X93" s="213"/>
      <c r="Y93" s="22"/>
    </row>
    <row r="94" spans="1:25">
      <c r="S94" s="5" t="s">
        <v>741</v>
      </c>
      <c r="T94" s="5"/>
      <c r="U94" s="5"/>
      <c r="V94" s="5"/>
      <c r="W94" s="231">
        <f>V23</f>
        <v>2000</v>
      </c>
      <c r="X94" s="213"/>
      <c r="Y94" s="213"/>
    </row>
    <row r="95" spans="1:25">
      <c r="S95" s="20" t="s">
        <v>717</v>
      </c>
      <c r="T95" s="5"/>
      <c r="U95" s="5"/>
      <c r="V95" s="215">
        <v>1000</v>
      </c>
      <c r="W95" s="214" t="s">
        <v>742</v>
      </c>
      <c r="X95" s="215">
        <v>0.15</v>
      </c>
      <c r="Y95" s="22">
        <f>V95*X95</f>
        <v>150</v>
      </c>
    </row>
    <row r="96" spans="1:25">
      <c r="S96" s="20" t="s">
        <v>743</v>
      </c>
      <c r="T96" s="5"/>
      <c r="U96" s="5"/>
      <c r="V96" s="215">
        <v>50</v>
      </c>
      <c r="W96" s="214" t="s">
        <v>744</v>
      </c>
      <c r="X96" s="215">
        <v>1</v>
      </c>
      <c r="Y96" s="213">
        <f>V96*X96</f>
        <v>50</v>
      </c>
    </row>
    <row r="97" spans="19:25">
      <c r="S97" s="5" t="s">
        <v>30</v>
      </c>
      <c r="T97" s="5"/>
      <c r="U97" s="5"/>
      <c r="V97" s="213"/>
      <c r="W97" s="5"/>
      <c r="X97" s="5"/>
      <c r="Y97" s="5"/>
    </row>
    <row r="98" spans="19:25">
      <c r="S98" s="20" t="s">
        <v>718</v>
      </c>
      <c r="T98" s="5"/>
      <c r="U98" s="5"/>
      <c r="V98" s="215">
        <v>1000</v>
      </c>
      <c r="W98" s="214" t="s">
        <v>745</v>
      </c>
      <c r="X98" s="215">
        <v>0.75</v>
      </c>
      <c r="Y98" s="213">
        <f>V98*X98</f>
        <v>750</v>
      </c>
    </row>
    <row r="99" spans="19:25">
      <c r="S99" s="20" t="s">
        <v>26</v>
      </c>
      <c r="T99" s="5"/>
      <c r="U99" s="5"/>
      <c r="V99" s="215">
        <v>0</v>
      </c>
      <c r="W99" s="214"/>
      <c r="X99" s="215">
        <v>0</v>
      </c>
      <c r="Y99" s="217">
        <f>V99*X99</f>
        <v>0</v>
      </c>
    </row>
    <row r="100" spans="19:25">
      <c r="S100" s="211" t="s">
        <v>746</v>
      </c>
      <c r="T100" s="5"/>
      <c r="U100" s="5"/>
      <c r="V100" s="5"/>
      <c r="W100" s="212"/>
      <c r="X100" s="213"/>
      <c r="Y100" s="26">
        <f>SUM(Y95:Y99)</f>
        <v>950</v>
      </c>
    </row>
    <row r="101" spans="19:25">
      <c r="S101" s="15" t="s">
        <v>752</v>
      </c>
      <c r="T101" s="5"/>
      <c r="U101" s="5"/>
      <c r="V101" s="5"/>
      <c r="W101" s="212"/>
      <c r="X101" s="213"/>
      <c r="Y101" s="26">
        <f>Y92+Y100</f>
        <v>2048.7497499999999</v>
      </c>
    </row>
    <row r="102" spans="19:25">
      <c r="S102" s="5"/>
      <c r="T102" s="5"/>
      <c r="U102" s="5"/>
      <c r="V102" s="5"/>
      <c r="W102" s="212"/>
      <c r="X102" s="213"/>
      <c r="Y102" s="22"/>
    </row>
    <row r="103" spans="19:25">
      <c r="S103" s="15" t="s">
        <v>753</v>
      </c>
      <c r="T103" s="15"/>
      <c r="U103" s="5"/>
      <c r="V103" s="5"/>
      <c r="W103" s="212"/>
      <c r="X103" s="213"/>
      <c r="Y103" s="213"/>
    </row>
    <row r="104" spans="19:25">
      <c r="S104" s="232" t="s">
        <v>223</v>
      </c>
      <c r="T104" s="5"/>
      <c r="U104" s="5"/>
      <c r="V104" s="5"/>
      <c r="W104" s="212"/>
      <c r="X104" s="213"/>
      <c r="Y104" s="22">
        <f>(Y77+Y89+Y101)/3</f>
        <v>2073.7497499999999</v>
      </c>
    </row>
    <row r="105" spans="19:25">
      <c r="S105" s="232" t="s">
        <v>754</v>
      </c>
      <c r="T105" s="5"/>
      <c r="U105" s="5"/>
      <c r="V105" s="5"/>
      <c r="W105" s="212"/>
      <c r="X105" s="213"/>
      <c r="Y105" s="213">
        <f>IF(V24&gt;0, Y104/V24, 0)</f>
        <v>0.69124991666666669</v>
      </c>
    </row>
    <row r="106" spans="19:25">
      <c r="S106" s="5"/>
      <c r="T106" s="5"/>
      <c r="U106" s="5"/>
      <c r="V106" s="5"/>
      <c r="W106" s="212"/>
      <c r="X106" s="5"/>
      <c r="Y106" s="213"/>
    </row>
    <row r="107" spans="19:25">
      <c r="S107" s="15" t="s">
        <v>696</v>
      </c>
      <c r="T107" s="5"/>
      <c r="U107" s="5"/>
      <c r="V107" s="5"/>
      <c r="W107" s="212"/>
      <c r="X107" s="5"/>
      <c r="Y107" s="213"/>
    </row>
    <row r="108" spans="19:25">
      <c r="S108" s="20" t="s">
        <v>697</v>
      </c>
      <c r="T108" s="5"/>
      <c r="U108" s="5"/>
      <c r="V108" s="5"/>
      <c r="W108" s="212"/>
      <c r="X108" s="5"/>
      <c r="Y108" s="21">
        <v>80</v>
      </c>
    </row>
    <row r="109" spans="19:25">
      <c r="S109" s="20" t="s">
        <v>23</v>
      </c>
      <c r="T109" s="5"/>
      <c r="U109" s="5"/>
      <c r="V109" s="5"/>
      <c r="W109" s="212"/>
      <c r="X109" s="5"/>
      <c r="Y109" s="215">
        <v>500</v>
      </c>
    </row>
    <row r="110" spans="19:25">
      <c r="S110" s="20" t="s">
        <v>34</v>
      </c>
      <c r="T110" s="5"/>
      <c r="U110" s="5"/>
      <c r="V110" s="5"/>
      <c r="W110" s="212"/>
      <c r="X110" s="5"/>
      <c r="Y110" s="224">
        <v>160</v>
      </c>
    </row>
    <row r="111" spans="19:25">
      <c r="S111" s="211" t="s">
        <v>692</v>
      </c>
      <c r="T111" s="5"/>
      <c r="U111" s="5"/>
      <c r="V111" s="5"/>
      <c r="W111" s="212"/>
      <c r="X111" s="5"/>
      <c r="Y111" s="26">
        <f>SUM(Y108:Y110)</f>
        <v>740</v>
      </c>
    </row>
    <row r="112" spans="19:25">
      <c r="S112" s="5"/>
      <c r="T112" s="5"/>
      <c r="U112" s="5"/>
      <c r="V112" s="5"/>
      <c r="W112" s="212"/>
      <c r="X112" s="5"/>
      <c r="Y112" s="22"/>
    </row>
    <row r="113" spans="19:25">
      <c r="S113" s="15" t="s">
        <v>755</v>
      </c>
      <c r="T113" s="5"/>
      <c r="U113" s="5"/>
      <c r="V113" s="5"/>
      <c r="W113" s="212"/>
      <c r="X113" s="5"/>
      <c r="Y113" s="213"/>
    </row>
    <row r="114" spans="19:25">
      <c r="S114" s="5" t="s">
        <v>756</v>
      </c>
      <c r="T114" s="5"/>
      <c r="U114" s="5"/>
      <c r="V114" s="5"/>
      <c r="W114" s="212"/>
      <c r="X114" s="5"/>
      <c r="Y114" s="22">
        <f>Y47/3</f>
        <v>804.2833333333333</v>
      </c>
    </row>
    <row r="115" spans="19:25">
      <c r="S115" s="5"/>
      <c r="T115" s="5"/>
      <c r="U115" s="5"/>
      <c r="V115" s="5"/>
      <c r="W115" s="212"/>
      <c r="X115" s="5"/>
      <c r="Y115" s="213"/>
    </row>
    <row r="116" spans="19:25">
      <c r="S116" s="15" t="s">
        <v>698</v>
      </c>
      <c r="T116" s="5"/>
      <c r="U116" s="5"/>
      <c r="V116" s="5"/>
      <c r="W116" s="212"/>
      <c r="X116" s="5"/>
      <c r="Y116" s="213"/>
    </row>
    <row r="117" spans="19:25">
      <c r="S117" s="232" t="s">
        <v>223</v>
      </c>
      <c r="T117" s="5"/>
      <c r="U117" s="5"/>
      <c r="V117" s="5"/>
      <c r="W117" s="212"/>
      <c r="X117" s="5"/>
      <c r="Y117" s="26">
        <f>Y104+Y111+Y114</f>
        <v>3618.0330833333333</v>
      </c>
    </row>
    <row r="118" spans="19:25">
      <c r="S118" s="232" t="s">
        <v>754</v>
      </c>
      <c r="T118" s="5"/>
      <c r="U118" s="5"/>
      <c r="V118" s="5"/>
      <c r="W118" s="212"/>
      <c r="X118" s="5"/>
      <c r="Y118" s="225">
        <f>IF(V24&gt;0, Y117/V24, 0)</f>
        <v>1.2060110277777778</v>
      </c>
    </row>
    <row r="119" spans="19:25">
      <c r="S119" s="5"/>
      <c r="T119" s="5"/>
      <c r="U119" s="5"/>
      <c r="V119" s="5"/>
      <c r="W119" s="5"/>
      <c r="X119" s="5"/>
      <c r="Y119" s="225"/>
    </row>
    <row r="120" spans="19:25">
      <c r="S120" s="15" t="s">
        <v>699</v>
      </c>
      <c r="T120" s="5"/>
      <c r="U120" s="5"/>
      <c r="V120" s="5"/>
      <c r="W120" s="5"/>
      <c r="X120" s="5"/>
      <c r="Y120" s="26">
        <f>Y24-Y104</f>
        <v>5426.2502500000001</v>
      </c>
    </row>
    <row r="121" spans="19:25">
      <c r="S121" s="15"/>
      <c r="T121" s="5"/>
      <c r="U121" s="5"/>
      <c r="V121" s="5"/>
      <c r="W121" s="5"/>
      <c r="X121" s="5"/>
      <c r="Y121" s="225"/>
    </row>
    <row r="122" spans="19:25">
      <c r="S122" s="15" t="s">
        <v>700</v>
      </c>
      <c r="T122" s="5"/>
      <c r="U122" s="5"/>
      <c r="V122" s="5"/>
      <c r="W122" s="5"/>
      <c r="X122" s="5"/>
      <c r="Y122" s="26">
        <f>Y24-Y117</f>
        <v>3881.9669166666667</v>
      </c>
    </row>
  </sheetData>
  <autoFilter ref="A1:Y86"/>
  <mergeCells count="4">
    <mergeCell ref="S2:U2"/>
    <mergeCell ref="S5:U5"/>
    <mergeCell ref="S6:U6"/>
    <mergeCell ref="S7:U7"/>
  </mergeCells>
  <pageMargins left="0.7" right="0.7" top="0.75" bottom="0.75" header="0.3" footer="0.3"/>
  <ignoredErrors>
    <ignoredError sqref="O3 O29:O30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zoomScale="80" zoomScaleNormal="80" workbookViewId="0">
      <pane ySplit="1" topLeftCell="A2" activePane="bottomLeft" state="frozen"/>
      <selection pane="bottomLeft" activeCell="P20" sqref="P20"/>
    </sheetView>
  </sheetViews>
  <sheetFormatPr defaultRowHeight="14.5"/>
  <cols>
    <col min="2" max="2" width="27.26953125" bestFit="1" customWidth="1"/>
    <col min="3" max="3" width="15.7265625" bestFit="1" customWidth="1"/>
    <col min="4" max="4" width="7" customWidth="1"/>
    <col min="5" max="5" width="7.81640625" customWidth="1"/>
    <col min="6" max="6" width="7.1796875" customWidth="1"/>
    <col min="7" max="7" width="5.1796875" bestFit="1" customWidth="1"/>
    <col min="8" max="8" width="12.453125" bestFit="1" customWidth="1"/>
    <col min="9" max="9" width="10.26953125" customWidth="1"/>
    <col min="10" max="10" width="16.7265625" bestFit="1" customWidth="1"/>
    <col min="11" max="11" width="17.26953125" bestFit="1" customWidth="1"/>
    <col min="12" max="12" width="14.453125" bestFit="1" customWidth="1"/>
    <col min="13" max="13" width="45.7265625" bestFit="1" customWidth="1"/>
    <col min="14" max="14" width="13.453125" bestFit="1" customWidth="1"/>
    <col min="15" max="15" width="9.54296875" bestFit="1" customWidth="1"/>
    <col min="16" max="16" width="39.26953125" bestFit="1" customWidth="1"/>
    <col min="17" max="17" width="11.26953125" bestFit="1" customWidth="1"/>
    <col min="18" max="18" width="40" bestFit="1" customWidth="1"/>
    <col min="19" max="19" width="86" bestFit="1" customWidth="1"/>
    <col min="20" max="20" width="9.453125" bestFit="1" customWidth="1"/>
    <col min="21" max="21" width="7.453125" bestFit="1" customWidth="1"/>
    <col min="22" max="22" width="9.54296875" bestFit="1" customWidth="1"/>
    <col min="23" max="23" width="11.26953125" bestFit="1" customWidth="1"/>
    <col min="26" max="26" width="33.54296875" bestFit="1" customWidth="1"/>
    <col min="27" max="27" width="5.54296875" bestFit="1" customWidth="1"/>
    <col min="28" max="28" width="12.453125" bestFit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8">
      <c r="A2" s="265">
        <v>15</v>
      </c>
      <c r="B2" s="265" t="s">
        <v>405</v>
      </c>
      <c r="C2" s="265" t="s">
        <v>463</v>
      </c>
      <c r="D2" s="265"/>
      <c r="E2" s="265"/>
      <c r="F2" s="265"/>
      <c r="G2" s="265">
        <v>1</v>
      </c>
      <c r="H2" s="265"/>
      <c r="I2" s="265" t="s">
        <v>21</v>
      </c>
      <c r="J2" s="265" t="s">
        <v>22</v>
      </c>
      <c r="K2" s="265" t="s">
        <v>71</v>
      </c>
      <c r="L2" s="265" t="s">
        <v>33</v>
      </c>
      <c r="M2" s="262" t="s">
        <v>66</v>
      </c>
      <c r="N2" s="262"/>
      <c r="O2" s="284">
        <v>10</v>
      </c>
      <c r="P2" s="262" t="s">
        <v>476</v>
      </c>
      <c r="Q2" s="265"/>
      <c r="R2" s="265" t="s">
        <v>477</v>
      </c>
      <c r="S2" s="235"/>
      <c r="T2" s="233" t="s">
        <v>667</v>
      </c>
      <c r="U2" s="233" t="s">
        <v>668</v>
      </c>
      <c r="V2" s="233" t="s">
        <v>669</v>
      </c>
      <c r="W2" s="233" t="s">
        <v>87</v>
      </c>
    </row>
    <row r="3" spans="1:28">
      <c r="A3" s="265">
        <v>15</v>
      </c>
      <c r="B3" s="265" t="s">
        <v>405</v>
      </c>
      <c r="C3" s="265" t="s">
        <v>463</v>
      </c>
      <c r="D3" s="265"/>
      <c r="E3" s="265"/>
      <c r="F3" s="265"/>
      <c r="G3" s="265">
        <v>1</v>
      </c>
      <c r="H3" s="265"/>
      <c r="I3" s="265" t="s">
        <v>21</v>
      </c>
      <c r="J3" s="265" t="s">
        <v>22</v>
      </c>
      <c r="K3" s="265" t="s">
        <v>71</v>
      </c>
      <c r="L3" s="265" t="s">
        <v>33</v>
      </c>
      <c r="M3" s="291" t="s">
        <v>883</v>
      </c>
      <c r="N3" s="291"/>
      <c r="O3" s="292">
        <f>T13*V13</f>
        <v>40</v>
      </c>
      <c r="P3" s="291" t="s">
        <v>880</v>
      </c>
      <c r="Q3" s="265"/>
      <c r="R3" s="265" t="s">
        <v>477</v>
      </c>
      <c r="S3" s="235"/>
      <c r="T3" s="283"/>
      <c r="U3" s="283"/>
      <c r="V3" s="283"/>
      <c r="W3" s="283"/>
    </row>
    <row r="4" spans="1:28">
      <c r="A4" s="265">
        <v>15</v>
      </c>
      <c r="B4" s="265" t="s">
        <v>405</v>
      </c>
      <c r="C4" s="265" t="s">
        <v>463</v>
      </c>
      <c r="D4" s="265"/>
      <c r="E4" s="265"/>
      <c r="F4" s="265"/>
      <c r="G4" s="265">
        <v>1</v>
      </c>
      <c r="H4" s="265"/>
      <c r="I4" s="265" t="s">
        <v>21</v>
      </c>
      <c r="J4" s="265" t="s">
        <v>22</v>
      </c>
      <c r="K4" s="265" t="s">
        <v>71</v>
      </c>
      <c r="L4" s="265" t="s">
        <v>33</v>
      </c>
      <c r="M4" s="291" t="s">
        <v>884</v>
      </c>
      <c r="N4" s="291"/>
      <c r="O4" s="292">
        <f>T14*V14</f>
        <v>24</v>
      </c>
      <c r="P4" s="291" t="s">
        <v>881</v>
      </c>
      <c r="Q4" s="265"/>
      <c r="R4" s="265" t="s">
        <v>477</v>
      </c>
      <c r="S4" s="235"/>
      <c r="T4" s="283"/>
      <c r="U4" s="283"/>
      <c r="V4" s="283"/>
      <c r="W4" s="283"/>
    </row>
    <row r="5" spans="1:28">
      <c r="A5" s="265">
        <v>15</v>
      </c>
      <c r="B5" s="265" t="s">
        <v>405</v>
      </c>
      <c r="C5" s="265" t="s">
        <v>463</v>
      </c>
      <c r="D5" s="265"/>
      <c r="E5" s="265"/>
      <c r="F5" s="265"/>
      <c r="G5" s="265">
        <v>1</v>
      </c>
      <c r="H5" s="265"/>
      <c r="I5" s="265" t="s">
        <v>21</v>
      </c>
      <c r="J5" s="265" t="s">
        <v>22</v>
      </c>
      <c r="K5" s="265" t="s">
        <v>71</v>
      </c>
      <c r="L5" s="265" t="s">
        <v>33</v>
      </c>
      <c r="M5" s="291" t="s">
        <v>885</v>
      </c>
      <c r="N5" s="291"/>
      <c r="O5" s="292">
        <f>T15*V15</f>
        <v>69.3</v>
      </c>
      <c r="P5" s="291" t="s">
        <v>882</v>
      </c>
      <c r="Q5" s="265"/>
      <c r="R5" s="265" t="s">
        <v>477</v>
      </c>
      <c r="S5" s="15" t="s">
        <v>758</v>
      </c>
      <c r="T5" s="234"/>
      <c r="U5" s="235"/>
      <c r="V5" s="235"/>
      <c r="W5" s="235"/>
      <c r="Y5" s="280"/>
      <c r="Z5" s="281"/>
      <c r="AA5" s="280"/>
      <c r="AB5" s="280"/>
    </row>
    <row r="6" spans="1:28">
      <c r="A6" s="265">
        <v>15</v>
      </c>
      <c r="B6" s="265" t="s">
        <v>405</v>
      </c>
      <c r="C6" s="265" t="s">
        <v>463</v>
      </c>
      <c r="D6" s="265"/>
      <c r="E6" s="265"/>
      <c r="F6" s="265"/>
      <c r="G6" s="265">
        <v>1</v>
      </c>
      <c r="H6" s="265"/>
      <c r="I6" s="265" t="s">
        <v>21</v>
      </c>
      <c r="J6" s="265" t="s">
        <v>22</v>
      </c>
      <c r="K6" s="265" t="s">
        <v>71</v>
      </c>
      <c r="L6" s="265" t="s">
        <v>33</v>
      </c>
      <c r="M6" s="262" t="s">
        <v>62</v>
      </c>
      <c r="N6" s="262"/>
      <c r="O6" s="284">
        <v>120</v>
      </c>
      <c r="P6" s="262" t="s">
        <v>478</v>
      </c>
      <c r="Q6" s="265"/>
      <c r="R6" s="265" t="s">
        <v>477</v>
      </c>
      <c r="S6" t="s">
        <v>759</v>
      </c>
      <c r="T6" s="274">
        <v>375</v>
      </c>
      <c r="U6" s="235" t="s">
        <v>760</v>
      </c>
      <c r="V6" s="236">
        <v>12</v>
      </c>
      <c r="W6" s="236">
        <f>T6*V6</f>
        <v>4500</v>
      </c>
      <c r="X6" s="258" t="s">
        <v>872</v>
      </c>
      <c r="Y6" s="280"/>
      <c r="Z6" s="282" t="s">
        <v>873</v>
      </c>
      <c r="AA6" s="282">
        <v>6.25</v>
      </c>
      <c r="AB6" s="282" t="s">
        <v>874</v>
      </c>
    </row>
    <row r="7" spans="1:28">
      <c r="A7">
        <v>15</v>
      </c>
      <c r="B7" t="s">
        <v>405</v>
      </c>
      <c r="C7" t="s">
        <v>463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464</v>
      </c>
      <c r="O7" s="249">
        <f>V16+V17</f>
        <v>373</v>
      </c>
      <c r="P7" t="s">
        <v>886</v>
      </c>
      <c r="R7" t="s">
        <v>477</v>
      </c>
      <c r="V7" s="240"/>
      <c r="W7" s="236">
        <f>T7*V7</f>
        <v>0</v>
      </c>
      <c r="Y7" s="280"/>
      <c r="Z7" s="280"/>
      <c r="AA7" s="280"/>
      <c r="AB7" s="280"/>
    </row>
    <row r="8" spans="1:28">
      <c r="A8">
        <v>15</v>
      </c>
      <c r="B8" t="s">
        <v>405</v>
      </c>
      <c r="C8" t="s">
        <v>463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316</v>
      </c>
      <c r="O8" s="249">
        <f>V19*T19</f>
        <v>12.69</v>
      </c>
      <c r="P8" t="s">
        <v>887</v>
      </c>
      <c r="R8" t="s">
        <v>477</v>
      </c>
      <c r="S8" t="s">
        <v>761</v>
      </c>
      <c r="W8" s="237">
        <f>SUM(W6:W7)</f>
        <v>4500</v>
      </c>
      <c r="Y8" s="280"/>
      <c r="Z8" s="280"/>
      <c r="AA8" s="280"/>
      <c r="AB8" s="280"/>
    </row>
    <row r="9" spans="1:28">
      <c r="A9">
        <v>15</v>
      </c>
      <c r="B9" t="s">
        <v>405</v>
      </c>
      <c r="C9" t="s">
        <v>463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465</v>
      </c>
      <c r="O9" s="249">
        <f>V20*T20</f>
        <v>29.85</v>
      </c>
      <c r="P9" t="s">
        <v>888</v>
      </c>
      <c r="R9" t="s">
        <v>477</v>
      </c>
      <c r="S9" s="239"/>
      <c r="T9" s="239"/>
      <c r="U9" s="239"/>
      <c r="V9" s="239"/>
      <c r="W9" s="239"/>
    </row>
    <row r="10" spans="1:28">
      <c r="A10">
        <v>15</v>
      </c>
      <c r="B10" t="s">
        <v>405</v>
      </c>
      <c r="C10" t="s">
        <v>463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466</v>
      </c>
      <c r="O10" s="249">
        <f>V21*T21</f>
        <v>264.06</v>
      </c>
      <c r="P10" t="s">
        <v>889</v>
      </c>
      <c r="R10" t="s">
        <v>477</v>
      </c>
      <c r="S10" s="15" t="s">
        <v>762</v>
      </c>
    </row>
    <row r="11" spans="1:28">
      <c r="A11">
        <v>15</v>
      </c>
      <c r="B11" t="s">
        <v>405</v>
      </c>
      <c r="C11" t="s">
        <v>463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467</v>
      </c>
      <c r="O11" s="249">
        <f>T18*V18</f>
        <v>75</v>
      </c>
      <c r="P11" t="s">
        <v>479</v>
      </c>
      <c r="R11" t="s">
        <v>477</v>
      </c>
      <c r="S11" t="s">
        <v>763</v>
      </c>
      <c r="V11" s="265"/>
    </row>
    <row r="12" spans="1:28">
      <c r="A12">
        <v>15</v>
      </c>
      <c r="B12" t="s">
        <v>405</v>
      </c>
      <c r="C12" t="s">
        <v>463</v>
      </c>
      <c r="G12">
        <v>1</v>
      </c>
      <c r="I12" t="s">
        <v>21</v>
      </c>
      <c r="J12" t="s">
        <v>22</v>
      </c>
      <c r="K12" t="s">
        <v>408</v>
      </c>
      <c r="L12" t="s">
        <v>33</v>
      </c>
      <c r="M12" t="s">
        <v>468</v>
      </c>
      <c r="O12" s="1">
        <f>V24*T24</f>
        <v>43.61</v>
      </c>
      <c r="P12" t="s">
        <v>890</v>
      </c>
      <c r="R12" t="s">
        <v>477</v>
      </c>
      <c r="S12" t="s">
        <v>764</v>
      </c>
      <c r="T12" s="241">
        <v>1815</v>
      </c>
      <c r="U12" t="s">
        <v>765</v>
      </c>
      <c r="V12" s="275">
        <v>0.25</v>
      </c>
      <c r="W12" s="240">
        <f t="shared" ref="W12:W21" si="0">T12*V12</f>
        <v>453.75</v>
      </c>
    </row>
    <row r="13" spans="1:28">
      <c r="A13">
        <v>15</v>
      </c>
      <c r="B13" t="s">
        <v>405</v>
      </c>
      <c r="C13" t="s">
        <v>463</v>
      </c>
      <c r="G13">
        <v>1</v>
      </c>
      <c r="I13" t="s">
        <v>21</v>
      </c>
      <c r="J13" t="s">
        <v>29</v>
      </c>
      <c r="K13" t="s">
        <v>26</v>
      </c>
      <c r="L13" t="s">
        <v>33</v>
      </c>
      <c r="M13" t="s">
        <v>469</v>
      </c>
      <c r="O13" s="1">
        <f>T32*V32</f>
        <v>525</v>
      </c>
      <c r="P13" t="s">
        <v>891</v>
      </c>
      <c r="R13" t="s">
        <v>477</v>
      </c>
      <c r="S13" t="s">
        <v>766</v>
      </c>
      <c r="T13">
        <v>100</v>
      </c>
      <c r="U13" t="s">
        <v>672</v>
      </c>
      <c r="V13" s="275">
        <v>0.4</v>
      </c>
      <c r="W13" s="240">
        <f t="shared" si="0"/>
        <v>40</v>
      </c>
    </row>
    <row r="14" spans="1:28">
      <c r="A14">
        <v>15</v>
      </c>
      <c r="B14" t="s">
        <v>405</v>
      </c>
      <c r="C14" t="s">
        <v>463</v>
      </c>
      <c r="G14">
        <v>1</v>
      </c>
      <c r="H14" s="265">
        <v>20</v>
      </c>
      <c r="I14" s="265" t="s">
        <v>21</v>
      </c>
      <c r="J14" s="265" t="s">
        <v>29</v>
      </c>
      <c r="K14" s="265" t="s">
        <v>30</v>
      </c>
      <c r="L14" s="265" t="s">
        <v>33</v>
      </c>
      <c r="M14" s="265" t="s">
        <v>470</v>
      </c>
      <c r="N14" s="265">
        <f>T29</f>
        <v>10</v>
      </c>
      <c r="O14" s="1">
        <f>T29*V29</f>
        <v>125</v>
      </c>
      <c r="P14" t="s">
        <v>892</v>
      </c>
      <c r="R14" t="s">
        <v>477</v>
      </c>
      <c r="S14" t="s">
        <v>767</v>
      </c>
      <c r="T14">
        <v>80</v>
      </c>
      <c r="U14" t="s">
        <v>672</v>
      </c>
      <c r="V14" s="275">
        <v>0.3</v>
      </c>
      <c r="W14" s="240">
        <f t="shared" si="0"/>
        <v>24</v>
      </c>
    </row>
    <row r="15" spans="1:28">
      <c r="A15">
        <v>15</v>
      </c>
      <c r="B15" t="s">
        <v>405</v>
      </c>
      <c r="C15" t="s">
        <v>463</v>
      </c>
      <c r="G15">
        <v>1</v>
      </c>
      <c r="H15" s="265"/>
      <c r="I15" s="265" t="s">
        <v>21</v>
      </c>
      <c r="J15" s="265" t="s">
        <v>29</v>
      </c>
      <c r="K15" s="265" t="s">
        <v>26</v>
      </c>
      <c r="L15" s="265" t="s">
        <v>33</v>
      </c>
      <c r="M15" s="265" t="s">
        <v>471</v>
      </c>
      <c r="N15" s="265"/>
      <c r="O15" s="1">
        <v>10</v>
      </c>
      <c r="P15" t="s">
        <v>480</v>
      </c>
      <c r="R15" t="s">
        <v>477</v>
      </c>
      <c r="S15" t="s">
        <v>768</v>
      </c>
      <c r="T15" s="242">
        <v>154</v>
      </c>
      <c r="U15" t="s">
        <v>672</v>
      </c>
      <c r="V15" s="275">
        <v>0.45</v>
      </c>
      <c r="W15" s="240">
        <f t="shared" si="0"/>
        <v>69.3</v>
      </c>
      <c r="X15" t="s">
        <v>875</v>
      </c>
    </row>
    <row r="16" spans="1:28">
      <c r="A16">
        <v>15</v>
      </c>
      <c r="B16" t="s">
        <v>405</v>
      </c>
      <c r="C16" t="s">
        <v>463</v>
      </c>
      <c r="G16">
        <v>1</v>
      </c>
      <c r="H16" s="265">
        <v>16</v>
      </c>
      <c r="I16" s="265" t="s">
        <v>21</v>
      </c>
      <c r="J16" s="265" t="s">
        <v>29</v>
      </c>
      <c r="K16" s="265" t="s">
        <v>30</v>
      </c>
      <c r="L16" s="265" t="s">
        <v>33</v>
      </c>
      <c r="M16" s="265" t="s">
        <v>472</v>
      </c>
      <c r="N16" s="317">
        <f>T31/6</f>
        <v>10</v>
      </c>
      <c r="O16" s="1">
        <f>T31*V31/6</f>
        <v>125</v>
      </c>
      <c r="P16" t="s">
        <v>1146</v>
      </c>
      <c r="R16" t="s">
        <v>477</v>
      </c>
      <c r="S16" t="s">
        <v>769</v>
      </c>
      <c r="T16">
        <v>1</v>
      </c>
      <c r="U16" t="s">
        <v>774</v>
      </c>
      <c r="V16" s="275">
        <v>143</v>
      </c>
      <c r="W16" s="240">
        <f t="shared" si="0"/>
        <v>143</v>
      </c>
      <c r="X16" s="258" t="s">
        <v>876</v>
      </c>
    </row>
    <row r="17" spans="1:25">
      <c r="A17">
        <v>15</v>
      </c>
      <c r="B17" t="s">
        <v>405</v>
      </c>
      <c r="C17" t="s">
        <v>463</v>
      </c>
      <c r="G17">
        <v>1</v>
      </c>
      <c r="H17" s="265">
        <v>17</v>
      </c>
      <c r="I17" s="265" t="s">
        <v>21</v>
      </c>
      <c r="J17" s="265" t="s">
        <v>29</v>
      </c>
      <c r="K17" s="265" t="s">
        <v>30</v>
      </c>
      <c r="L17" s="265" t="s">
        <v>33</v>
      </c>
      <c r="M17" s="265" t="s">
        <v>472</v>
      </c>
      <c r="N17" s="317">
        <f>T31/6</f>
        <v>10</v>
      </c>
      <c r="O17" s="1">
        <f>T31*V31/6</f>
        <v>125</v>
      </c>
      <c r="P17" t="s">
        <v>1146</v>
      </c>
      <c r="R17" t="s">
        <v>477</v>
      </c>
      <c r="S17" t="s">
        <v>770</v>
      </c>
      <c r="T17">
        <v>1</v>
      </c>
      <c r="U17" t="s">
        <v>774</v>
      </c>
      <c r="V17" s="275">
        <v>230</v>
      </c>
      <c r="W17" s="240">
        <f t="shared" si="0"/>
        <v>230</v>
      </c>
      <c r="X17" s="258" t="s">
        <v>876</v>
      </c>
    </row>
    <row r="18" spans="1:25">
      <c r="A18">
        <v>15</v>
      </c>
      <c r="B18" t="s">
        <v>405</v>
      </c>
      <c r="C18" t="s">
        <v>463</v>
      </c>
      <c r="G18">
        <v>1</v>
      </c>
      <c r="H18" s="265">
        <v>18</v>
      </c>
      <c r="I18" s="265" t="s">
        <v>21</v>
      </c>
      <c r="J18" s="265" t="s">
        <v>29</v>
      </c>
      <c r="K18" s="265" t="s">
        <v>30</v>
      </c>
      <c r="L18" s="265" t="s">
        <v>33</v>
      </c>
      <c r="M18" s="265" t="s">
        <v>472</v>
      </c>
      <c r="N18" s="317">
        <f>T31/6</f>
        <v>10</v>
      </c>
      <c r="O18" s="1">
        <f>T31*V31/6</f>
        <v>125</v>
      </c>
      <c r="P18" t="s">
        <v>1146</v>
      </c>
      <c r="R18" t="s">
        <v>477</v>
      </c>
      <c r="S18" t="s">
        <v>771</v>
      </c>
      <c r="T18">
        <v>1</v>
      </c>
      <c r="U18" t="s">
        <v>772</v>
      </c>
      <c r="V18" s="275">
        <v>75</v>
      </c>
      <c r="W18" s="240">
        <f>T18*V18</f>
        <v>75</v>
      </c>
    </row>
    <row r="19" spans="1:25">
      <c r="A19">
        <v>15</v>
      </c>
      <c r="B19" t="s">
        <v>405</v>
      </c>
      <c r="C19" t="s">
        <v>463</v>
      </c>
      <c r="G19">
        <v>1</v>
      </c>
      <c r="H19" s="265">
        <v>19</v>
      </c>
      <c r="I19" s="265" t="s">
        <v>21</v>
      </c>
      <c r="J19" s="265" t="s">
        <v>29</v>
      </c>
      <c r="K19" s="265" t="s">
        <v>30</v>
      </c>
      <c r="L19" s="265" t="s">
        <v>33</v>
      </c>
      <c r="M19" s="265" t="s">
        <v>472</v>
      </c>
      <c r="N19" s="317">
        <f>T31/6</f>
        <v>10</v>
      </c>
      <c r="O19" s="1">
        <f>T31*V31/6</f>
        <v>125</v>
      </c>
      <c r="P19" t="s">
        <v>1146</v>
      </c>
      <c r="R19" t="s">
        <v>477</v>
      </c>
      <c r="S19" t="s">
        <v>850</v>
      </c>
      <c r="T19">
        <v>1</v>
      </c>
      <c r="U19" t="s">
        <v>774</v>
      </c>
      <c r="V19" s="275">
        <v>12.69</v>
      </c>
      <c r="W19" s="240">
        <f t="shared" si="0"/>
        <v>12.69</v>
      </c>
      <c r="X19" s="258"/>
    </row>
    <row r="20" spans="1:25">
      <c r="A20">
        <v>15</v>
      </c>
      <c r="B20" t="s">
        <v>405</v>
      </c>
      <c r="C20" t="s">
        <v>463</v>
      </c>
      <c r="G20">
        <v>1</v>
      </c>
      <c r="H20" s="265">
        <v>20</v>
      </c>
      <c r="I20" s="265" t="s">
        <v>21</v>
      </c>
      <c r="J20" s="265" t="s">
        <v>29</v>
      </c>
      <c r="K20" s="265" t="s">
        <v>30</v>
      </c>
      <c r="L20" s="265" t="s">
        <v>33</v>
      </c>
      <c r="M20" s="265" t="s">
        <v>472</v>
      </c>
      <c r="N20" s="317">
        <f>T31/6</f>
        <v>10</v>
      </c>
      <c r="O20" s="1">
        <f>T31*V31/6</f>
        <v>125</v>
      </c>
      <c r="P20" t="s">
        <v>1146</v>
      </c>
      <c r="R20" t="s">
        <v>477</v>
      </c>
      <c r="S20" t="s">
        <v>851</v>
      </c>
      <c r="T20">
        <v>1</v>
      </c>
      <c r="U20" t="s">
        <v>774</v>
      </c>
      <c r="V20" s="276">
        <v>29.85</v>
      </c>
      <c r="W20" s="240">
        <f t="shared" si="0"/>
        <v>29.85</v>
      </c>
      <c r="X20" s="258" t="s">
        <v>877</v>
      </c>
    </row>
    <row r="21" spans="1:25">
      <c r="A21">
        <v>15</v>
      </c>
      <c r="B21" t="s">
        <v>405</v>
      </c>
      <c r="C21" t="s">
        <v>463</v>
      </c>
      <c r="G21">
        <v>1</v>
      </c>
      <c r="H21" s="265">
        <v>21</v>
      </c>
      <c r="I21" s="265" t="s">
        <v>21</v>
      </c>
      <c r="J21" s="265" t="s">
        <v>29</v>
      </c>
      <c r="K21" s="265" t="s">
        <v>30</v>
      </c>
      <c r="L21" s="265" t="s">
        <v>33</v>
      </c>
      <c r="M21" s="265" t="s">
        <v>472</v>
      </c>
      <c r="N21" s="317">
        <f>T31/6</f>
        <v>10</v>
      </c>
      <c r="O21" s="1">
        <f>T31*V31/6</f>
        <v>125</v>
      </c>
      <c r="P21" t="s">
        <v>1146</v>
      </c>
      <c r="R21" t="s">
        <v>477</v>
      </c>
      <c r="S21" t="s">
        <v>852</v>
      </c>
      <c r="T21">
        <v>1</v>
      </c>
      <c r="U21" t="s">
        <v>774</v>
      </c>
      <c r="V21" s="277">
        <v>264.06</v>
      </c>
      <c r="W21" s="240">
        <f t="shared" si="0"/>
        <v>264.06</v>
      </c>
      <c r="X21" s="258" t="s">
        <v>877</v>
      </c>
    </row>
    <row r="22" spans="1:25">
      <c r="A22">
        <v>15</v>
      </c>
      <c r="B22" t="s">
        <v>405</v>
      </c>
      <c r="C22" t="s">
        <v>463</v>
      </c>
      <c r="G22">
        <v>1</v>
      </c>
      <c r="H22" s="265"/>
      <c r="I22" s="265" t="s">
        <v>21</v>
      </c>
      <c r="J22" s="265" t="s">
        <v>29</v>
      </c>
      <c r="K22" s="265" t="s">
        <v>26</v>
      </c>
      <c r="L22" s="265" t="s">
        <v>33</v>
      </c>
      <c r="M22" s="265" t="s">
        <v>473</v>
      </c>
      <c r="N22" s="265"/>
      <c r="O22" s="249">
        <f>W33</f>
        <v>450</v>
      </c>
      <c r="P22" t="s">
        <v>481</v>
      </c>
      <c r="R22" t="s">
        <v>477</v>
      </c>
      <c r="S22" t="s">
        <v>773</v>
      </c>
      <c r="T22">
        <v>1</v>
      </c>
      <c r="U22" t="s">
        <v>774</v>
      </c>
      <c r="V22" s="275">
        <v>50</v>
      </c>
      <c r="W22" s="240">
        <f>T22*V22</f>
        <v>50</v>
      </c>
      <c r="X22" s="258" t="s">
        <v>876</v>
      </c>
    </row>
    <row r="23" spans="1:25">
      <c r="A23">
        <v>15</v>
      </c>
      <c r="B23" t="s">
        <v>405</v>
      </c>
      <c r="C23" t="s">
        <v>463</v>
      </c>
      <c r="G23">
        <v>1</v>
      </c>
      <c r="H23" s="265"/>
      <c r="I23" s="265" t="s">
        <v>21</v>
      </c>
      <c r="J23" s="265" t="s">
        <v>29</v>
      </c>
      <c r="K23" s="265" t="s">
        <v>26</v>
      </c>
      <c r="L23" s="265" t="s">
        <v>33</v>
      </c>
      <c r="M23" s="265" t="s">
        <v>474</v>
      </c>
      <c r="N23" s="265"/>
      <c r="O23" s="1">
        <f>T34*V34</f>
        <v>187.5</v>
      </c>
      <c r="P23" t="s">
        <v>893</v>
      </c>
      <c r="R23" t="s">
        <v>477</v>
      </c>
      <c r="S23" t="s">
        <v>853</v>
      </c>
      <c r="T23">
        <v>16</v>
      </c>
      <c r="U23" t="s">
        <v>775</v>
      </c>
      <c r="V23" s="275">
        <f>Hired_Labor</f>
        <v>12.5</v>
      </c>
      <c r="W23" s="240">
        <f>T23*V23</f>
        <v>200</v>
      </c>
      <c r="X23" s="258"/>
    </row>
    <row r="24" spans="1:25">
      <c r="A24">
        <v>15</v>
      </c>
      <c r="B24" t="s">
        <v>405</v>
      </c>
      <c r="C24" t="s">
        <v>463</v>
      </c>
      <c r="G24">
        <v>1</v>
      </c>
      <c r="H24" s="265"/>
      <c r="I24" s="265" t="s">
        <v>21</v>
      </c>
      <c r="J24" s="265" t="s">
        <v>25</v>
      </c>
      <c r="K24" s="265" t="s">
        <v>408</v>
      </c>
      <c r="L24" s="265" t="s">
        <v>867</v>
      </c>
      <c r="M24" s="265" t="s">
        <v>868</v>
      </c>
      <c r="N24" s="265"/>
      <c r="O24" s="249">
        <f>W47</f>
        <v>68.989999999999995</v>
      </c>
      <c r="P24" t="s">
        <v>482</v>
      </c>
      <c r="R24" t="s">
        <v>477</v>
      </c>
      <c r="S24" t="s">
        <v>776</v>
      </c>
      <c r="T24" s="243">
        <v>1</v>
      </c>
      <c r="U24" s="243" t="s">
        <v>774</v>
      </c>
      <c r="V24" s="278">
        <v>43.61</v>
      </c>
      <c r="W24" s="244">
        <f>T24*V24</f>
        <v>43.61</v>
      </c>
      <c r="X24" s="258" t="s">
        <v>878</v>
      </c>
    </row>
    <row r="25" spans="1:25">
      <c r="A25">
        <v>15</v>
      </c>
      <c r="B25" t="s">
        <v>405</v>
      </c>
      <c r="C25" t="s">
        <v>463</v>
      </c>
      <c r="G25">
        <v>1</v>
      </c>
      <c r="H25" s="265"/>
      <c r="I25" s="265" t="s">
        <v>21</v>
      </c>
      <c r="J25" s="265" t="s">
        <v>25</v>
      </c>
      <c r="K25" s="265" t="s">
        <v>408</v>
      </c>
      <c r="L25" s="265" t="s">
        <v>32</v>
      </c>
      <c r="M25" s="265" t="s">
        <v>869</v>
      </c>
      <c r="N25" s="265"/>
      <c r="O25" s="249">
        <f>W48</f>
        <v>322.8</v>
      </c>
      <c r="P25" t="s">
        <v>482</v>
      </c>
      <c r="R25" t="s">
        <v>477</v>
      </c>
      <c r="S25" s="15" t="s">
        <v>777</v>
      </c>
      <c r="V25" s="265"/>
      <c r="W25" s="238">
        <f>SUM(W12:W24)</f>
        <v>1635.2599999999998</v>
      </c>
    </row>
    <row r="26" spans="1:25">
      <c r="A26">
        <v>15</v>
      </c>
      <c r="B26" t="s">
        <v>405</v>
      </c>
      <c r="C26" t="s">
        <v>463</v>
      </c>
      <c r="G26">
        <v>1</v>
      </c>
      <c r="H26" s="265"/>
      <c r="I26" s="265" t="s">
        <v>21</v>
      </c>
      <c r="J26" s="265" t="s">
        <v>25</v>
      </c>
      <c r="K26" s="265" t="s">
        <v>26</v>
      </c>
      <c r="L26" s="265" t="s">
        <v>32</v>
      </c>
      <c r="M26" s="265" t="s">
        <v>870</v>
      </c>
      <c r="N26" s="265"/>
      <c r="O26" s="249">
        <f>W49</f>
        <v>5</v>
      </c>
      <c r="P26" t="s">
        <v>482</v>
      </c>
      <c r="R26" t="s">
        <v>477</v>
      </c>
      <c r="V26" s="265"/>
      <c r="Y26" s="5"/>
    </row>
    <row r="27" spans="1:25">
      <c r="A27">
        <v>15</v>
      </c>
      <c r="B27" t="s">
        <v>405</v>
      </c>
      <c r="C27" t="s">
        <v>463</v>
      </c>
      <c r="G27">
        <v>1</v>
      </c>
      <c r="H27" s="265"/>
      <c r="I27" s="265" t="s">
        <v>21</v>
      </c>
      <c r="J27" s="265" t="s">
        <v>25</v>
      </c>
      <c r="K27" s="265" t="s">
        <v>26</v>
      </c>
      <c r="L27" s="265" t="s">
        <v>32</v>
      </c>
      <c r="M27" s="265" t="s">
        <v>871</v>
      </c>
      <c r="N27" s="265"/>
      <c r="O27" s="249">
        <f>W50</f>
        <v>37.523803000000001</v>
      </c>
      <c r="P27" t="s">
        <v>482</v>
      </c>
      <c r="R27" t="s">
        <v>477</v>
      </c>
      <c r="S27" s="239"/>
      <c r="T27" s="239"/>
      <c r="U27" s="239"/>
      <c r="V27" s="239"/>
      <c r="W27" s="239"/>
    </row>
    <row r="28" spans="1:25">
      <c r="A28">
        <v>15</v>
      </c>
      <c r="B28" t="s">
        <v>405</v>
      </c>
      <c r="C28" t="s">
        <v>463</v>
      </c>
      <c r="G28">
        <v>1</v>
      </c>
      <c r="H28" s="263"/>
      <c r="I28" s="265" t="s">
        <v>21</v>
      </c>
      <c r="J28" s="265" t="s">
        <v>22</v>
      </c>
      <c r="K28" s="265" t="s">
        <v>30</v>
      </c>
      <c r="L28" s="265" t="s">
        <v>33</v>
      </c>
      <c r="M28" s="265" t="s">
        <v>475</v>
      </c>
      <c r="N28" s="263">
        <f>T58</f>
        <v>15</v>
      </c>
      <c r="O28" s="1">
        <f>T58*V58</f>
        <v>225</v>
      </c>
      <c r="P28" t="s">
        <v>894</v>
      </c>
      <c r="R28" t="s">
        <v>477</v>
      </c>
      <c r="S28" s="15" t="s">
        <v>778</v>
      </c>
    </row>
    <row r="29" spans="1:25">
      <c r="S29" t="s">
        <v>779</v>
      </c>
      <c r="T29">
        <v>10</v>
      </c>
      <c r="U29" t="s">
        <v>780</v>
      </c>
      <c r="V29" s="240">
        <f>Hired_Labor</f>
        <v>12.5</v>
      </c>
      <c r="W29" s="240">
        <f>T29*V29</f>
        <v>125</v>
      </c>
    </row>
    <row r="30" spans="1:25">
      <c r="S30" t="s">
        <v>781</v>
      </c>
      <c r="V30" s="240"/>
    </row>
    <row r="31" spans="1:25">
      <c r="H31" s="3" t="s">
        <v>991</v>
      </c>
      <c r="S31" t="s">
        <v>782</v>
      </c>
      <c r="T31" s="245">
        <f>T6/AA6</f>
        <v>60</v>
      </c>
      <c r="U31" t="s">
        <v>679</v>
      </c>
      <c r="V31" s="240">
        <f>Hired_Labor</f>
        <v>12.5</v>
      </c>
      <c r="W31" s="240">
        <f>T31*V31</f>
        <v>750</v>
      </c>
      <c r="X31" s="258" t="s">
        <v>879</v>
      </c>
    </row>
    <row r="32" spans="1:25">
      <c r="H32" s="3" t="s">
        <v>998</v>
      </c>
      <c r="S32" t="s">
        <v>783</v>
      </c>
      <c r="T32" s="246">
        <f>T6</f>
        <v>375</v>
      </c>
      <c r="U32" t="s">
        <v>760</v>
      </c>
      <c r="V32" s="240">
        <v>1.4</v>
      </c>
      <c r="W32" s="240">
        <f>T32*V32</f>
        <v>525</v>
      </c>
      <c r="X32" s="258"/>
    </row>
    <row r="33" spans="8:25">
      <c r="H33" s="3" t="s">
        <v>997</v>
      </c>
      <c r="S33" t="s">
        <v>784</v>
      </c>
      <c r="T33" s="247">
        <f>Marketing_Pct</f>
        <v>0.1</v>
      </c>
      <c r="U33" t="s">
        <v>785</v>
      </c>
      <c r="V33" s="240"/>
      <c r="W33" s="240">
        <f>T33*W8</f>
        <v>450</v>
      </c>
    </row>
    <row r="34" spans="8:25">
      <c r="S34" t="s">
        <v>786</v>
      </c>
      <c r="T34" s="248">
        <f>T6</f>
        <v>375</v>
      </c>
      <c r="U34" s="243" t="s">
        <v>760</v>
      </c>
      <c r="V34" s="244">
        <v>0.5</v>
      </c>
      <c r="W34" s="244">
        <f>T34*V34</f>
        <v>187.5</v>
      </c>
      <c r="X34" s="258" t="s">
        <v>878</v>
      </c>
    </row>
    <row r="36" spans="8:25">
      <c r="S36" s="15" t="s">
        <v>787</v>
      </c>
      <c r="W36" s="238">
        <f>SUM(W29:W34)</f>
        <v>2037.5</v>
      </c>
      <c r="Y36" s="5"/>
    </row>
    <row r="37" spans="8:25">
      <c r="H37" t="s">
        <v>1139</v>
      </c>
      <c r="Y37" s="5"/>
    </row>
    <row r="38" spans="8:25">
      <c r="H38" t="s">
        <v>1140</v>
      </c>
      <c r="S38" t="s">
        <v>788</v>
      </c>
      <c r="W38" s="249">
        <f>(Interest_Pct*0.5*W25)+(Interest_Pct*0.25*W36)</f>
        <v>79.620299999999986</v>
      </c>
    </row>
    <row r="39" spans="8:25">
      <c r="H39" t="s">
        <v>1141</v>
      </c>
    </row>
    <row r="40" spans="8:25">
      <c r="H40" t="s">
        <v>1142</v>
      </c>
      <c r="S40" s="15" t="s">
        <v>789</v>
      </c>
      <c r="T40" s="15"/>
      <c r="U40" s="15"/>
      <c r="V40" s="15"/>
      <c r="W40" s="238">
        <f>SUM(W25+W36+W38)</f>
        <v>3752.3802999999998</v>
      </c>
    </row>
    <row r="41" spans="8:25">
      <c r="H41" t="s">
        <v>1143</v>
      </c>
    </row>
    <row r="43" spans="8:25">
      <c r="S43" s="250" t="s">
        <v>790</v>
      </c>
      <c r="T43" s="251"/>
      <c r="U43" s="251"/>
      <c r="V43" s="251"/>
      <c r="W43" s="252">
        <f>W8-W40</f>
        <v>747.61970000000019</v>
      </c>
    </row>
    <row r="45" spans="8:25">
      <c r="S45" s="239"/>
      <c r="T45" s="239"/>
      <c r="U45" s="239"/>
      <c r="V45" s="239"/>
      <c r="W45" s="239"/>
    </row>
    <row r="46" spans="8:25">
      <c r="S46" s="15" t="s">
        <v>791</v>
      </c>
    </row>
    <row r="47" spans="8:25">
      <c r="S47" t="s">
        <v>792</v>
      </c>
      <c r="W47" s="240">
        <f>68.99</f>
        <v>68.989999999999995</v>
      </c>
      <c r="X47" s="258" t="s">
        <v>878</v>
      </c>
    </row>
    <row r="48" spans="8:25">
      <c r="S48" t="s">
        <v>793</v>
      </c>
      <c r="W48" s="240">
        <v>322.8</v>
      </c>
      <c r="X48" t="s">
        <v>876</v>
      </c>
    </row>
    <row r="49" spans="19:23">
      <c r="S49" t="s">
        <v>794</v>
      </c>
      <c r="W49" s="240">
        <v>5</v>
      </c>
    </row>
    <row r="50" spans="19:23">
      <c r="S50" t="s">
        <v>795</v>
      </c>
      <c r="T50" s="243"/>
      <c r="U50" s="243"/>
      <c r="V50" s="243"/>
      <c r="W50" s="244">
        <f>0.01*W40</f>
        <v>37.523803000000001</v>
      </c>
    </row>
    <row r="52" spans="19:23">
      <c r="S52" s="15" t="s">
        <v>796</v>
      </c>
      <c r="W52" s="253">
        <f>SUM(W47:W51)</f>
        <v>434.31380300000001</v>
      </c>
    </row>
    <row r="54" spans="19:23">
      <c r="S54" s="15" t="s">
        <v>797</v>
      </c>
      <c r="W54" s="238">
        <f>W40+W52</f>
        <v>4186.6941029999998</v>
      </c>
    </row>
    <row r="56" spans="19:23">
      <c r="S56" s="250" t="s">
        <v>798</v>
      </c>
      <c r="T56" s="251"/>
      <c r="U56" s="251"/>
      <c r="V56" s="251"/>
      <c r="W56" s="254">
        <f>W8-W54</f>
        <v>313.30589700000019</v>
      </c>
    </row>
    <row r="58" spans="19:23">
      <c r="S58" t="s">
        <v>854</v>
      </c>
      <c r="T58">
        <v>15</v>
      </c>
      <c r="U58" t="s">
        <v>775</v>
      </c>
      <c r="V58" s="240">
        <f>Operator_Labor</f>
        <v>15</v>
      </c>
      <c r="W58" s="240">
        <f>T58*V58</f>
        <v>225</v>
      </c>
    </row>
    <row r="59" spans="19:23" ht="15" thickBot="1">
      <c r="S59" s="255"/>
      <c r="T59" s="255"/>
      <c r="U59" s="255"/>
      <c r="V59" s="255"/>
      <c r="W59" s="255"/>
    </row>
    <row r="60" spans="19:23" ht="15" thickBot="1">
      <c r="S60" s="256" t="s">
        <v>799</v>
      </c>
      <c r="T60" s="255"/>
      <c r="U60" s="255"/>
      <c r="V60" s="255"/>
      <c r="W60" s="257">
        <f>W56-W58</f>
        <v>88.305897000000186</v>
      </c>
    </row>
    <row r="63" spans="19:23">
      <c r="S63" s="258" t="s">
        <v>800</v>
      </c>
    </row>
    <row r="64" spans="19:23">
      <c r="S64" s="258" t="s">
        <v>855</v>
      </c>
    </row>
    <row r="65" spans="19:19">
      <c r="S65" s="258" t="s">
        <v>856</v>
      </c>
    </row>
    <row r="66" spans="19:19">
      <c r="S66" s="258" t="s">
        <v>801</v>
      </c>
    </row>
    <row r="67" spans="19:19">
      <c r="S67" s="258" t="s">
        <v>857</v>
      </c>
    </row>
    <row r="68" spans="19:19">
      <c r="S68" s="258" t="s">
        <v>802</v>
      </c>
    </row>
    <row r="69" spans="19:19">
      <c r="S69" s="258" t="s">
        <v>803</v>
      </c>
    </row>
    <row r="70" spans="19:19">
      <c r="S70" s="258" t="s">
        <v>858</v>
      </c>
    </row>
  </sheetData>
  <autoFilter ref="A1:X30"/>
  <hyperlinks>
    <hyperlink ref="H33" r:id="rId1"/>
    <hyperlink ref="H32" r:id="rId2"/>
    <hyperlink ref="H31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2"/>
  <sheetViews>
    <sheetView zoomScale="80" zoomScaleNormal="80" workbookViewId="0">
      <pane ySplit="1" topLeftCell="A2" activePane="bottomLeft" state="frozen"/>
      <selection pane="bottomLeft" activeCell="M80" sqref="M80"/>
    </sheetView>
  </sheetViews>
  <sheetFormatPr defaultRowHeight="14.5"/>
  <cols>
    <col min="2" max="2" width="27.26953125" bestFit="1" customWidth="1"/>
    <col min="3" max="3" width="23.54296875" bestFit="1" customWidth="1"/>
    <col min="4" max="4" width="5.81640625" customWidth="1"/>
    <col min="5" max="5" width="5.54296875" customWidth="1"/>
    <col min="6" max="6" width="5.7265625" customWidth="1"/>
    <col min="7" max="7" width="5.1796875" bestFit="1" customWidth="1"/>
    <col min="8" max="8" width="12.453125" bestFit="1" customWidth="1"/>
    <col min="9" max="9" width="10.26953125" bestFit="1" customWidth="1"/>
    <col min="10" max="10" width="16.7265625" customWidth="1"/>
    <col min="11" max="11" width="17.26953125" bestFit="1" customWidth="1"/>
    <col min="12" max="12" width="14.453125" bestFit="1" customWidth="1"/>
    <col min="13" max="13" width="75.26953125" customWidth="1"/>
    <col min="14" max="14" width="20.26953125" customWidth="1"/>
    <col min="15" max="15" width="10.54296875" bestFit="1" customWidth="1"/>
    <col min="16" max="16" width="71.26953125" bestFit="1" customWidth="1"/>
    <col min="17" max="17" width="34.26953125" bestFit="1" customWidth="1"/>
    <col min="18" max="18" width="95.179687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86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 hidden="1">
      <c r="A2">
        <v>15</v>
      </c>
      <c r="B2" t="s">
        <v>405</v>
      </c>
      <c r="C2" t="s">
        <v>483</v>
      </c>
      <c r="G2">
        <v>1</v>
      </c>
      <c r="J2" t="s">
        <v>61</v>
      </c>
      <c r="K2" s="289" t="s">
        <v>981</v>
      </c>
      <c r="L2" s="265" t="s">
        <v>33</v>
      </c>
      <c r="M2" s="265" t="s">
        <v>484</v>
      </c>
      <c r="N2" s="265"/>
      <c r="O2" s="279">
        <v>4360</v>
      </c>
      <c r="R2" t="s">
        <v>634</v>
      </c>
    </row>
    <row r="3" spans="1:18" hidden="1">
      <c r="A3">
        <v>15</v>
      </c>
      <c r="B3" t="s">
        <v>405</v>
      </c>
      <c r="C3" t="s">
        <v>483</v>
      </c>
      <c r="G3">
        <v>1</v>
      </c>
      <c r="J3" t="s">
        <v>61</v>
      </c>
      <c r="K3" t="s">
        <v>71</v>
      </c>
      <c r="L3" t="s">
        <v>33</v>
      </c>
      <c r="M3" t="s">
        <v>485</v>
      </c>
      <c r="O3" s="1">
        <v>90</v>
      </c>
      <c r="R3" t="s">
        <v>634</v>
      </c>
    </row>
    <row r="4" spans="1:18" hidden="1">
      <c r="A4">
        <v>15</v>
      </c>
      <c r="B4" t="s">
        <v>405</v>
      </c>
      <c r="C4" t="s">
        <v>483</v>
      </c>
      <c r="G4">
        <v>1</v>
      </c>
      <c r="H4" s="3" t="s">
        <v>996</v>
      </c>
      <c r="J4" t="s">
        <v>61</v>
      </c>
      <c r="K4" t="s">
        <v>71</v>
      </c>
      <c r="L4" t="s">
        <v>33</v>
      </c>
      <c r="M4" t="s">
        <v>486</v>
      </c>
      <c r="O4" s="1">
        <v>10</v>
      </c>
      <c r="R4" t="s">
        <v>634</v>
      </c>
    </row>
    <row r="5" spans="1:18" hidden="1">
      <c r="A5">
        <v>15</v>
      </c>
      <c r="B5" t="s">
        <v>405</v>
      </c>
      <c r="C5" t="s">
        <v>483</v>
      </c>
      <c r="G5">
        <v>1</v>
      </c>
      <c r="H5" s="3" t="s">
        <v>993</v>
      </c>
      <c r="J5" t="s">
        <v>61</v>
      </c>
      <c r="K5" t="s">
        <v>408</v>
      </c>
      <c r="L5" t="s">
        <v>33</v>
      </c>
      <c r="M5" t="s">
        <v>487</v>
      </c>
      <c r="O5" s="1">
        <v>10.5</v>
      </c>
      <c r="R5" t="s">
        <v>634</v>
      </c>
    </row>
    <row r="6" spans="1:18" hidden="1">
      <c r="A6">
        <v>15</v>
      </c>
      <c r="B6" t="s">
        <v>405</v>
      </c>
      <c r="C6" t="s">
        <v>483</v>
      </c>
      <c r="G6">
        <v>1</v>
      </c>
      <c r="H6" s="3" t="s">
        <v>992</v>
      </c>
      <c r="J6" t="s">
        <v>61</v>
      </c>
      <c r="K6" t="s">
        <v>71</v>
      </c>
      <c r="L6" t="s">
        <v>33</v>
      </c>
      <c r="M6" t="s">
        <v>488</v>
      </c>
      <c r="O6" s="1">
        <v>30.24</v>
      </c>
      <c r="Q6" t="s">
        <v>1006</v>
      </c>
      <c r="R6" t="s">
        <v>634</v>
      </c>
    </row>
    <row r="7" spans="1:18">
      <c r="A7">
        <v>15</v>
      </c>
      <c r="B7" t="s">
        <v>405</v>
      </c>
      <c r="C7" t="s">
        <v>483</v>
      </c>
      <c r="G7">
        <v>1</v>
      </c>
      <c r="H7" s="263" t="s">
        <v>1011</v>
      </c>
      <c r="J7" t="s">
        <v>61</v>
      </c>
      <c r="K7" t="s">
        <v>30</v>
      </c>
      <c r="L7" t="s">
        <v>33</v>
      </c>
      <c r="M7" t="s">
        <v>489</v>
      </c>
      <c r="N7" s="263">
        <v>10</v>
      </c>
      <c r="O7" s="1">
        <f>13.5*10</f>
        <v>135</v>
      </c>
      <c r="P7" t="s">
        <v>914</v>
      </c>
      <c r="Q7" t="s">
        <v>1030</v>
      </c>
      <c r="R7" t="s">
        <v>634</v>
      </c>
    </row>
    <row r="8" spans="1:18" hidden="1">
      <c r="A8">
        <v>15</v>
      </c>
      <c r="B8" t="s">
        <v>405</v>
      </c>
      <c r="C8" t="s">
        <v>483</v>
      </c>
      <c r="G8">
        <v>1</v>
      </c>
      <c r="J8" t="s">
        <v>61</v>
      </c>
      <c r="K8" t="s">
        <v>30</v>
      </c>
      <c r="L8" t="s">
        <v>33</v>
      </c>
      <c r="M8" t="s">
        <v>490</v>
      </c>
      <c r="O8" s="1">
        <v>165.87</v>
      </c>
      <c r="R8" t="s">
        <v>634</v>
      </c>
    </row>
    <row r="9" spans="1:18">
      <c r="A9">
        <v>15</v>
      </c>
      <c r="B9" t="s">
        <v>405</v>
      </c>
      <c r="C9" t="s">
        <v>483</v>
      </c>
      <c r="G9">
        <v>1</v>
      </c>
      <c r="H9" s="263" t="s">
        <v>1022</v>
      </c>
      <c r="J9" t="s">
        <v>61</v>
      </c>
      <c r="K9" t="s">
        <v>30</v>
      </c>
      <c r="L9" t="s">
        <v>33</v>
      </c>
      <c r="M9" t="s">
        <v>491</v>
      </c>
      <c r="N9" s="263">
        <v>0.2</v>
      </c>
      <c r="O9" s="1">
        <f>20*0.2</f>
        <v>4</v>
      </c>
      <c r="P9" t="s">
        <v>937</v>
      </c>
      <c r="Q9" t="s">
        <v>1021</v>
      </c>
      <c r="R9" t="s">
        <v>634</v>
      </c>
    </row>
    <row r="10" spans="1:18" hidden="1">
      <c r="A10">
        <v>15</v>
      </c>
      <c r="B10" t="s">
        <v>405</v>
      </c>
      <c r="C10" t="s">
        <v>483</v>
      </c>
      <c r="G10">
        <v>1</v>
      </c>
      <c r="J10" t="s">
        <v>61</v>
      </c>
      <c r="K10" s="265" t="s">
        <v>71</v>
      </c>
      <c r="L10" t="s">
        <v>33</v>
      </c>
      <c r="M10" t="s">
        <v>492</v>
      </c>
      <c r="O10" s="1">
        <v>4</v>
      </c>
      <c r="R10" t="s">
        <v>634</v>
      </c>
    </row>
    <row r="11" spans="1:18">
      <c r="A11">
        <v>15</v>
      </c>
      <c r="B11" t="s">
        <v>405</v>
      </c>
      <c r="C11" t="s">
        <v>483</v>
      </c>
      <c r="G11">
        <v>1</v>
      </c>
      <c r="H11" s="263" t="s">
        <v>1024</v>
      </c>
      <c r="J11" t="s">
        <v>61</v>
      </c>
      <c r="K11" t="s">
        <v>30</v>
      </c>
      <c r="L11" t="s">
        <v>33</v>
      </c>
      <c r="M11" t="s">
        <v>493</v>
      </c>
      <c r="N11" s="263">
        <v>0.6</v>
      </c>
      <c r="O11" s="1">
        <f>20*0.6</f>
        <v>12</v>
      </c>
      <c r="P11" t="s">
        <v>930</v>
      </c>
      <c r="R11" t="s">
        <v>634</v>
      </c>
    </row>
    <row r="12" spans="1:18" hidden="1">
      <c r="A12">
        <v>15</v>
      </c>
      <c r="B12" t="s">
        <v>405</v>
      </c>
      <c r="C12" t="s">
        <v>483</v>
      </c>
      <c r="G12">
        <v>1</v>
      </c>
      <c r="J12" t="s">
        <v>61</v>
      </c>
      <c r="K12" t="s">
        <v>408</v>
      </c>
      <c r="L12" t="s">
        <v>33</v>
      </c>
      <c r="M12" t="s">
        <v>494</v>
      </c>
      <c r="O12" s="1">
        <v>8.56</v>
      </c>
      <c r="R12" t="s">
        <v>634</v>
      </c>
    </row>
    <row r="13" spans="1:18" hidden="1">
      <c r="A13">
        <v>15</v>
      </c>
      <c r="B13" t="s">
        <v>405</v>
      </c>
      <c r="C13" t="s">
        <v>483</v>
      </c>
      <c r="G13">
        <v>1</v>
      </c>
      <c r="J13" s="303" t="s">
        <v>61</v>
      </c>
      <c r="K13" s="301" t="s">
        <v>71</v>
      </c>
      <c r="L13" s="303" t="s">
        <v>33</v>
      </c>
      <c r="M13" s="301" t="s">
        <v>495</v>
      </c>
      <c r="O13" s="1">
        <v>75</v>
      </c>
      <c r="R13" t="s">
        <v>634</v>
      </c>
    </row>
    <row r="14" spans="1:18" hidden="1">
      <c r="A14">
        <v>15</v>
      </c>
      <c r="B14" t="s">
        <v>405</v>
      </c>
      <c r="C14" t="s">
        <v>483</v>
      </c>
      <c r="G14">
        <v>1</v>
      </c>
      <c r="J14" t="s">
        <v>61</v>
      </c>
      <c r="K14" s="289" t="s">
        <v>981</v>
      </c>
      <c r="L14" s="265" t="s">
        <v>33</v>
      </c>
      <c r="M14" s="265" t="s">
        <v>496</v>
      </c>
      <c r="N14" s="265"/>
      <c r="O14" s="279">
        <v>50</v>
      </c>
      <c r="R14" t="s">
        <v>634</v>
      </c>
    </row>
    <row r="15" spans="1:18" hidden="1">
      <c r="A15">
        <v>15</v>
      </c>
      <c r="B15" t="s">
        <v>405</v>
      </c>
      <c r="C15" t="s">
        <v>483</v>
      </c>
      <c r="G15">
        <v>1</v>
      </c>
      <c r="J15" t="s">
        <v>61</v>
      </c>
      <c r="K15" s="289" t="s">
        <v>981</v>
      </c>
      <c r="L15" s="265" t="s">
        <v>33</v>
      </c>
      <c r="M15" s="265" t="s">
        <v>497</v>
      </c>
      <c r="N15" s="265"/>
      <c r="O15" s="279">
        <v>46</v>
      </c>
      <c r="Q15" t="s">
        <v>938</v>
      </c>
      <c r="R15" t="s">
        <v>634</v>
      </c>
    </row>
    <row r="16" spans="1:18" hidden="1">
      <c r="A16">
        <v>15</v>
      </c>
      <c r="B16" t="s">
        <v>405</v>
      </c>
      <c r="C16" t="s">
        <v>483</v>
      </c>
      <c r="G16">
        <v>1</v>
      </c>
      <c r="J16" t="s">
        <v>61</v>
      </c>
      <c r="K16" s="265" t="s">
        <v>408</v>
      </c>
      <c r="L16" s="265" t="s">
        <v>33</v>
      </c>
      <c r="M16" t="s">
        <v>498</v>
      </c>
      <c r="O16" s="1">
        <v>75.03</v>
      </c>
      <c r="P16" s="1"/>
      <c r="Q16" s="1">
        <f>SUM(O2:O16)</f>
        <v>5076.2</v>
      </c>
      <c r="R16" t="s">
        <v>634</v>
      </c>
    </row>
    <row r="17" spans="1:18">
      <c r="A17">
        <v>15</v>
      </c>
      <c r="B17" t="s">
        <v>405</v>
      </c>
      <c r="C17" t="s">
        <v>483</v>
      </c>
      <c r="G17">
        <v>1</v>
      </c>
      <c r="H17" s="263" t="s">
        <v>1007</v>
      </c>
      <c r="J17" t="s">
        <v>22</v>
      </c>
      <c r="K17" t="s">
        <v>30</v>
      </c>
      <c r="L17" t="s">
        <v>33</v>
      </c>
      <c r="M17" t="s">
        <v>499</v>
      </c>
      <c r="N17" s="263">
        <v>1</v>
      </c>
      <c r="O17" s="1">
        <v>20</v>
      </c>
      <c r="R17" t="s">
        <v>634</v>
      </c>
    </row>
    <row r="18" spans="1:18" hidden="1">
      <c r="A18">
        <v>15</v>
      </c>
      <c r="B18" t="s">
        <v>405</v>
      </c>
      <c r="C18" t="s">
        <v>483</v>
      </c>
      <c r="G18">
        <v>1</v>
      </c>
      <c r="J18" t="s">
        <v>22</v>
      </c>
      <c r="K18" t="s">
        <v>408</v>
      </c>
      <c r="L18" t="s">
        <v>33</v>
      </c>
      <c r="M18" t="s">
        <v>500</v>
      </c>
      <c r="O18" s="1">
        <v>15.79</v>
      </c>
      <c r="R18" t="s">
        <v>634</v>
      </c>
    </row>
    <row r="19" spans="1:18" hidden="1">
      <c r="A19">
        <v>15</v>
      </c>
      <c r="B19" t="s">
        <v>405</v>
      </c>
      <c r="C19" t="s">
        <v>483</v>
      </c>
      <c r="G19">
        <v>1</v>
      </c>
      <c r="J19" t="s">
        <v>22</v>
      </c>
      <c r="K19" s="287" t="s">
        <v>981</v>
      </c>
      <c r="L19" s="287" t="s">
        <v>33</v>
      </c>
      <c r="M19" s="287" t="s">
        <v>501</v>
      </c>
      <c r="N19" s="287" t="s">
        <v>897</v>
      </c>
      <c r="O19" s="279">
        <v>1250</v>
      </c>
      <c r="R19" t="s">
        <v>634</v>
      </c>
    </row>
    <row r="20" spans="1:18" hidden="1">
      <c r="A20">
        <v>15</v>
      </c>
      <c r="B20" t="s">
        <v>405</v>
      </c>
      <c r="C20" t="s">
        <v>483</v>
      </c>
      <c r="G20">
        <v>1</v>
      </c>
      <c r="J20" t="s">
        <v>22</v>
      </c>
      <c r="K20" t="s">
        <v>408</v>
      </c>
      <c r="L20" t="s">
        <v>33</v>
      </c>
      <c r="M20" t="s">
        <v>502</v>
      </c>
      <c r="O20" s="1">
        <v>2823.33</v>
      </c>
      <c r="R20" t="s">
        <v>634</v>
      </c>
    </row>
    <row r="21" spans="1:18">
      <c r="A21">
        <v>15</v>
      </c>
      <c r="B21" t="s">
        <v>405</v>
      </c>
      <c r="C21" t="s">
        <v>483</v>
      </c>
      <c r="G21">
        <v>1</v>
      </c>
      <c r="H21" s="302" t="s">
        <v>1025</v>
      </c>
      <c r="J21" t="s">
        <v>22</v>
      </c>
      <c r="K21" t="s">
        <v>30</v>
      </c>
      <c r="L21" t="s">
        <v>33</v>
      </c>
      <c r="M21" t="s">
        <v>503</v>
      </c>
      <c r="N21" s="263">
        <v>0.6</v>
      </c>
      <c r="O21" s="1">
        <f>20*0.6</f>
        <v>12</v>
      </c>
      <c r="P21" t="s">
        <v>930</v>
      </c>
      <c r="Q21" t="s">
        <v>1023</v>
      </c>
      <c r="R21" t="s">
        <v>634</v>
      </c>
    </row>
    <row r="22" spans="1:18" hidden="1">
      <c r="A22">
        <v>15</v>
      </c>
      <c r="B22" t="s">
        <v>405</v>
      </c>
      <c r="C22" t="s">
        <v>483</v>
      </c>
      <c r="G22">
        <v>1</v>
      </c>
      <c r="J22" t="s">
        <v>22</v>
      </c>
      <c r="K22" t="s">
        <v>408</v>
      </c>
      <c r="L22" t="s">
        <v>33</v>
      </c>
      <c r="M22" t="s">
        <v>504</v>
      </c>
      <c r="O22" s="1">
        <v>8.56</v>
      </c>
      <c r="R22" t="s">
        <v>634</v>
      </c>
    </row>
    <row r="23" spans="1:18" hidden="1">
      <c r="A23">
        <v>15</v>
      </c>
      <c r="B23" t="s">
        <v>405</v>
      </c>
      <c r="C23" t="s">
        <v>483</v>
      </c>
      <c r="G23">
        <v>1</v>
      </c>
      <c r="J23" t="s">
        <v>22</v>
      </c>
      <c r="K23" t="s">
        <v>71</v>
      </c>
      <c r="L23" t="s">
        <v>33</v>
      </c>
      <c r="M23" t="s">
        <v>505</v>
      </c>
      <c r="O23" s="1">
        <v>7.5</v>
      </c>
      <c r="R23" t="s">
        <v>634</v>
      </c>
    </row>
    <row r="24" spans="1:18">
      <c r="A24">
        <v>15</v>
      </c>
      <c r="B24" t="s">
        <v>405</v>
      </c>
      <c r="C24" t="s">
        <v>483</v>
      </c>
      <c r="G24">
        <v>1</v>
      </c>
      <c r="H24" s="263" t="s">
        <v>1026</v>
      </c>
      <c r="J24" t="s">
        <v>22</v>
      </c>
      <c r="K24" t="s">
        <v>30</v>
      </c>
      <c r="L24" t="s">
        <v>33</v>
      </c>
      <c r="M24" t="s">
        <v>506</v>
      </c>
      <c r="N24" s="263">
        <v>1.5</v>
      </c>
      <c r="O24" s="1">
        <f>20*1.5</f>
        <v>30</v>
      </c>
      <c r="P24" t="s">
        <v>936</v>
      </c>
      <c r="Q24" t="s">
        <v>1010</v>
      </c>
      <c r="R24" t="s">
        <v>634</v>
      </c>
    </row>
    <row r="25" spans="1:18" hidden="1">
      <c r="A25">
        <v>15</v>
      </c>
      <c r="B25" t="s">
        <v>405</v>
      </c>
      <c r="C25" t="s">
        <v>483</v>
      </c>
      <c r="G25">
        <v>1</v>
      </c>
      <c r="J25" t="s">
        <v>22</v>
      </c>
      <c r="K25" t="s">
        <v>408</v>
      </c>
      <c r="L25" t="s">
        <v>33</v>
      </c>
      <c r="M25" t="s">
        <v>507</v>
      </c>
      <c r="O25" s="1">
        <v>21.64</v>
      </c>
      <c r="Q25" t="s">
        <v>1008</v>
      </c>
      <c r="R25" t="s">
        <v>634</v>
      </c>
    </row>
    <row r="26" spans="1:18">
      <c r="A26">
        <v>15</v>
      </c>
      <c r="B26" t="s">
        <v>405</v>
      </c>
      <c r="C26" t="s">
        <v>483</v>
      </c>
      <c r="G26">
        <v>1</v>
      </c>
      <c r="H26" s="263" t="s">
        <v>1026</v>
      </c>
      <c r="J26" t="s">
        <v>22</v>
      </c>
      <c r="K26" t="s">
        <v>30</v>
      </c>
      <c r="L26" t="s">
        <v>33</v>
      </c>
      <c r="M26" t="s">
        <v>508</v>
      </c>
      <c r="N26" s="263">
        <v>1.5</v>
      </c>
      <c r="O26" s="1">
        <f>13.5*1.5</f>
        <v>20.25</v>
      </c>
      <c r="P26" t="s">
        <v>935</v>
      </c>
      <c r="R26" t="s">
        <v>634</v>
      </c>
    </row>
    <row r="27" spans="1:18">
      <c r="A27">
        <v>15</v>
      </c>
      <c r="B27" t="s">
        <v>405</v>
      </c>
      <c r="C27" t="s">
        <v>483</v>
      </c>
      <c r="G27">
        <v>1</v>
      </c>
      <c r="H27" s="263" t="s">
        <v>1034</v>
      </c>
      <c r="J27" t="s">
        <v>22</v>
      </c>
      <c r="K27" t="s">
        <v>30</v>
      </c>
      <c r="L27" t="s">
        <v>33</v>
      </c>
      <c r="M27" t="s">
        <v>509</v>
      </c>
      <c r="N27" s="263">
        <v>1.25</v>
      </c>
      <c r="O27" s="1">
        <f>20*1.25</f>
        <v>25</v>
      </c>
      <c r="P27" t="s">
        <v>929</v>
      </c>
      <c r="R27" t="s">
        <v>634</v>
      </c>
    </row>
    <row r="28" spans="1:18" hidden="1">
      <c r="A28">
        <v>15</v>
      </c>
      <c r="B28" t="s">
        <v>405</v>
      </c>
      <c r="C28" t="s">
        <v>483</v>
      </c>
      <c r="G28">
        <v>1</v>
      </c>
      <c r="J28" t="s">
        <v>22</v>
      </c>
      <c r="K28" t="s">
        <v>408</v>
      </c>
      <c r="L28" t="s">
        <v>33</v>
      </c>
      <c r="M28" t="s">
        <v>510</v>
      </c>
      <c r="O28" s="1">
        <v>20.56</v>
      </c>
      <c r="Q28" s="265" t="s">
        <v>994</v>
      </c>
      <c r="R28" t="s">
        <v>634</v>
      </c>
    </row>
    <row r="29" spans="1:18" hidden="1">
      <c r="A29">
        <v>15</v>
      </c>
      <c r="B29" t="s">
        <v>405</v>
      </c>
      <c r="C29" t="s">
        <v>483</v>
      </c>
      <c r="G29">
        <v>1</v>
      </c>
      <c r="J29" t="s">
        <v>22</v>
      </c>
      <c r="K29" t="s">
        <v>71</v>
      </c>
      <c r="L29" t="s">
        <v>33</v>
      </c>
      <c r="M29" t="s">
        <v>511</v>
      </c>
      <c r="O29" s="1">
        <v>14.34</v>
      </c>
      <c r="R29" t="s">
        <v>634</v>
      </c>
    </row>
    <row r="30" spans="1:18">
      <c r="A30">
        <v>15</v>
      </c>
      <c r="B30" t="s">
        <v>405</v>
      </c>
      <c r="C30" t="s">
        <v>483</v>
      </c>
      <c r="G30">
        <v>1</v>
      </c>
      <c r="H30" s="263">
        <v>5</v>
      </c>
      <c r="J30" t="s">
        <v>22</v>
      </c>
      <c r="K30" t="s">
        <v>30</v>
      </c>
      <c r="L30" t="s">
        <v>33</v>
      </c>
      <c r="M30" t="s">
        <v>512</v>
      </c>
      <c r="N30" s="263">
        <v>60</v>
      </c>
      <c r="O30" s="1">
        <f>20*60</f>
        <v>1200</v>
      </c>
      <c r="P30" t="s">
        <v>934</v>
      </c>
      <c r="R30" t="s">
        <v>634</v>
      </c>
    </row>
    <row r="31" spans="1:18" hidden="1">
      <c r="A31">
        <v>15</v>
      </c>
      <c r="B31" t="s">
        <v>405</v>
      </c>
      <c r="C31" t="s">
        <v>483</v>
      </c>
      <c r="G31">
        <v>1</v>
      </c>
      <c r="J31" t="s">
        <v>22</v>
      </c>
      <c r="K31" t="s">
        <v>408</v>
      </c>
      <c r="L31" t="s">
        <v>33</v>
      </c>
      <c r="M31" t="s">
        <v>513</v>
      </c>
      <c r="O31" s="1">
        <v>317.5</v>
      </c>
      <c r="Q31" t="s">
        <v>1006</v>
      </c>
      <c r="R31" t="s">
        <v>634</v>
      </c>
    </row>
    <row r="32" spans="1:18" hidden="1">
      <c r="A32">
        <v>15</v>
      </c>
      <c r="B32" t="s">
        <v>405</v>
      </c>
      <c r="C32" t="s">
        <v>483</v>
      </c>
      <c r="G32">
        <v>1</v>
      </c>
      <c r="J32" t="s">
        <v>22</v>
      </c>
      <c r="K32" t="s">
        <v>71</v>
      </c>
      <c r="L32" t="s">
        <v>33</v>
      </c>
      <c r="M32" t="s">
        <v>514</v>
      </c>
      <c r="O32" s="1">
        <v>3470</v>
      </c>
      <c r="R32" t="s">
        <v>634</v>
      </c>
    </row>
    <row r="33" spans="1:18">
      <c r="A33">
        <v>15</v>
      </c>
      <c r="B33" t="s">
        <v>405</v>
      </c>
      <c r="C33" t="s">
        <v>483</v>
      </c>
      <c r="G33">
        <v>1</v>
      </c>
      <c r="H33" s="263" t="s">
        <v>1032</v>
      </c>
      <c r="J33" t="s">
        <v>22</v>
      </c>
      <c r="K33" t="s">
        <v>30</v>
      </c>
      <c r="L33" t="s">
        <v>33</v>
      </c>
      <c r="M33" t="s">
        <v>515</v>
      </c>
      <c r="N33" s="263">
        <v>1</v>
      </c>
      <c r="O33" s="1">
        <f>20*1</f>
        <v>20</v>
      </c>
      <c r="P33" t="s">
        <v>933</v>
      </c>
      <c r="Q33" t="s">
        <v>1031</v>
      </c>
      <c r="R33" t="s">
        <v>634</v>
      </c>
    </row>
    <row r="34" spans="1:18" hidden="1">
      <c r="A34">
        <v>15</v>
      </c>
      <c r="B34" t="s">
        <v>405</v>
      </c>
      <c r="C34" t="s">
        <v>483</v>
      </c>
      <c r="G34">
        <v>1</v>
      </c>
      <c r="J34" t="s">
        <v>22</v>
      </c>
      <c r="K34" t="s">
        <v>71</v>
      </c>
      <c r="L34" t="s">
        <v>33</v>
      </c>
      <c r="M34" t="s">
        <v>516</v>
      </c>
      <c r="O34" s="1">
        <v>15.24</v>
      </c>
      <c r="R34" t="s">
        <v>634</v>
      </c>
    </row>
    <row r="35" spans="1:18">
      <c r="A35">
        <v>15</v>
      </c>
      <c r="B35" t="s">
        <v>405</v>
      </c>
      <c r="C35" t="s">
        <v>483</v>
      </c>
      <c r="G35">
        <v>1</v>
      </c>
      <c r="H35" s="263" t="s">
        <v>1013</v>
      </c>
      <c r="J35" t="s">
        <v>22</v>
      </c>
      <c r="K35" t="s">
        <v>30</v>
      </c>
      <c r="L35" t="s">
        <v>33</v>
      </c>
      <c r="M35" s="265" t="s">
        <v>950</v>
      </c>
      <c r="N35" s="263">
        <f>0.6*2</f>
        <v>1.2</v>
      </c>
      <c r="O35" s="1">
        <f>20*0.6*2</f>
        <v>24</v>
      </c>
      <c r="P35" t="s">
        <v>949</v>
      </c>
      <c r="R35" t="s">
        <v>634</v>
      </c>
    </row>
    <row r="36" spans="1:18" hidden="1">
      <c r="A36">
        <v>15</v>
      </c>
      <c r="B36" t="s">
        <v>405</v>
      </c>
      <c r="C36" t="s">
        <v>483</v>
      </c>
      <c r="G36">
        <v>1</v>
      </c>
      <c r="J36" t="s">
        <v>22</v>
      </c>
      <c r="K36" t="s">
        <v>408</v>
      </c>
      <c r="L36" t="s">
        <v>33</v>
      </c>
      <c r="M36" t="s">
        <v>951</v>
      </c>
      <c r="O36" s="1">
        <v>21.64</v>
      </c>
      <c r="R36" t="s">
        <v>634</v>
      </c>
    </row>
    <row r="37" spans="1:18" hidden="1">
      <c r="A37">
        <v>15</v>
      </c>
      <c r="B37" t="s">
        <v>405</v>
      </c>
      <c r="C37" t="s">
        <v>483</v>
      </c>
      <c r="G37">
        <v>1</v>
      </c>
      <c r="J37" t="s">
        <v>22</v>
      </c>
      <c r="K37" t="s">
        <v>71</v>
      </c>
      <c r="L37" t="s">
        <v>33</v>
      </c>
      <c r="M37" s="265" t="s">
        <v>517</v>
      </c>
      <c r="N37" s="265"/>
      <c r="O37" s="279">
        <f>3*4.05*3</f>
        <v>36.449999999999996</v>
      </c>
      <c r="P37" s="265" t="s">
        <v>635</v>
      </c>
      <c r="R37" t="s">
        <v>634</v>
      </c>
    </row>
    <row r="38" spans="1:18" hidden="1">
      <c r="A38">
        <v>15</v>
      </c>
      <c r="B38" t="s">
        <v>405</v>
      </c>
      <c r="C38" t="s">
        <v>483</v>
      </c>
      <c r="G38">
        <v>1</v>
      </c>
      <c r="J38" t="s">
        <v>22</v>
      </c>
      <c r="K38" t="s">
        <v>71</v>
      </c>
      <c r="L38" t="s">
        <v>33</v>
      </c>
      <c r="M38" s="265" t="s">
        <v>518</v>
      </c>
      <c r="N38" s="265"/>
      <c r="O38" s="279">
        <f>4*0.5*3</f>
        <v>6</v>
      </c>
      <c r="P38" s="265" t="s">
        <v>636</v>
      </c>
      <c r="R38" t="s">
        <v>634</v>
      </c>
    </row>
    <row r="39" spans="1:18" hidden="1">
      <c r="A39">
        <v>15</v>
      </c>
      <c r="B39" t="s">
        <v>405</v>
      </c>
      <c r="C39" t="s">
        <v>483</v>
      </c>
      <c r="G39">
        <v>1</v>
      </c>
      <c r="J39" t="s">
        <v>22</v>
      </c>
      <c r="K39" t="s">
        <v>71</v>
      </c>
      <c r="L39" t="s">
        <v>33</v>
      </c>
      <c r="M39" s="265" t="s">
        <v>519</v>
      </c>
      <c r="N39" s="265"/>
      <c r="O39" s="279">
        <f>(4/128)*20*3</f>
        <v>1.875</v>
      </c>
      <c r="P39" s="265" t="s">
        <v>637</v>
      </c>
      <c r="R39" t="s">
        <v>634</v>
      </c>
    </row>
    <row r="40" spans="1:18" hidden="1">
      <c r="A40">
        <v>15</v>
      </c>
      <c r="B40" t="s">
        <v>405</v>
      </c>
      <c r="C40" t="s">
        <v>483</v>
      </c>
      <c r="G40">
        <v>1</v>
      </c>
      <c r="J40" t="s">
        <v>22</v>
      </c>
      <c r="K40" t="s">
        <v>408</v>
      </c>
      <c r="L40" t="s">
        <v>33</v>
      </c>
      <c r="M40" s="265" t="s">
        <v>520</v>
      </c>
      <c r="N40" s="265"/>
      <c r="O40" s="279">
        <f>8.38*3</f>
        <v>25.14</v>
      </c>
      <c r="P40" s="265" t="s">
        <v>932</v>
      </c>
      <c r="R40" t="s">
        <v>634</v>
      </c>
    </row>
    <row r="41" spans="1:18">
      <c r="A41">
        <v>15</v>
      </c>
      <c r="B41" t="s">
        <v>405</v>
      </c>
      <c r="C41" t="s">
        <v>483</v>
      </c>
      <c r="G41">
        <v>1</v>
      </c>
      <c r="H41" s="263"/>
      <c r="J41" t="s">
        <v>22</v>
      </c>
      <c r="K41" t="s">
        <v>30</v>
      </c>
      <c r="L41" t="s">
        <v>33</v>
      </c>
      <c r="M41" s="265" t="s">
        <v>521</v>
      </c>
      <c r="N41" s="263">
        <f>0.4*3</f>
        <v>1.2000000000000002</v>
      </c>
      <c r="O41" s="279">
        <f>20*0.4*3</f>
        <v>24</v>
      </c>
      <c r="P41" s="265" t="s">
        <v>638</v>
      </c>
      <c r="R41" t="s">
        <v>634</v>
      </c>
    </row>
    <row r="42" spans="1:18">
      <c r="A42">
        <v>15</v>
      </c>
      <c r="B42" t="s">
        <v>405</v>
      </c>
      <c r="C42" t="s">
        <v>483</v>
      </c>
      <c r="G42">
        <v>1</v>
      </c>
      <c r="H42" s="263"/>
      <c r="J42" t="s">
        <v>22</v>
      </c>
      <c r="K42" t="s">
        <v>30</v>
      </c>
      <c r="L42" t="s">
        <v>33</v>
      </c>
      <c r="M42" t="s">
        <v>522</v>
      </c>
      <c r="N42" s="263">
        <v>0.6</v>
      </c>
      <c r="O42" s="1">
        <f>20*0.6</f>
        <v>12</v>
      </c>
      <c r="P42" t="s">
        <v>930</v>
      </c>
      <c r="R42" t="s">
        <v>634</v>
      </c>
    </row>
    <row r="43" spans="1:18" hidden="1">
      <c r="A43">
        <v>15</v>
      </c>
      <c r="B43" t="s">
        <v>405</v>
      </c>
      <c r="C43" t="s">
        <v>483</v>
      </c>
      <c r="G43">
        <v>1</v>
      </c>
      <c r="J43" t="s">
        <v>22</v>
      </c>
      <c r="K43" t="s">
        <v>408</v>
      </c>
      <c r="L43" t="s">
        <v>33</v>
      </c>
      <c r="M43" t="s">
        <v>523</v>
      </c>
      <c r="O43" s="1">
        <v>8.56</v>
      </c>
      <c r="R43" t="s">
        <v>634</v>
      </c>
    </row>
    <row r="44" spans="1:18" hidden="1">
      <c r="A44">
        <v>15</v>
      </c>
      <c r="B44" t="s">
        <v>405</v>
      </c>
      <c r="C44" t="s">
        <v>483</v>
      </c>
      <c r="G44">
        <v>1</v>
      </c>
      <c r="J44" t="s">
        <v>22</v>
      </c>
      <c r="K44" t="s">
        <v>71</v>
      </c>
      <c r="L44" t="s">
        <v>33</v>
      </c>
      <c r="M44" t="s">
        <v>524</v>
      </c>
      <c r="O44" s="1">
        <v>11.25</v>
      </c>
      <c r="R44" t="s">
        <v>634</v>
      </c>
    </row>
    <row r="45" spans="1:18" hidden="1">
      <c r="A45">
        <v>15</v>
      </c>
      <c r="B45" t="s">
        <v>405</v>
      </c>
      <c r="C45" t="s">
        <v>483</v>
      </c>
      <c r="G45">
        <v>1</v>
      </c>
      <c r="J45" t="s">
        <v>22</v>
      </c>
      <c r="K45" t="s">
        <v>408</v>
      </c>
      <c r="L45" t="s">
        <v>33</v>
      </c>
      <c r="M45" t="s">
        <v>498</v>
      </c>
      <c r="O45" s="1">
        <v>75.03</v>
      </c>
      <c r="P45" s="1"/>
      <c r="Q45" s="1"/>
      <c r="R45" t="s">
        <v>634</v>
      </c>
    </row>
    <row r="46" spans="1:18">
      <c r="A46">
        <v>15</v>
      </c>
      <c r="B46" t="s">
        <v>405</v>
      </c>
      <c r="C46" t="s">
        <v>483</v>
      </c>
      <c r="E46" t="s">
        <v>995</v>
      </c>
      <c r="G46">
        <v>2</v>
      </c>
      <c r="H46" s="302" t="s">
        <v>1018</v>
      </c>
      <c r="J46" t="s">
        <v>22</v>
      </c>
      <c r="K46" t="s">
        <v>30</v>
      </c>
      <c r="L46" t="s">
        <v>33</v>
      </c>
      <c r="M46" t="s">
        <v>525</v>
      </c>
      <c r="N46" s="263">
        <v>3</v>
      </c>
      <c r="O46" s="1">
        <f>20*3</f>
        <v>60</v>
      </c>
      <c r="P46" t="s">
        <v>925</v>
      </c>
      <c r="Q46" s="1" t="s">
        <v>1017</v>
      </c>
      <c r="R46" t="s">
        <v>634</v>
      </c>
    </row>
    <row r="47" spans="1:18">
      <c r="A47">
        <v>15</v>
      </c>
      <c r="B47" t="s">
        <v>405</v>
      </c>
      <c r="C47" t="s">
        <v>483</v>
      </c>
      <c r="G47">
        <v>2</v>
      </c>
      <c r="H47" s="263" t="s">
        <v>1020</v>
      </c>
      <c r="J47" t="s">
        <v>22</v>
      </c>
      <c r="K47" t="s">
        <v>30</v>
      </c>
      <c r="L47" t="s">
        <v>33</v>
      </c>
      <c r="M47" t="s">
        <v>526</v>
      </c>
      <c r="N47" s="263">
        <v>2</v>
      </c>
      <c r="O47" s="1">
        <f>13.5*2</f>
        <v>27</v>
      </c>
      <c r="P47" t="s">
        <v>931</v>
      </c>
      <c r="Q47" s="3" t="s">
        <v>1019</v>
      </c>
      <c r="R47" t="s">
        <v>634</v>
      </c>
    </row>
    <row r="48" spans="1:18" hidden="1">
      <c r="A48">
        <v>15</v>
      </c>
      <c r="B48" t="s">
        <v>405</v>
      </c>
      <c r="C48" t="s">
        <v>483</v>
      </c>
      <c r="G48">
        <v>2</v>
      </c>
      <c r="J48" t="s">
        <v>22</v>
      </c>
      <c r="K48" t="s">
        <v>71</v>
      </c>
      <c r="L48" t="s">
        <v>33</v>
      </c>
      <c r="M48" t="s">
        <v>527</v>
      </c>
      <c r="O48" s="1">
        <v>4.5</v>
      </c>
      <c r="R48" t="s">
        <v>634</v>
      </c>
    </row>
    <row r="49" spans="1:18">
      <c r="A49">
        <v>15</v>
      </c>
      <c r="B49" t="s">
        <v>405</v>
      </c>
      <c r="C49" t="s">
        <v>483</v>
      </c>
      <c r="G49">
        <v>2</v>
      </c>
      <c r="H49" s="263"/>
      <c r="J49" t="s">
        <v>22</v>
      </c>
      <c r="K49" t="s">
        <v>30</v>
      </c>
      <c r="L49" t="s">
        <v>33</v>
      </c>
      <c r="M49" t="s">
        <v>528</v>
      </c>
      <c r="N49" s="263">
        <v>2</v>
      </c>
      <c r="O49" s="1">
        <f>20*2</f>
        <v>40</v>
      </c>
      <c r="P49" t="s">
        <v>918</v>
      </c>
      <c r="R49" t="s">
        <v>634</v>
      </c>
    </row>
    <row r="50" spans="1:18" hidden="1">
      <c r="A50">
        <v>15</v>
      </c>
      <c r="B50" t="s">
        <v>405</v>
      </c>
      <c r="C50" t="s">
        <v>483</v>
      </c>
      <c r="G50">
        <v>2</v>
      </c>
      <c r="J50" t="s">
        <v>22</v>
      </c>
      <c r="K50" t="s">
        <v>408</v>
      </c>
      <c r="L50" t="s">
        <v>33</v>
      </c>
      <c r="M50" t="s">
        <v>529</v>
      </c>
      <c r="O50" s="1">
        <v>37.97</v>
      </c>
      <c r="R50" t="s">
        <v>634</v>
      </c>
    </row>
    <row r="51" spans="1:18" hidden="1">
      <c r="A51">
        <v>15</v>
      </c>
      <c r="B51" t="s">
        <v>405</v>
      </c>
      <c r="C51" t="s">
        <v>483</v>
      </c>
      <c r="G51">
        <v>2</v>
      </c>
      <c r="J51" t="s">
        <v>22</v>
      </c>
      <c r="K51" t="s">
        <v>71</v>
      </c>
      <c r="L51" t="s">
        <v>33</v>
      </c>
      <c r="M51" t="s">
        <v>530</v>
      </c>
      <c r="O51" s="1">
        <v>56.47</v>
      </c>
      <c r="R51" t="s">
        <v>634</v>
      </c>
    </row>
    <row r="52" spans="1:18">
      <c r="A52">
        <v>15</v>
      </c>
      <c r="B52" t="s">
        <v>405</v>
      </c>
      <c r="C52" t="s">
        <v>483</v>
      </c>
      <c r="G52">
        <v>2</v>
      </c>
      <c r="H52" s="263" t="s">
        <v>1015</v>
      </c>
      <c r="J52" t="s">
        <v>22</v>
      </c>
      <c r="K52" t="s">
        <v>30</v>
      </c>
      <c r="L52" t="s">
        <v>33</v>
      </c>
      <c r="M52" t="s">
        <v>531</v>
      </c>
      <c r="N52" s="263">
        <v>0.6</v>
      </c>
      <c r="O52" s="1">
        <f>20*0.6</f>
        <v>12</v>
      </c>
      <c r="P52" t="s">
        <v>930</v>
      </c>
      <c r="R52" t="s">
        <v>634</v>
      </c>
    </row>
    <row r="53" spans="1:18" hidden="1">
      <c r="A53">
        <v>15</v>
      </c>
      <c r="B53" t="s">
        <v>405</v>
      </c>
      <c r="C53" t="s">
        <v>483</v>
      </c>
      <c r="G53">
        <v>2</v>
      </c>
      <c r="J53" t="s">
        <v>22</v>
      </c>
      <c r="K53" t="s">
        <v>408</v>
      </c>
      <c r="L53" t="s">
        <v>33</v>
      </c>
      <c r="M53" t="s">
        <v>532</v>
      </c>
      <c r="O53" s="1">
        <v>8.56</v>
      </c>
      <c r="R53" t="s">
        <v>634</v>
      </c>
    </row>
    <row r="54" spans="1:18" hidden="1">
      <c r="A54">
        <v>15</v>
      </c>
      <c r="B54" t="s">
        <v>405</v>
      </c>
      <c r="C54" t="s">
        <v>483</v>
      </c>
      <c r="G54">
        <v>2</v>
      </c>
      <c r="J54" t="s">
        <v>22</v>
      </c>
      <c r="K54" t="s">
        <v>71</v>
      </c>
      <c r="L54" t="s">
        <v>33</v>
      </c>
      <c r="M54" t="s">
        <v>533</v>
      </c>
      <c r="O54" s="1">
        <v>7.5</v>
      </c>
      <c r="R54" t="s">
        <v>634</v>
      </c>
    </row>
    <row r="55" spans="1:18">
      <c r="A55">
        <v>15</v>
      </c>
      <c r="B55" t="s">
        <v>405</v>
      </c>
      <c r="C55" t="s">
        <v>483</v>
      </c>
      <c r="G55">
        <v>2</v>
      </c>
      <c r="H55" s="263" t="s">
        <v>1033</v>
      </c>
      <c r="J55" t="s">
        <v>22</v>
      </c>
      <c r="K55" t="s">
        <v>30</v>
      </c>
      <c r="L55" t="s">
        <v>33</v>
      </c>
      <c r="M55" t="s">
        <v>534</v>
      </c>
      <c r="N55" s="263">
        <v>1.25</v>
      </c>
      <c r="O55" s="1">
        <f>20*1.25</f>
        <v>25</v>
      </c>
      <c r="P55" t="s">
        <v>929</v>
      </c>
      <c r="R55" t="s">
        <v>634</v>
      </c>
    </row>
    <row r="56" spans="1:18" hidden="1">
      <c r="A56">
        <v>15</v>
      </c>
      <c r="B56" t="s">
        <v>405</v>
      </c>
      <c r="C56" t="s">
        <v>483</v>
      </c>
      <c r="G56">
        <v>2</v>
      </c>
      <c r="J56" t="s">
        <v>22</v>
      </c>
      <c r="K56" t="s">
        <v>408</v>
      </c>
      <c r="L56" t="s">
        <v>33</v>
      </c>
      <c r="M56" t="s">
        <v>535</v>
      </c>
      <c r="O56" s="1">
        <v>22.25</v>
      </c>
      <c r="R56" t="s">
        <v>634</v>
      </c>
    </row>
    <row r="57" spans="1:18" hidden="1">
      <c r="A57">
        <v>15</v>
      </c>
      <c r="B57" t="s">
        <v>405</v>
      </c>
      <c r="C57" t="s">
        <v>483</v>
      </c>
      <c r="G57">
        <v>2</v>
      </c>
      <c r="J57" t="s">
        <v>22</v>
      </c>
      <c r="K57" t="s">
        <v>71</v>
      </c>
      <c r="L57" t="s">
        <v>33</v>
      </c>
      <c r="M57" t="s">
        <v>536</v>
      </c>
      <c r="O57" s="1">
        <v>66</v>
      </c>
      <c r="R57" t="s">
        <v>634</v>
      </c>
    </row>
    <row r="58" spans="1:18">
      <c r="A58">
        <v>15</v>
      </c>
      <c r="B58" t="s">
        <v>405</v>
      </c>
      <c r="C58" t="s">
        <v>483</v>
      </c>
      <c r="G58">
        <v>2</v>
      </c>
      <c r="H58" s="302" t="s">
        <v>1012</v>
      </c>
      <c r="J58" t="s">
        <v>22</v>
      </c>
      <c r="K58" t="s">
        <v>30</v>
      </c>
      <c r="L58" t="s">
        <v>33</v>
      </c>
      <c r="M58" t="s">
        <v>537</v>
      </c>
      <c r="N58" s="263">
        <v>2.5</v>
      </c>
      <c r="O58" s="1">
        <f>13.5*2.5</f>
        <v>33.75</v>
      </c>
      <c r="P58" t="s">
        <v>928</v>
      </c>
      <c r="Q58" t="s">
        <v>1016</v>
      </c>
      <c r="R58" t="s">
        <v>634</v>
      </c>
    </row>
    <row r="59" spans="1:18">
      <c r="A59">
        <v>15</v>
      </c>
      <c r="B59" t="s">
        <v>405</v>
      </c>
      <c r="C59" t="s">
        <v>483</v>
      </c>
      <c r="G59">
        <v>2</v>
      </c>
      <c r="H59" s="263" t="s">
        <v>1014</v>
      </c>
      <c r="J59" t="s">
        <v>22</v>
      </c>
      <c r="K59" t="s">
        <v>30</v>
      </c>
      <c r="L59" t="s">
        <v>33</v>
      </c>
      <c r="M59" t="s">
        <v>538</v>
      </c>
      <c r="N59" s="263">
        <v>2.5</v>
      </c>
      <c r="O59" s="1">
        <f>13.5*2.5</f>
        <v>33.75</v>
      </c>
      <c r="P59" t="s">
        <v>928</v>
      </c>
      <c r="Q59" t="s">
        <v>1009</v>
      </c>
      <c r="R59" t="s">
        <v>634</v>
      </c>
    </row>
    <row r="60" spans="1:18">
      <c r="A60">
        <v>15</v>
      </c>
      <c r="B60" t="s">
        <v>405</v>
      </c>
      <c r="C60" t="s">
        <v>483</v>
      </c>
      <c r="G60">
        <v>2</v>
      </c>
      <c r="H60" s="263">
        <v>5</v>
      </c>
      <c r="J60" t="s">
        <v>22</v>
      </c>
      <c r="K60" t="s">
        <v>30</v>
      </c>
      <c r="L60" t="s">
        <v>33</v>
      </c>
      <c r="M60" t="s">
        <v>539</v>
      </c>
      <c r="N60" s="263">
        <v>3</v>
      </c>
      <c r="O60" s="1">
        <f>20*3</f>
        <v>60</v>
      </c>
      <c r="P60" t="s">
        <v>925</v>
      </c>
      <c r="R60" t="s">
        <v>634</v>
      </c>
    </row>
    <row r="61" spans="1:18" hidden="1">
      <c r="A61">
        <v>15</v>
      </c>
      <c r="B61" t="s">
        <v>405</v>
      </c>
      <c r="C61" t="s">
        <v>483</v>
      </c>
      <c r="G61">
        <v>2</v>
      </c>
      <c r="J61" t="s">
        <v>22</v>
      </c>
      <c r="K61" t="s">
        <v>408</v>
      </c>
      <c r="L61" t="s">
        <v>33</v>
      </c>
      <c r="M61" t="s">
        <v>540</v>
      </c>
      <c r="O61" s="1">
        <v>45.09</v>
      </c>
      <c r="R61" t="s">
        <v>634</v>
      </c>
    </row>
    <row r="62" spans="1:18">
      <c r="A62">
        <v>15</v>
      </c>
      <c r="B62" t="s">
        <v>405</v>
      </c>
      <c r="C62" t="s">
        <v>483</v>
      </c>
      <c r="G62">
        <v>2</v>
      </c>
      <c r="H62" s="302" t="s">
        <v>1029</v>
      </c>
      <c r="J62" t="s">
        <v>22</v>
      </c>
      <c r="K62" t="s">
        <v>30</v>
      </c>
      <c r="L62" t="s">
        <v>33</v>
      </c>
      <c r="M62" t="s">
        <v>541</v>
      </c>
      <c r="N62" s="263">
        <v>4</v>
      </c>
      <c r="O62" s="1">
        <f>13.5*4</f>
        <v>54</v>
      </c>
      <c r="P62" t="s">
        <v>913</v>
      </c>
      <c r="R62" t="s">
        <v>634</v>
      </c>
    </row>
    <row r="63" spans="1:18">
      <c r="A63">
        <v>15</v>
      </c>
      <c r="B63" t="s">
        <v>405</v>
      </c>
      <c r="C63" t="s">
        <v>483</v>
      </c>
      <c r="G63">
        <v>2</v>
      </c>
      <c r="H63" s="263" t="s">
        <v>1032</v>
      </c>
      <c r="J63" t="s">
        <v>22</v>
      </c>
      <c r="K63" t="s">
        <v>30</v>
      </c>
      <c r="L63" t="s">
        <v>33</v>
      </c>
      <c r="M63" s="265" t="s">
        <v>515</v>
      </c>
      <c r="N63" s="263">
        <f>0.4*2</f>
        <v>0.8</v>
      </c>
      <c r="O63" s="1">
        <f>20*0.4*2</f>
        <v>16</v>
      </c>
      <c r="P63" t="s">
        <v>924</v>
      </c>
      <c r="Q63" t="s">
        <v>1005</v>
      </c>
      <c r="R63" t="s">
        <v>634</v>
      </c>
    </row>
    <row r="64" spans="1:18" hidden="1">
      <c r="A64">
        <v>15</v>
      </c>
      <c r="B64" t="s">
        <v>405</v>
      </c>
      <c r="C64" t="s">
        <v>483</v>
      </c>
      <c r="G64">
        <v>2</v>
      </c>
      <c r="J64" t="s">
        <v>22</v>
      </c>
      <c r="K64" t="s">
        <v>408</v>
      </c>
      <c r="L64" t="s">
        <v>33</v>
      </c>
      <c r="M64" t="s">
        <v>952</v>
      </c>
      <c r="O64" s="1">
        <v>9.86</v>
      </c>
      <c r="R64" t="s">
        <v>634</v>
      </c>
    </row>
    <row r="65" spans="1:18" hidden="1">
      <c r="A65">
        <v>15</v>
      </c>
      <c r="B65" t="s">
        <v>405</v>
      </c>
      <c r="C65" t="s">
        <v>483</v>
      </c>
      <c r="G65">
        <v>2</v>
      </c>
      <c r="J65" t="s">
        <v>22</v>
      </c>
      <c r="K65" t="s">
        <v>71</v>
      </c>
      <c r="L65" t="s">
        <v>33</v>
      </c>
      <c r="M65" t="s">
        <v>516</v>
      </c>
      <c r="O65" s="1">
        <v>42.76</v>
      </c>
      <c r="R65" t="s">
        <v>634</v>
      </c>
    </row>
    <row r="66" spans="1:18">
      <c r="A66">
        <v>15</v>
      </c>
      <c r="B66" t="s">
        <v>405</v>
      </c>
      <c r="C66" t="s">
        <v>483</v>
      </c>
      <c r="G66">
        <v>2</v>
      </c>
      <c r="H66" s="263" t="s">
        <v>1026</v>
      </c>
      <c r="J66" t="s">
        <v>22</v>
      </c>
      <c r="K66" t="s">
        <v>30</v>
      </c>
      <c r="L66" t="s">
        <v>33</v>
      </c>
      <c r="M66" t="s">
        <v>506</v>
      </c>
      <c r="N66" s="263">
        <v>3</v>
      </c>
      <c r="O66" s="1">
        <f>20*3</f>
        <v>60</v>
      </c>
      <c r="P66" t="s">
        <v>925</v>
      </c>
      <c r="R66" t="s">
        <v>634</v>
      </c>
    </row>
    <row r="67" spans="1:18" hidden="1">
      <c r="A67">
        <v>15</v>
      </c>
      <c r="B67" t="s">
        <v>405</v>
      </c>
      <c r="C67" t="s">
        <v>483</v>
      </c>
      <c r="G67">
        <v>2</v>
      </c>
      <c r="J67" t="s">
        <v>22</v>
      </c>
      <c r="K67" t="s">
        <v>408</v>
      </c>
      <c r="L67" t="s">
        <v>33</v>
      </c>
      <c r="M67" t="s">
        <v>507</v>
      </c>
      <c r="O67" s="1">
        <v>27.05</v>
      </c>
      <c r="R67" t="s">
        <v>634</v>
      </c>
    </row>
    <row r="68" spans="1:18" hidden="1">
      <c r="A68">
        <v>15</v>
      </c>
      <c r="B68" t="s">
        <v>405</v>
      </c>
      <c r="C68" t="s">
        <v>483</v>
      </c>
      <c r="G68">
        <v>2</v>
      </c>
      <c r="J68" t="s">
        <v>22</v>
      </c>
      <c r="K68" t="s">
        <v>71</v>
      </c>
      <c r="L68" t="s">
        <v>33</v>
      </c>
      <c r="M68" s="265" t="s">
        <v>542</v>
      </c>
      <c r="N68" s="265"/>
      <c r="O68" s="279">
        <f>3*4.05*4</f>
        <v>48.599999999999994</v>
      </c>
      <c r="P68" s="265" t="s">
        <v>639</v>
      </c>
      <c r="R68" t="s">
        <v>634</v>
      </c>
    </row>
    <row r="69" spans="1:18" hidden="1">
      <c r="A69">
        <v>15</v>
      </c>
      <c r="B69" t="s">
        <v>405</v>
      </c>
      <c r="C69" t="s">
        <v>483</v>
      </c>
      <c r="G69">
        <v>2</v>
      </c>
      <c r="J69" t="s">
        <v>22</v>
      </c>
      <c r="K69" t="s">
        <v>71</v>
      </c>
      <c r="L69" t="s">
        <v>33</v>
      </c>
      <c r="M69" s="265" t="s">
        <v>543</v>
      </c>
      <c r="N69" s="265"/>
      <c r="O69" s="279">
        <f>4*0.5*4</f>
        <v>8</v>
      </c>
      <c r="P69" s="265" t="s">
        <v>640</v>
      </c>
      <c r="R69" t="s">
        <v>634</v>
      </c>
    </row>
    <row r="70" spans="1:18" hidden="1">
      <c r="A70">
        <v>15</v>
      </c>
      <c r="B70" t="s">
        <v>405</v>
      </c>
      <c r="C70" t="s">
        <v>483</v>
      </c>
      <c r="G70">
        <v>2</v>
      </c>
      <c r="J70" t="s">
        <v>22</v>
      </c>
      <c r="K70" t="s">
        <v>71</v>
      </c>
      <c r="L70" t="s">
        <v>33</v>
      </c>
      <c r="M70" s="265" t="s">
        <v>544</v>
      </c>
      <c r="N70" s="265"/>
      <c r="O70" s="279">
        <f>(4/128)*20*4</f>
        <v>2.5</v>
      </c>
      <c r="P70" s="265" t="s">
        <v>641</v>
      </c>
      <c r="R70" t="s">
        <v>634</v>
      </c>
    </row>
    <row r="71" spans="1:18">
      <c r="A71">
        <v>15</v>
      </c>
      <c r="B71" t="s">
        <v>405</v>
      </c>
      <c r="C71" t="s">
        <v>483</v>
      </c>
      <c r="G71">
        <v>2</v>
      </c>
      <c r="H71" s="263"/>
      <c r="J71" t="s">
        <v>22</v>
      </c>
      <c r="K71" t="s">
        <v>30</v>
      </c>
      <c r="L71" t="s">
        <v>33</v>
      </c>
      <c r="M71" s="265" t="s">
        <v>545</v>
      </c>
      <c r="N71" s="263">
        <f>0.4*4</f>
        <v>1.6</v>
      </c>
      <c r="O71" s="279">
        <f>20*0.4*4</f>
        <v>32</v>
      </c>
      <c r="P71" s="265" t="s">
        <v>642</v>
      </c>
      <c r="R71" t="s">
        <v>634</v>
      </c>
    </row>
    <row r="72" spans="1:18" hidden="1">
      <c r="A72">
        <v>15</v>
      </c>
      <c r="B72" t="s">
        <v>405</v>
      </c>
      <c r="C72" t="s">
        <v>483</v>
      </c>
      <c r="G72">
        <v>2</v>
      </c>
      <c r="J72" t="s">
        <v>22</v>
      </c>
      <c r="K72" t="s">
        <v>408</v>
      </c>
      <c r="L72" t="s">
        <v>33</v>
      </c>
      <c r="M72" s="265" t="s">
        <v>546</v>
      </c>
      <c r="N72" s="265"/>
      <c r="O72" s="279">
        <f>8.38*4</f>
        <v>33.520000000000003</v>
      </c>
      <c r="P72" s="265" t="s">
        <v>927</v>
      </c>
      <c r="R72" t="s">
        <v>634</v>
      </c>
    </row>
    <row r="73" spans="1:18">
      <c r="A73">
        <v>15</v>
      </c>
      <c r="B73" t="s">
        <v>405</v>
      </c>
      <c r="C73" t="s">
        <v>483</v>
      </c>
      <c r="G73">
        <v>2</v>
      </c>
      <c r="H73" s="263" t="s">
        <v>1034</v>
      </c>
      <c r="J73" t="s">
        <v>22</v>
      </c>
      <c r="K73" t="s">
        <v>30</v>
      </c>
      <c r="L73" t="s">
        <v>33</v>
      </c>
      <c r="M73" s="265" t="s">
        <v>954</v>
      </c>
      <c r="N73" s="263">
        <f>0.65*4</f>
        <v>2.6</v>
      </c>
      <c r="O73" s="279">
        <f>20*0.65*4</f>
        <v>52</v>
      </c>
      <c r="P73" t="s">
        <v>953</v>
      </c>
      <c r="R73" t="s">
        <v>634</v>
      </c>
    </row>
    <row r="74" spans="1:18" hidden="1">
      <c r="A74">
        <v>15</v>
      </c>
      <c r="B74" t="s">
        <v>405</v>
      </c>
      <c r="C74" t="s">
        <v>483</v>
      </c>
      <c r="G74">
        <v>2</v>
      </c>
      <c r="J74" t="s">
        <v>22</v>
      </c>
      <c r="K74" t="s">
        <v>408</v>
      </c>
      <c r="L74" t="s">
        <v>33</v>
      </c>
      <c r="M74" t="s">
        <v>955</v>
      </c>
      <c r="O74" s="1">
        <v>42.28</v>
      </c>
      <c r="R74" t="s">
        <v>634</v>
      </c>
    </row>
    <row r="75" spans="1:18">
      <c r="A75">
        <v>15</v>
      </c>
      <c r="B75" t="s">
        <v>405</v>
      </c>
      <c r="C75" t="s">
        <v>483</v>
      </c>
      <c r="G75">
        <v>2</v>
      </c>
      <c r="H75" s="263"/>
      <c r="J75" t="s">
        <v>22</v>
      </c>
      <c r="K75" t="s">
        <v>26</v>
      </c>
      <c r="L75" t="s">
        <v>33</v>
      </c>
      <c r="M75" t="s">
        <v>547</v>
      </c>
      <c r="N75" s="263">
        <v>1</v>
      </c>
      <c r="O75" s="1">
        <f>13.5*1</f>
        <v>13.5</v>
      </c>
      <c r="P75" s="265" t="s">
        <v>926</v>
      </c>
      <c r="R75" t="s">
        <v>634</v>
      </c>
    </row>
    <row r="76" spans="1:18" hidden="1">
      <c r="A76">
        <v>15</v>
      </c>
      <c r="B76" t="s">
        <v>405</v>
      </c>
      <c r="C76" t="s">
        <v>483</v>
      </c>
      <c r="G76">
        <v>2</v>
      </c>
      <c r="J76" t="s">
        <v>22</v>
      </c>
      <c r="K76" t="s">
        <v>26</v>
      </c>
      <c r="L76" t="s">
        <v>33</v>
      </c>
      <c r="M76" t="s">
        <v>548</v>
      </c>
      <c r="O76" s="1">
        <v>75.03</v>
      </c>
      <c r="P76" s="1"/>
      <c r="R76" t="s">
        <v>634</v>
      </c>
    </row>
    <row r="77" spans="1:18" hidden="1">
      <c r="A77">
        <v>15</v>
      </c>
      <c r="B77" t="s">
        <v>405</v>
      </c>
      <c r="C77" t="s">
        <v>483</v>
      </c>
      <c r="G77">
        <v>3</v>
      </c>
      <c r="J77" t="s">
        <v>22</v>
      </c>
      <c r="K77" s="287" t="s">
        <v>981</v>
      </c>
      <c r="L77" s="287" t="s">
        <v>33</v>
      </c>
      <c r="M77" s="287" t="s">
        <v>549</v>
      </c>
      <c r="N77" s="287" t="s">
        <v>898</v>
      </c>
      <c r="O77" s="279">
        <v>363</v>
      </c>
      <c r="R77" t="s">
        <v>634</v>
      </c>
    </row>
    <row r="78" spans="1:18" hidden="1">
      <c r="A78">
        <v>15</v>
      </c>
      <c r="B78" t="s">
        <v>405</v>
      </c>
      <c r="C78" t="s">
        <v>483</v>
      </c>
      <c r="G78">
        <v>3</v>
      </c>
      <c r="J78" t="s">
        <v>22</v>
      </c>
      <c r="K78" s="287" t="s">
        <v>981</v>
      </c>
      <c r="L78" s="287" t="s">
        <v>33</v>
      </c>
      <c r="M78" s="287" t="s">
        <v>550</v>
      </c>
      <c r="N78" s="287" t="s">
        <v>898</v>
      </c>
      <c r="O78" s="279">
        <v>185.53</v>
      </c>
      <c r="Q78" s="1"/>
      <c r="R78" t="s">
        <v>634</v>
      </c>
    </row>
    <row r="79" spans="1:18" hidden="1">
      <c r="A79">
        <v>15</v>
      </c>
      <c r="B79" t="s">
        <v>405</v>
      </c>
      <c r="C79" t="s">
        <v>483</v>
      </c>
      <c r="G79">
        <v>3</v>
      </c>
      <c r="J79" t="s">
        <v>22</v>
      </c>
      <c r="K79" t="s">
        <v>71</v>
      </c>
      <c r="L79" t="s">
        <v>33</v>
      </c>
      <c r="M79" t="s">
        <v>551</v>
      </c>
      <c r="O79" s="1">
        <v>4.5</v>
      </c>
      <c r="R79" t="s">
        <v>634</v>
      </c>
    </row>
    <row r="80" spans="1:18">
      <c r="A80">
        <v>15</v>
      </c>
      <c r="B80" t="s">
        <v>405</v>
      </c>
      <c r="C80" t="s">
        <v>483</v>
      </c>
      <c r="G80">
        <v>3</v>
      </c>
      <c r="H80" s="263"/>
      <c r="J80" t="s">
        <v>22</v>
      </c>
      <c r="K80" t="s">
        <v>30</v>
      </c>
      <c r="L80" t="s">
        <v>33</v>
      </c>
      <c r="M80" t="s">
        <v>552</v>
      </c>
      <c r="N80" s="263">
        <v>1.2</v>
      </c>
      <c r="O80" s="1">
        <f>20*1.2</f>
        <v>24</v>
      </c>
      <c r="P80" t="s">
        <v>920</v>
      </c>
      <c r="R80" t="s">
        <v>634</v>
      </c>
    </row>
    <row r="81" spans="1:18" hidden="1">
      <c r="A81">
        <v>15</v>
      </c>
      <c r="B81" t="s">
        <v>405</v>
      </c>
      <c r="C81" t="s">
        <v>483</v>
      </c>
      <c r="G81">
        <v>3</v>
      </c>
      <c r="J81" t="s">
        <v>22</v>
      </c>
      <c r="K81" t="s">
        <v>408</v>
      </c>
      <c r="L81" t="s">
        <v>33</v>
      </c>
      <c r="M81" t="s">
        <v>553</v>
      </c>
      <c r="O81" s="1">
        <v>21.36</v>
      </c>
      <c r="R81" t="s">
        <v>634</v>
      </c>
    </row>
    <row r="82" spans="1:18">
      <c r="A82">
        <v>15</v>
      </c>
      <c r="B82" t="s">
        <v>405</v>
      </c>
      <c r="C82" t="s">
        <v>483</v>
      </c>
      <c r="G82">
        <v>3</v>
      </c>
      <c r="H82" s="263"/>
      <c r="J82" t="s">
        <v>22</v>
      </c>
      <c r="K82" t="s">
        <v>30</v>
      </c>
      <c r="L82" t="s">
        <v>33</v>
      </c>
      <c r="M82" t="s">
        <v>528</v>
      </c>
      <c r="N82" s="263">
        <v>2</v>
      </c>
      <c r="O82" s="1">
        <f>20*2</f>
        <v>40</v>
      </c>
      <c r="P82" t="s">
        <v>918</v>
      </c>
      <c r="R82" t="s">
        <v>634</v>
      </c>
    </row>
    <row r="83" spans="1:18" hidden="1">
      <c r="A83">
        <v>15</v>
      </c>
      <c r="B83" t="s">
        <v>405</v>
      </c>
      <c r="C83" t="s">
        <v>483</v>
      </c>
      <c r="G83">
        <v>3</v>
      </c>
      <c r="J83" t="s">
        <v>22</v>
      </c>
      <c r="K83" t="s">
        <v>408</v>
      </c>
      <c r="L83" t="s">
        <v>33</v>
      </c>
      <c r="M83" t="s">
        <v>529</v>
      </c>
      <c r="O83" s="1">
        <v>37.97</v>
      </c>
      <c r="R83" t="s">
        <v>634</v>
      </c>
    </row>
    <row r="84" spans="1:18" hidden="1">
      <c r="A84">
        <v>15</v>
      </c>
      <c r="B84" t="s">
        <v>405</v>
      </c>
      <c r="C84" t="s">
        <v>483</v>
      </c>
      <c r="G84">
        <v>3</v>
      </c>
      <c r="J84" t="s">
        <v>22</v>
      </c>
      <c r="K84" t="s">
        <v>71</v>
      </c>
      <c r="L84" t="s">
        <v>33</v>
      </c>
      <c r="M84" t="s">
        <v>530</v>
      </c>
      <c r="O84" s="1">
        <v>56.47</v>
      </c>
      <c r="R84" t="s">
        <v>634</v>
      </c>
    </row>
    <row r="85" spans="1:18">
      <c r="A85">
        <v>15</v>
      </c>
      <c r="B85" t="s">
        <v>405</v>
      </c>
      <c r="C85" t="s">
        <v>483</v>
      </c>
      <c r="G85">
        <v>3</v>
      </c>
      <c r="H85" s="263" t="s">
        <v>1034</v>
      </c>
      <c r="J85" t="s">
        <v>22</v>
      </c>
      <c r="K85" t="s">
        <v>30</v>
      </c>
      <c r="L85" t="s">
        <v>33</v>
      </c>
      <c r="M85" t="s">
        <v>509</v>
      </c>
      <c r="N85" s="263">
        <v>2.6</v>
      </c>
      <c r="O85" s="1">
        <f>20*2.6</f>
        <v>52</v>
      </c>
      <c r="P85" t="s">
        <v>917</v>
      </c>
      <c r="R85" t="s">
        <v>634</v>
      </c>
    </row>
    <row r="86" spans="1:18" hidden="1">
      <c r="A86">
        <v>15</v>
      </c>
      <c r="B86" t="s">
        <v>405</v>
      </c>
      <c r="C86" t="s">
        <v>483</v>
      </c>
      <c r="G86">
        <v>3</v>
      </c>
      <c r="J86" t="s">
        <v>22</v>
      </c>
      <c r="K86" t="s">
        <v>408</v>
      </c>
      <c r="L86" t="s">
        <v>33</v>
      </c>
      <c r="M86" t="s">
        <v>510</v>
      </c>
      <c r="O86" s="1">
        <v>32.89</v>
      </c>
      <c r="R86" t="s">
        <v>634</v>
      </c>
    </row>
    <row r="87" spans="1:18" hidden="1">
      <c r="A87">
        <v>15</v>
      </c>
      <c r="B87" t="s">
        <v>405</v>
      </c>
      <c r="C87" t="s">
        <v>483</v>
      </c>
      <c r="G87">
        <v>3</v>
      </c>
      <c r="J87" t="s">
        <v>22</v>
      </c>
      <c r="K87" t="s">
        <v>71</v>
      </c>
      <c r="L87" t="s">
        <v>33</v>
      </c>
      <c r="M87" t="s">
        <v>511</v>
      </c>
      <c r="O87" s="1">
        <v>66</v>
      </c>
      <c r="R87" t="s">
        <v>634</v>
      </c>
    </row>
    <row r="88" spans="1:18">
      <c r="A88">
        <v>15</v>
      </c>
      <c r="B88" t="s">
        <v>405</v>
      </c>
      <c r="C88" t="s">
        <v>483</v>
      </c>
      <c r="G88">
        <v>3</v>
      </c>
      <c r="H88" s="263" t="s">
        <v>1012</v>
      </c>
      <c r="J88" t="s">
        <v>22</v>
      </c>
      <c r="K88" t="s">
        <v>30</v>
      </c>
      <c r="L88" t="s">
        <v>33</v>
      </c>
      <c r="M88" t="s">
        <v>537</v>
      </c>
      <c r="N88" s="263">
        <v>4</v>
      </c>
      <c r="O88" s="1">
        <f>13.5*4</f>
        <v>54</v>
      </c>
      <c r="P88" t="s">
        <v>913</v>
      </c>
      <c r="R88" t="s">
        <v>634</v>
      </c>
    </row>
    <row r="89" spans="1:18">
      <c r="A89">
        <v>15</v>
      </c>
      <c r="B89" t="s">
        <v>405</v>
      </c>
      <c r="C89" t="s">
        <v>483</v>
      </c>
      <c r="G89">
        <v>3</v>
      </c>
      <c r="H89" s="263" t="s">
        <v>1014</v>
      </c>
      <c r="J89" t="s">
        <v>22</v>
      </c>
      <c r="K89" t="s">
        <v>30</v>
      </c>
      <c r="L89" t="s">
        <v>33</v>
      </c>
      <c r="M89" t="s">
        <v>538</v>
      </c>
      <c r="N89" s="263">
        <v>4</v>
      </c>
      <c r="O89" s="1">
        <f>13.5*4</f>
        <v>54</v>
      </c>
      <c r="P89" t="s">
        <v>913</v>
      </c>
      <c r="R89" t="s">
        <v>634</v>
      </c>
    </row>
    <row r="90" spans="1:18">
      <c r="A90">
        <v>15</v>
      </c>
      <c r="B90" t="s">
        <v>405</v>
      </c>
      <c r="C90" t="s">
        <v>483</v>
      </c>
      <c r="G90">
        <v>3</v>
      </c>
      <c r="H90" s="263">
        <v>5</v>
      </c>
      <c r="J90" t="s">
        <v>22</v>
      </c>
      <c r="K90" t="s">
        <v>30</v>
      </c>
      <c r="L90" t="s">
        <v>33</v>
      </c>
      <c r="M90" t="s">
        <v>539</v>
      </c>
      <c r="N90" s="263">
        <v>3</v>
      </c>
      <c r="O90" s="1">
        <f>20*3</f>
        <v>60</v>
      </c>
      <c r="P90" t="s">
        <v>925</v>
      </c>
      <c r="R90" t="s">
        <v>634</v>
      </c>
    </row>
    <row r="91" spans="1:18" hidden="1">
      <c r="A91">
        <v>15</v>
      </c>
      <c r="B91" t="s">
        <v>405</v>
      </c>
      <c r="C91" t="s">
        <v>483</v>
      </c>
      <c r="G91">
        <v>3</v>
      </c>
      <c r="J91" t="s">
        <v>22</v>
      </c>
      <c r="K91" t="s">
        <v>408</v>
      </c>
      <c r="L91" t="s">
        <v>33</v>
      </c>
      <c r="M91" t="s">
        <v>540</v>
      </c>
      <c r="O91" s="1">
        <v>45.09</v>
      </c>
      <c r="R91" t="s">
        <v>634</v>
      </c>
    </row>
    <row r="92" spans="1:18">
      <c r="A92">
        <v>15</v>
      </c>
      <c r="B92" t="s">
        <v>405</v>
      </c>
      <c r="C92" t="s">
        <v>483</v>
      </c>
      <c r="G92">
        <v>3</v>
      </c>
      <c r="H92" s="302" t="s">
        <v>1029</v>
      </c>
      <c r="J92" t="s">
        <v>22</v>
      </c>
      <c r="K92" t="s">
        <v>30</v>
      </c>
      <c r="L92" t="s">
        <v>33</v>
      </c>
      <c r="M92" t="s">
        <v>541</v>
      </c>
      <c r="N92" s="263">
        <v>4</v>
      </c>
      <c r="O92" s="1">
        <f>13.5*4</f>
        <v>54</v>
      </c>
      <c r="P92" t="s">
        <v>913</v>
      </c>
      <c r="R92" t="s">
        <v>634</v>
      </c>
    </row>
    <row r="93" spans="1:18">
      <c r="A93">
        <v>15</v>
      </c>
      <c r="B93" t="s">
        <v>405</v>
      </c>
      <c r="C93" t="s">
        <v>483</v>
      </c>
      <c r="G93">
        <v>3</v>
      </c>
      <c r="H93" s="263" t="s">
        <v>1028</v>
      </c>
      <c r="J93" t="s">
        <v>22</v>
      </c>
      <c r="K93" t="s">
        <v>30</v>
      </c>
      <c r="L93" t="s">
        <v>33</v>
      </c>
      <c r="M93" t="s">
        <v>554</v>
      </c>
      <c r="N93" s="263">
        <v>3</v>
      </c>
      <c r="O93" s="1">
        <f>20*3</f>
        <v>60</v>
      </c>
      <c r="P93" t="s">
        <v>925</v>
      </c>
      <c r="Q93" t="s">
        <v>1027</v>
      </c>
      <c r="R93" t="s">
        <v>634</v>
      </c>
    </row>
    <row r="94" spans="1:18">
      <c r="A94">
        <v>15</v>
      </c>
      <c r="B94" t="s">
        <v>405</v>
      </c>
      <c r="C94" t="s">
        <v>483</v>
      </c>
      <c r="G94">
        <v>3</v>
      </c>
      <c r="H94" s="263" t="s">
        <v>1032</v>
      </c>
      <c r="J94" t="s">
        <v>22</v>
      </c>
      <c r="K94" t="s">
        <v>30</v>
      </c>
      <c r="L94" t="s">
        <v>33</v>
      </c>
      <c r="M94" s="265" t="s">
        <v>515</v>
      </c>
      <c r="N94" s="263">
        <f>0.4*2</f>
        <v>0.8</v>
      </c>
      <c r="O94" s="1">
        <f>20*0.4*2</f>
        <v>16</v>
      </c>
      <c r="P94" t="s">
        <v>924</v>
      </c>
      <c r="R94" t="s">
        <v>634</v>
      </c>
    </row>
    <row r="95" spans="1:18" hidden="1">
      <c r="A95">
        <v>15</v>
      </c>
      <c r="B95" t="s">
        <v>405</v>
      </c>
      <c r="C95" t="s">
        <v>483</v>
      </c>
      <c r="G95">
        <v>3</v>
      </c>
      <c r="J95" t="s">
        <v>22</v>
      </c>
      <c r="K95" t="s">
        <v>408</v>
      </c>
      <c r="L95" t="s">
        <v>33</v>
      </c>
      <c r="M95" t="s">
        <v>952</v>
      </c>
      <c r="O95" s="1">
        <v>9.86</v>
      </c>
      <c r="R95" t="s">
        <v>634</v>
      </c>
    </row>
    <row r="96" spans="1:18" hidden="1">
      <c r="A96">
        <v>15</v>
      </c>
      <c r="B96" t="s">
        <v>405</v>
      </c>
      <c r="C96" t="s">
        <v>483</v>
      </c>
      <c r="G96">
        <v>3</v>
      </c>
      <c r="J96" t="s">
        <v>22</v>
      </c>
      <c r="K96" t="s">
        <v>71</v>
      </c>
      <c r="L96" t="s">
        <v>33</v>
      </c>
      <c r="M96" t="s">
        <v>516</v>
      </c>
      <c r="O96" s="1">
        <v>42.76</v>
      </c>
      <c r="R96" t="s">
        <v>634</v>
      </c>
    </row>
    <row r="97" spans="1:18" hidden="1">
      <c r="A97">
        <v>15</v>
      </c>
      <c r="B97" t="s">
        <v>405</v>
      </c>
      <c r="C97" t="s">
        <v>483</v>
      </c>
      <c r="G97">
        <v>3</v>
      </c>
      <c r="J97" t="s">
        <v>22</v>
      </c>
      <c r="K97" t="s">
        <v>71</v>
      </c>
      <c r="L97" t="s">
        <v>33</v>
      </c>
      <c r="M97" s="265" t="s">
        <v>555</v>
      </c>
      <c r="N97" s="265"/>
      <c r="O97" s="279">
        <f>3*4.05*2</f>
        <v>24.299999999999997</v>
      </c>
      <c r="P97" s="265" t="s">
        <v>643</v>
      </c>
      <c r="R97" t="s">
        <v>634</v>
      </c>
    </row>
    <row r="98" spans="1:18" hidden="1">
      <c r="A98">
        <v>15</v>
      </c>
      <c r="B98" t="s">
        <v>405</v>
      </c>
      <c r="C98" t="s">
        <v>483</v>
      </c>
      <c r="G98">
        <v>3</v>
      </c>
      <c r="J98" t="s">
        <v>22</v>
      </c>
      <c r="K98" t="s">
        <v>71</v>
      </c>
      <c r="L98" t="s">
        <v>33</v>
      </c>
      <c r="M98" s="265" t="s">
        <v>556</v>
      </c>
      <c r="N98" s="265"/>
      <c r="O98" s="279">
        <f>4*0.5*2</f>
        <v>4</v>
      </c>
      <c r="P98" s="265" t="s">
        <v>644</v>
      </c>
      <c r="R98" t="s">
        <v>634</v>
      </c>
    </row>
    <row r="99" spans="1:18" hidden="1">
      <c r="A99">
        <v>15</v>
      </c>
      <c r="B99" t="s">
        <v>405</v>
      </c>
      <c r="C99" t="s">
        <v>483</v>
      </c>
      <c r="G99">
        <v>3</v>
      </c>
      <c r="J99" t="s">
        <v>22</v>
      </c>
      <c r="K99" t="s">
        <v>71</v>
      </c>
      <c r="L99" t="s">
        <v>33</v>
      </c>
      <c r="M99" s="265" t="s">
        <v>557</v>
      </c>
      <c r="N99" s="265"/>
      <c r="O99" s="279">
        <f>(4/128)*20*2</f>
        <v>1.25</v>
      </c>
      <c r="P99" s="265" t="s">
        <v>645</v>
      </c>
      <c r="R99" t="s">
        <v>634</v>
      </c>
    </row>
    <row r="100" spans="1:18">
      <c r="A100">
        <v>15</v>
      </c>
      <c r="B100" t="s">
        <v>405</v>
      </c>
      <c r="C100" t="s">
        <v>483</v>
      </c>
      <c r="G100">
        <v>3</v>
      </c>
      <c r="H100" s="263"/>
      <c r="J100" t="s">
        <v>22</v>
      </c>
      <c r="K100" t="s">
        <v>30</v>
      </c>
      <c r="L100" t="s">
        <v>33</v>
      </c>
      <c r="M100" s="265" t="s">
        <v>558</v>
      </c>
      <c r="N100" s="263">
        <f>0.6*2</f>
        <v>1.2</v>
      </c>
      <c r="O100" s="279">
        <f>0.6*20*2</f>
        <v>24</v>
      </c>
      <c r="P100" s="265" t="s">
        <v>646</v>
      </c>
      <c r="R100" t="s">
        <v>634</v>
      </c>
    </row>
    <row r="101" spans="1:18" hidden="1">
      <c r="A101">
        <v>15</v>
      </c>
      <c r="B101" t="s">
        <v>405</v>
      </c>
      <c r="C101" t="s">
        <v>483</v>
      </c>
      <c r="G101">
        <v>3</v>
      </c>
      <c r="J101" t="s">
        <v>22</v>
      </c>
      <c r="K101" t="s">
        <v>408</v>
      </c>
      <c r="L101" t="s">
        <v>33</v>
      </c>
      <c r="M101" s="265" t="s">
        <v>559</v>
      </c>
      <c r="N101" s="265"/>
      <c r="O101" s="279">
        <f>13.97*2</f>
        <v>27.94</v>
      </c>
      <c r="P101" s="265" t="s">
        <v>923</v>
      </c>
      <c r="R101" t="s">
        <v>634</v>
      </c>
    </row>
    <row r="102" spans="1:18" hidden="1">
      <c r="A102">
        <v>15</v>
      </c>
      <c r="B102" t="s">
        <v>405</v>
      </c>
      <c r="C102" t="s">
        <v>483</v>
      </c>
      <c r="G102">
        <v>3</v>
      </c>
      <c r="J102" t="s">
        <v>22</v>
      </c>
      <c r="K102" t="s">
        <v>71</v>
      </c>
      <c r="L102" t="s">
        <v>33</v>
      </c>
      <c r="M102" s="265" t="s">
        <v>560</v>
      </c>
      <c r="N102" s="265"/>
      <c r="O102" s="279">
        <f>7*2.34*2</f>
        <v>32.76</v>
      </c>
      <c r="P102" s="265" t="s">
        <v>647</v>
      </c>
      <c r="R102" t="s">
        <v>634</v>
      </c>
    </row>
    <row r="103" spans="1:18" hidden="1">
      <c r="A103">
        <v>15</v>
      </c>
      <c r="B103" t="s">
        <v>405</v>
      </c>
      <c r="C103" t="s">
        <v>483</v>
      </c>
      <c r="G103">
        <v>3</v>
      </c>
      <c r="J103" t="s">
        <v>22</v>
      </c>
      <c r="K103" t="s">
        <v>71</v>
      </c>
      <c r="L103" t="s">
        <v>33</v>
      </c>
      <c r="M103" s="265" t="s">
        <v>561</v>
      </c>
      <c r="N103" s="265"/>
      <c r="O103" s="279">
        <f>4*0.5*2</f>
        <v>4</v>
      </c>
      <c r="P103" s="265" t="s">
        <v>644</v>
      </c>
      <c r="R103" t="s">
        <v>634</v>
      </c>
    </row>
    <row r="104" spans="1:18" hidden="1">
      <c r="A104">
        <v>15</v>
      </c>
      <c r="B104" t="s">
        <v>405</v>
      </c>
      <c r="C104" t="s">
        <v>483</v>
      </c>
      <c r="G104">
        <v>3</v>
      </c>
      <c r="J104" t="s">
        <v>22</v>
      </c>
      <c r="K104" t="s">
        <v>71</v>
      </c>
      <c r="L104" t="s">
        <v>33</v>
      </c>
      <c r="M104" s="265" t="s">
        <v>562</v>
      </c>
      <c r="N104" s="265"/>
      <c r="O104" s="279">
        <f>(4/128)*20*2</f>
        <v>1.25</v>
      </c>
      <c r="P104" s="265" t="s">
        <v>645</v>
      </c>
      <c r="R104" t="s">
        <v>634</v>
      </c>
    </row>
    <row r="105" spans="1:18">
      <c r="A105">
        <v>15</v>
      </c>
      <c r="B105" t="s">
        <v>405</v>
      </c>
      <c r="C105" t="s">
        <v>483</v>
      </c>
      <c r="G105">
        <v>3</v>
      </c>
      <c r="H105" s="263"/>
      <c r="J105" t="s">
        <v>22</v>
      </c>
      <c r="K105" t="s">
        <v>30</v>
      </c>
      <c r="L105" t="s">
        <v>33</v>
      </c>
      <c r="M105" s="265" t="s">
        <v>563</v>
      </c>
      <c r="N105" s="263">
        <f>0.6*2</f>
        <v>1.2</v>
      </c>
      <c r="O105" s="279">
        <f>0.6*20*2</f>
        <v>24</v>
      </c>
      <c r="P105" s="265" t="s">
        <v>646</v>
      </c>
      <c r="R105" t="s">
        <v>634</v>
      </c>
    </row>
    <row r="106" spans="1:18" hidden="1">
      <c r="A106">
        <v>15</v>
      </c>
      <c r="B106" t="s">
        <v>405</v>
      </c>
      <c r="C106" t="s">
        <v>483</v>
      </c>
      <c r="G106">
        <v>3</v>
      </c>
      <c r="J106" t="s">
        <v>22</v>
      </c>
      <c r="K106" t="s">
        <v>408</v>
      </c>
      <c r="L106" t="s">
        <v>33</v>
      </c>
      <c r="M106" s="265" t="s">
        <v>564</v>
      </c>
      <c r="N106" s="265"/>
      <c r="O106" s="279">
        <f>13.97*2</f>
        <v>27.94</v>
      </c>
      <c r="P106" s="265" t="s">
        <v>923</v>
      </c>
      <c r="R106" t="s">
        <v>634</v>
      </c>
    </row>
    <row r="107" spans="1:18" hidden="1">
      <c r="A107">
        <v>15</v>
      </c>
      <c r="B107" t="s">
        <v>405</v>
      </c>
      <c r="C107" t="s">
        <v>483</v>
      </c>
      <c r="G107">
        <v>3</v>
      </c>
      <c r="J107" t="s">
        <v>22</v>
      </c>
      <c r="K107" t="s">
        <v>71</v>
      </c>
      <c r="L107" t="s">
        <v>33</v>
      </c>
      <c r="M107" s="265" t="s">
        <v>565</v>
      </c>
      <c r="N107" s="265"/>
      <c r="O107" s="279">
        <f>2.5*6.6*4</f>
        <v>66</v>
      </c>
      <c r="P107" s="265" t="s">
        <v>648</v>
      </c>
      <c r="R107" t="s">
        <v>634</v>
      </c>
    </row>
    <row r="108" spans="1:18" hidden="1">
      <c r="A108">
        <v>15</v>
      </c>
      <c r="B108" t="s">
        <v>405</v>
      </c>
      <c r="C108" t="s">
        <v>483</v>
      </c>
      <c r="G108">
        <v>3</v>
      </c>
      <c r="J108" t="s">
        <v>22</v>
      </c>
      <c r="K108" t="s">
        <v>71</v>
      </c>
      <c r="L108" t="s">
        <v>33</v>
      </c>
      <c r="M108" s="263" t="s">
        <v>566</v>
      </c>
      <c r="N108" s="265"/>
      <c r="O108" s="279">
        <f>5*0.5*4</f>
        <v>10</v>
      </c>
      <c r="P108" s="265" t="s">
        <v>649</v>
      </c>
      <c r="R108" t="s">
        <v>634</v>
      </c>
    </row>
    <row r="109" spans="1:18" hidden="1">
      <c r="A109">
        <v>15</v>
      </c>
      <c r="B109" t="s">
        <v>405</v>
      </c>
      <c r="C109" t="s">
        <v>483</v>
      </c>
      <c r="G109">
        <v>3</v>
      </c>
      <c r="J109" t="s">
        <v>22</v>
      </c>
      <c r="K109" t="s">
        <v>71</v>
      </c>
      <c r="L109" t="s">
        <v>33</v>
      </c>
      <c r="M109" s="265" t="s">
        <v>567</v>
      </c>
      <c r="N109" s="265"/>
      <c r="O109" s="279">
        <f>(4/128)*20*4</f>
        <v>2.5</v>
      </c>
      <c r="P109" s="265" t="s">
        <v>641</v>
      </c>
      <c r="R109" t="s">
        <v>634</v>
      </c>
    </row>
    <row r="110" spans="1:18">
      <c r="A110">
        <v>15</v>
      </c>
      <c r="B110" t="s">
        <v>405</v>
      </c>
      <c r="C110" t="s">
        <v>483</v>
      </c>
      <c r="G110">
        <v>3</v>
      </c>
      <c r="H110" s="263"/>
      <c r="J110" t="s">
        <v>22</v>
      </c>
      <c r="K110" t="s">
        <v>30</v>
      </c>
      <c r="L110" t="s">
        <v>33</v>
      </c>
      <c r="M110" s="265" t="s">
        <v>568</v>
      </c>
      <c r="N110" s="263">
        <f>0.6*4</f>
        <v>2.4</v>
      </c>
      <c r="O110" s="279">
        <f>0.6*20*4</f>
        <v>48</v>
      </c>
      <c r="P110" s="265" t="s">
        <v>650</v>
      </c>
      <c r="R110" t="s">
        <v>634</v>
      </c>
    </row>
    <row r="111" spans="1:18" hidden="1">
      <c r="A111">
        <v>15</v>
      </c>
      <c r="B111" t="s">
        <v>405</v>
      </c>
      <c r="C111" t="s">
        <v>483</v>
      </c>
      <c r="G111">
        <v>3</v>
      </c>
      <c r="J111" t="s">
        <v>22</v>
      </c>
      <c r="K111" t="s">
        <v>408</v>
      </c>
      <c r="L111" t="s">
        <v>33</v>
      </c>
      <c r="M111" s="265" t="s">
        <v>569</v>
      </c>
      <c r="N111" s="265"/>
      <c r="O111" s="279">
        <f>13.97*4</f>
        <v>55.88</v>
      </c>
      <c r="P111" s="265" t="s">
        <v>922</v>
      </c>
      <c r="R111" t="s">
        <v>634</v>
      </c>
    </row>
    <row r="112" spans="1:18">
      <c r="A112">
        <v>15</v>
      </c>
      <c r="B112" t="s">
        <v>405</v>
      </c>
      <c r="C112" t="s">
        <v>483</v>
      </c>
      <c r="G112">
        <v>3</v>
      </c>
      <c r="H112" s="263" t="s">
        <v>1034</v>
      </c>
      <c r="J112" t="s">
        <v>22</v>
      </c>
      <c r="K112" t="s">
        <v>30</v>
      </c>
      <c r="L112" t="s">
        <v>33</v>
      </c>
      <c r="M112" s="265" t="s">
        <v>954</v>
      </c>
      <c r="N112" s="263">
        <f>0.65*4</f>
        <v>2.6</v>
      </c>
      <c r="O112" s="279">
        <f>20*2.6</f>
        <v>52</v>
      </c>
      <c r="P112" s="265" t="s">
        <v>953</v>
      </c>
      <c r="R112" t="s">
        <v>634</v>
      </c>
    </row>
    <row r="113" spans="1:18" hidden="1">
      <c r="A113">
        <v>15</v>
      </c>
      <c r="B113" t="s">
        <v>405</v>
      </c>
      <c r="C113" t="s">
        <v>483</v>
      </c>
      <c r="G113">
        <v>3</v>
      </c>
      <c r="J113" t="s">
        <v>22</v>
      </c>
      <c r="K113" t="s">
        <v>408</v>
      </c>
      <c r="L113" t="s">
        <v>33</v>
      </c>
      <c r="M113" t="s">
        <v>955</v>
      </c>
      <c r="O113" s="1">
        <v>42.28</v>
      </c>
      <c r="R113" t="s">
        <v>634</v>
      </c>
    </row>
    <row r="114" spans="1:18">
      <c r="A114">
        <v>15</v>
      </c>
      <c r="B114" t="s">
        <v>405</v>
      </c>
      <c r="C114" t="s">
        <v>483</v>
      </c>
      <c r="G114">
        <v>3</v>
      </c>
      <c r="H114" s="263" t="s">
        <v>1026</v>
      </c>
      <c r="J114" t="s">
        <v>22</v>
      </c>
      <c r="K114" t="s">
        <v>30</v>
      </c>
      <c r="L114" t="s">
        <v>33</v>
      </c>
      <c r="M114" t="s">
        <v>506</v>
      </c>
      <c r="N114" s="263">
        <v>1.7</v>
      </c>
      <c r="O114" s="1">
        <f>20*1.7</f>
        <v>34</v>
      </c>
      <c r="P114" t="s">
        <v>921</v>
      </c>
      <c r="Q114" t="s">
        <v>940</v>
      </c>
      <c r="R114" t="s">
        <v>634</v>
      </c>
    </row>
    <row r="115" spans="1:18" hidden="1">
      <c r="A115">
        <v>15</v>
      </c>
      <c r="B115" t="s">
        <v>405</v>
      </c>
      <c r="C115" t="s">
        <v>483</v>
      </c>
      <c r="G115">
        <v>3</v>
      </c>
      <c r="J115" t="s">
        <v>22</v>
      </c>
      <c r="K115" t="s">
        <v>408</v>
      </c>
      <c r="L115" t="s">
        <v>33</v>
      </c>
      <c r="M115" t="s">
        <v>507</v>
      </c>
      <c r="O115" s="1">
        <v>27.05</v>
      </c>
      <c r="Q115" t="s">
        <v>939</v>
      </c>
      <c r="R115" t="s">
        <v>634</v>
      </c>
    </row>
    <row r="116" spans="1:18" hidden="1">
      <c r="A116">
        <v>15</v>
      </c>
      <c r="B116" t="s">
        <v>405</v>
      </c>
      <c r="C116" t="s">
        <v>483</v>
      </c>
      <c r="G116">
        <v>3</v>
      </c>
      <c r="J116" t="s">
        <v>22</v>
      </c>
      <c r="K116" t="s">
        <v>408</v>
      </c>
      <c r="L116" t="s">
        <v>33</v>
      </c>
      <c r="M116" t="s">
        <v>548</v>
      </c>
      <c r="O116" s="1">
        <v>75.03</v>
      </c>
      <c r="P116" s="1"/>
      <c r="Q116" s="1">
        <f>SUM(O77:O116)</f>
        <v>1863.61</v>
      </c>
      <c r="R116" t="s">
        <v>634</v>
      </c>
    </row>
    <row r="117" spans="1:18" hidden="1">
      <c r="A117">
        <v>15</v>
      </c>
      <c r="B117" t="s">
        <v>405</v>
      </c>
      <c r="C117" t="s">
        <v>483</v>
      </c>
      <c r="G117">
        <v>4</v>
      </c>
      <c r="J117" t="s">
        <v>22</v>
      </c>
      <c r="K117" s="287" t="s">
        <v>981</v>
      </c>
      <c r="L117" s="287" t="s">
        <v>33</v>
      </c>
      <c r="M117" s="287" t="s">
        <v>570</v>
      </c>
      <c r="N117" s="287" t="s">
        <v>898</v>
      </c>
      <c r="O117" s="279">
        <v>363</v>
      </c>
      <c r="R117" t="s">
        <v>634</v>
      </c>
    </row>
    <row r="118" spans="1:18" hidden="1">
      <c r="A118">
        <v>15</v>
      </c>
      <c r="B118" t="s">
        <v>405</v>
      </c>
      <c r="C118" t="s">
        <v>483</v>
      </c>
      <c r="G118">
        <v>5</v>
      </c>
      <c r="J118" t="s">
        <v>22</v>
      </c>
      <c r="K118" s="287" t="s">
        <v>981</v>
      </c>
      <c r="L118" s="287" t="s">
        <v>33</v>
      </c>
      <c r="M118" s="287" t="s">
        <v>570</v>
      </c>
      <c r="N118" s="287" t="s">
        <v>898</v>
      </c>
      <c r="O118" s="279">
        <v>363</v>
      </c>
      <c r="R118" t="s">
        <v>634</v>
      </c>
    </row>
    <row r="119" spans="1:18" hidden="1">
      <c r="A119">
        <v>15</v>
      </c>
      <c r="B119" t="s">
        <v>405</v>
      </c>
      <c r="C119" t="s">
        <v>483</v>
      </c>
      <c r="G119">
        <v>6</v>
      </c>
      <c r="J119" t="s">
        <v>22</v>
      </c>
      <c r="K119" s="287" t="s">
        <v>981</v>
      </c>
      <c r="L119" s="287" t="s">
        <v>33</v>
      </c>
      <c r="M119" s="287" t="s">
        <v>570</v>
      </c>
      <c r="N119" s="287" t="s">
        <v>898</v>
      </c>
      <c r="O119" s="279">
        <v>363</v>
      </c>
      <c r="R119" t="s">
        <v>634</v>
      </c>
    </row>
    <row r="120" spans="1:18" hidden="1">
      <c r="A120">
        <v>15</v>
      </c>
      <c r="B120" t="s">
        <v>405</v>
      </c>
      <c r="C120" t="s">
        <v>483</v>
      </c>
      <c r="G120">
        <v>7</v>
      </c>
      <c r="J120" t="s">
        <v>22</v>
      </c>
      <c r="K120" s="287" t="s">
        <v>981</v>
      </c>
      <c r="L120" s="287" t="s">
        <v>33</v>
      </c>
      <c r="M120" s="287" t="s">
        <v>570</v>
      </c>
      <c r="N120" s="287" t="s">
        <v>898</v>
      </c>
      <c r="O120" s="279">
        <v>363</v>
      </c>
      <c r="R120" t="s">
        <v>634</v>
      </c>
    </row>
    <row r="121" spans="1:18" hidden="1">
      <c r="A121">
        <v>15</v>
      </c>
      <c r="B121" t="s">
        <v>405</v>
      </c>
      <c r="C121" t="s">
        <v>483</v>
      </c>
      <c r="G121">
        <v>8</v>
      </c>
      <c r="J121" t="s">
        <v>22</v>
      </c>
      <c r="K121" s="287" t="s">
        <v>981</v>
      </c>
      <c r="L121" s="287" t="s">
        <v>33</v>
      </c>
      <c r="M121" s="287" t="s">
        <v>570</v>
      </c>
      <c r="N121" s="287" t="s">
        <v>898</v>
      </c>
      <c r="O121" s="279">
        <v>363</v>
      </c>
      <c r="R121" t="s">
        <v>634</v>
      </c>
    </row>
    <row r="122" spans="1:18" hidden="1">
      <c r="A122">
        <v>15</v>
      </c>
      <c r="B122" t="s">
        <v>405</v>
      </c>
      <c r="C122" t="s">
        <v>483</v>
      </c>
      <c r="G122">
        <v>9</v>
      </c>
      <c r="J122" t="s">
        <v>22</v>
      </c>
      <c r="K122" s="287" t="s">
        <v>981</v>
      </c>
      <c r="L122" s="287" t="s">
        <v>33</v>
      </c>
      <c r="M122" s="287" t="s">
        <v>570</v>
      </c>
      <c r="N122" s="287" t="s">
        <v>898</v>
      </c>
      <c r="O122" s="279">
        <v>363</v>
      </c>
      <c r="R122" t="s">
        <v>634</v>
      </c>
    </row>
    <row r="123" spans="1:18" hidden="1">
      <c r="A123">
        <v>15</v>
      </c>
      <c r="B123" t="s">
        <v>405</v>
      </c>
      <c r="C123" t="s">
        <v>483</v>
      </c>
      <c r="G123">
        <v>10</v>
      </c>
      <c r="J123" t="s">
        <v>22</v>
      </c>
      <c r="K123" s="287" t="s">
        <v>981</v>
      </c>
      <c r="L123" s="287" t="s">
        <v>33</v>
      </c>
      <c r="M123" s="287" t="s">
        <v>570</v>
      </c>
      <c r="N123" s="287" t="s">
        <v>898</v>
      </c>
      <c r="O123" s="279">
        <v>363</v>
      </c>
      <c r="R123" t="s">
        <v>634</v>
      </c>
    </row>
    <row r="124" spans="1:18" hidden="1">
      <c r="A124">
        <v>15</v>
      </c>
      <c r="B124" t="s">
        <v>405</v>
      </c>
      <c r="C124" t="s">
        <v>483</v>
      </c>
      <c r="G124">
        <v>11</v>
      </c>
      <c r="J124" t="s">
        <v>22</v>
      </c>
      <c r="K124" s="287" t="s">
        <v>981</v>
      </c>
      <c r="L124" s="287" t="s">
        <v>33</v>
      </c>
      <c r="M124" s="287" t="s">
        <v>570</v>
      </c>
      <c r="N124" s="287" t="s">
        <v>898</v>
      </c>
      <c r="O124" s="279">
        <v>363</v>
      </c>
      <c r="R124" t="s">
        <v>634</v>
      </c>
    </row>
    <row r="125" spans="1:18" hidden="1">
      <c r="A125">
        <v>15</v>
      </c>
      <c r="B125" t="s">
        <v>405</v>
      </c>
      <c r="C125" t="s">
        <v>483</v>
      </c>
      <c r="G125">
        <v>12</v>
      </c>
      <c r="J125" t="s">
        <v>22</v>
      </c>
      <c r="K125" s="287" t="s">
        <v>981</v>
      </c>
      <c r="L125" s="287" t="s">
        <v>33</v>
      </c>
      <c r="M125" s="287" t="s">
        <v>570</v>
      </c>
      <c r="N125" s="287" t="s">
        <v>898</v>
      </c>
      <c r="O125" s="279">
        <v>363</v>
      </c>
      <c r="R125" t="s">
        <v>634</v>
      </c>
    </row>
    <row r="126" spans="1:18" hidden="1">
      <c r="A126">
        <v>15</v>
      </c>
      <c r="B126" t="s">
        <v>405</v>
      </c>
      <c r="C126" t="s">
        <v>483</v>
      </c>
      <c r="G126">
        <v>13</v>
      </c>
      <c r="J126" t="s">
        <v>22</v>
      </c>
      <c r="K126" s="287" t="s">
        <v>981</v>
      </c>
      <c r="L126" s="287" t="s">
        <v>33</v>
      </c>
      <c r="M126" s="287" t="s">
        <v>570</v>
      </c>
      <c r="N126" s="287" t="s">
        <v>898</v>
      </c>
      <c r="O126" s="279">
        <v>363</v>
      </c>
      <c r="R126" t="s">
        <v>634</v>
      </c>
    </row>
    <row r="127" spans="1:18" hidden="1">
      <c r="A127">
        <v>15</v>
      </c>
      <c r="B127" t="s">
        <v>405</v>
      </c>
      <c r="C127" t="s">
        <v>483</v>
      </c>
      <c r="G127">
        <v>14</v>
      </c>
      <c r="J127" t="s">
        <v>22</v>
      </c>
      <c r="K127" s="287" t="s">
        <v>981</v>
      </c>
      <c r="L127" s="287" t="s">
        <v>33</v>
      </c>
      <c r="M127" s="287" t="s">
        <v>570</v>
      </c>
      <c r="N127" s="287" t="s">
        <v>898</v>
      </c>
      <c r="O127" s="279">
        <v>363</v>
      </c>
      <c r="R127" t="s">
        <v>634</v>
      </c>
    </row>
    <row r="128" spans="1:18" hidden="1">
      <c r="A128">
        <v>15</v>
      </c>
      <c r="B128" t="s">
        <v>405</v>
      </c>
      <c r="C128" t="s">
        <v>483</v>
      </c>
      <c r="G128">
        <v>15</v>
      </c>
      <c r="J128" t="s">
        <v>22</v>
      </c>
      <c r="K128" s="287" t="s">
        <v>981</v>
      </c>
      <c r="L128" s="287" t="s">
        <v>33</v>
      </c>
      <c r="M128" s="287" t="s">
        <v>570</v>
      </c>
      <c r="N128" s="287" t="s">
        <v>898</v>
      </c>
      <c r="O128" s="279">
        <v>363</v>
      </c>
      <c r="R128" t="s">
        <v>634</v>
      </c>
    </row>
    <row r="129" spans="1:18" hidden="1">
      <c r="A129">
        <v>15</v>
      </c>
      <c r="B129" t="s">
        <v>405</v>
      </c>
      <c r="C129" t="s">
        <v>483</v>
      </c>
      <c r="G129">
        <v>16</v>
      </c>
      <c r="J129" t="s">
        <v>22</v>
      </c>
      <c r="K129" s="287" t="s">
        <v>981</v>
      </c>
      <c r="L129" s="287" t="s">
        <v>33</v>
      </c>
      <c r="M129" s="287" t="s">
        <v>570</v>
      </c>
      <c r="N129" s="287" t="s">
        <v>898</v>
      </c>
      <c r="O129" s="279">
        <v>363</v>
      </c>
      <c r="R129" t="s">
        <v>634</v>
      </c>
    </row>
    <row r="130" spans="1:18" hidden="1">
      <c r="A130">
        <v>15</v>
      </c>
      <c r="B130" t="s">
        <v>405</v>
      </c>
      <c r="C130" t="s">
        <v>483</v>
      </c>
      <c r="G130">
        <v>17</v>
      </c>
      <c r="J130" t="s">
        <v>22</v>
      </c>
      <c r="K130" s="287" t="s">
        <v>981</v>
      </c>
      <c r="L130" s="287" t="s">
        <v>33</v>
      </c>
      <c r="M130" s="287" t="s">
        <v>570</v>
      </c>
      <c r="N130" s="287" t="s">
        <v>898</v>
      </c>
      <c r="O130" s="279">
        <v>363</v>
      </c>
      <c r="R130" t="s">
        <v>634</v>
      </c>
    </row>
    <row r="131" spans="1:18" hidden="1">
      <c r="A131">
        <v>15</v>
      </c>
      <c r="B131" t="s">
        <v>405</v>
      </c>
      <c r="C131" t="s">
        <v>483</v>
      </c>
      <c r="G131">
        <v>18</v>
      </c>
      <c r="J131" t="s">
        <v>22</v>
      </c>
      <c r="K131" s="287" t="s">
        <v>981</v>
      </c>
      <c r="L131" s="287" t="s">
        <v>33</v>
      </c>
      <c r="M131" s="287" t="s">
        <v>570</v>
      </c>
      <c r="N131" s="287" t="s">
        <v>898</v>
      </c>
      <c r="O131" s="279">
        <v>363</v>
      </c>
      <c r="R131" t="s">
        <v>634</v>
      </c>
    </row>
    <row r="132" spans="1:18" hidden="1">
      <c r="A132">
        <v>15</v>
      </c>
      <c r="B132" t="s">
        <v>405</v>
      </c>
      <c r="C132" t="s">
        <v>483</v>
      </c>
      <c r="G132">
        <v>19</v>
      </c>
      <c r="J132" t="s">
        <v>22</v>
      </c>
      <c r="K132" s="287" t="s">
        <v>981</v>
      </c>
      <c r="L132" s="287" t="s">
        <v>33</v>
      </c>
      <c r="M132" s="287" t="s">
        <v>570</v>
      </c>
      <c r="N132" s="287" t="s">
        <v>898</v>
      </c>
      <c r="O132" s="279">
        <v>363</v>
      </c>
      <c r="R132" t="s">
        <v>634</v>
      </c>
    </row>
    <row r="133" spans="1:18" hidden="1">
      <c r="A133">
        <v>15</v>
      </c>
      <c r="B133" t="s">
        <v>405</v>
      </c>
      <c r="C133" t="s">
        <v>483</v>
      </c>
      <c r="G133">
        <v>20</v>
      </c>
      <c r="J133" t="s">
        <v>22</v>
      </c>
      <c r="K133" s="287" t="s">
        <v>981</v>
      </c>
      <c r="L133" s="287" t="s">
        <v>33</v>
      </c>
      <c r="M133" s="287" t="s">
        <v>570</v>
      </c>
      <c r="N133" s="287" t="s">
        <v>898</v>
      </c>
      <c r="O133" s="279">
        <v>363</v>
      </c>
      <c r="R133" t="s">
        <v>634</v>
      </c>
    </row>
    <row r="134" spans="1:18" hidden="1">
      <c r="A134">
        <v>15</v>
      </c>
      <c r="B134" t="s">
        <v>405</v>
      </c>
      <c r="C134" t="s">
        <v>483</v>
      </c>
      <c r="G134">
        <v>21</v>
      </c>
      <c r="J134" t="s">
        <v>22</v>
      </c>
      <c r="K134" s="287" t="s">
        <v>981</v>
      </c>
      <c r="L134" s="287" t="s">
        <v>33</v>
      </c>
      <c r="M134" s="287" t="s">
        <v>570</v>
      </c>
      <c r="N134" s="287" t="s">
        <v>898</v>
      </c>
      <c r="O134" s="279">
        <v>363</v>
      </c>
      <c r="R134" t="s">
        <v>634</v>
      </c>
    </row>
    <row r="135" spans="1:18" hidden="1">
      <c r="A135">
        <v>15</v>
      </c>
      <c r="B135" t="s">
        <v>405</v>
      </c>
      <c r="C135" t="s">
        <v>483</v>
      </c>
      <c r="G135">
        <v>22</v>
      </c>
      <c r="J135" t="s">
        <v>22</v>
      </c>
      <c r="K135" s="287" t="s">
        <v>981</v>
      </c>
      <c r="L135" s="287" t="s">
        <v>33</v>
      </c>
      <c r="M135" s="287" t="s">
        <v>570</v>
      </c>
      <c r="N135" s="287" t="s">
        <v>898</v>
      </c>
      <c r="O135" s="279">
        <v>363</v>
      </c>
      <c r="R135" t="s">
        <v>634</v>
      </c>
    </row>
    <row r="136" spans="1:18">
      <c r="A136">
        <v>15</v>
      </c>
      <c r="B136" t="s">
        <v>405</v>
      </c>
      <c r="C136" t="s">
        <v>483</v>
      </c>
      <c r="G136">
        <v>4</v>
      </c>
      <c r="J136" t="s">
        <v>22</v>
      </c>
      <c r="K136" s="287" t="s">
        <v>981</v>
      </c>
      <c r="L136" s="287" t="s">
        <v>33</v>
      </c>
      <c r="M136" s="287" t="s">
        <v>571</v>
      </c>
      <c r="N136" s="287">
        <v>1.2</v>
      </c>
      <c r="O136" s="279">
        <f>20*1.2</f>
        <v>24</v>
      </c>
      <c r="P136" t="s">
        <v>920</v>
      </c>
      <c r="R136" t="s">
        <v>634</v>
      </c>
    </row>
    <row r="137" spans="1:18">
      <c r="A137">
        <v>15</v>
      </c>
      <c r="B137" t="s">
        <v>405</v>
      </c>
      <c r="C137" t="s">
        <v>483</v>
      </c>
      <c r="G137">
        <v>5</v>
      </c>
      <c r="J137" t="s">
        <v>22</v>
      </c>
      <c r="K137" s="287" t="s">
        <v>981</v>
      </c>
      <c r="L137" s="287" t="s">
        <v>33</v>
      </c>
      <c r="M137" s="287" t="s">
        <v>571</v>
      </c>
      <c r="N137" s="287">
        <v>1.2</v>
      </c>
      <c r="O137" s="279">
        <f t="shared" ref="O137:O154" si="0">20*1.2</f>
        <v>24</v>
      </c>
      <c r="P137" t="s">
        <v>920</v>
      </c>
      <c r="R137" t="s">
        <v>634</v>
      </c>
    </row>
    <row r="138" spans="1:18">
      <c r="A138">
        <v>15</v>
      </c>
      <c r="B138" t="s">
        <v>405</v>
      </c>
      <c r="C138" t="s">
        <v>483</v>
      </c>
      <c r="G138">
        <v>6</v>
      </c>
      <c r="J138" t="s">
        <v>22</v>
      </c>
      <c r="K138" s="287" t="s">
        <v>981</v>
      </c>
      <c r="L138" s="287" t="s">
        <v>33</v>
      </c>
      <c r="M138" s="287" t="s">
        <v>571</v>
      </c>
      <c r="N138" s="287">
        <v>1.2</v>
      </c>
      <c r="O138" s="279">
        <f t="shared" si="0"/>
        <v>24</v>
      </c>
      <c r="P138" t="s">
        <v>920</v>
      </c>
      <c r="R138" t="s">
        <v>634</v>
      </c>
    </row>
    <row r="139" spans="1:18">
      <c r="A139">
        <v>15</v>
      </c>
      <c r="B139" t="s">
        <v>405</v>
      </c>
      <c r="C139" t="s">
        <v>483</v>
      </c>
      <c r="G139">
        <v>7</v>
      </c>
      <c r="J139" t="s">
        <v>22</v>
      </c>
      <c r="K139" s="287" t="s">
        <v>981</v>
      </c>
      <c r="L139" s="287" t="s">
        <v>33</v>
      </c>
      <c r="M139" s="287" t="s">
        <v>571</v>
      </c>
      <c r="N139" s="287">
        <v>1.2</v>
      </c>
      <c r="O139" s="279">
        <f t="shared" si="0"/>
        <v>24</v>
      </c>
      <c r="P139" t="s">
        <v>920</v>
      </c>
      <c r="R139" t="s">
        <v>634</v>
      </c>
    </row>
    <row r="140" spans="1:18">
      <c r="A140">
        <v>15</v>
      </c>
      <c r="B140" t="s">
        <v>405</v>
      </c>
      <c r="C140" t="s">
        <v>483</v>
      </c>
      <c r="G140">
        <v>8</v>
      </c>
      <c r="J140" t="s">
        <v>22</v>
      </c>
      <c r="K140" s="287" t="s">
        <v>981</v>
      </c>
      <c r="L140" s="287" t="s">
        <v>33</v>
      </c>
      <c r="M140" s="287" t="s">
        <v>571</v>
      </c>
      <c r="N140" s="287">
        <v>1.2</v>
      </c>
      <c r="O140" s="279">
        <f t="shared" si="0"/>
        <v>24</v>
      </c>
      <c r="P140" t="s">
        <v>920</v>
      </c>
      <c r="R140" t="s">
        <v>634</v>
      </c>
    </row>
    <row r="141" spans="1:18">
      <c r="A141">
        <v>15</v>
      </c>
      <c r="B141" t="s">
        <v>405</v>
      </c>
      <c r="C141" t="s">
        <v>483</v>
      </c>
      <c r="G141">
        <v>9</v>
      </c>
      <c r="J141" t="s">
        <v>22</v>
      </c>
      <c r="K141" s="287" t="s">
        <v>981</v>
      </c>
      <c r="L141" s="287" t="s">
        <v>33</v>
      </c>
      <c r="M141" s="287" t="s">
        <v>571</v>
      </c>
      <c r="N141" s="287">
        <v>1.2</v>
      </c>
      <c r="O141" s="279">
        <f t="shared" si="0"/>
        <v>24</v>
      </c>
      <c r="P141" t="s">
        <v>920</v>
      </c>
      <c r="R141" t="s">
        <v>634</v>
      </c>
    </row>
    <row r="142" spans="1:18">
      <c r="A142">
        <v>15</v>
      </c>
      <c r="B142" t="s">
        <v>405</v>
      </c>
      <c r="C142" t="s">
        <v>483</v>
      </c>
      <c r="G142">
        <v>10</v>
      </c>
      <c r="J142" t="s">
        <v>22</v>
      </c>
      <c r="K142" s="287" t="s">
        <v>981</v>
      </c>
      <c r="L142" s="287" t="s">
        <v>33</v>
      </c>
      <c r="M142" s="287" t="s">
        <v>571</v>
      </c>
      <c r="N142" s="287">
        <v>1.2</v>
      </c>
      <c r="O142" s="279">
        <f t="shared" si="0"/>
        <v>24</v>
      </c>
      <c r="P142" t="s">
        <v>920</v>
      </c>
      <c r="R142" t="s">
        <v>634</v>
      </c>
    </row>
    <row r="143" spans="1:18">
      <c r="A143">
        <v>15</v>
      </c>
      <c r="B143" t="s">
        <v>405</v>
      </c>
      <c r="C143" t="s">
        <v>483</v>
      </c>
      <c r="G143">
        <v>11</v>
      </c>
      <c r="J143" t="s">
        <v>22</v>
      </c>
      <c r="K143" s="287" t="s">
        <v>981</v>
      </c>
      <c r="L143" s="287" t="s">
        <v>33</v>
      </c>
      <c r="M143" s="287" t="s">
        <v>571</v>
      </c>
      <c r="N143" s="287">
        <v>1.2</v>
      </c>
      <c r="O143" s="279">
        <f t="shared" si="0"/>
        <v>24</v>
      </c>
      <c r="P143" t="s">
        <v>920</v>
      </c>
      <c r="R143" t="s">
        <v>634</v>
      </c>
    </row>
    <row r="144" spans="1:18">
      <c r="A144">
        <v>15</v>
      </c>
      <c r="B144" t="s">
        <v>405</v>
      </c>
      <c r="C144" t="s">
        <v>483</v>
      </c>
      <c r="G144">
        <v>12</v>
      </c>
      <c r="J144" t="s">
        <v>22</v>
      </c>
      <c r="K144" s="287" t="s">
        <v>981</v>
      </c>
      <c r="L144" s="287" t="s">
        <v>33</v>
      </c>
      <c r="M144" s="287" t="s">
        <v>571</v>
      </c>
      <c r="N144" s="287">
        <v>1.2</v>
      </c>
      <c r="O144" s="279">
        <f t="shared" si="0"/>
        <v>24</v>
      </c>
      <c r="P144" t="s">
        <v>920</v>
      </c>
      <c r="R144" t="s">
        <v>634</v>
      </c>
    </row>
    <row r="145" spans="1:18">
      <c r="A145">
        <v>15</v>
      </c>
      <c r="B145" t="s">
        <v>405</v>
      </c>
      <c r="C145" t="s">
        <v>483</v>
      </c>
      <c r="G145">
        <v>13</v>
      </c>
      <c r="J145" t="s">
        <v>22</v>
      </c>
      <c r="K145" s="287" t="s">
        <v>981</v>
      </c>
      <c r="L145" s="287" t="s">
        <v>33</v>
      </c>
      <c r="M145" s="287" t="s">
        <v>571</v>
      </c>
      <c r="N145" s="287">
        <v>1.2</v>
      </c>
      <c r="O145" s="279">
        <f t="shared" si="0"/>
        <v>24</v>
      </c>
      <c r="P145" t="s">
        <v>920</v>
      </c>
      <c r="R145" t="s">
        <v>634</v>
      </c>
    </row>
    <row r="146" spans="1:18">
      <c r="A146">
        <v>15</v>
      </c>
      <c r="B146" t="s">
        <v>405</v>
      </c>
      <c r="C146" t="s">
        <v>483</v>
      </c>
      <c r="G146">
        <v>14</v>
      </c>
      <c r="J146" t="s">
        <v>22</v>
      </c>
      <c r="K146" s="287" t="s">
        <v>981</v>
      </c>
      <c r="L146" s="287" t="s">
        <v>33</v>
      </c>
      <c r="M146" s="287" t="s">
        <v>571</v>
      </c>
      <c r="N146" s="287">
        <v>1.2</v>
      </c>
      <c r="O146" s="279">
        <f t="shared" si="0"/>
        <v>24</v>
      </c>
      <c r="P146" t="s">
        <v>920</v>
      </c>
      <c r="R146" t="s">
        <v>634</v>
      </c>
    </row>
    <row r="147" spans="1:18">
      <c r="A147">
        <v>15</v>
      </c>
      <c r="B147" t="s">
        <v>405</v>
      </c>
      <c r="C147" t="s">
        <v>483</v>
      </c>
      <c r="G147">
        <v>15</v>
      </c>
      <c r="J147" t="s">
        <v>22</v>
      </c>
      <c r="K147" s="287" t="s">
        <v>981</v>
      </c>
      <c r="L147" s="287" t="s">
        <v>33</v>
      </c>
      <c r="M147" s="287" t="s">
        <v>571</v>
      </c>
      <c r="N147" s="287">
        <v>1.2</v>
      </c>
      <c r="O147" s="279">
        <f t="shared" si="0"/>
        <v>24</v>
      </c>
      <c r="P147" t="s">
        <v>920</v>
      </c>
      <c r="R147" t="s">
        <v>634</v>
      </c>
    </row>
    <row r="148" spans="1:18">
      <c r="A148">
        <v>15</v>
      </c>
      <c r="B148" t="s">
        <v>405</v>
      </c>
      <c r="C148" t="s">
        <v>483</v>
      </c>
      <c r="G148">
        <v>16</v>
      </c>
      <c r="J148" t="s">
        <v>22</v>
      </c>
      <c r="K148" s="287" t="s">
        <v>981</v>
      </c>
      <c r="L148" s="287" t="s">
        <v>33</v>
      </c>
      <c r="M148" s="287" t="s">
        <v>571</v>
      </c>
      <c r="N148" s="287">
        <v>1.2</v>
      </c>
      <c r="O148" s="279">
        <f t="shared" si="0"/>
        <v>24</v>
      </c>
      <c r="P148" t="s">
        <v>920</v>
      </c>
      <c r="R148" t="s">
        <v>634</v>
      </c>
    </row>
    <row r="149" spans="1:18">
      <c r="A149">
        <v>15</v>
      </c>
      <c r="B149" t="s">
        <v>405</v>
      </c>
      <c r="C149" t="s">
        <v>483</v>
      </c>
      <c r="G149">
        <v>17</v>
      </c>
      <c r="J149" t="s">
        <v>22</v>
      </c>
      <c r="K149" s="287" t="s">
        <v>981</v>
      </c>
      <c r="L149" s="287" t="s">
        <v>33</v>
      </c>
      <c r="M149" s="287" t="s">
        <v>571</v>
      </c>
      <c r="N149" s="287">
        <v>1.2</v>
      </c>
      <c r="O149" s="279">
        <f t="shared" si="0"/>
        <v>24</v>
      </c>
      <c r="P149" t="s">
        <v>920</v>
      </c>
      <c r="R149" t="s">
        <v>634</v>
      </c>
    </row>
    <row r="150" spans="1:18">
      <c r="A150">
        <v>15</v>
      </c>
      <c r="B150" t="s">
        <v>405</v>
      </c>
      <c r="C150" t="s">
        <v>483</v>
      </c>
      <c r="G150">
        <v>18</v>
      </c>
      <c r="J150" t="s">
        <v>22</v>
      </c>
      <c r="K150" s="287" t="s">
        <v>981</v>
      </c>
      <c r="L150" s="287" t="s">
        <v>33</v>
      </c>
      <c r="M150" s="287" t="s">
        <v>571</v>
      </c>
      <c r="N150" s="287">
        <v>1.2</v>
      </c>
      <c r="O150" s="279">
        <f t="shared" si="0"/>
        <v>24</v>
      </c>
      <c r="P150" t="s">
        <v>920</v>
      </c>
      <c r="R150" t="s">
        <v>634</v>
      </c>
    </row>
    <row r="151" spans="1:18">
      <c r="A151">
        <v>15</v>
      </c>
      <c r="B151" t="s">
        <v>405</v>
      </c>
      <c r="C151" t="s">
        <v>483</v>
      </c>
      <c r="G151">
        <v>19</v>
      </c>
      <c r="J151" t="s">
        <v>22</v>
      </c>
      <c r="K151" s="287" t="s">
        <v>981</v>
      </c>
      <c r="L151" s="287" t="s">
        <v>33</v>
      </c>
      <c r="M151" s="287" t="s">
        <v>571</v>
      </c>
      <c r="N151" s="287">
        <v>1.2</v>
      </c>
      <c r="O151" s="279">
        <f t="shared" si="0"/>
        <v>24</v>
      </c>
      <c r="P151" t="s">
        <v>920</v>
      </c>
      <c r="R151" t="s">
        <v>634</v>
      </c>
    </row>
    <row r="152" spans="1:18">
      <c r="A152">
        <v>15</v>
      </c>
      <c r="B152" t="s">
        <v>405</v>
      </c>
      <c r="C152" t="s">
        <v>483</v>
      </c>
      <c r="G152">
        <v>20</v>
      </c>
      <c r="J152" t="s">
        <v>22</v>
      </c>
      <c r="K152" s="287" t="s">
        <v>981</v>
      </c>
      <c r="L152" s="287" t="s">
        <v>33</v>
      </c>
      <c r="M152" s="287" t="s">
        <v>571</v>
      </c>
      <c r="N152" s="287">
        <v>1.2</v>
      </c>
      <c r="O152" s="279">
        <f t="shared" si="0"/>
        <v>24</v>
      </c>
      <c r="P152" t="s">
        <v>920</v>
      </c>
      <c r="R152" t="s">
        <v>634</v>
      </c>
    </row>
    <row r="153" spans="1:18">
      <c r="A153">
        <v>15</v>
      </c>
      <c r="B153" t="s">
        <v>405</v>
      </c>
      <c r="C153" t="s">
        <v>483</v>
      </c>
      <c r="G153">
        <v>21</v>
      </c>
      <c r="J153" t="s">
        <v>22</v>
      </c>
      <c r="K153" s="287" t="s">
        <v>981</v>
      </c>
      <c r="L153" s="287" t="s">
        <v>33</v>
      </c>
      <c r="M153" s="287" t="s">
        <v>571</v>
      </c>
      <c r="N153" s="287">
        <v>1.2</v>
      </c>
      <c r="O153" s="279">
        <f t="shared" si="0"/>
        <v>24</v>
      </c>
      <c r="P153" t="s">
        <v>920</v>
      </c>
      <c r="R153" t="s">
        <v>634</v>
      </c>
    </row>
    <row r="154" spans="1:18">
      <c r="A154">
        <v>15</v>
      </c>
      <c r="B154" t="s">
        <v>405</v>
      </c>
      <c r="C154" t="s">
        <v>483</v>
      </c>
      <c r="G154">
        <v>22</v>
      </c>
      <c r="J154" t="s">
        <v>22</v>
      </c>
      <c r="K154" s="287" t="s">
        <v>981</v>
      </c>
      <c r="L154" s="287" t="s">
        <v>33</v>
      </c>
      <c r="M154" s="287" t="s">
        <v>571</v>
      </c>
      <c r="N154" s="287">
        <v>1.2</v>
      </c>
      <c r="O154" s="279">
        <f t="shared" si="0"/>
        <v>24</v>
      </c>
      <c r="P154" t="s">
        <v>920</v>
      </c>
      <c r="R154" t="s">
        <v>634</v>
      </c>
    </row>
    <row r="155" spans="1:18" hidden="1">
      <c r="A155">
        <v>15</v>
      </c>
      <c r="B155" t="s">
        <v>405</v>
      </c>
      <c r="C155" t="s">
        <v>483</v>
      </c>
      <c r="G155">
        <v>4</v>
      </c>
      <c r="J155" t="s">
        <v>22</v>
      </c>
      <c r="K155" t="s">
        <v>408</v>
      </c>
      <c r="L155" t="s">
        <v>33</v>
      </c>
      <c r="M155" t="s">
        <v>572</v>
      </c>
      <c r="O155" s="1">
        <v>21.36</v>
      </c>
      <c r="R155" t="s">
        <v>634</v>
      </c>
    </row>
    <row r="156" spans="1:18" hidden="1">
      <c r="A156">
        <v>15</v>
      </c>
      <c r="B156" t="s">
        <v>405</v>
      </c>
      <c r="C156" t="s">
        <v>483</v>
      </c>
      <c r="G156">
        <v>5</v>
      </c>
      <c r="J156" t="s">
        <v>22</v>
      </c>
      <c r="K156" t="s">
        <v>408</v>
      </c>
      <c r="L156" t="s">
        <v>33</v>
      </c>
      <c r="M156" t="s">
        <v>572</v>
      </c>
      <c r="O156" s="1">
        <v>21.36</v>
      </c>
      <c r="R156" t="s">
        <v>634</v>
      </c>
    </row>
    <row r="157" spans="1:18" hidden="1">
      <c r="A157">
        <v>15</v>
      </c>
      <c r="B157" t="s">
        <v>405</v>
      </c>
      <c r="C157" t="s">
        <v>483</v>
      </c>
      <c r="G157">
        <v>6</v>
      </c>
      <c r="J157" t="s">
        <v>22</v>
      </c>
      <c r="K157" t="s">
        <v>408</v>
      </c>
      <c r="L157" t="s">
        <v>33</v>
      </c>
      <c r="M157" t="s">
        <v>572</v>
      </c>
      <c r="O157" s="1">
        <v>21.36</v>
      </c>
      <c r="R157" t="s">
        <v>634</v>
      </c>
    </row>
    <row r="158" spans="1:18" hidden="1">
      <c r="A158">
        <v>15</v>
      </c>
      <c r="B158" t="s">
        <v>405</v>
      </c>
      <c r="C158" t="s">
        <v>483</v>
      </c>
      <c r="G158">
        <v>7</v>
      </c>
      <c r="J158" t="s">
        <v>22</v>
      </c>
      <c r="K158" t="s">
        <v>408</v>
      </c>
      <c r="L158" t="s">
        <v>33</v>
      </c>
      <c r="M158" t="s">
        <v>572</v>
      </c>
      <c r="O158" s="1">
        <v>21.36</v>
      </c>
      <c r="R158" t="s">
        <v>634</v>
      </c>
    </row>
    <row r="159" spans="1:18" hidden="1">
      <c r="A159">
        <v>15</v>
      </c>
      <c r="B159" t="s">
        <v>405</v>
      </c>
      <c r="C159" t="s">
        <v>483</v>
      </c>
      <c r="G159">
        <v>8</v>
      </c>
      <c r="J159" t="s">
        <v>22</v>
      </c>
      <c r="K159" t="s">
        <v>408</v>
      </c>
      <c r="L159" t="s">
        <v>33</v>
      </c>
      <c r="M159" t="s">
        <v>572</v>
      </c>
      <c r="O159" s="1">
        <v>21.36</v>
      </c>
      <c r="R159" t="s">
        <v>634</v>
      </c>
    </row>
    <row r="160" spans="1:18" hidden="1">
      <c r="A160">
        <v>15</v>
      </c>
      <c r="B160" t="s">
        <v>405</v>
      </c>
      <c r="C160" t="s">
        <v>483</v>
      </c>
      <c r="G160">
        <v>9</v>
      </c>
      <c r="J160" t="s">
        <v>22</v>
      </c>
      <c r="K160" t="s">
        <v>408</v>
      </c>
      <c r="L160" t="s">
        <v>33</v>
      </c>
      <c r="M160" t="s">
        <v>572</v>
      </c>
      <c r="O160" s="1">
        <v>21.36</v>
      </c>
      <c r="R160" t="s">
        <v>634</v>
      </c>
    </row>
    <row r="161" spans="1:18" hidden="1">
      <c r="A161">
        <v>15</v>
      </c>
      <c r="B161" t="s">
        <v>405</v>
      </c>
      <c r="C161" t="s">
        <v>483</v>
      </c>
      <c r="G161">
        <v>10</v>
      </c>
      <c r="J161" t="s">
        <v>22</v>
      </c>
      <c r="K161" t="s">
        <v>408</v>
      </c>
      <c r="L161" t="s">
        <v>33</v>
      </c>
      <c r="M161" t="s">
        <v>572</v>
      </c>
      <c r="O161" s="1">
        <v>21.36</v>
      </c>
      <c r="R161" t="s">
        <v>634</v>
      </c>
    </row>
    <row r="162" spans="1:18" hidden="1">
      <c r="A162">
        <v>15</v>
      </c>
      <c r="B162" t="s">
        <v>405</v>
      </c>
      <c r="C162" t="s">
        <v>483</v>
      </c>
      <c r="G162">
        <v>11</v>
      </c>
      <c r="J162" t="s">
        <v>22</v>
      </c>
      <c r="K162" t="s">
        <v>408</v>
      </c>
      <c r="L162" t="s">
        <v>33</v>
      </c>
      <c r="M162" t="s">
        <v>572</v>
      </c>
      <c r="O162" s="1">
        <v>21.36</v>
      </c>
      <c r="R162" t="s">
        <v>634</v>
      </c>
    </row>
    <row r="163" spans="1:18" hidden="1">
      <c r="A163">
        <v>15</v>
      </c>
      <c r="B163" t="s">
        <v>405</v>
      </c>
      <c r="C163" t="s">
        <v>483</v>
      </c>
      <c r="G163">
        <v>12</v>
      </c>
      <c r="J163" t="s">
        <v>22</v>
      </c>
      <c r="K163" t="s">
        <v>408</v>
      </c>
      <c r="L163" t="s">
        <v>33</v>
      </c>
      <c r="M163" t="s">
        <v>572</v>
      </c>
      <c r="O163" s="1">
        <v>21.36</v>
      </c>
      <c r="R163" t="s">
        <v>634</v>
      </c>
    </row>
    <row r="164" spans="1:18" hidden="1">
      <c r="A164">
        <v>15</v>
      </c>
      <c r="B164" t="s">
        <v>405</v>
      </c>
      <c r="C164" t="s">
        <v>483</v>
      </c>
      <c r="G164">
        <v>13</v>
      </c>
      <c r="J164" t="s">
        <v>22</v>
      </c>
      <c r="K164" t="s">
        <v>408</v>
      </c>
      <c r="L164" t="s">
        <v>33</v>
      </c>
      <c r="M164" t="s">
        <v>572</v>
      </c>
      <c r="O164" s="1">
        <v>21.36</v>
      </c>
      <c r="R164" t="s">
        <v>634</v>
      </c>
    </row>
    <row r="165" spans="1:18" hidden="1">
      <c r="A165">
        <v>15</v>
      </c>
      <c r="B165" t="s">
        <v>405</v>
      </c>
      <c r="C165" t="s">
        <v>483</v>
      </c>
      <c r="G165">
        <v>14</v>
      </c>
      <c r="J165" t="s">
        <v>22</v>
      </c>
      <c r="K165" t="s">
        <v>408</v>
      </c>
      <c r="L165" t="s">
        <v>33</v>
      </c>
      <c r="M165" t="s">
        <v>572</v>
      </c>
      <c r="O165" s="1">
        <v>21.36</v>
      </c>
      <c r="R165" t="s">
        <v>634</v>
      </c>
    </row>
    <row r="166" spans="1:18" hidden="1">
      <c r="A166">
        <v>15</v>
      </c>
      <c r="B166" t="s">
        <v>405</v>
      </c>
      <c r="C166" t="s">
        <v>483</v>
      </c>
      <c r="G166">
        <v>15</v>
      </c>
      <c r="J166" t="s">
        <v>22</v>
      </c>
      <c r="K166" t="s">
        <v>408</v>
      </c>
      <c r="L166" t="s">
        <v>33</v>
      </c>
      <c r="M166" t="s">
        <v>572</v>
      </c>
      <c r="O166" s="1">
        <v>21.36</v>
      </c>
      <c r="R166" t="s">
        <v>634</v>
      </c>
    </row>
    <row r="167" spans="1:18" hidden="1">
      <c r="A167">
        <v>15</v>
      </c>
      <c r="B167" t="s">
        <v>405</v>
      </c>
      <c r="C167" t="s">
        <v>483</v>
      </c>
      <c r="G167">
        <v>16</v>
      </c>
      <c r="J167" t="s">
        <v>22</v>
      </c>
      <c r="K167" t="s">
        <v>408</v>
      </c>
      <c r="L167" t="s">
        <v>33</v>
      </c>
      <c r="M167" t="s">
        <v>572</v>
      </c>
      <c r="O167" s="1">
        <v>21.36</v>
      </c>
      <c r="R167" t="s">
        <v>634</v>
      </c>
    </row>
    <row r="168" spans="1:18" hidden="1">
      <c r="A168">
        <v>15</v>
      </c>
      <c r="B168" t="s">
        <v>405</v>
      </c>
      <c r="C168" t="s">
        <v>483</v>
      </c>
      <c r="G168">
        <v>17</v>
      </c>
      <c r="J168" t="s">
        <v>22</v>
      </c>
      <c r="K168" t="s">
        <v>408</v>
      </c>
      <c r="L168" t="s">
        <v>33</v>
      </c>
      <c r="M168" t="s">
        <v>572</v>
      </c>
      <c r="O168" s="1">
        <v>21.36</v>
      </c>
      <c r="R168" t="s">
        <v>634</v>
      </c>
    </row>
    <row r="169" spans="1:18" hidden="1">
      <c r="A169">
        <v>15</v>
      </c>
      <c r="B169" t="s">
        <v>405</v>
      </c>
      <c r="C169" t="s">
        <v>483</v>
      </c>
      <c r="G169">
        <v>18</v>
      </c>
      <c r="J169" t="s">
        <v>22</v>
      </c>
      <c r="K169" t="s">
        <v>408</v>
      </c>
      <c r="L169" t="s">
        <v>33</v>
      </c>
      <c r="M169" t="s">
        <v>572</v>
      </c>
      <c r="O169" s="1">
        <v>21.36</v>
      </c>
      <c r="R169" t="s">
        <v>634</v>
      </c>
    </row>
    <row r="170" spans="1:18" hidden="1">
      <c r="A170">
        <v>15</v>
      </c>
      <c r="B170" t="s">
        <v>405</v>
      </c>
      <c r="C170" t="s">
        <v>483</v>
      </c>
      <c r="G170">
        <v>19</v>
      </c>
      <c r="J170" t="s">
        <v>22</v>
      </c>
      <c r="K170" t="s">
        <v>408</v>
      </c>
      <c r="L170" t="s">
        <v>33</v>
      </c>
      <c r="M170" t="s">
        <v>572</v>
      </c>
      <c r="O170" s="1">
        <v>21.36</v>
      </c>
      <c r="R170" t="s">
        <v>634</v>
      </c>
    </row>
    <row r="171" spans="1:18" hidden="1">
      <c r="A171">
        <v>15</v>
      </c>
      <c r="B171" t="s">
        <v>405</v>
      </c>
      <c r="C171" t="s">
        <v>483</v>
      </c>
      <c r="G171">
        <v>20</v>
      </c>
      <c r="J171" t="s">
        <v>22</v>
      </c>
      <c r="K171" t="s">
        <v>408</v>
      </c>
      <c r="L171" t="s">
        <v>33</v>
      </c>
      <c r="M171" t="s">
        <v>572</v>
      </c>
      <c r="O171" s="1">
        <v>21.36</v>
      </c>
      <c r="R171" t="s">
        <v>634</v>
      </c>
    </row>
    <row r="172" spans="1:18" hidden="1">
      <c r="A172">
        <v>15</v>
      </c>
      <c r="B172" t="s">
        <v>405</v>
      </c>
      <c r="C172" t="s">
        <v>483</v>
      </c>
      <c r="G172">
        <v>21</v>
      </c>
      <c r="J172" t="s">
        <v>22</v>
      </c>
      <c r="K172" t="s">
        <v>408</v>
      </c>
      <c r="L172" t="s">
        <v>33</v>
      </c>
      <c r="M172" t="s">
        <v>572</v>
      </c>
      <c r="O172" s="1">
        <v>21.36</v>
      </c>
      <c r="R172" t="s">
        <v>634</v>
      </c>
    </row>
    <row r="173" spans="1:18" hidden="1">
      <c r="A173">
        <v>15</v>
      </c>
      <c r="B173" t="s">
        <v>405</v>
      </c>
      <c r="C173" t="s">
        <v>483</v>
      </c>
      <c r="G173">
        <v>22</v>
      </c>
      <c r="J173" t="s">
        <v>22</v>
      </c>
      <c r="K173" t="s">
        <v>408</v>
      </c>
      <c r="L173" t="s">
        <v>33</v>
      </c>
      <c r="M173" t="s">
        <v>572</v>
      </c>
      <c r="O173" s="1">
        <v>21.36</v>
      </c>
      <c r="R173" t="s">
        <v>634</v>
      </c>
    </row>
    <row r="174" spans="1:18">
      <c r="A174">
        <v>15</v>
      </c>
      <c r="B174" t="s">
        <v>405</v>
      </c>
      <c r="C174" t="s">
        <v>483</v>
      </c>
      <c r="G174">
        <v>4</v>
      </c>
      <c r="H174" s="263"/>
      <c r="J174" t="s">
        <v>22</v>
      </c>
      <c r="K174" t="s">
        <v>30</v>
      </c>
      <c r="L174" t="s">
        <v>33</v>
      </c>
      <c r="M174" t="s">
        <v>573</v>
      </c>
      <c r="N174" s="263">
        <v>4</v>
      </c>
      <c r="O174" s="1">
        <f>20*4</f>
        <v>80</v>
      </c>
      <c r="P174" t="s">
        <v>919</v>
      </c>
      <c r="R174" t="s">
        <v>634</v>
      </c>
    </row>
    <row r="175" spans="1:18">
      <c r="A175">
        <v>15</v>
      </c>
      <c r="B175" t="s">
        <v>405</v>
      </c>
      <c r="C175" t="s">
        <v>483</v>
      </c>
      <c r="G175">
        <v>5</v>
      </c>
      <c r="H175" s="263"/>
      <c r="J175" t="s">
        <v>22</v>
      </c>
      <c r="K175" t="s">
        <v>30</v>
      </c>
      <c r="L175" t="s">
        <v>33</v>
      </c>
      <c r="M175" t="s">
        <v>573</v>
      </c>
      <c r="N175" s="263">
        <v>4</v>
      </c>
      <c r="O175" s="1">
        <f t="shared" ref="O175:O192" si="1">20*4</f>
        <v>80</v>
      </c>
      <c r="P175" t="s">
        <v>919</v>
      </c>
      <c r="R175" t="s">
        <v>634</v>
      </c>
    </row>
    <row r="176" spans="1:18">
      <c r="A176">
        <v>15</v>
      </c>
      <c r="B176" t="s">
        <v>405</v>
      </c>
      <c r="C176" t="s">
        <v>483</v>
      </c>
      <c r="G176">
        <v>6</v>
      </c>
      <c r="H176" s="263"/>
      <c r="J176" t="s">
        <v>22</v>
      </c>
      <c r="K176" t="s">
        <v>30</v>
      </c>
      <c r="L176" t="s">
        <v>33</v>
      </c>
      <c r="M176" t="s">
        <v>573</v>
      </c>
      <c r="N176" s="263">
        <v>4</v>
      </c>
      <c r="O176" s="1">
        <f t="shared" si="1"/>
        <v>80</v>
      </c>
      <c r="P176" t="s">
        <v>919</v>
      </c>
      <c r="R176" t="s">
        <v>634</v>
      </c>
    </row>
    <row r="177" spans="1:18">
      <c r="A177">
        <v>15</v>
      </c>
      <c r="B177" t="s">
        <v>405</v>
      </c>
      <c r="C177" t="s">
        <v>483</v>
      </c>
      <c r="G177">
        <v>7</v>
      </c>
      <c r="H177" s="263"/>
      <c r="J177" t="s">
        <v>22</v>
      </c>
      <c r="K177" t="s">
        <v>30</v>
      </c>
      <c r="L177" t="s">
        <v>33</v>
      </c>
      <c r="M177" t="s">
        <v>573</v>
      </c>
      <c r="N177" s="263">
        <v>4</v>
      </c>
      <c r="O177" s="1">
        <f t="shared" si="1"/>
        <v>80</v>
      </c>
      <c r="P177" t="s">
        <v>919</v>
      </c>
      <c r="R177" t="s">
        <v>634</v>
      </c>
    </row>
    <row r="178" spans="1:18">
      <c r="A178">
        <v>15</v>
      </c>
      <c r="B178" t="s">
        <v>405</v>
      </c>
      <c r="C178" t="s">
        <v>483</v>
      </c>
      <c r="G178">
        <v>8</v>
      </c>
      <c r="H178" s="263"/>
      <c r="J178" t="s">
        <v>22</v>
      </c>
      <c r="K178" t="s">
        <v>30</v>
      </c>
      <c r="L178" t="s">
        <v>33</v>
      </c>
      <c r="M178" t="s">
        <v>573</v>
      </c>
      <c r="N178" s="263">
        <v>4</v>
      </c>
      <c r="O178" s="1">
        <f t="shared" si="1"/>
        <v>80</v>
      </c>
      <c r="P178" t="s">
        <v>919</v>
      </c>
      <c r="R178" t="s">
        <v>634</v>
      </c>
    </row>
    <row r="179" spans="1:18">
      <c r="A179">
        <v>15</v>
      </c>
      <c r="B179" t="s">
        <v>405</v>
      </c>
      <c r="C179" t="s">
        <v>483</v>
      </c>
      <c r="G179">
        <v>9</v>
      </c>
      <c r="H179" s="263"/>
      <c r="J179" t="s">
        <v>22</v>
      </c>
      <c r="K179" t="s">
        <v>30</v>
      </c>
      <c r="L179" t="s">
        <v>33</v>
      </c>
      <c r="M179" t="s">
        <v>573</v>
      </c>
      <c r="N179" s="263">
        <v>4</v>
      </c>
      <c r="O179" s="1">
        <f t="shared" si="1"/>
        <v>80</v>
      </c>
      <c r="P179" t="s">
        <v>919</v>
      </c>
      <c r="R179" t="s">
        <v>634</v>
      </c>
    </row>
    <row r="180" spans="1:18">
      <c r="A180">
        <v>15</v>
      </c>
      <c r="B180" t="s">
        <v>405</v>
      </c>
      <c r="C180" t="s">
        <v>483</v>
      </c>
      <c r="G180">
        <v>10</v>
      </c>
      <c r="H180" s="263"/>
      <c r="J180" t="s">
        <v>22</v>
      </c>
      <c r="K180" t="s">
        <v>30</v>
      </c>
      <c r="L180" t="s">
        <v>33</v>
      </c>
      <c r="M180" t="s">
        <v>573</v>
      </c>
      <c r="N180" s="263">
        <v>4</v>
      </c>
      <c r="O180" s="1">
        <f t="shared" si="1"/>
        <v>80</v>
      </c>
      <c r="P180" t="s">
        <v>919</v>
      </c>
      <c r="R180" t="s">
        <v>634</v>
      </c>
    </row>
    <row r="181" spans="1:18">
      <c r="A181">
        <v>15</v>
      </c>
      <c r="B181" t="s">
        <v>405</v>
      </c>
      <c r="C181" t="s">
        <v>483</v>
      </c>
      <c r="G181">
        <v>11</v>
      </c>
      <c r="H181" s="263"/>
      <c r="J181" t="s">
        <v>22</v>
      </c>
      <c r="K181" t="s">
        <v>30</v>
      </c>
      <c r="L181" t="s">
        <v>33</v>
      </c>
      <c r="M181" t="s">
        <v>573</v>
      </c>
      <c r="N181" s="263">
        <v>4</v>
      </c>
      <c r="O181" s="1">
        <f t="shared" si="1"/>
        <v>80</v>
      </c>
      <c r="P181" t="s">
        <v>919</v>
      </c>
      <c r="R181" t="s">
        <v>634</v>
      </c>
    </row>
    <row r="182" spans="1:18">
      <c r="A182">
        <v>15</v>
      </c>
      <c r="B182" t="s">
        <v>405</v>
      </c>
      <c r="C182" t="s">
        <v>483</v>
      </c>
      <c r="G182">
        <v>12</v>
      </c>
      <c r="H182" s="263"/>
      <c r="J182" t="s">
        <v>22</v>
      </c>
      <c r="K182" t="s">
        <v>30</v>
      </c>
      <c r="L182" t="s">
        <v>33</v>
      </c>
      <c r="M182" t="s">
        <v>573</v>
      </c>
      <c r="N182" s="263">
        <v>4</v>
      </c>
      <c r="O182" s="1">
        <f t="shared" si="1"/>
        <v>80</v>
      </c>
      <c r="P182" t="s">
        <v>919</v>
      </c>
      <c r="R182" t="s">
        <v>634</v>
      </c>
    </row>
    <row r="183" spans="1:18">
      <c r="A183">
        <v>15</v>
      </c>
      <c r="B183" t="s">
        <v>405</v>
      </c>
      <c r="C183" t="s">
        <v>483</v>
      </c>
      <c r="G183">
        <v>13</v>
      </c>
      <c r="H183" s="263"/>
      <c r="J183" t="s">
        <v>22</v>
      </c>
      <c r="K183" t="s">
        <v>30</v>
      </c>
      <c r="L183" t="s">
        <v>33</v>
      </c>
      <c r="M183" t="s">
        <v>573</v>
      </c>
      <c r="N183" s="263">
        <v>4</v>
      </c>
      <c r="O183" s="1">
        <f t="shared" si="1"/>
        <v>80</v>
      </c>
      <c r="P183" t="s">
        <v>919</v>
      </c>
      <c r="R183" t="s">
        <v>634</v>
      </c>
    </row>
    <row r="184" spans="1:18">
      <c r="A184">
        <v>15</v>
      </c>
      <c r="B184" t="s">
        <v>405</v>
      </c>
      <c r="C184" t="s">
        <v>483</v>
      </c>
      <c r="G184">
        <v>14</v>
      </c>
      <c r="H184" s="263"/>
      <c r="J184" t="s">
        <v>22</v>
      </c>
      <c r="K184" t="s">
        <v>30</v>
      </c>
      <c r="L184" t="s">
        <v>33</v>
      </c>
      <c r="M184" t="s">
        <v>573</v>
      </c>
      <c r="N184" s="263">
        <v>4</v>
      </c>
      <c r="O184" s="1">
        <f t="shared" si="1"/>
        <v>80</v>
      </c>
      <c r="P184" t="s">
        <v>919</v>
      </c>
      <c r="R184" t="s">
        <v>634</v>
      </c>
    </row>
    <row r="185" spans="1:18">
      <c r="A185">
        <v>15</v>
      </c>
      <c r="B185" t="s">
        <v>405</v>
      </c>
      <c r="C185" t="s">
        <v>483</v>
      </c>
      <c r="G185">
        <v>15</v>
      </c>
      <c r="H185" s="263"/>
      <c r="J185" t="s">
        <v>22</v>
      </c>
      <c r="K185" t="s">
        <v>30</v>
      </c>
      <c r="L185" t="s">
        <v>33</v>
      </c>
      <c r="M185" t="s">
        <v>573</v>
      </c>
      <c r="N185" s="263">
        <v>4</v>
      </c>
      <c r="O185" s="1">
        <f t="shared" si="1"/>
        <v>80</v>
      </c>
      <c r="P185" t="s">
        <v>919</v>
      </c>
      <c r="R185" t="s">
        <v>634</v>
      </c>
    </row>
    <row r="186" spans="1:18">
      <c r="A186">
        <v>15</v>
      </c>
      <c r="B186" t="s">
        <v>405</v>
      </c>
      <c r="C186" t="s">
        <v>483</v>
      </c>
      <c r="G186">
        <v>16</v>
      </c>
      <c r="H186" s="263"/>
      <c r="J186" t="s">
        <v>22</v>
      </c>
      <c r="K186" t="s">
        <v>30</v>
      </c>
      <c r="L186" t="s">
        <v>33</v>
      </c>
      <c r="M186" t="s">
        <v>573</v>
      </c>
      <c r="N186" s="263">
        <v>4</v>
      </c>
      <c r="O186" s="1">
        <f t="shared" si="1"/>
        <v>80</v>
      </c>
      <c r="P186" t="s">
        <v>919</v>
      </c>
      <c r="R186" t="s">
        <v>634</v>
      </c>
    </row>
    <row r="187" spans="1:18">
      <c r="A187">
        <v>15</v>
      </c>
      <c r="B187" t="s">
        <v>405</v>
      </c>
      <c r="C187" t="s">
        <v>483</v>
      </c>
      <c r="G187">
        <v>17</v>
      </c>
      <c r="H187" s="263"/>
      <c r="J187" t="s">
        <v>22</v>
      </c>
      <c r="K187" t="s">
        <v>30</v>
      </c>
      <c r="L187" t="s">
        <v>33</v>
      </c>
      <c r="M187" t="s">
        <v>573</v>
      </c>
      <c r="N187" s="263">
        <v>4</v>
      </c>
      <c r="O187" s="1">
        <f t="shared" si="1"/>
        <v>80</v>
      </c>
      <c r="P187" t="s">
        <v>919</v>
      </c>
      <c r="R187" t="s">
        <v>634</v>
      </c>
    </row>
    <row r="188" spans="1:18">
      <c r="A188">
        <v>15</v>
      </c>
      <c r="B188" t="s">
        <v>405</v>
      </c>
      <c r="C188" t="s">
        <v>483</v>
      </c>
      <c r="G188">
        <v>18</v>
      </c>
      <c r="H188" s="263"/>
      <c r="J188" t="s">
        <v>22</v>
      </c>
      <c r="K188" t="s">
        <v>30</v>
      </c>
      <c r="L188" t="s">
        <v>33</v>
      </c>
      <c r="M188" t="s">
        <v>573</v>
      </c>
      <c r="N188" s="263">
        <v>4</v>
      </c>
      <c r="O188" s="1">
        <f t="shared" si="1"/>
        <v>80</v>
      </c>
      <c r="P188" t="s">
        <v>919</v>
      </c>
      <c r="R188" t="s">
        <v>634</v>
      </c>
    </row>
    <row r="189" spans="1:18">
      <c r="A189">
        <v>15</v>
      </c>
      <c r="B189" t="s">
        <v>405</v>
      </c>
      <c r="C189" t="s">
        <v>483</v>
      </c>
      <c r="G189">
        <v>19</v>
      </c>
      <c r="H189" s="263"/>
      <c r="J189" t="s">
        <v>22</v>
      </c>
      <c r="K189" t="s">
        <v>30</v>
      </c>
      <c r="L189" t="s">
        <v>33</v>
      </c>
      <c r="M189" t="s">
        <v>573</v>
      </c>
      <c r="N189" s="263">
        <v>4</v>
      </c>
      <c r="O189" s="1">
        <f t="shared" si="1"/>
        <v>80</v>
      </c>
      <c r="P189" t="s">
        <v>919</v>
      </c>
      <c r="R189" t="s">
        <v>634</v>
      </c>
    </row>
    <row r="190" spans="1:18">
      <c r="A190">
        <v>15</v>
      </c>
      <c r="B190" t="s">
        <v>405</v>
      </c>
      <c r="C190" t="s">
        <v>483</v>
      </c>
      <c r="G190">
        <v>20</v>
      </c>
      <c r="H190" s="263"/>
      <c r="J190" t="s">
        <v>22</v>
      </c>
      <c r="K190" t="s">
        <v>30</v>
      </c>
      <c r="L190" t="s">
        <v>33</v>
      </c>
      <c r="M190" t="s">
        <v>573</v>
      </c>
      <c r="N190" s="263">
        <v>4</v>
      </c>
      <c r="O190" s="1">
        <f t="shared" si="1"/>
        <v>80</v>
      </c>
      <c r="P190" t="s">
        <v>919</v>
      </c>
      <c r="R190" t="s">
        <v>634</v>
      </c>
    </row>
    <row r="191" spans="1:18">
      <c r="A191">
        <v>15</v>
      </c>
      <c r="B191" t="s">
        <v>405</v>
      </c>
      <c r="C191" t="s">
        <v>483</v>
      </c>
      <c r="G191">
        <v>21</v>
      </c>
      <c r="H191" s="263"/>
      <c r="J191" t="s">
        <v>22</v>
      </c>
      <c r="K191" t="s">
        <v>30</v>
      </c>
      <c r="L191" t="s">
        <v>33</v>
      </c>
      <c r="M191" t="s">
        <v>573</v>
      </c>
      <c r="N191" s="263">
        <v>4</v>
      </c>
      <c r="O191" s="1">
        <f t="shared" si="1"/>
        <v>80</v>
      </c>
      <c r="P191" t="s">
        <v>919</v>
      </c>
      <c r="R191" t="s">
        <v>634</v>
      </c>
    </row>
    <row r="192" spans="1:18">
      <c r="A192">
        <v>15</v>
      </c>
      <c r="B192" t="s">
        <v>405</v>
      </c>
      <c r="C192" t="s">
        <v>483</v>
      </c>
      <c r="G192">
        <v>22</v>
      </c>
      <c r="H192" s="263"/>
      <c r="J192" t="s">
        <v>22</v>
      </c>
      <c r="K192" t="s">
        <v>30</v>
      </c>
      <c r="L192" t="s">
        <v>33</v>
      </c>
      <c r="M192" t="s">
        <v>573</v>
      </c>
      <c r="N192" s="263">
        <v>4</v>
      </c>
      <c r="O192" s="1">
        <f t="shared" si="1"/>
        <v>80</v>
      </c>
      <c r="P192" t="s">
        <v>919</v>
      </c>
      <c r="R192" t="s">
        <v>634</v>
      </c>
    </row>
    <row r="193" spans="1:18" hidden="1">
      <c r="A193">
        <v>15</v>
      </c>
      <c r="B193" t="s">
        <v>405</v>
      </c>
      <c r="C193" t="s">
        <v>483</v>
      </c>
      <c r="G193">
        <v>4</v>
      </c>
      <c r="J193" t="s">
        <v>22</v>
      </c>
      <c r="K193" t="s">
        <v>408</v>
      </c>
      <c r="L193" t="s">
        <v>33</v>
      </c>
      <c r="M193" t="s">
        <v>574</v>
      </c>
      <c r="O193" s="1">
        <v>16.59</v>
      </c>
      <c r="R193" t="s">
        <v>634</v>
      </c>
    </row>
    <row r="194" spans="1:18" hidden="1">
      <c r="A194">
        <v>15</v>
      </c>
      <c r="B194" t="s">
        <v>405</v>
      </c>
      <c r="C194" t="s">
        <v>483</v>
      </c>
      <c r="G194">
        <v>5</v>
      </c>
      <c r="J194" t="s">
        <v>22</v>
      </c>
      <c r="K194" t="s">
        <v>408</v>
      </c>
      <c r="L194" t="s">
        <v>33</v>
      </c>
      <c r="M194" t="s">
        <v>574</v>
      </c>
      <c r="O194" s="1">
        <v>16.59</v>
      </c>
      <c r="R194" t="s">
        <v>634</v>
      </c>
    </row>
    <row r="195" spans="1:18" hidden="1">
      <c r="A195">
        <v>15</v>
      </c>
      <c r="B195" t="s">
        <v>405</v>
      </c>
      <c r="C195" t="s">
        <v>483</v>
      </c>
      <c r="G195">
        <v>6</v>
      </c>
      <c r="J195" t="s">
        <v>22</v>
      </c>
      <c r="K195" t="s">
        <v>408</v>
      </c>
      <c r="L195" t="s">
        <v>33</v>
      </c>
      <c r="M195" t="s">
        <v>574</v>
      </c>
      <c r="O195" s="1">
        <v>16.59</v>
      </c>
      <c r="R195" t="s">
        <v>634</v>
      </c>
    </row>
    <row r="196" spans="1:18" hidden="1">
      <c r="A196">
        <v>15</v>
      </c>
      <c r="B196" t="s">
        <v>405</v>
      </c>
      <c r="C196" t="s">
        <v>483</v>
      </c>
      <c r="G196">
        <v>7</v>
      </c>
      <c r="J196" t="s">
        <v>22</v>
      </c>
      <c r="K196" t="s">
        <v>408</v>
      </c>
      <c r="L196" t="s">
        <v>33</v>
      </c>
      <c r="M196" t="s">
        <v>574</v>
      </c>
      <c r="O196" s="1">
        <v>16.59</v>
      </c>
      <c r="R196" t="s">
        <v>634</v>
      </c>
    </row>
    <row r="197" spans="1:18" hidden="1">
      <c r="A197">
        <v>15</v>
      </c>
      <c r="B197" t="s">
        <v>405</v>
      </c>
      <c r="C197" t="s">
        <v>483</v>
      </c>
      <c r="G197">
        <v>8</v>
      </c>
      <c r="J197" t="s">
        <v>22</v>
      </c>
      <c r="K197" t="s">
        <v>408</v>
      </c>
      <c r="L197" t="s">
        <v>33</v>
      </c>
      <c r="M197" t="s">
        <v>574</v>
      </c>
      <c r="O197" s="1">
        <v>16.59</v>
      </c>
      <c r="R197" t="s">
        <v>634</v>
      </c>
    </row>
    <row r="198" spans="1:18" hidden="1">
      <c r="A198">
        <v>15</v>
      </c>
      <c r="B198" t="s">
        <v>405</v>
      </c>
      <c r="C198" t="s">
        <v>483</v>
      </c>
      <c r="G198">
        <v>9</v>
      </c>
      <c r="J198" t="s">
        <v>22</v>
      </c>
      <c r="K198" t="s">
        <v>408</v>
      </c>
      <c r="L198" t="s">
        <v>33</v>
      </c>
      <c r="M198" t="s">
        <v>574</v>
      </c>
      <c r="O198" s="1">
        <v>16.59</v>
      </c>
      <c r="R198" t="s">
        <v>634</v>
      </c>
    </row>
    <row r="199" spans="1:18" hidden="1">
      <c r="A199">
        <v>15</v>
      </c>
      <c r="B199" t="s">
        <v>405</v>
      </c>
      <c r="C199" t="s">
        <v>483</v>
      </c>
      <c r="G199">
        <v>10</v>
      </c>
      <c r="J199" t="s">
        <v>22</v>
      </c>
      <c r="K199" t="s">
        <v>408</v>
      </c>
      <c r="L199" t="s">
        <v>33</v>
      </c>
      <c r="M199" t="s">
        <v>574</v>
      </c>
      <c r="O199" s="1">
        <v>16.59</v>
      </c>
      <c r="R199" t="s">
        <v>634</v>
      </c>
    </row>
    <row r="200" spans="1:18" hidden="1">
      <c r="A200">
        <v>15</v>
      </c>
      <c r="B200" t="s">
        <v>405</v>
      </c>
      <c r="C200" t="s">
        <v>483</v>
      </c>
      <c r="G200">
        <v>11</v>
      </c>
      <c r="J200" t="s">
        <v>22</v>
      </c>
      <c r="K200" t="s">
        <v>408</v>
      </c>
      <c r="L200" t="s">
        <v>33</v>
      </c>
      <c r="M200" t="s">
        <v>574</v>
      </c>
      <c r="O200" s="1">
        <v>16.59</v>
      </c>
      <c r="R200" t="s">
        <v>634</v>
      </c>
    </row>
    <row r="201" spans="1:18" hidden="1">
      <c r="A201">
        <v>15</v>
      </c>
      <c r="B201" t="s">
        <v>405</v>
      </c>
      <c r="C201" t="s">
        <v>483</v>
      </c>
      <c r="G201">
        <v>12</v>
      </c>
      <c r="J201" t="s">
        <v>22</v>
      </c>
      <c r="K201" t="s">
        <v>408</v>
      </c>
      <c r="L201" t="s">
        <v>33</v>
      </c>
      <c r="M201" t="s">
        <v>574</v>
      </c>
      <c r="O201" s="1">
        <v>16.59</v>
      </c>
      <c r="R201" t="s">
        <v>634</v>
      </c>
    </row>
    <row r="202" spans="1:18" hidden="1">
      <c r="A202">
        <v>15</v>
      </c>
      <c r="B202" t="s">
        <v>405</v>
      </c>
      <c r="C202" t="s">
        <v>483</v>
      </c>
      <c r="G202">
        <v>13</v>
      </c>
      <c r="J202" t="s">
        <v>22</v>
      </c>
      <c r="K202" t="s">
        <v>408</v>
      </c>
      <c r="L202" t="s">
        <v>33</v>
      </c>
      <c r="M202" t="s">
        <v>574</v>
      </c>
      <c r="O202" s="1">
        <v>16.59</v>
      </c>
      <c r="R202" t="s">
        <v>634</v>
      </c>
    </row>
    <row r="203" spans="1:18" hidden="1">
      <c r="A203">
        <v>15</v>
      </c>
      <c r="B203" t="s">
        <v>405</v>
      </c>
      <c r="C203" t="s">
        <v>483</v>
      </c>
      <c r="G203">
        <v>14</v>
      </c>
      <c r="J203" t="s">
        <v>22</v>
      </c>
      <c r="K203" t="s">
        <v>408</v>
      </c>
      <c r="L203" t="s">
        <v>33</v>
      </c>
      <c r="M203" t="s">
        <v>574</v>
      </c>
      <c r="O203" s="1">
        <v>16.59</v>
      </c>
      <c r="R203" t="s">
        <v>634</v>
      </c>
    </row>
    <row r="204" spans="1:18" hidden="1">
      <c r="A204">
        <v>15</v>
      </c>
      <c r="B204" t="s">
        <v>405</v>
      </c>
      <c r="C204" t="s">
        <v>483</v>
      </c>
      <c r="G204">
        <v>15</v>
      </c>
      <c r="J204" t="s">
        <v>22</v>
      </c>
      <c r="K204" t="s">
        <v>408</v>
      </c>
      <c r="L204" t="s">
        <v>33</v>
      </c>
      <c r="M204" t="s">
        <v>574</v>
      </c>
      <c r="O204" s="1">
        <v>16.59</v>
      </c>
      <c r="R204" t="s">
        <v>634</v>
      </c>
    </row>
    <row r="205" spans="1:18" hidden="1">
      <c r="A205">
        <v>15</v>
      </c>
      <c r="B205" t="s">
        <v>405</v>
      </c>
      <c r="C205" t="s">
        <v>483</v>
      </c>
      <c r="G205">
        <v>16</v>
      </c>
      <c r="J205" t="s">
        <v>22</v>
      </c>
      <c r="K205" t="s">
        <v>408</v>
      </c>
      <c r="L205" t="s">
        <v>33</v>
      </c>
      <c r="M205" t="s">
        <v>574</v>
      </c>
      <c r="O205" s="1">
        <v>16.59</v>
      </c>
      <c r="R205" t="s">
        <v>634</v>
      </c>
    </row>
    <row r="206" spans="1:18" hidden="1">
      <c r="A206">
        <v>15</v>
      </c>
      <c r="B206" t="s">
        <v>405</v>
      </c>
      <c r="C206" t="s">
        <v>483</v>
      </c>
      <c r="G206">
        <v>17</v>
      </c>
      <c r="J206" t="s">
        <v>22</v>
      </c>
      <c r="K206" t="s">
        <v>408</v>
      </c>
      <c r="L206" t="s">
        <v>33</v>
      </c>
      <c r="M206" t="s">
        <v>574</v>
      </c>
      <c r="O206" s="1">
        <v>16.59</v>
      </c>
      <c r="R206" t="s">
        <v>634</v>
      </c>
    </row>
    <row r="207" spans="1:18" hidden="1">
      <c r="A207">
        <v>15</v>
      </c>
      <c r="B207" t="s">
        <v>405</v>
      </c>
      <c r="C207" t="s">
        <v>483</v>
      </c>
      <c r="G207">
        <v>18</v>
      </c>
      <c r="J207" t="s">
        <v>22</v>
      </c>
      <c r="K207" t="s">
        <v>408</v>
      </c>
      <c r="L207" t="s">
        <v>33</v>
      </c>
      <c r="M207" t="s">
        <v>574</v>
      </c>
      <c r="O207" s="1">
        <v>16.59</v>
      </c>
      <c r="R207" t="s">
        <v>634</v>
      </c>
    </row>
    <row r="208" spans="1:18" hidden="1">
      <c r="A208">
        <v>15</v>
      </c>
      <c r="B208" t="s">
        <v>405</v>
      </c>
      <c r="C208" t="s">
        <v>483</v>
      </c>
      <c r="G208">
        <v>19</v>
      </c>
      <c r="J208" t="s">
        <v>22</v>
      </c>
      <c r="K208" t="s">
        <v>408</v>
      </c>
      <c r="L208" t="s">
        <v>33</v>
      </c>
      <c r="M208" t="s">
        <v>574</v>
      </c>
      <c r="O208" s="1">
        <v>16.59</v>
      </c>
      <c r="R208" t="s">
        <v>634</v>
      </c>
    </row>
    <row r="209" spans="1:18" hidden="1">
      <c r="A209">
        <v>15</v>
      </c>
      <c r="B209" t="s">
        <v>405</v>
      </c>
      <c r="C209" t="s">
        <v>483</v>
      </c>
      <c r="G209">
        <v>20</v>
      </c>
      <c r="J209" t="s">
        <v>22</v>
      </c>
      <c r="K209" t="s">
        <v>408</v>
      </c>
      <c r="L209" t="s">
        <v>33</v>
      </c>
      <c r="M209" t="s">
        <v>574</v>
      </c>
      <c r="O209" s="1">
        <v>16.59</v>
      </c>
      <c r="R209" t="s">
        <v>634</v>
      </c>
    </row>
    <row r="210" spans="1:18" hidden="1">
      <c r="A210">
        <v>15</v>
      </c>
      <c r="B210" t="s">
        <v>405</v>
      </c>
      <c r="C210" t="s">
        <v>483</v>
      </c>
      <c r="G210">
        <v>21</v>
      </c>
      <c r="J210" t="s">
        <v>22</v>
      </c>
      <c r="K210" t="s">
        <v>408</v>
      </c>
      <c r="L210" t="s">
        <v>33</v>
      </c>
      <c r="M210" t="s">
        <v>574</v>
      </c>
      <c r="O210" s="1">
        <v>16.59</v>
      </c>
      <c r="R210" t="s">
        <v>634</v>
      </c>
    </row>
    <row r="211" spans="1:18" hidden="1">
      <c r="A211">
        <v>15</v>
      </c>
      <c r="B211" t="s">
        <v>405</v>
      </c>
      <c r="C211" t="s">
        <v>483</v>
      </c>
      <c r="G211">
        <v>22</v>
      </c>
      <c r="J211" t="s">
        <v>22</v>
      </c>
      <c r="K211" t="s">
        <v>408</v>
      </c>
      <c r="L211" t="s">
        <v>33</v>
      </c>
      <c r="M211" t="s">
        <v>574</v>
      </c>
      <c r="O211" s="1">
        <v>16.59</v>
      </c>
      <c r="R211" t="s">
        <v>634</v>
      </c>
    </row>
    <row r="212" spans="1:18" hidden="1">
      <c r="A212">
        <v>15</v>
      </c>
      <c r="B212" t="s">
        <v>405</v>
      </c>
      <c r="C212" t="s">
        <v>483</v>
      </c>
      <c r="G212">
        <v>4</v>
      </c>
      <c r="J212" t="s">
        <v>22</v>
      </c>
      <c r="K212" t="s">
        <v>71</v>
      </c>
      <c r="L212" t="s">
        <v>33</v>
      </c>
      <c r="M212" t="s">
        <v>575</v>
      </c>
      <c r="O212" s="1">
        <v>30</v>
      </c>
      <c r="R212" t="s">
        <v>634</v>
      </c>
    </row>
    <row r="213" spans="1:18" hidden="1">
      <c r="A213">
        <v>15</v>
      </c>
      <c r="B213" t="s">
        <v>405</v>
      </c>
      <c r="C213" t="s">
        <v>483</v>
      </c>
      <c r="G213">
        <v>5</v>
      </c>
      <c r="J213" t="s">
        <v>22</v>
      </c>
      <c r="K213" t="s">
        <v>71</v>
      </c>
      <c r="L213" t="s">
        <v>33</v>
      </c>
      <c r="M213" t="s">
        <v>575</v>
      </c>
      <c r="O213" s="1">
        <v>30</v>
      </c>
      <c r="R213" t="s">
        <v>634</v>
      </c>
    </row>
    <row r="214" spans="1:18" hidden="1">
      <c r="A214">
        <v>15</v>
      </c>
      <c r="B214" t="s">
        <v>405</v>
      </c>
      <c r="C214" t="s">
        <v>483</v>
      </c>
      <c r="G214">
        <v>6</v>
      </c>
      <c r="J214" t="s">
        <v>22</v>
      </c>
      <c r="K214" t="s">
        <v>71</v>
      </c>
      <c r="L214" t="s">
        <v>33</v>
      </c>
      <c r="M214" t="s">
        <v>575</v>
      </c>
      <c r="O214" s="1">
        <v>30</v>
      </c>
      <c r="R214" t="s">
        <v>634</v>
      </c>
    </row>
    <row r="215" spans="1:18" hidden="1">
      <c r="A215">
        <v>15</v>
      </c>
      <c r="B215" t="s">
        <v>405</v>
      </c>
      <c r="C215" t="s">
        <v>483</v>
      </c>
      <c r="G215">
        <v>7</v>
      </c>
      <c r="J215" t="s">
        <v>22</v>
      </c>
      <c r="K215" t="s">
        <v>71</v>
      </c>
      <c r="L215" t="s">
        <v>33</v>
      </c>
      <c r="M215" t="s">
        <v>575</v>
      </c>
      <c r="O215" s="1">
        <v>30</v>
      </c>
      <c r="R215" t="s">
        <v>634</v>
      </c>
    </row>
    <row r="216" spans="1:18" hidden="1">
      <c r="A216">
        <v>15</v>
      </c>
      <c r="B216" t="s">
        <v>405</v>
      </c>
      <c r="C216" t="s">
        <v>483</v>
      </c>
      <c r="G216">
        <v>8</v>
      </c>
      <c r="J216" t="s">
        <v>22</v>
      </c>
      <c r="K216" t="s">
        <v>71</v>
      </c>
      <c r="L216" t="s">
        <v>33</v>
      </c>
      <c r="M216" t="s">
        <v>575</v>
      </c>
      <c r="O216" s="1">
        <v>30</v>
      </c>
      <c r="R216" t="s">
        <v>634</v>
      </c>
    </row>
    <row r="217" spans="1:18" hidden="1">
      <c r="A217">
        <v>15</v>
      </c>
      <c r="B217" t="s">
        <v>405</v>
      </c>
      <c r="C217" t="s">
        <v>483</v>
      </c>
      <c r="G217">
        <v>9</v>
      </c>
      <c r="J217" t="s">
        <v>22</v>
      </c>
      <c r="K217" t="s">
        <v>71</v>
      </c>
      <c r="L217" t="s">
        <v>33</v>
      </c>
      <c r="M217" t="s">
        <v>575</v>
      </c>
      <c r="O217" s="1">
        <v>30</v>
      </c>
      <c r="R217" t="s">
        <v>634</v>
      </c>
    </row>
    <row r="218" spans="1:18" hidden="1">
      <c r="A218">
        <v>15</v>
      </c>
      <c r="B218" t="s">
        <v>405</v>
      </c>
      <c r="C218" t="s">
        <v>483</v>
      </c>
      <c r="G218">
        <v>10</v>
      </c>
      <c r="J218" t="s">
        <v>22</v>
      </c>
      <c r="K218" t="s">
        <v>71</v>
      </c>
      <c r="L218" t="s">
        <v>33</v>
      </c>
      <c r="M218" t="s">
        <v>575</v>
      </c>
      <c r="O218" s="1">
        <v>30</v>
      </c>
      <c r="R218" t="s">
        <v>634</v>
      </c>
    </row>
    <row r="219" spans="1:18" hidden="1">
      <c r="A219">
        <v>15</v>
      </c>
      <c r="B219" t="s">
        <v>405</v>
      </c>
      <c r="C219" t="s">
        <v>483</v>
      </c>
      <c r="G219">
        <v>11</v>
      </c>
      <c r="J219" t="s">
        <v>22</v>
      </c>
      <c r="K219" t="s">
        <v>71</v>
      </c>
      <c r="L219" t="s">
        <v>33</v>
      </c>
      <c r="M219" t="s">
        <v>575</v>
      </c>
      <c r="O219" s="1">
        <v>30</v>
      </c>
      <c r="R219" t="s">
        <v>634</v>
      </c>
    </row>
    <row r="220" spans="1:18" hidden="1">
      <c r="A220">
        <v>15</v>
      </c>
      <c r="B220" t="s">
        <v>405</v>
      </c>
      <c r="C220" t="s">
        <v>483</v>
      </c>
      <c r="G220">
        <v>12</v>
      </c>
      <c r="J220" t="s">
        <v>22</v>
      </c>
      <c r="K220" t="s">
        <v>71</v>
      </c>
      <c r="L220" t="s">
        <v>33</v>
      </c>
      <c r="M220" t="s">
        <v>575</v>
      </c>
      <c r="O220" s="1">
        <v>30</v>
      </c>
      <c r="R220" t="s">
        <v>634</v>
      </c>
    </row>
    <row r="221" spans="1:18" hidden="1">
      <c r="A221">
        <v>15</v>
      </c>
      <c r="B221" t="s">
        <v>405</v>
      </c>
      <c r="C221" t="s">
        <v>483</v>
      </c>
      <c r="G221">
        <v>13</v>
      </c>
      <c r="J221" t="s">
        <v>22</v>
      </c>
      <c r="K221" t="s">
        <v>71</v>
      </c>
      <c r="L221" t="s">
        <v>33</v>
      </c>
      <c r="M221" t="s">
        <v>575</v>
      </c>
      <c r="O221" s="1">
        <v>30</v>
      </c>
      <c r="R221" t="s">
        <v>634</v>
      </c>
    </row>
    <row r="222" spans="1:18" hidden="1">
      <c r="A222">
        <v>15</v>
      </c>
      <c r="B222" t="s">
        <v>405</v>
      </c>
      <c r="C222" t="s">
        <v>483</v>
      </c>
      <c r="G222">
        <v>14</v>
      </c>
      <c r="J222" t="s">
        <v>22</v>
      </c>
      <c r="K222" t="s">
        <v>71</v>
      </c>
      <c r="L222" t="s">
        <v>33</v>
      </c>
      <c r="M222" t="s">
        <v>575</v>
      </c>
      <c r="O222" s="1">
        <v>30</v>
      </c>
      <c r="R222" t="s">
        <v>634</v>
      </c>
    </row>
    <row r="223" spans="1:18" hidden="1">
      <c r="A223">
        <v>15</v>
      </c>
      <c r="B223" t="s">
        <v>405</v>
      </c>
      <c r="C223" t="s">
        <v>483</v>
      </c>
      <c r="G223">
        <v>15</v>
      </c>
      <c r="J223" t="s">
        <v>22</v>
      </c>
      <c r="K223" t="s">
        <v>71</v>
      </c>
      <c r="L223" t="s">
        <v>33</v>
      </c>
      <c r="M223" t="s">
        <v>575</v>
      </c>
      <c r="O223" s="1">
        <v>30</v>
      </c>
      <c r="R223" t="s">
        <v>634</v>
      </c>
    </row>
    <row r="224" spans="1:18" hidden="1">
      <c r="A224">
        <v>15</v>
      </c>
      <c r="B224" t="s">
        <v>405</v>
      </c>
      <c r="C224" t="s">
        <v>483</v>
      </c>
      <c r="G224">
        <v>16</v>
      </c>
      <c r="J224" t="s">
        <v>22</v>
      </c>
      <c r="K224" t="s">
        <v>71</v>
      </c>
      <c r="L224" t="s">
        <v>33</v>
      </c>
      <c r="M224" t="s">
        <v>575</v>
      </c>
      <c r="O224" s="1">
        <v>30</v>
      </c>
      <c r="R224" t="s">
        <v>634</v>
      </c>
    </row>
    <row r="225" spans="1:18" hidden="1">
      <c r="A225">
        <v>15</v>
      </c>
      <c r="B225" t="s">
        <v>405</v>
      </c>
      <c r="C225" t="s">
        <v>483</v>
      </c>
      <c r="G225">
        <v>17</v>
      </c>
      <c r="J225" t="s">
        <v>22</v>
      </c>
      <c r="K225" t="s">
        <v>71</v>
      </c>
      <c r="L225" t="s">
        <v>33</v>
      </c>
      <c r="M225" t="s">
        <v>575</v>
      </c>
      <c r="O225" s="1">
        <v>30</v>
      </c>
      <c r="R225" t="s">
        <v>634</v>
      </c>
    </row>
    <row r="226" spans="1:18" hidden="1">
      <c r="A226">
        <v>15</v>
      </c>
      <c r="B226" t="s">
        <v>405</v>
      </c>
      <c r="C226" t="s">
        <v>483</v>
      </c>
      <c r="G226">
        <v>18</v>
      </c>
      <c r="J226" t="s">
        <v>22</v>
      </c>
      <c r="K226" t="s">
        <v>71</v>
      </c>
      <c r="L226" t="s">
        <v>33</v>
      </c>
      <c r="M226" t="s">
        <v>575</v>
      </c>
      <c r="O226" s="1">
        <v>30</v>
      </c>
      <c r="R226" t="s">
        <v>634</v>
      </c>
    </row>
    <row r="227" spans="1:18" hidden="1">
      <c r="A227">
        <v>15</v>
      </c>
      <c r="B227" t="s">
        <v>405</v>
      </c>
      <c r="C227" t="s">
        <v>483</v>
      </c>
      <c r="G227">
        <v>19</v>
      </c>
      <c r="J227" t="s">
        <v>22</v>
      </c>
      <c r="K227" t="s">
        <v>71</v>
      </c>
      <c r="L227" t="s">
        <v>33</v>
      </c>
      <c r="M227" t="s">
        <v>575</v>
      </c>
      <c r="O227" s="1">
        <v>30</v>
      </c>
      <c r="R227" t="s">
        <v>634</v>
      </c>
    </row>
    <row r="228" spans="1:18" hidden="1">
      <c r="A228">
        <v>15</v>
      </c>
      <c r="B228" t="s">
        <v>405</v>
      </c>
      <c r="C228" t="s">
        <v>483</v>
      </c>
      <c r="G228">
        <v>20</v>
      </c>
      <c r="J228" t="s">
        <v>22</v>
      </c>
      <c r="K228" t="s">
        <v>71</v>
      </c>
      <c r="L228" t="s">
        <v>33</v>
      </c>
      <c r="M228" t="s">
        <v>575</v>
      </c>
      <c r="O228" s="1">
        <v>30</v>
      </c>
      <c r="R228" t="s">
        <v>634</v>
      </c>
    </row>
    <row r="229" spans="1:18" hidden="1">
      <c r="A229">
        <v>15</v>
      </c>
      <c r="B229" t="s">
        <v>405</v>
      </c>
      <c r="C229" t="s">
        <v>483</v>
      </c>
      <c r="G229">
        <v>21</v>
      </c>
      <c r="J229" t="s">
        <v>22</v>
      </c>
      <c r="K229" t="s">
        <v>71</v>
      </c>
      <c r="L229" t="s">
        <v>33</v>
      </c>
      <c r="M229" t="s">
        <v>575</v>
      </c>
      <c r="O229" s="1">
        <v>30</v>
      </c>
      <c r="R229" t="s">
        <v>634</v>
      </c>
    </row>
    <row r="230" spans="1:18" hidden="1">
      <c r="A230">
        <v>15</v>
      </c>
      <c r="B230" t="s">
        <v>405</v>
      </c>
      <c r="C230" t="s">
        <v>483</v>
      </c>
      <c r="G230">
        <v>22</v>
      </c>
      <c r="J230" t="s">
        <v>22</v>
      </c>
      <c r="K230" t="s">
        <v>71</v>
      </c>
      <c r="L230" t="s">
        <v>33</v>
      </c>
      <c r="M230" t="s">
        <v>575</v>
      </c>
      <c r="O230" s="1">
        <v>30</v>
      </c>
      <c r="R230" t="s">
        <v>634</v>
      </c>
    </row>
    <row r="231" spans="1:18" hidden="1">
      <c r="A231">
        <v>15</v>
      </c>
      <c r="B231" t="s">
        <v>405</v>
      </c>
      <c r="C231" t="s">
        <v>483</v>
      </c>
      <c r="G231">
        <v>4</v>
      </c>
      <c r="J231" t="s">
        <v>22</v>
      </c>
      <c r="K231" s="287" t="s">
        <v>981</v>
      </c>
      <c r="L231" s="287" t="s">
        <v>33</v>
      </c>
      <c r="M231" s="287" t="s">
        <v>576</v>
      </c>
      <c r="N231" s="287" t="s">
        <v>898</v>
      </c>
      <c r="O231" s="279">
        <v>185.53</v>
      </c>
      <c r="R231" t="s">
        <v>634</v>
      </c>
    </row>
    <row r="232" spans="1:18" hidden="1">
      <c r="A232">
        <v>15</v>
      </c>
      <c r="B232" t="s">
        <v>405</v>
      </c>
      <c r="C232" t="s">
        <v>483</v>
      </c>
      <c r="G232">
        <v>5</v>
      </c>
      <c r="J232" t="s">
        <v>22</v>
      </c>
      <c r="K232" s="287" t="s">
        <v>981</v>
      </c>
      <c r="L232" s="287" t="s">
        <v>33</v>
      </c>
      <c r="M232" s="287" t="s">
        <v>576</v>
      </c>
      <c r="N232" s="287" t="s">
        <v>898</v>
      </c>
      <c r="O232" s="279">
        <v>185.53</v>
      </c>
      <c r="R232" t="s">
        <v>634</v>
      </c>
    </row>
    <row r="233" spans="1:18" hidden="1">
      <c r="A233">
        <v>15</v>
      </c>
      <c r="B233" t="s">
        <v>405</v>
      </c>
      <c r="C233" t="s">
        <v>483</v>
      </c>
      <c r="G233">
        <v>6</v>
      </c>
      <c r="J233" t="s">
        <v>22</v>
      </c>
      <c r="K233" s="287" t="s">
        <v>981</v>
      </c>
      <c r="L233" s="287" t="s">
        <v>33</v>
      </c>
      <c r="M233" s="287" t="s">
        <v>576</v>
      </c>
      <c r="N233" s="287" t="s">
        <v>898</v>
      </c>
      <c r="O233" s="279">
        <v>185.53</v>
      </c>
      <c r="R233" t="s">
        <v>634</v>
      </c>
    </row>
    <row r="234" spans="1:18" hidden="1">
      <c r="A234">
        <v>15</v>
      </c>
      <c r="B234" t="s">
        <v>405</v>
      </c>
      <c r="C234" t="s">
        <v>483</v>
      </c>
      <c r="G234">
        <v>7</v>
      </c>
      <c r="J234" t="s">
        <v>22</v>
      </c>
      <c r="K234" s="287" t="s">
        <v>981</v>
      </c>
      <c r="L234" s="287" t="s">
        <v>33</v>
      </c>
      <c r="M234" s="287" t="s">
        <v>576</v>
      </c>
      <c r="N234" s="287" t="s">
        <v>898</v>
      </c>
      <c r="O234" s="279">
        <v>185.53</v>
      </c>
      <c r="R234" t="s">
        <v>634</v>
      </c>
    </row>
    <row r="235" spans="1:18" hidden="1">
      <c r="A235">
        <v>15</v>
      </c>
      <c r="B235" t="s">
        <v>405</v>
      </c>
      <c r="C235" t="s">
        <v>483</v>
      </c>
      <c r="G235">
        <v>8</v>
      </c>
      <c r="J235" t="s">
        <v>22</v>
      </c>
      <c r="K235" s="287" t="s">
        <v>981</v>
      </c>
      <c r="L235" s="287" t="s">
        <v>33</v>
      </c>
      <c r="M235" s="287" t="s">
        <v>576</v>
      </c>
      <c r="N235" s="287" t="s">
        <v>898</v>
      </c>
      <c r="O235" s="279">
        <v>185.53</v>
      </c>
      <c r="R235" t="s">
        <v>634</v>
      </c>
    </row>
    <row r="236" spans="1:18" hidden="1">
      <c r="A236">
        <v>15</v>
      </c>
      <c r="B236" t="s">
        <v>405</v>
      </c>
      <c r="C236" t="s">
        <v>483</v>
      </c>
      <c r="G236">
        <v>9</v>
      </c>
      <c r="J236" t="s">
        <v>22</v>
      </c>
      <c r="K236" s="287" t="s">
        <v>981</v>
      </c>
      <c r="L236" s="287" t="s">
        <v>33</v>
      </c>
      <c r="M236" s="287" t="s">
        <v>576</v>
      </c>
      <c r="N236" s="287" t="s">
        <v>898</v>
      </c>
      <c r="O236" s="279">
        <v>185.53</v>
      </c>
      <c r="R236" t="s">
        <v>634</v>
      </c>
    </row>
    <row r="237" spans="1:18" hidden="1">
      <c r="A237">
        <v>15</v>
      </c>
      <c r="B237" t="s">
        <v>405</v>
      </c>
      <c r="C237" t="s">
        <v>483</v>
      </c>
      <c r="G237">
        <v>10</v>
      </c>
      <c r="J237" t="s">
        <v>22</v>
      </c>
      <c r="K237" s="287" t="s">
        <v>981</v>
      </c>
      <c r="L237" s="287" t="s">
        <v>33</v>
      </c>
      <c r="M237" s="287" t="s">
        <v>576</v>
      </c>
      <c r="N237" s="287" t="s">
        <v>898</v>
      </c>
      <c r="O237" s="279">
        <v>185.53</v>
      </c>
      <c r="R237" t="s">
        <v>634</v>
      </c>
    </row>
    <row r="238" spans="1:18" hidden="1">
      <c r="A238">
        <v>15</v>
      </c>
      <c r="B238" t="s">
        <v>405</v>
      </c>
      <c r="C238" t="s">
        <v>483</v>
      </c>
      <c r="G238">
        <v>11</v>
      </c>
      <c r="J238" t="s">
        <v>22</v>
      </c>
      <c r="K238" s="287" t="s">
        <v>981</v>
      </c>
      <c r="L238" s="287" t="s">
        <v>33</v>
      </c>
      <c r="M238" s="287" t="s">
        <v>576</v>
      </c>
      <c r="N238" s="287" t="s">
        <v>898</v>
      </c>
      <c r="O238" s="279">
        <v>185.53</v>
      </c>
      <c r="R238" t="s">
        <v>634</v>
      </c>
    </row>
    <row r="239" spans="1:18" hidden="1">
      <c r="A239">
        <v>15</v>
      </c>
      <c r="B239" t="s">
        <v>405</v>
      </c>
      <c r="C239" t="s">
        <v>483</v>
      </c>
      <c r="G239">
        <v>12</v>
      </c>
      <c r="J239" t="s">
        <v>22</v>
      </c>
      <c r="K239" s="287" t="s">
        <v>981</v>
      </c>
      <c r="L239" s="287" t="s">
        <v>33</v>
      </c>
      <c r="M239" s="287" t="s">
        <v>576</v>
      </c>
      <c r="N239" s="287" t="s">
        <v>898</v>
      </c>
      <c r="O239" s="279">
        <v>185.53</v>
      </c>
      <c r="R239" t="s">
        <v>634</v>
      </c>
    </row>
    <row r="240" spans="1:18" hidden="1">
      <c r="A240">
        <v>15</v>
      </c>
      <c r="B240" t="s">
        <v>405</v>
      </c>
      <c r="C240" t="s">
        <v>483</v>
      </c>
      <c r="G240">
        <v>13</v>
      </c>
      <c r="J240" t="s">
        <v>22</v>
      </c>
      <c r="K240" s="287" t="s">
        <v>981</v>
      </c>
      <c r="L240" s="287" t="s">
        <v>33</v>
      </c>
      <c r="M240" s="287" t="s">
        <v>576</v>
      </c>
      <c r="N240" s="287" t="s">
        <v>898</v>
      </c>
      <c r="O240" s="279">
        <v>185.53</v>
      </c>
      <c r="R240" t="s">
        <v>634</v>
      </c>
    </row>
    <row r="241" spans="1:18" hidden="1">
      <c r="A241">
        <v>15</v>
      </c>
      <c r="B241" t="s">
        <v>405</v>
      </c>
      <c r="C241" t="s">
        <v>483</v>
      </c>
      <c r="G241">
        <v>14</v>
      </c>
      <c r="J241" t="s">
        <v>22</v>
      </c>
      <c r="K241" s="287" t="s">
        <v>981</v>
      </c>
      <c r="L241" s="287" t="s">
        <v>33</v>
      </c>
      <c r="M241" s="287" t="s">
        <v>576</v>
      </c>
      <c r="N241" s="287" t="s">
        <v>898</v>
      </c>
      <c r="O241" s="279">
        <v>185.53</v>
      </c>
      <c r="R241" t="s">
        <v>634</v>
      </c>
    </row>
    <row r="242" spans="1:18" hidden="1">
      <c r="A242">
        <v>15</v>
      </c>
      <c r="B242" t="s">
        <v>405</v>
      </c>
      <c r="C242" t="s">
        <v>483</v>
      </c>
      <c r="G242">
        <v>15</v>
      </c>
      <c r="J242" t="s">
        <v>22</v>
      </c>
      <c r="K242" s="287" t="s">
        <v>981</v>
      </c>
      <c r="L242" s="287" t="s">
        <v>33</v>
      </c>
      <c r="M242" s="287" t="s">
        <v>576</v>
      </c>
      <c r="N242" s="287" t="s">
        <v>898</v>
      </c>
      <c r="O242" s="279">
        <v>185.53</v>
      </c>
      <c r="R242" t="s">
        <v>634</v>
      </c>
    </row>
    <row r="243" spans="1:18" hidden="1">
      <c r="A243">
        <v>15</v>
      </c>
      <c r="B243" t="s">
        <v>405</v>
      </c>
      <c r="C243" t="s">
        <v>483</v>
      </c>
      <c r="G243">
        <v>16</v>
      </c>
      <c r="J243" t="s">
        <v>22</v>
      </c>
      <c r="K243" s="287" t="s">
        <v>981</v>
      </c>
      <c r="L243" s="287" t="s">
        <v>33</v>
      </c>
      <c r="M243" s="287" t="s">
        <v>576</v>
      </c>
      <c r="N243" s="287" t="s">
        <v>898</v>
      </c>
      <c r="O243" s="279">
        <v>185.53</v>
      </c>
      <c r="R243" t="s">
        <v>634</v>
      </c>
    </row>
    <row r="244" spans="1:18" hidden="1">
      <c r="A244">
        <v>15</v>
      </c>
      <c r="B244" t="s">
        <v>405</v>
      </c>
      <c r="C244" t="s">
        <v>483</v>
      </c>
      <c r="G244">
        <v>17</v>
      </c>
      <c r="J244" t="s">
        <v>22</v>
      </c>
      <c r="K244" s="287" t="s">
        <v>981</v>
      </c>
      <c r="L244" s="287" t="s">
        <v>33</v>
      </c>
      <c r="M244" s="287" t="s">
        <v>576</v>
      </c>
      <c r="N244" s="287" t="s">
        <v>898</v>
      </c>
      <c r="O244" s="279">
        <v>185.53</v>
      </c>
      <c r="R244" t="s">
        <v>634</v>
      </c>
    </row>
    <row r="245" spans="1:18" hidden="1">
      <c r="A245">
        <v>15</v>
      </c>
      <c r="B245" t="s">
        <v>405</v>
      </c>
      <c r="C245" t="s">
        <v>483</v>
      </c>
      <c r="G245">
        <v>18</v>
      </c>
      <c r="J245" t="s">
        <v>22</v>
      </c>
      <c r="K245" s="287" t="s">
        <v>981</v>
      </c>
      <c r="L245" s="287" t="s">
        <v>33</v>
      </c>
      <c r="M245" s="287" t="s">
        <v>576</v>
      </c>
      <c r="N245" s="287" t="s">
        <v>898</v>
      </c>
      <c r="O245" s="279">
        <v>185.53</v>
      </c>
      <c r="R245" t="s">
        <v>634</v>
      </c>
    </row>
    <row r="246" spans="1:18" hidden="1">
      <c r="A246">
        <v>15</v>
      </c>
      <c r="B246" t="s">
        <v>405</v>
      </c>
      <c r="C246" t="s">
        <v>483</v>
      </c>
      <c r="G246">
        <v>19</v>
      </c>
      <c r="J246" t="s">
        <v>22</v>
      </c>
      <c r="K246" s="287" t="s">
        <v>981</v>
      </c>
      <c r="L246" s="287" t="s">
        <v>33</v>
      </c>
      <c r="M246" s="287" t="s">
        <v>576</v>
      </c>
      <c r="N246" s="287" t="s">
        <v>898</v>
      </c>
      <c r="O246" s="279">
        <v>185.53</v>
      </c>
      <c r="R246" t="s">
        <v>634</v>
      </c>
    </row>
    <row r="247" spans="1:18" hidden="1">
      <c r="A247">
        <v>15</v>
      </c>
      <c r="B247" t="s">
        <v>405</v>
      </c>
      <c r="C247" t="s">
        <v>483</v>
      </c>
      <c r="G247">
        <v>20</v>
      </c>
      <c r="J247" t="s">
        <v>22</v>
      </c>
      <c r="K247" s="287" t="s">
        <v>981</v>
      </c>
      <c r="L247" s="287" t="s">
        <v>33</v>
      </c>
      <c r="M247" s="287" t="s">
        <v>576</v>
      </c>
      <c r="N247" s="287" t="s">
        <v>898</v>
      </c>
      <c r="O247" s="279">
        <v>185.53</v>
      </c>
      <c r="R247" t="s">
        <v>634</v>
      </c>
    </row>
    <row r="248" spans="1:18" hidden="1">
      <c r="A248">
        <v>15</v>
      </c>
      <c r="B248" t="s">
        <v>405</v>
      </c>
      <c r="C248" t="s">
        <v>483</v>
      </c>
      <c r="G248">
        <v>21</v>
      </c>
      <c r="J248" t="s">
        <v>22</v>
      </c>
      <c r="K248" s="287" t="s">
        <v>981</v>
      </c>
      <c r="L248" s="287" t="s">
        <v>33</v>
      </c>
      <c r="M248" s="287" t="s">
        <v>576</v>
      </c>
      <c r="N248" s="287" t="s">
        <v>898</v>
      </c>
      <c r="O248" s="279">
        <v>185.53</v>
      </c>
      <c r="R248" t="s">
        <v>634</v>
      </c>
    </row>
    <row r="249" spans="1:18" hidden="1">
      <c r="A249">
        <v>15</v>
      </c>
      <c r="B249" t="s">
        <v>405</v>
      </c>
      <c r="C249" t="s">
        <v>483</v>
      </c>
      <c r="G249">
        <v>22</v>
      </c>
      <c r="J249" t="s">
        <v>22</v>
      </c>
      <c r="K249" s="287" t="s">
        <v>981</v>
      </c>
      <c r="L249" s="287" t="s">
        <v>33</v>
      </c>
      <c r="M249" s="287" t="s">
        <v>576</v>
      </c>
      <c r="N249" s="287" t="s">
        <v>898</v>
      </c>
      <c r="O249" s="279">
        <v>185.53</v>
      </c>
      <c r="R249" t="s">
        <v>634</v>
      </c>
    </row>
    <row r="250" spans="1:18" hidden="1">
      <c r="A250">
        <v>15</v>
      </c>
      <c r="B250" t="s">
        <v>405</v>
      </c>
      <c r="C250" t="s">
        <v>483</v>
      </c>
      <c r="G250">
        <v>4</v>
      </c>
      <c r="J250" t="s">
        <v>22</v>
      </c>
      <c r="K250" t="s">
        <v>71</v>
      </c>
      <c r="L250" t="s">
        <v>33</v>
      </c>
      <c r="M250" t="s">
        <v>551</v>
      </c>
      <c r="O250" s="1">
        <v>3.15</v>
      </c>
      <c r="R250" t="s">
        <v>634</v>
      </c>
    </row>
    <row r="251" spans="1:18" hidden="1">
      <c r="A251">
        <v>15</v>
      </c>
      <c r="B251" t="s">
        <v>405</v>
      </c>
      <c r="C251" t="s">
        <v>483</v>
      </c>
      <c r="G251">
        <v>5</v>
      </c>
      <c r="J251" t="s">
        <v>22</v>
      </c>
      <c r="K251" t="s">
        <v>71</v>
      </c>
      <c r="L251" t="s">
        <v>33</v>
      </c>
      <c r="M251" t="s">
        <v>551</v>
      </c>
      <c r="O251" s="1">
        <v>3.15</v>
      </c>
      <c r="R251" t="s">
        <v>634</v>
      </c>
    </row>
    <row r="252" spans="1:18" hidden="1">
      <c r="A252">
        <v>15</v>
      </c>
      <c r="B252" t="s">
        <v>405</v>
      </c>
      <c r="C252" t="s">
        <v>483</v>
      </c>
      <c r="G252">
        <v>6</v>
      </c>
      <c r="J252" t="s">
        <v>22</v>
      </c>
      <c r="K252" t="s">
        <v>71</v>
      </c>
      <c r="L252" t="s">
        <v>33</v>
      </c>
      <c r="M252" t="s">
        <v>551</v>
      </c>
      <c r="O252" s="1">
        <v>3.15</v>
      </c>
      <c r="R252" t="s">
        <v>634</v>
      </c>
    </row>
    <row r="253" spans="1:18" hidden="1">
      <c r="A253">
        <v>15</v>
      </c>
      <c r="B253" t="s">
        <v>405</v>
      </c>
      <c r="C253" t="s">
        <v>483</v>
      </c>
      <c r="G253">
        <v>7</v>
      </c>
      <c r="J253" t="s">
        <v>22</v>
      </c>
      <c r="K253" t="s">
        <v>71</v>
      </c>
      <c r="L253" t="s">
        <v>33</v>
      </c>
      <c r="M253" t="s">
        <v>551</v>
      </c>
      <c r="O253" s="1">
        <v>3.15</v>
      </c>
      <c r="R253" t="s">
        <v>634</v>
      </c>
    </row>
    <row r="254" spans="1:18" hidden="1">
      <c r="A254">
        <v>15</v>
      </c>
      <c r="B254" t="s">
        <v>405</v>
      </c>
      <c r="C254" t="s">
        <v>483</v>
      </c>
      <c r="G254">
        <v>8</v>
      </c>
      <c r="J254" t="s">
        <v>22</v>
      </c>
      <c r="K254" t="s">
        <v>71</v>
      </c>
      <c r="L254" t="s">
        <v>33</v>
      </c>
      <c r="M254" t="s">
        <v>551</v>
      </c>
      <c r="O254" s="1">
        <v>3.15</v>
      </c>
      <c r="R254" t="s">
        <v>634</v>
      </c>
    </row>
    <row r="255" spans="1:18" hidden="1">
      <c r="A255">
        <v>15</v>
      </c>
      <c r="B255" t="s">
        <v>405</v>
      </c>
      <c r="C255" t="s">
        <v>483</v>
      </c>
      <c r="G255">
        <v>9</v>
      </c>
      <c r="J255" t="s">
        <v>22</v>
      </c>
      <c r="K255" t="s">
        <v>71</v>
      </c>
      <c r="L255" t="s">
        <v>33</v>
      </c>
      <c r="M255" t="s">
        <v>551</v>
      </c>
      <c r="O255" s="1">
        <v>3.15</v>
      </c>
      <c r="R255" t="s">
        <v>634</v>
      </c>
    </row>
    <row r="256" spans="1:18" hidden="1">
      <c r="A256">
        <v>15</v>
      </c>
      <c r="B256" t="s">
        <v>405</v>
      </c>
      <c r="C256" t="s">
        <v>483</v>
      </c>
      <c r="G256">
        <v>10</v>
      </c>
      <c r="J256" t="s">
        <v>22</v>
      </c>
      <c r="K256" t="s">
        <v>71</v>
      </c>
      <c r="L256" t="s">
        <v>33</v>
      </c>
      <c r="M256" t="s">
        <v>551</v>
      </c>
      <c r="O256" s="1">
        <v>3.15</v>
      </c>
      <c r="R256" t="s">
        <v>634</v>
      </c>
    </row>
    <row r="257" spans="1:18" hidden="1">
      <c r="A257">
        <v>15</v>
      </c>
      <c r="B257" t="s">
        <v>405</v>
      </c>
      <c r="C257" t="s">
        <v>483</v>
      </c>
      <c r="G257">
        <v>11</v>
      </c>
      <c r="J257" t="s">
        <v>22</v>
      </c>
      <c r="K257" t="s">
        <v>71</v>
      </c>
      <c r="L257" t="s">
        <v>33</v>
      </c>
      <c r="M257" t="s">
        <v>551</v>
      </c>
      <c r="O257" s="1">
        <v>3.15</v>
      </c>
      <c r="R257" t="s">
        <v>634</v>
      </c>
    </row>
    <row r="258" spans="1:18" hidden="1">
      <c r="A258">
        <v>15</v>
      </c>
      <c r="B258" t="s">
        <v>405</v>
      </c>
      <c r="C258" t="s">
        <v>483</v>
      </c>
      <c r="G258">
        <v>12</v>
      </c>
      <c r="J258" t="s">
        <v>22</v>
      </c>
      <c r="K258" t="s">
        <v>71</v>
      </c>
      <c r="L258" t="s">
        <v>33</v>
      </c>
      <c r="M258" t="s">
        <v>551</v>
      </c>
      <c r="O258" s="1">
        <v>3.15</v>
      </c>
      <c r="R258" t="s">
        <v>634</v>
      </c>
    </row>
    <row r="259" spans="1:18" hidden="1">
      <c r="A259">
        <v>15</v>
      </c>
      <c r="B259" t="s">
        <v>405</v>
      </c>
      <c r="C259" t="s">
        <v>483</v>
      </c>
      <c r="G259">
        <v>13</v>
      </c>
      <c r="J259" t="s">
        <v>22</v>
      </c>
      <c r="K259" t="s">
        <v>71</v>
      </c>
      <c r="L259" t="s">
        <v>33</v>
      </c>
      <c r="M259" t="s">
        <v>551</v>
      </c>
      <c r="O259" s="1">
        <v>3.15</v>
      </c>
      <c r="R259" t="s">
        <v>634</v>
      </c>
    </row>
    <row r="260" spans="1:18" hidden="1">
      <c r="A260">
        <v>15</v>
      </c>
      <c r="B260" t="s">
        <v>405</v>
      </c>
      <c r="C260" t="s">
        <v>483</v>
      </c>
      <c r="G260">
        <v>14</v>
      </c>
      <c r="J260" t="s">
        <v>22</v>
      </c>
      <c r="K260" t="s">
        <v>71</v>
      </c>
      <c r="L260" t="s">
        <v>33</v>
      </c>
      <c r="M260" t="s">
        <v>551</v>
      </c>
      <c r="O260" s="1">
        <v>3.15</v>
      </c>
      <c r="R260" t="s">
        <v>634</v>
      </c>
    </row>
    <row r="261" spans="1:18" hidden="1">
      <c r="A261">
        <v>15</v>
      </c>
      <c r="B261" t="s">
        <v>405</v>
      </c>
      <c r="C261" t="s">
        <v>483</v>
      </c>
      <c r="G261">
        <v>15</v>
      </c>
      <c r="J261" t="s">
        <v>22</v>
      </c>
      <c r="K261" t="s">
        <v>71</v>
      </c>
      <c r="L261" t="s">
        <v>33</v>
      </c>
      <c r="M261" t="s">
        <v>551</v>
      </c>
      <c r="O261" s="1">
        <v>3.15</v>
      </c>
      <c r="R261" t="s">
        <v>634</v>
      </c>
    </row>
    <row r="262" spans="1:18" hidden="1">
      <c r="A262">
        <v>15</v>
      </c>
      <c r="B262" t="s">
        <v>405</v>
      </c>
      <c r="C262" t="s">
        <v>483</v>
      </c>
      <c r="G262">
        <v>16</v>
      </c>
      <c r="J262" t="s">
        <v>22</v>
      </c>
      <c r="K262" t="s">
        <v>71</v>
      </c>
      <c r="L262" t="s">
        <v>33</v>
      </c>
      <c r="M262" t="s">
        <v>551</v>
      </c>
      <c r="O262" s="1">
        <v>3.15</v>
      </c>
      <c r="R262" t="s">
        <v>634</v>
      </c>
    </row>
    <row r="263" spans="1:18" hidden="1">
      <c r="A263">
        <v>15</v>
      </c>
      <c r="B263" t="s">
        <v>405</v>
      </c>
      <c r="C263" t="s">
        <v>483</v>
      </c>
      <c r="G263">
        <v>17</v>
      </c>
      <c r="J263" t="s">
        <v>22</v>
      </c>
      <c r="K263" t="s">
        <v>71</v>
      </c>
      <c r="L263" t="s">
        <v>33</v>
      </c>
      <c r="M263" t="s">
        <v>551</v>
      </c>
      <c r="O263" s="1">
        <v>3.15</v>
      </c>
      <c r="R263" t="s">
        <v>634</v>
      </c>
    </row>
    <row r="264" spans="1:18" hidden="1">
      <c r="A264">
        <v>15</v>
      </c>
      <c r="B264" t="s">
        <v>405</v>
      </c>
      <c r="C264" t="s">
        <v>483</v>
      </c>
      <c r="G264">
        <v>18</v>
      </c>
      <c r="J264" t="s">
        <v>22</v>
      </c>
      <c r="K264" t="s">
        <v>71</v>
      </c>
      <c r="L264" t="s">
        <v>33</v>
      </c>
      <c r="M264" t="s">
        <v>551</v>
      </c>
      <c r="O264" s="1">
        <v>3.15</v>
      </c>
      <c r="R264" t="s">
        <v>634</v>
      </c>
    </row>
    <row r="265" spans="1:18" hidden="1">
      <c r="A265">
        <v>15</v>
      </c>
      <c r="B265" t="s">
        <v>405</v>
      </c>
      <c r="C265" t="s">
        <v>483</v>
      </c>
      <c r="G265">
        <v>19</v>
      </c>
      <c r="J265" t="s">
        <v>22</v>
      </c>
      <c r="K265" t="s">
        <v>71</v>
      </c>
      <c r="L265" t="s">
        <v>33</v>
      </c>
      <c r="M265" t="s">
        <v>551</v>
      </c>
      <c r="O265" s="1">
        <v>3.15</v>
      </c>
      <c r="R265" t="s">
        <v>634</v>
      </c>
    </row>
    <row r="266" spans="1:18" hidden="1">
      <c r="A266">
        <v>15</v>
      </c>
      <c r="B266" t="s">
        <v>405</v>
      </c>
      <c r="C266" t="s">
        <v>483</v>
      </c>
      <c r="G266">
        <v>20</v>
      </c>
      <c r="J266" t="s">
        <v>22</v>
      </c>
      <c r="K266" t="s">
        <v>71</v>
      </c>
      <c r="L266" t="s">
        <v>33</v>
      </c>
      <c r="M266" t="s">
        <v>551</v>
      </c>
      <c r="O266" s="1">
        <v>3.15</v>
      </c>
      <c r="R266" t="s">
        <v>634</v>
      </c>
    </row>
    <row r="267" spans="1:18" hidden="1">
      <c r="A267">
        <v>15</v>
      </c>
      <c r="B267" t="s">
        <v>405</v>
      </c>
      <c r="C267" t="s">
        <v>483</v>
      </c>
      <c r="G267">
        <v>21</v>
      </c>
      <c r="J267" t="s">
        <v>22</v>
      </c>
      <c r="K267" t="s">
        <v>71</v>
      </c>
      <c r="L267" t="s">
        <v>33</v>
      </c>
      <c r="M267" t="s">
        <v>551</v>
      </c>
      <c r="O267" s="1">
        <v>3.15</v>
      </c>
      <c r="R267" t="s">
        <v>634</v>
      </c>
    </row>
    <row r="268" spans="1:18" hidden="1">
      <c r="A268">
        <v>15</v>
      </c>
      <c r="B268" t="s">
        <v>405</v>
      </c>
      <c r="C268" t="s">
        <v>483</v>
      </c>
      <c r="G268">
        <v>22</v>
      </c>
      <c r="J268" t="s">
        <v>22</v>
      </c>
      <c r="K268" t="s">
        <v>71</v>
      </c>
      <c r="L268" t="s">
        <v>33</v>
      </c>
      <c r="M268" t="s">
        <v>551</v>
      </c>
      <c r="O268" s="1">
        <v>3.15</v>
      </c>
      <c r="R268" t="s">
        <v>634</v>
      </c>
    </row>
    <row r="269" spans="1:18">
      <c r="A269">
        <v>15</v>
      </c>
      <c r="B269" t="s">
        <v>405</v>
      </c>
      <c r="C269" t="s">
        <v>483</v>
      </c>
      <c r="G269">
        <v>4</v>
      </c>
      <c r="H269" s="263"/>
      <c r="J269" t="s">
        <v>22</v>
      </c>
      <c r="K269" t="s">
        <v>30</v>
      </c>
      <c r="L269" t="s">
        <v>33</v>
      </c>
      <c r="M269" t="s">
        <v>528</v>
      </c>
      <c r="N269" s="263">
        <v>2</v>
      </c>
      <c r="O269" s="1">
        <f>20*2</f>
        <v>40</v>
      </c>
      <c r="P269" t="s">
        <v>918</v>
      </c>
      <c r="R269" t="s">
        <v>634</v>
      </c>
    </row>
    <row r="270" spans="1:18">
      <c r="A270">
        <v>15</v>
      </c>
      <c r="B270" t="s">
        <v>405</v>
      </c>
      <c r="C270" t="s">
        <v>483</v>
      </c>
      <c r="G270">
        <v>5</v>
      </c>
      <c r="H270" s="263"/>
      <c r="J270" t="s">
        <v>22</v>
      </c>
      <c r="K270" t="s">
        <v>30</v>
      </c>
      <c r="L270" t="s">
        <v>33</v>
      </c>
      <c r="M270" t="s">
        <v>528</v>
      </c>
      <c r="N270" s="263">
        <v>2</v>
      </c>
      <c r="O270" s="1">
        <f t="shared" ref="O270:O287" si="2">20*2</f>
        <v>40</v>
      </c>
      <c r="P270" t="s">
        <v>918</v>
      </c>
      <c r="R270" t="s">
        <v>634</v>
      </c>
    </row>
    <row r="271" spans="1:18">
      <c r="A271">
        <v>15</v>
      </c>
      <c r="B271" t="s">
        <v>405</v>
      </c>
      <c r="C271" t="s">
        <v>483</v>
      </c>
      <c r="G271">
        <v>6</v>
      </c>
      <c r="H271" s="263"/>
      <c r="J271" t="s">
        <v>22</v>
      </c>
      <c r="K271" t="s">
        <v>30</v>
      </c>
      <c r="L271" t="s">
        <v>33</v>
      </c>
      <c r="M271" t="s">
        <v>528</v>
      </c>
      <c r="N271" s="263">
        <v>2</v>
      </c>
      <c r="O271" s="1">
        <f t="shared" si="2"/>
        <v>40</v>
      </c>
      <c r="P271" t="s">
        <v>918</v>
      </c>
      <c r="R271" t="s">
        <v>634</v>
      </c>
    </row>
    <row r="272" spans="1:18">
      <c r="A272">
        <v>15</v>
      </c>
      <c r="B272" t="s">
        <v>405</v>
      </c>
      <c r="C272" t="s">
        <v>483</v>
      </c>
      <c r="G272">
        <v>7</v>
      </c>
      <c r="H272" s="263"/>
      <c r="J272" t="s">
        <v>22</v>
      </c>
      <c r="K272" t="s">
        <v>30</v>
      </c>
      <c r="L272" t="s">
        <v>33</v>
      </c>
      <c r="M272" t="s">
        <v>528</v>
      </c>
      <c r="N272" s="263">
        <v>2</v>
      </c>
      <c r="O272" s="1">
        <f t="shared" si="2"/>
        <v>40</v>
      </c>
      <c r="P272" t="s">
        <v>918</v>
      </c>
      <c r="R272" t="s">
        <v>634</v>
      </c>
    </row>
    <row r="273" spans="1:18">
      <c r="A273">
        <v>15</v>
      </c>
      <c r="B273" t="s">
        <v>405</v>
      </c>
      <c r="C273" t="s">
        <v>483</v>
      </c>
      <c r="G273">
        <v>8</v>
      </c>
      <c r="H273" s="263"/>
      <c r="J273" t="s">
        <v>22</v>
      </c>
      <c r="K273" t="s">
        <v>30</v>
      </c>
      <c r="L273" t="s">
        <v>33</v>
      </c>
      <c r="M273" t="s">
        <v>528</v>
      </c>
      <c r="N273" s="263">
        <v>2</v>
      </c>
      <c r="O273" s="1">
        <f t="shared" si="2"/>
        <v>40</v>
      </c>
      <c r="P273" t="s">
        <v>918</v>
      </c>
      <c r="R273" t="s">
        <v>634</v>
      </c>
    </row>
    <row r="274" spans="1:18">
      <c r="A274">
        <v>15</v>
      </c>
      <c r="B274" t="s">
        <v>405</v>
      </c>
      <c r="C274" t="s">
        <v>483</v>
      </c>
      <c r="G274">
        <v>9</v>
      </c>
      <c r="H274" s="263"/>
      <c r="J274" t="s">
        <v>22</v>
      </c>
      <c r="K274" t="s">
        <v>30</v>
      </c>
      <c r="L274" t="s">
        <v>33</v>
      </c>
      <c r="M274" t="s">
        <v>528</v>
      </c>
      <c r="N274" s="263">
        <v>2</v>
      </c>
      <c r="O274" s="1">
        <f t="shared" si="2"/>
        <v>40</v>
      </c>
      <c r="P274" t="s">
        <v>918</v>
      </c>
      <c r="R274" t="s">
        <v>634</v>
      </c>
    </row>
    <row r="275" spans="1:18">
      <c r="A275">
        <v>15</v>
      </c>
      <c r="B275" t="s">
        <v>405</v>
      </c>
      <c r="C275" t="s">
        <v>483</v>
      </c>
      <c r="G275">
        <v>10</v>
      </c>
      <c r="H275" s="263"/>
      <c r="J275" t="s">
        <v>22</v>
      </c>
      <c r="K275" t="s">
        <v>30</v>
      </c>
      <c r="L275" t="s">
        <v>33</v>
      </c>
      <c r="M275" t="s">
        <v>528</v>
      </c>
      <c r="N275" s="263">
        <v>2</v>
      </c>
      <c r="O275" s="1">
        <f t="shared" si="2"/>
        <v>40</v>
      </c>
      <c r="P275" t="s">
        <v>918</v>
      </c>
      <c r="R275" t="s">
        <v>634</v>
      </c>
    </row>
    <row r="276" spans="1:18">
      <c r="A276">
        <v>15</v>
      </c>
      <c r="B276" t="s">
        <v>405</v>
      </c>
      <c r="C276" t="s">
        <v>483</v>
      </c>
      <c r="G276">
        <v>11</v>
      </c>
      <c r="H276" s="263"/>
      <c r="J276" t="s">
        <v>22</v>
      </c>
      <c r="K276" t="s">
        <v>30</v>
      </c>
      <c r="L276" t="s">
        <v>33</v>
      </c>
      <c r="M276" t="s">
        <v>528</v>
      </c>
      <c r="N276" s="263">
        <v>2</v>
      </c>
      <c r="O276" s="1">
        <f t="shared" si="2"/>
        <v>40</v>
      </c>
      <c r="P276" t="s">
        <v>918</v>
      </c>
      <c r="R276" t="s">
        <v>634</v>
      </c>
    </row>
    <row r="277" spans="1:18">
      <c r="A277">
        <v>15</v>
      </c>
      <c r="B277" t="s">
        <v>405</v>
      </c>
      <c r="C277" t="s">
        <v>483</v>
      </c>
      <c r="G277">
        <v>12</v>
      </c>
      <c r="H277" s="263"/>
      <c r="J277" t="s">
        <v>22</v>
      </c>
      <c r="K277" t="s">
        <v>30</v>
      </c>
      <c r="L277" t="s">
        <v>33</v>
      </c>
      <c r="M277" t="s">
        <v>528</v>
      </c>
      <c r="N277" s="263">
        <v>2</v>
      </c>
      <c r="O277" s="1">
        <f t="shared" si="2"/>
        <v>40</v>
      </c>
      <c r="P277" t="s">
        <v>918</v>
      </c>
      <c r="R277" t="s">
        <v>634</v>
      </c>
    </row>
    <row r="278" spans="1:18">
      <c r="A278">
        <v>15</v>
      </c>
      <c r="B278" t="s">
        <v>405</v>
      </c>
      <c r="C278" t="s">
        <v>483</v>
      </c>
      <c r="G278">
        <v>13</v>
      </c>
      <c r="H278" s="263"/>
      <c r="J278" t="s">
        <v>22</v>
      </c>
      <c r="K278" t="s">
        <v>30</v>
      </c>
      <c r="L278" t="s">
        <v>33</v>
      </c>
      <c r="M278" t="s">
        <v>528</v>
      </c>
      <c r="N278" s="263">
        <v>2</v>
      </c>
      <c r="O278" s="1">
        <f t="shared" si="2"/>
        <v>40</v>
      </c>
      <c r="P278" t="s">
        <v>918</v>
      </c>
      <c r="R278" t="s">
        <v>634</v>
      </c>
    </row>
    <row r="279" spans="1:18">
      <c r="A279">
        <v>15</v>
      </c>
      <c r="B279" t="s">
        <v>405</v>
      </c>
      <c r="C279" t="s">
        <v>483</v>
      </c>
      <c r="G279">
        <v>14</v>
      </c>
      <c r="H279" s="263"/>
      <c r="J279" t="s">
        <v>22</v>
      </c>
      <c r="K279" t="s">
        <v>30</v>
      </c>
      <c r="L279" t="s">
        <v>33</v>
      </c>
      <c r="M279" t="s">
        <v>528</v>
      </c>
      <c r="N279" s="263">
        <v>2</v>
      </c>
      <c r="O279" s="1">
        <f t="shared" si="2"/>
        <v>40</v>
      </c>
      <c r="P279" t="s">
        <v>918</v>
      </c>
      <c r="R279" t="s">
        <v>634</v>
      </c>
    </row>
    <row r="280" spans="1:18">
      <c r="A280">
        <v>15</v>
      </c>
      <c r="B280" t="s">
        <v>405</v>
      </c>
      <c r="C280" t="s">
        <v>483</v>
      </c>
      <c r="G280">
        <v>15</v>
      </c>
      <c r="H280" s="263"/>
      <c r="J280" t="s">
        <v>22</v>
      </c>
      <c r="K280" t="s">
        <v>30</v>
      </c>
      <c r="L280" t="s">
        <v>33</v>
      </c>
      <c r="M280" t="s">
        <v>528</v>
      </c>
      <c r="N280" s="263">
        <v>2</v>
      </c>
      <c r="O280" s="1">
        <f t="shared" si="2"/>
        <v>40</v>
      </c>
      <c r="P280" t="s">
        <v>918</v>
      </c>
      <c r="R280" t="s">
        <v>634</v>
      </c>
    </row>
    <row r="281" spans="1:18">
      <c r="A281">
        <v>15</v>
      </c>
      <c r="B281" t="s">
        <v>405</v>
      </c>
      <c r="C281" t="s">
        <v>483</v>
      </c>
      <c r="G281">
        <v>16</v>
      </c>
      <c r="H281" s="263"/>
      <c r="J281" t="s">
        <v>22</v>
      </c>
      <c r="K281" t="s">
        <v>30</v>
      </c>
      <c r="L281" t="s">
        <v>33</v>
      </c>
      <c r="M281" t="s">
        <v>528</v>
      </c>
      <c r="N281" s="263">
        <v>2</v>
      </c>
      <c r="O281" s="1">
        <f t="shared" si="2"/>
        <v>40</v>
      </c>
      <c r="P281" t="s">
        <v>918</v>
      </c>
      <c r="R281" t="s">
        <v>634</v>
      </c>
    </row>
    <row r="282" spans="1:18">
      <c r="A282">
        <v>15</v>
      </c>
      <c r="B282" t="s">
        <v>405</v>
      </c>
      <c r="C282" t="s">
        <v>483</v>
      </c>
      <c r="G282">
        <v>17</v>
      </c>
      <c r="H282" s="263"/>
      <c r="J282" t="s">
        <v>22</v>
      </c>
      <c r="K282" t="s">
        <v>30</v>
      </c>
      <c r="L282" t="s">
        <v>33</v>
      </c>
      <c r="M282" t="s">
        <v>528</v>
      </c>
      <c r="N282" s="263">
        <v>2</v>
      </c>
      <c r="O282" s="1">
        <f t="shared" si="2"/>
        <v>40</v>
      </c>
      <c r="P282" t="s">
        <v>918</v>
      </c>
      <c r="R282" t="s">
        <v>634</v>
      </c>
    </row>
    <row r="283" spans="1:18">
      <c r="A283">
        <v>15</v>
      </c>
      <c r="B283" t="s">
        <v>405</v>
      </c>
      <c r="C283" t="s">
        <v>483</v>
      </c>
      <c r="G283">
        <v>18</v>
      </c>
      <c r="H283" s="263"/>
      <c r="J283" t="s">
        <v>22</v>
      </c>
      <c r="K283" t="s">
        <v>30</v>
      </c>
      <c r="L283" t="s">
        <v>33</v>
      </c>
      <c r="M283" t="s">
        <v>528</v>
      </c>
      <c r="N283" s="263">
        <v>2</v>
      </c>
      <c r="O283" s="1">
        <f t="shared" si="2"/>
        <v>40</v>
      </c>
      <c r="P283" t="s">
        <v>918</v>
      </c>
      <c r="R283" t="s">
        <v>634</v>
      </c>
    </row>
    <row r="284" spans="1:18">
      <c r="A284">
        <v>15</v>
      </c>
      <c r="B284" t="s">
        <v>405</v>
      </c>
      <c r="C284" t="s">
        <v>483</v>
      </c>
      <c r="G284">
        <v>19</v>
      </c>
      <c r="H284" s="263"/>
      <c r="J284" t="s">
        <v>22</v>
      </c>
      <c r="K284" t="s">
        <v>30</v>
      </c>
      <c r="L284" t="s">
        <v>33</v>
      </c>
      <c r="M284" t="s">
        <v>528</v>
      </c>
      <c r="N284" s="263">
        <v>2</v>
      </c>
      <c r="O284" s="1">
        <f t="shared" si="2"/>
        <v>40</v>
      </c>
      <c r="P284" t="s">
        <v>918</v>
      </c>
      <c r="R284" t="s">
        <v>634</v>
      </c>
    </row>
    <row r="285" spans="1:18">
      <c r="A285">
        <v>15</v>
      </c>
      <c r="B285" t="s">
        <v>405</v>
      </c>
      <c r="C285" t="s">
        <v>483</v>
      </c>
      <c r="G285">
        <v>20</v>
      </c>
      <c r="H285" s="263"/>
      <c r="J285" t="s">
        <v>22</v>
      </c>
      <c r="K285" t="s">
        <v>30</v>
      </c>
      <c r="L285" t="s">
        <v>33</v>
      </c>
      <c r="M285" t="s">
        <v>528</v>
      </c>
      <c r="N285" s="263">
        <v>2</v>
      </c>
      <c r="O285" s="1">
        <f t="shared" si="2"/>
        <v>40</v>
      </c>
      <c r="P285" t="s">
        <v>918</v>
      </c>
      <c r="R285" t="s">
        <v>634</v>
      </c>
    </row>
    <row r="286" spans="1:18">
      <c r="A286">
        <v>15</v>
      </c>
      <c r="B286" t="s">
        <v>405</v>
      </c>
      <c r="C286" t="s">
        <v>483</v>
      </c>
      <c r="G286">
        <v>21</v>
      </c>
      <c r="H286" s="263"/>
      <c r="J286" t="s">
        <v>22</v>
      </c>
      <c r="K286" t="s">
        <v>30</v>
      </c>
      <c r="L286" t="s">
        <v>33</v>
      </c>
      <c r="M286" t="s">
        <v>528</v>
      </c>
      <c r="N286" s="263">
        <v>2</v>
      </c>
      <c r="O286" s="1">
        <f t="shared" si="2"/>
        <v>40</v>
      </c>
      <c r="P286" t="s">
        <v>918</v>
      </c>
      <c r="R286" t="s">
        <v>634</v>
      </c>
    </row>
    <row r="287" spans="1:18">
      <c r="A287">
        <v>15</v>
      </c>
      <c r="B287" t="s">
        <v>405</v>
      </c>
      <c r="C287" t="s">
        <v>483</v>
      </c>
      <c r="G287">
        <v>22</v>
      </c>
      <c r="H287" s="263"/>
      <c r="J287" t="s">
        <v>22</v>
      </c>
      <c r="K287" t="s">
        <v>30</v>
      </c>
      <c r="L287" t="s">
        <v>33</v>
      </c>
      <c r="M287" t="s">
        <v>528</v>
      </c>
      <c r="N287" s="263">
        <v>2</v>
      </c>
      <c r="O287" s="1">
        <f t="shared" si="2"/>
        <v>40</v>
      </c>
      <c r="P287" t="s">
        <v>918</v>
      </c>
      <c r="R287" t="s">
        <v>634</v>
      </c>
    </row>
    <row r="288" spans="1:18" hidden="1">
      <c r="A288">
        <v>15</v>
      </c>
      <c r="B288" t="s">
        <v>405</v>
      </c>
      <c r="C288" t="s">
        <v>483</v>
      </c>
      <c r="G288">
        <v>4</v>
      </c>
      <c r="J288" t="s">
        <v>22</v>
      </c>
      <c r="K288" t="s">
        <v>408</v>
      </c>
      <c r="L288" t="s">
        <v>33</v>
      </c>
      <c r="M288" t="s">
        <v>529</v>
      </c>
      <c r="O288" s="1">
        <v>37.97</v>
      </c>
      <c r="R288" t="s">
        <v>634</v>
      </c>
    </row>
    <row r="289" spans="1:18" hidden="1">
      <c r="A289">
        <v>15</v>
      </c>
      <c r="B289" t="s">
        <v>405</v>
      </c>
      <c r="C289" t="s">
        <v>483</v>
      </c>
      <c r="G289">
        <v>5</v>
      </c>
      <c r="J289" t="s">
        <v>22</v>
      </c>
      <c r="K289" t="s">
        <v>408</v>
      </c>
      <c r="L289" t="s">
        <v>33</v>
      </c>
      <c r="M289" t="s">
        <v>529</v>
      </c>
      <c r="O289" s="1">
        <v>37.97</v>
      </c>
      <c r="R289" t="s">
        <v>634</v>
      </c>
    </row>
    <row r="290" spans="1:18" hidden="1">
      <c r="A290">
        <v>15</v>
      </c>
      <c r="B290" t="s">
        <v>405</v>
      </c>
      <c r="C290" t="s">
        <v>483</v>
      </c>
      <c r="G290">
        <v>6</v>
      </c>
      <c r="J290" t="s">
        <v>22</v>
      </c>
      <c r="K290" t="s">
        <v>408</v>
      </c>
      <c r="L290" t="s">
        <v>33</v>
      </c>
      <c r="M290" t="s">
        <v>529</v>
      </c>
      <c r="O290" s="1">
        <v>37.97</v>
      </c>
      <c r="R290" t="s">
        <v>634</v>
      </c>
    </row>
    <row r="291" spans="1:18" hidden="1">
      <c r="A291">
        <v>15</v>
      </c>
      <c r="B291" t="s">
        <v>405</v>
      </c>
      <c r="C291" t="s">
        <v>483</v>
      </c>
      <c r="G291">
        <v>7</v>
      </c>
      <c r="J291" t="s">
        <v>22</v>
      </c>
      <c r="K291" t="s">
        <v>408</v>
      </c>
      <c r="L291" t="s">
        <v>33</v>
      </c>
      <c r="M291" t="s">
        <v>529</v>
      </c>
      <c r="O291" s="1">
        <v>37.97</v>
      </c>
      <c r="R291" t="s">
        <v>634</v>
      </c>
    </row>
    <row r="292" spans="1:18" hidden="1">
      <c r="A292">
        <v>15</v>
      </c>
      <c r="B292" t="s">
        <v>405</v>
      </c>
      <c r="C292" t="s">
        <v>483</v>
      </c>
      <c r="G292">
        <v>8</v>
      </c>
      <c r="J292" t="s">
        <v>22</v>
      </c>
      <c r="K292" t="s">
        <v>408</v>
      </c>
      <c r="L292" t="s">
        <v>33</v>
      </c>
      <c r="M292" t="s">
        <v>529</v>
      </c>
      <c r="O292" s="1">
        <v>37.97</v>
      </c>
      <c r="R292" t="s">
        <v>634</v>
      </c>
    </row>
    <row r="293" spans="1:18" hidden="1">
      <c r="A293">
        <v>15</v>
      </c>
      <c r="B293" t="s">
        <v>405</v>
      </c>
      <c r="C293" t="s">
        <v>483</v>
      </c>
      <c r="G293">
        <v>9</v>
      </c>
      <c r="J293" t="s">
        <v>22</v>
      </c>
      <c r="K293" t="s">
        <v>408</v>
      </c>
      <c r="L293" t="s">
        <v>33</v>
      </c>
      <c r="M293" t="s">
        <v>529</v>
      </c>
      <c r="O293" s="1">
        <v>37.97</v>
      </c>
      <c r="R293" t="s">
        <v>634</v>
      </c>
    </row>
    <row r="294" spans="1:18" hidden="1">
      <c r="A294">
        <v>15</v>
      </c>
      <c r="B294" t="s">
        <v>405</v>
      </c>
      <c r="C294" t="s">
        <v>483</v>
      </c>
      <c r="G294">
        <v>10</v>
      </c>
      <c r="J294" t="s">
        <v>22</v>
      </c>
      <c r="K294" t="s">
        <v>408</v>
      </c>
      <c r="L294" t="s">
        <v>33</v>
      </c>
      <c r="M294" t="s">
        <v>529</v>
      </c>
      <c r="O294" s="1">
        <v>37.97</v>
      </c>
      <c r="R294" t="s">
        <v>634</v>
      </c>
    </row>
    <row r="295" spans="1:18" hidden="1">
      <c r="A295">
        <v>15</v>
      </c>
      <c r="B295" t="s">
        <v>405</v>
      </c>
      <c r="C295" t="s">
        <v>483</v>
      </c>
      <c r="G295">
        <v>11</v>
      </c>
      <c r="J295" t="s">
        <v>22</v>
      </c>
      <c r="K295" t="s">
        <v>408</v>
      </c>
      <c r="L295" t="s">
        <v>33</v>
      </c>
      <c r="M295" t="s">
        <v>529</v>
      </c>
      <c r="O295" s="1">
        <v>37.97</v>
      </c>
      <c r="R295" t="s">
        <v>634</v>
      </c>
    </row>
    <row r="296" spans="1:18" hidden="1">
      <c r="A296">
        <v>15</v>
      </c>
      <c r="B296" t="s">
        <v>405</v>
      </c>
      <c r="C296" t="s">
        <v>483</v>
      </c>
      <c r="G296">
        <v>12</v>
      </c>
      <c r="J296" t="s">
        <v>22</v>
      </c>
      <c r="K296" t="s">
        <v>408</v>
      </c>
      <c r="L296" t="s">
        <v>33</v>
      </c>
      <c r="M296" t="s">
        <v>529</v>
      </c>
      <c r="O296" s="1">
        <v>37.97</v>
      </c>
      <c r="R296" t="s">
        <v>634</v>
      </c>
    </row>
    <row r="297" spans="1:18" hidden="1">
      <c r="A297">
        <v>15</v>
      </c>
      <c r="B297" t="s">
        <v>405</v>
      </c>
      <c r="C297" t="s">
        <v>483</v>
      </c>
      <c r="G297">
        <v>13</v>
      </c>
      <c r="J297" t="s">
        <v>22</v>
      </c>
      <c r="K297" t="s">
        <v>408</v>
      </c>
      <c r="L297" t="s">
        <v>33</v>
      </c>
      <c r="M297" t="s">
        <v>529</v>
      </c>
      <c r="O297" s="1">
        <v>37.97</v>
      </c>
      <c r="R297" t="s">
        <v>634</v>
      </c>
    </row>
    <row r="298" spans="1:18" hidden="1">
      <c r="A298">
        <v>15</v>
      </c>
      <c r="B298" t="s">
        <v>405</v>
      </c>
      <c r="C298" t="s">
        <v>483</v>
      </c>
      <c r="G298">
        <v>14</v>
      </c>
      <c r="J298" t="s">
        <v>22</v>
      </c>
      <c r="K298" t="s">
        <v>408</v>
      </c>
      <c r="L298" t="s">
        <v>33</v>
      </c>
      <c r="M298" t="s">
        <v>529</v>
      </c>
      <c r="O298" s="1">
        <v>37.97</v>
      </c>
      <c r="R298" t="s">
        <v>634</v>
      </c>
    </row>
    <row r="299" spans="1:18" hidden="1">
      <c r="A299">
        <v>15</v>
      </c>
      <c r="B299" t="s">
        <v>405</v>
      </c>
      <c r="C299" t="s">
        <v>483</v>
      </c>
      <c r="G299">
        <v>15</v>
      </c>
      <c r="J299" t="s">
        <v>22</v>
      </c>
      <c r="K299" t="s">
        <v>408</v>
      </c>
      <c r="L299" t="s">
        <v>33</v>
      </c>
      <c r="M299" t="s">
        <v>529</v>
      </c>
      <c r="O299" s="1">
        <v>37.97</v>
      </c>
      <c r="R299" t="s">
        <v>634</v>
      </c>
    </row>
    <row r="300" spans="1:18" hidden="1">
      <c r="A300">
        <v>15</v>
      </c>
      <c r="B300" t="s">
        <v>405</v>
      </c>
      <c r="C300" t="s">
        <v>483</v>
      </c>
      <c r="G300">
        <v>16</v>
      </c>
      <c r="J300" t="s">
        <v>22</v>
      </c>
      <c r="K300" t="s">
        <v>408</v>
      </c>
      <c r="L300" t="s">
        <v>33</v>
      </c>
      <c r="M300" t="s">
        <v>529</v>
      </c>
      <c r="O300" s="1">
        <v>37.97</v>
      </c>
      <c r="R300" t="s">
        <v>634</v>
      </c>
    </row>
    <row r="301" spans="1:18" hidden="1">
      <c r="A301">
        <v>15</v>
      </c>
      <c r="B301" t="s">
        <v>405</v>
      </c>
      <c r="C301" t="s">
        <v>483</v>
      </c>
      <c r="G301">
        <v>17</v>
      </c>
      <c r="J301" t="s">
        <v>22</v>
      </c>
      <c r="K301" t="s">
        <v>408</v>
      </c>
      <c r="L301" t="s">
        <v>33</v>
      </c>
      <c r="M301" t="s">
        <v>529</v>
      </c>
      <c r="O301" s="1">
        <v>37.97</v>
      </c>
      <c r="R301" t="s">
        <v>634</v>
      </c>
    </row>
    <row r="302" spans="1:18" hidden="1">
      <c r="A302">
        <v>15</v>
      </c>
      <c r="B302" t="s">
        <v>405</v>
      </c>
      <c r="C302" t="s">
        <v>483</v>
      </c>
      <c r="G302">
        <v>18</v>
      </c>
      <c r="J302" t="s">
        <v>22</v>
      </c>
      <c r="K302" t="s">
        <v>408</v>
      </c>
      <c r="L302" t="s">
        <v>33</v>
      </c>
      <c r="M302" t="s">
        <v>529</v>
      </c>
      <c r="O302" s="1">
        <v>37.97</v>
      </c>
      <c r="R302" t="s">
        <v>634</v>
      </c>
    </row>
    <row r="303" spans="1:18" hidden="1">
      <c r="A303">
        <v>15</v>
      </c>
      <c r="B303" t="s">
        <v>405</v>
      </c>
      <c r="C303" t="s">
        <v>483</v>
      </c>
      <c r="G303">
        <v>19</v>
      </c>
      <c r="J303" t="s">
        <v>22</v>
      </c>
      <c r="K303" t="s">
        <v>408</v>
      </c>
      <c r="L303" t="s">
        <v>33</v>
      </c>
      <c r="M303" t="s">
        <v>529</v>
      </c>
      <c r="O303" s="1">
        <v>37.97</v>
      </c>
      <c r="R303" t="s">
        <v>634</v>
      </c>
    </row>
    <row r="304" spans="1:18" hidden="1">
      <c r="A304">
        <v>15</v>
      </c>
      <c r="B304" t="s">
        <v>405</v>
      </c>
      <c r="C304" t="s">
        <v>483</v>
      </c>
      <c r="G304">
        <v>20</v>
      </c>
      <c r="J304" t="s">
        <v>22</v>
      </c>
      <c r="K304" t="s">
        <v>408</v>
      </c>
      <c r="L304" t="s">
        <v>33</v>
      </c>
      <c r="M304" t="s">
        <v>529</v>
      </c>
      <c r="O304" s="1">
        <v>37.97</v>
      </c>
      <c r="R304" t="s">
        <v>634</v>
      </c>
    </row>
    <row r="305" spans="1:18" hidden="1">
      <c r="A305">
        <v>15</v>
      </c>
      <c r="B305" t="s">
        <v>405</v>
      </c>
      <c r="C305" t="s">
        <v>483</v>
      </c>
      <c r="G305">
        <v>21</v>
      </c>
      <c r="J305" t="s">
        <v>22</v>
      </c>
      <c r="K305" t="s">
        <v>408</v>
      </c>
      <c r="L305" t="s">
        <v>33</v>
      </c>
      <c r="M305" t="s">
        <v>529</v>
      </c>
      <c r="O305" s="1">
        <v>37.97</v>
      </c>
      <c r="R305" t="s">
        <v>634</v>
      </c>
    </row>
    <row r="306" spans="1:18" hidden="1">
      <c r="A306">
        <v>15</v>
      </c>
      <c r="B306" t="s">
        <v>405</v>
      </c>
      <c r="C306" t="s">
        <v>483</v>
      </c>
      <c r="G306">
        <v>22</v>
      </c>
      <c r="J306" t="s">
        <v>22</v>
      </c>
      <c r="K306" t="s">
        <v>408</v>
      </c>
      <c r="L306" t="s">
        <v>33</v>
      </c>
      <c r="M306" t="s">
        <v>529</v>
      </c>
      <c r="O306" s="1">
        <v>37.97</v>
      </c>
      <c r="R306" t="s">
        <v>634</v>
      </c>
    </row>
    <row r="307" spans="1:18" hidden="1">
      <c r="A307">
        <v>15</v>
      </c>
      <c r="B307" t="s">
        <v>405</v>
      </c>
      <c r="C307" t="s">
        <v>483</v>
      </c>
      <c r="G307">
        <v>4</v>
      </c>
      <c r="J307" t="s">
        <v>22</v>
      </c>
      <c r="K307" t="s">
        <v>71</v>
      </c>
      <c r="L307" t="s">
        <v>33</v>
      </c>
      <c r="M307" t="s">
        <v>530</v>
      </c>
      <c r="O307" s="1">
        <v>56.47</v>
      </c>
      <c r="R307" t="s">
        <v>634</v>
      </c>
    </row>
    <row r="308" spans="1:18" hidden="1">
      <c r="A308">
        <v>15</v>
      </c>
      <c r="B308" t="s">
        <v>405</v>
      </c>
      <c r="C308" t="s">
        <v>483</v>
      </c>
      <c r="G308">
        <v>5</v>
      </c>
      <c r="J308" t="s">
        <v>22</v>
      </c>
      <c r="K308" t="s">
        <v>71</v>
      </c>
      <c r="L308" t="s">
        <v>33</v>
      </c>
      <c r="M308" t="s">
        <v>530</v>
      </c>
      <c r="O308" s="1">
        <v>56.47</v>
      </c>
      <c r="R308" t="s">
        <v>634</v>
      </c>
    </row>
    <row r="309" spans="1:18" hidden="1">
      <c r="A309">
        <v>15</v>
      </c>
      <c r="B309" t="s">
        <v>405</v>
      </c>
      <c r="C309" t="s">
        <v>483</v>
      </c>
      <c r="G309">
        <v>6</v>
      </c>
      <c r="J309" t="s">
        <v>22</v>
      </c>
      <c r="K309" t="s">
        <v>71</v>
      </c>
      <c r="L309" t="s">
        <v>33</v>
      </c>
      <c r="M309" t="s">
        <v>530</v>
      </c>
      <c r="O309" s="1">
        <v>56.47</v>
      </c>
      <c r="R309" t="s">
        <v>634</v>
      </c>
    </row>
    <row r="310" spans="1:18" hidden="1">
      <c r="A310">
        <v>15</v>
      </c>
      <c r="B310" t="s">
        <v>405</v>
      </c>
      <c r="C310" t="s">
        <v>483</v>
      </c>
      <c r="G310">
        <v>7</v>
      </c>
      <c r="J310" t="s">
        <v>22</v>
      </c>
      <c r="K310" t="s">
        <v>71</v>
      </c>
      <c r="L310" t="s">
        <v>33</v>
      </c>
      <c r="M310" t="s">
        <v>530</v>
      </c>
      <c r="O310" s="1">
        <v>56.47</v>
      </c>
      <c r="R310" t="s">
        <v>634</v>
      </c>
    </row>
    <row r="311" spans="1:18" hidden="1">
      <c r="A311">
        <v>15</v>
      </c>
      <c r="B311" t="s">
        <v>405</v>
      </c>
      <c r="C311" t="s">
        <v>483</v>
      </c>
      <c r="G311">
        <v>8</v>
      </c>
      <c r="J311" t="s">
        <v>22</v>
      </c>
      <c r="K311" t="s">
        <v>71</v>
      </c>
      <c r="L311" t="s">
        <v>33</v>
      </c>
      <c r="M311" t="s">
        <v>530</v>
      </c>
      <c r="O311" s="1">
        <v>56.47</v>
      </c>
      <c r="R311" t="s">
        <v>634</v>
      </c>
    </row>
    <row r="312" spans="1:18" hidden="1">
      <c r="A312">
        <v>15</v>
      </c>
      <c r="B312" t="s">
        <v>405</v>
      </c>
      <c r="C312" t="s">
        <v>483</v>
      </c>
      <c r="G312">
        <v>9</v>
      </c>
      <c r="J312" t="s">
        <v>22</v>
      </c>
      <c r="K312" t="s">
        <v>71</v>
      </c>
      <c r="L312" t="s">
        <v>33</v>
      </c>
      <c r="M312" t="s">
        <v>530</v>
      </c>
      <c r="O312" s="1">
        <v>56.47</v>
      </c>
      <c r="R312" t="s">
        <v>634</v>
      </c>
    </row>
    <row r="313" spans="1:18" hidden="1">
      <c r="A313">
        <v>15</v>
      </c>
      <c r="B313" t="s">
        <v>405</v>
      </c>
      <c r="C313" t="s">
        <v>483</v>
      </c>
      <c r="G313">
        <v>10</v>
      </c>
      <c r="J313" t="s">
        <v>22</v>
      </c>
      <c r="K313" t="s">
        <v>71</v>
      </c>
      <c r="L313" t="s">
        <v>33</v>
      </c>
      <c r="M313" t="s">
        <v>530</v>
      </c>
      <c r="O313" s="1">
        <v>56.47</v>
      </c>
      <c r="R313" t="s">
        <v>634</v>
      </c>
    </row>
    <row r="314" spans="1:18" hidden="1">
      <c r="A314">
        <v>15</v>
      </c>
      <c r="B314" t="s">
        <v>405</v>
      </c>
      <c r="C314" t="s">
        <v>483</v>
      </c>
      <c r="G314">
        <v>11</v>
      </c>
      <c r="J314" t="s">
        <v>22</v>
      </c>
      <c r="K314" t="s">
        <v>71</v>
      </c>
      <c r="L314" t="s">
        <v>33</v>
      </c>
      <c r="M314" t="s">
        <v>530</v>
      </c>
      <c r="O314" s="1">
        <v>56.47</v>
      </c>
      <c r="R314" t="s">
        <v>634</v>
      </c>
    </row>
    <row r="315" spans="1:18" hidden="1">
      <c r="A315">
        <v>15</v>
      </c>
      <c r="B315" t="s">
        <v>405</v>
      </c>
      <c r="C315" t="s">
        <v>483</v>
      </c>
      <c r="G315">
        <v>12</v>
      </c>
      <c r="J315" t="s">
        <v>22</v>
      </c>
      <c r="K315" t="s">
        <v>71</v>
      </c>
      <c r="L315" t="s">
        <v>33</v>
      </c>
      <c r="M315" t="s">
        <v>530</v>
      </c>
      <c r="O315" s="1">
        <v>56.47</v>
      </c>
      <c r="R315" t="s">
        <v>634</v>
      </c>
    </row>
    <row r="316" spans="1:18" hidden="1">
      <c r="A316">
        <v>15</v>
      </c>
      <c r="B316" t="s">
        <v>405</v>
      </c>
      <c r="C316" t="s">
        <v>483</v>
      </c>
      <c r="G316">
        <v>13</v>
      </c>
      <c r="J316" t="s">
        <v>22</v>
      </c>
      <c r="K316" t="s">
        <v>71</v>
      </c>
      <c r="L316" t="s">
        <v>33</v>
      </c>
      <c r="M316" t="s">
        <v>530</v>
      </c>
      <c r="O316" s="1">
        <v>56.47</v>
      </c>
      <c r="R316" t="s">
        <v>634</v>
      </c>
    </row>
    <row r="317" spans="1:18" hidden="1">
      <c r="A317">
        <v>15</v>
      </c>
      <c r="B317" t="s">
        <v>405</v>
      </c>
      <c r="C317" t="s">
        <v>483</v>
      </c>
      <c r="G317">
        <v>14</v>
      </c>
      <c r="J317" t="s">
        <v>22</v>
      </c>
      <c r="K317" t="s">
        <v>71</v>
      </c>
      <c r="L317" t="s">
        <v>33</v>
      </c>
      <c r="M317" t="s">
        <v>530</v>
      </c>
      <c r="O317" s="1">
        <v>56.47</v>
      </c>
      <c r="R317" t="s">
        <v>634</v>
      </c>
    </row>
    <row r="318" spans="1:18" hidden="1">
      <c r="A318">
        <v>15</v>
      </c>
      <c r="B318" t="s">
        <v>405</v>
      </c>
      <c r="C318" t="s">
        <v>483</v>
      </c>
      <c r="G318">
        <v>15</v>
      </c>
      <c r="J318" t="s">
        <v>22</v>
      </c>
      <c r="K318" t="s">
        <v>71</v>
      </c>
      <c r="L318" t="s">
        <v>33</v>
      </c>
      <c r="M318" t="s">
        <v>530</v>
      </c>
      <c r="O318" s="1">
        <v>56.47</v>
      </c>
      <c r="R318" t="s">
        <v>634</v>
      </c>
    </row>
    <row r="319" spans="1:18" hidden="1">
      <c r="A319">
        <v>15</v>
      </c>
      <c r="B319" t="s">
        <v>405</v>
      </c>
      <c r="C319" t="s">
        <v>483</v>
      </c>
      <c r="G319">
        <v>16</v>
      </c>
      <c r="J319" t="s">
        <v>22</v>
      </c>
      <c r="K319" t="s">
        <v>71</v>
      </c>
      <c r="L319" t="s">
        <v>33</v>
      </c>
      <c r="M319" t="s">
        <v>530</v>
      </c>
      <c r="O319" s="1">
        <v>56.47</v>
      </c>
      <c r="R319" t="s">
        <v>634</v>
      </c>
    </row>
    <row r="320" spans="1:18" hidden="1">
      <c r="A320">
        <v>15</v>
      </c>
      <c r="B320" t="s">
        <v>405</v>
      </c>
      <c r="C320" t="s">
        <v>483</v>
      </c>
      <c r="G320">
        <v>17</v>
      </c>
      <c r="J320" t="s">
        <v>22</v>
      </c>
      <c r="K320" t="s">
        <v>71</v>
      </c>
      <c r="L320" t="s">
        <v>33</v>
      </c>
      <c r="M320" t="s">
        <v>530</v>
      </c>
      <c r="O320" s="1">
        <v>56.47</v>
      </c>
      <c r="R320" t="s">
        <v>634</v>
      </c>
    </row>
    <row r="321" spans="1:18" hidden="1">
      <c r="A321">
        <v>15</v>
      </c>
      <c r="B321" t="s">
        <v>405</v>
      </c>
      <c r="C321" t="s">
        <v>483</v>
      </c>
      <c r="G321">
        <v>18</v>
      </c>
      <c r="J321" t="s">
        <v>22</v>
      </c>
      <c r="K321" t="s">
        <v>71</v>
      </c>
      <c r="L321" t="s">
        <v>33</v>
      </c>
      <c r="M321" t="s">
        <v>530</v>
      </c>
      <c r="O321" s="1">
        <v>56.47</v>
      </c>
      <c r="R321" t="s">
        <v>634</v>
      </c>
    </row>
    <row r="322" spans="1:18" hidden="1">
      <c r="A322">
        <v>15</v>
      </c>
      <c r="B322" t="s">
        <v>405</v>
      </c>
      <c r="C322" t="s">
        <v>483</v>
      </c>
      <c r="G322">
        <v>19</v>
      </c>
      <c r="J322" t="s">
        <v>22</v>
      </c>
      <c r="K322" t="s">
        <v>71</v>
      </c>
      <c r="L322" t="s">
        <v>33</v>
      </c>
      <c r="M322" t="s">
        <v>530</v>
      </c>
      <c r="O322" s="1">
        <v>56.47</v>
      </c>
      <c r="R322" t="s">
        <v>634</v>
      </c>
    </row>
    <row r="323" spans="1:18" hidden="1">
      <c r="A323">
        <v>15</v>
      </c>
      <c r="B323" t="s">
        <v>405</v>
      </c>
      <c r="C323" t="s">
        <v>483</v>
      </c>
      <c r="G323">
        <v>20</v>
      </c>
      <c r="J323" t="s">
        <v>22</v>
      </c>
      <c r="K323" t="s">
        <v>71</v>
      </c>
      <c r="L323" t="s">
        <v>33</v>
      </c>
      <c r="M323" t="s">
        <v>530</v>
      </c>
      <c r="O323" s="1">
        <v>56.47</v>
      </c>
      <c r="R323" t="s">
        <v>634</v>
      </c>
    </row>
    <row r="324" spans="1:18" hidden="1">
      <c r="A324">
        <v>15</v>
      </c>
      <c r="B324" t="s">
        <v>405</v>
      </c>
      <c r="C324" t="s">
        <v>483</v>
      </c>
      <c r="G324">
        <v>21</v>
      </c>
      <c r="J324" t="s">
        <v>22</v>
      </c>
      <c r="K324" t="s">
        <v>71</v>
      </c>
      <c r="L324" t="s">
        <v>33</v>
      </c>
      <c r="M324" t="s">
        <v>530</v>
      </c>
      <c r="O324" s="1">
        <v>56.47</v>
      </c>
      <c r="R324" t="s">
        <v>634</v>
      </c>
    </row>
    <row r="325" spans="1:18" hidden="1">
      <c r="A325">
        <v>15</v>
      </c>
      <c r="B325" t="s">
        <v>405</v>
      </c>
      <c r="C325" t="s">
        <v>483</v>
      </c>
      <c r="G325">
        <v>22</v>
      </c>
      <c r="J325" t="s">
        <v>22</v>
      </c>
      <c r="K325" t="s">
        <v>71</v>
      </c>
      <c r="L325" t="s">
        <v>33</v>
      </c>
      <c r="M325" t="s">
        <v>530</v>
      </c>
      <c r="O325" s="1">
        <v>56.47</v>
      </c>
      <c r="R325" t="s">
        <v>634</v>
      </c>
    </row>
    <row r="326" spans="1:18">
      <c r="A326">
        <v>15</v>
      </c>
      <c r="B326" t="s">
        <v>405</v>
      </c>
      <c r="C326" t="s">
        <v>483</v>
      </c>
      <c r="G326">
        <v>4</v>
      </c>
      <c r="H326" s="263"/>
      <c r="J326" t="s">
        <v>22</v>
      </c>
      <c r="K326" t="s">
        <v>30</v>
      </c>
      <c r="L326" t="s">
        <v>33</v>
      </c>
      <c r="M326" t="s">
        <v>509</v>
      </c>
      <c r="N326" s="263">
        <v>2.6</v>
      </c>
      <c r="O326" s="1">
        <f>20*2.6</f>
        <v>52</v>
      </c>
      <c r="P326" t="s">
        <v>917</v>
      </c>
      <c r="R326" t="s">
        <v>634</v>
      </c>
    </row>
    <row r="327" spans="1:18">
      <c r="A327">
        <v>15</v>
      </c>
      <c r="B327" t="s">
        <v>405</v>
      </c>
      <c r="C327" t="s">
        <v>483</v>
      </c>
      <c r="G327">
        <v>5</v>
      </c>
      <c r="H327" s="263"/>
      <c r="J327" t="s">
        <v>22</v>
      </c>
      <c r="K327" t="s">
        <v>30</v>
      </c>
      <c r="L327" t="s">
        <v>33</v>
      </c>
      <c r="M327" t="s">
        <v>509</v>
      </c>
      <c r="N327" s="263">
        <v>2.6</v>
      </c>
      <c r="O327" s="1">
        <f t="shared" ref="O327:O344" si="3">20*2.6</f>
        <v>52</v>
      </c>
      <c r="P327" t="s">
        <v>917</v>
      </c>
      <c r="R327" t="s">
        <v>634</v>
      </c>
    </row>
    <row r="328" spans="1:18">
      <c r="A328">
        <v>15</v>
      </c>
      <c r="B328" t="s">
        <v>405</v>
      </c>
      <c r="C328" t="s">
        <v>483</v>
      </c>
      <c r="G328">
        <v>6</v>
      </c>
      <c r="H328" s="263"/>
      <c r="J328" t="s">
        <v>22</v>
      </c>
      <c r="K328" t="s">
        <v>30</v>
      </c>
      <c r="L328" t="s">
        <v>33</v>
      </c>
      <c r="M328" t="s">
        <v>509</v>
      </c>
      <c r="N328" s="263">
        <v>2.6</v>
      </c>
      <c r="O328" s="1">
        <f t="shared" si="3"/>
        <v>52</v>
      </c>
      <c r="P328" t="s">
        <v>917</v>
      </c>
      <c r="R328" t="s">
        <v>634</v>
      </c>
    </row>
    <row r="329" spans="1:18">
      <c r="A329">
        <v>15</v>
      </c>
      <c r="B329" t="s">
        <v>405</v>
      </c>
      <c r="C329" t="s">
        <v>483</v>
      </c>
      <c r="G329">
        <v>7</v>
      </c>
      <c r="H329" s="263"/>
      <c r="J329" t="s">
        <v>22</v>
      </c>
      <c r="K329" t="s">
        <v>30</v>
      </c>
      <c r="L329" t="s">
        <v>33</v>
      </c>
      <c r="M329" t="s">
        <v>509</v>
      </c>
      <c r="N329" s="263">
        <v>2.6</v>
      </c>
      <c r="O329" s="1">
        <f t="shared" si="3"/>
        <v>52</v>
      </c>
      <c r="P329" t="s">
        <v>917</v>
      </c>
      <c r="R329" t="s">
        <v>634</v>
      </c>
    </row>
    <row r="330" spans="1:18">
      <c r="A330">
        <v>15</v>
      </c>
      <c r="B330" t="s">
        <v>405</v>
      </c>
      <c r="C330" t="s">
        <v>483</v>
      </c>
      <c r="G330">
        <v>8</v>
      </c>
      <c r="H330" s="263"/>
      <c r="J330" t="s">
        <v>22</v>
      </c>
      <c r="K330" t="s">
        <v>30</v>
      </c>
      <c r="L330" t="s">
        <v>33</v>
      </c>
      <c r="M330" t="s">
        <v>509</v>
      </c>
      <c r="N330" s="263">
        <v>2.6</v>
      </c>
      <c r="O330" s="1">
        <f t="shared" si="3"/>
        <v>52</v>
      </c>
      <c r="P330" t="s">
        <v>917</v>
      </c>
      <c r="R330" t="s">
        <v>634</v>
      </c>
    </row>
    <row r="331" spans="1:18">
      <c r="A331">
        <v>15</v>
      </c>
      <c r="B331" t="s">
        <v>405</v>
      </c>
      <c r="C331" t="s">
        <v>483</v>
      </c>
      <c r="G331">
        <v>9</v>
      </c>
      <c r="H331" s="263"/>
      <c r="J331" t="s">
        <v>22</v>
      </c>
      <c r="K331" t="s">
        <v>30</v>
      </c>
      <c r="L331" t="s">
        <v>33</v>
      </c>
      <c r="M331" t="s">
        <v>509</v>
      </c>
      <c r="N331" s="263">
        <v>2.6</v>
      </c>
      <c r="O331" s="1">
        <f t="shared" si="3"/>
        <v>52</v>
      </c>
      <c r="P331" t="s">
        <v>917</v>
      </c>
      <c r="R331" t="s">
        <v>634</v>
      </c>
    </row>
    <row r="332" spans="1:18">
      <c r="A332">
        <v>15</v>
      </c>
      <c r="B332" t="s">
        <v>405</v>
      </c>
      <c r="C332" t="s">
        <v>483</v>
      </c>
      <c r="G332">
        <v>10</v>
      </c>
      <c r="H332" s="263"/>
      <c r="J332" t="s">
        <v>22</v>
      </c>
      <c r="K332" t="s">
        <v>30</v>
      </c>
      <c r="L332" t="s">
        <v>33</v>
      </c>
      <c r="M332" t="s">
        <v>509</v>
      </c>
      <c r="N332" s="263">
        <v>2.6</v>
      </c>
      <c r="O332" s="1">
        <f t="shared" si="3"/>
        <v>52</v>
      </c>
      <c r="P332" t="s">
        <v>917</v>
      </c>
      <c r="R332" t="s">
        <v>634</v>
      </c>
    </row>
    <row r="333" spans="1:18">
      <c r="A333">
        <v>15</v>
      </c>
      <c r="B333" t="s">
        <v>405</v>
      </c>
      <c r="C333" t="s">
        <v>483</v>
      </c>
      <c r="G333">
        <v>11</v>
      </c>
      <c r="H333" s="263"/>
      <c r="J333" t="s">
        <v>22</v>
      </c>
      <c r="K333" t="s">
        <v>30</v>
      </c>
      <c r="L333" t="s">
        <v>33</v>
      </c>
      <c r="M333" t="s">
        <v>509</v>
      </c>
      <c r="N333" s="263">
        <v>2.6</v>
      </c>
      <c r="O333" s="1">
        <f t="shared" si="3"/>
        <v>52</v>
      </c>
      <c r="P333" t="s">
        <v>917</v>
      </c>
      <c r="R333" t="s">
        <v>634</v>
      </c>
    </row>
    <row r="334" spans="1:18">
      <c r="A334">
        <v>15</v>
      </c>
      <c r="B334" t="s">
        <v>405</v>
      </c>
      <c r="C334" t="s">
        <v>483</v>
      </c>
      <c r="G334">
        <v>12</v>
      </c>
      <c r="H334" s="263"/>
      <c r="J334" t="s">
        <v>22</v>
      </c>
      <c r="K334" t="s">
        <v>30</v>
      </c>
      <c r="L334" t="s">
        <v>33</v>
      </c>
      <c r="M334" t="s">
        <v>509</v>
      </c>
      <c r="N334" s="263">
        <v>2.6</v>
      </c>
      <c r="O334" s="1">
        <f t="shared" si="3"/>
        <v>52</v>
      </c>
      <c r="P334" t="s">
        <v>917</v>
      </c>
      <c r="R334" t="s">
        <v>634</v>
      </c>
    </row>
    <row r="335" spans="1:18">
      <c r="A335">
        <v>15</v>
      </c>
      <c r="B335" t="s">
        <v>405</v>
      </c>
      <c r="C335" t="s">
        <v>483</v>
      </c>
      <c r="G335">
        <v>13</v>
      </c>
      <c r="H335" s="263"/>
      <c r="J335" t="s">
        <v>22</v>
      </c>
      <c r="K335" t="s">
        <v>30</v>
      </c>
      <c r="L335" t="s">
        <v>33</v>
      </c>
      <c r="M335" t="s">
        <v>509</v>
      </c>
      <c r="N335" s="263">
        <v>2.6</v>
      </c>
      <c r="O335" s="1">
        <f t="shared" si="3"/>
        <v>52</v>
      </c>
      <c r="P335" t="s">
        <v>917</v>
      </c>
      <c r="R335" t="s">
        <v>634</v>
      </c>
    </row>
    <row r="336" spans="1:18">
      <c r="A336">
        <v>15</v>
      </c>
      <c r="B336" t="s">
        <v>405</v>
      </c>
      <c r="C336" t="s">
        <v>483</v>
      </c>
      <c r="G336">
        <v>14</v>
      </c>
      <c r="H336" s="263"/>
      <c r="J336" t="s">
        <v>22</v>
      </c>
      <c r="K336" t="s">
        <v>30</v>
      </c>
      <c r="L336" t="s">
        <v>33</v>
      </c>
      <c r="M336" t="s">
        <v>509</v>
      </c>
      <c r="N336" s="263">
        <v>2.6</v>
      </c>
      <c r="O336" s="1">
        <f t="shared" si="3"/>
        <v>52</v>
      </c>
      <c r="P336" t="s">
        <v>917</v>
      </c>
      <c r="R336" t="s">
        <v>634</v>
      </c>
    </row>
    <row r="337" spans="1:18">
      <c r="A337">
        <v>15</v>
      </c>
      <c r="B337" t="s">
        <v>405</v>
      </c>
      <c r="C337" t="s">
        <v>483</v>
      </c>
      <c r="G337">
        <v>15</v>
      </c>
      <c r="H337" s="263"/>
      <c r="J337" t="s">
        <v>22</v>
      </c>
      <c r="K337" t="s">
        <v>30</v>
      </c>
      <c r="L337" t="s">
        <v>33</v>
      </c>
      <c r="M337" t="s">
        <v>509</v>
      </c>
      <c r="N337" s="263">
        <v>2.6</v>
      </c>
      <c r="O337" s="1">
        <f t="shared" si="3"/>
        <v>52</v>
      </c>
      <c r="P337" t="s">
        <v>917</v>
      </c>
      <c r="R337" t="s">
        <v>634</v>
      </c>
    </row>
    <row r="338" spans="1:18">
      <c r="A338">
        <v>15</v>
      </c>
      <c r="B338" t="s">
        <v>405</v>
      </c>
      <c r="C338" t="s">
        <v>483</v>
      </c>
      <c r="G338">
        <v>16</v>
      </c>
      <c r="H338" s="263"/>
      <c r="J338" t="s">
        <v>22</v>
      </c>
      <c r="K338" t="s">
        <v>30</v>
      </c>
      <c r="L338" t="s">
        <v>33</v>
      </c>
      <c r="M338" t="s">
        <v>509</v>
      </c>
      <c r="N338" s="263">
        <v>2.6</v>
      </c>
      <c r="O338" s="1">
        <f t="shared" si="3"/>
        <v>52</v>
      </c>
      <c r="P338" t="s">
        <v>917</v>
      </c>
      <c r="R338" t="s">
        <v>634</v>
      </c>
    </row>
    <row r="339" spans="1:18">
      <c r="A339">
        <v>15</v>
      </c>
      <c r="B339" t="s">
        <v>405</v>
      </c>
      <c r="C339" t="s">
        <v>483</v>
      </c>
      <c r="G339">
        <v>17</v>
      </c>
      <c r="H339" s="263"/>
      <c r="J339" t="s">
        <v>22</v>
      </c>
      <c r="K339" t="s">
        <v>30</v>
      </c>
      <c r="L339" t="s">
        <v>33</v>
      </c>
      <c r="M339" t="s">
        <v>509</v>
      </c>
      <c r="N339" s="263">
        <v>2.6</v>
      </c>
      <c r="O339" s="1">
        <f t="shared" si="3"/>
        <v>52</v>
      </c>
      <c r="P339" t="s">
        <v>917</v>
      </c>
      <c r="R339" t="s">
        <v>634</v>
      </c>
    </row>
    <row r="340" spans="1:18">
      <c r="A340">
        <v>15</v>
      </c>
      <c r="B340" t="s">
        <v>405</v>
      </c>
      <c r="C340" t="s">
        <v>483</v>
      </c>
      <c r="G340">
        <v>18</v>
      </c>
      <c r="H340" s="263"/>
      <c r="J340" t="s">
        <v>22</v>
      </c>
      <c r="K340" t="s">
        <v>30</v>
      </c>
      <c r="L340" t="s">
        <v>33</v>
      </c>
      <c r="M340" t="s">
        <v>509</v>
      </c>
      <c r="N340" s="263">
        <v>2.6</v>
      </c>
      <c r="O340" s="1">
        <f t="shared" si="3"/>
        <v>52</v>
      </c>
      <c r="P340" t="s">
        <v>917</v>
      </c>
      <c r="R340" t="s">
        <v>634</v>
      </c>
    </row>
    <row r="341" spans="1:18">
      <c r="A341">
        <v>15</v>
      </c>
      <c r="B341" t="s">
        <v>405</v>
      </c>
      <c r="C341" t="s">
        <v>483</v>
      </c>
      <c r="G341">
        <v>19</v>
      </c>
      <c r="H341" s="263"/>
      <c r="J341" t="s">
        <v>22</v>
      </c>
      <c r="K341" t="s">
        <v>30</v>
      </c>
      <c r="L341" t="s">
        <v>33</v>
      </c>
      <c r="M341" t="s">
        <v>509</v>
      </c>
      <c r="N341" s="263">
        <v>2.6</v>
      </c>
      <c r="O341" s="1">
        <f t="shared" si="3"/>
        <v>52</v>
      </c>
      <c r="P341" t="s">
        <v>917</v>
      </c>
      <c r="R341" t="s">
        <v>634</v>
      </c>
    </row>
    <row r="342" spans="1:18">
      <c r="A342">
        <v>15</v>
      </c>
      <c r="B342" t="s">
        <v>405</v>
      </c>
      <c r="C342" t="s">
        <v>483</v>
      </c>
      <c r="G342">
        <v>20</v>
      </c>
      <c r="H342" s="263"/>
      <c r="J342" t="s">
        <v>22</v>
      </c>
      <c r="K342" t="s">
        <v>30</v>
      </c>
      <c r="L342" t="s">
        <v>33</v>
      </c>
      <c r="M342" t="s">
        <v>509</v>
      </c>
      <c r="N342" s="263">
        <v>2.6</v>
      </c>
      <c r="O342" s="1">
        <f t="shared" si="3"/>
        <v>52</v>
      </c>
      <c r="P342" t="s">
        <v>917</v>
      </c>
      <c r="R342" t="s">
        <v>634</v>
      </c>
    </row>
    <row r="343" spans="1:18">
      <c r="A343">
        <v>15</v>
      </c>
      <c r="B343" t="s">
        <v>405</v>
      </c>
      <c r="C343" t="s">
        <v>483</v>
      </c>
      <c r="G343">
        <v>21</v>
      </c>
      <c r="H343" s="263"/>
      <c r="J343" t="s">
        <v>22</v>
      </c>
      <c r="K343" t="s">
        <v>30</v>
      </c>
      <c r="L343" t="s">
        <v>33</v>
      </c>
      <c r="M343" t="s">
        <v>509</v>
      </c>
      <c r="N343" s="263">
        <v>2.6</v>
      </c>
      <c r="O343" s="1">
        <f t="shared" si="3"/>
        <v>52</v>
      </c>
      <c r="P343" t="s">
        <v>917</v>
      </c>
      <c r="R343" t="s">
        <v>634</v>
      </c>
    </row>
    <row r="344" spans="1:18">
      <c r="A344">
        <v>15</v>
      </c>
      <c r="B344" t="s">
        <v>405</v>
      </c>
      <c r="C344" t="s">
        <v>483</v>
      </c>
      <c r="G344">
        <v>22</v>
      </c>
      <c r="H344" s="263"/>
      <c r="J344" t="s">
        <v>22</v>
      </c>
      <c r="K344" t="s">
        <v>30</v>
      </c>
      <c r="L344" t="s">
        <v>33</v>
      </c>
      <c r="M344" t="s">
        <v>509</v>
      </c>
      <c r="N344" s="263">
        <v>2.6</v>
      </c>
      <c r="O344" s="1">
        <f t="shared" si="3"/>
        <v>52</v>
      </c>
      <c r="P344" t="s">
        <v>917</v>
      </c>
      <c r="R344" t="s">
        <v>634</v>
      </c>
    </row>
    <row r="345" spans="1:18" hidden="1">
      <c r="A345">
        <v>15</v>
      </c>
      <c r="B345" t="s">
        <v>405</v>
      </c>
      <c r="C345" t="s">
        <v>483</v>
      </c>
      <c r="G345">
        <v>4</v>
      </c>
      <c r="J345" t="s">
        <v>22</v>
      </c>
      <c r="K345" t="s">
        <v>408</v>
      </c>
      <c r="L345" t="s">
        <v>33</v>
      </c>
      <c r="M345" t="s">
        <v>510</v>
      </c>
      <c r="O345" s="1">
        <v>32.89</v>
      </c>
      <c r="R345" t="s">
        <v>634</v>
      </c>
    </row>
    <row r="346" spans="1:18" hidden="1">
      <c r="A346">
        <v>15</v>
      </c>
      <c r="B346" t="s">
        <v>405</v>
      </c>
      <c r="C346" t="s">
        <v>483</v>
      </c>
      <c r="G346">
        <v>5</v>
      </c>
      <c r="J346" t="s">
        <v>22</v>
      </c>
      <c r="K346" t="s">
        <v>408</v>
      </c>
      <c r="L346" t="s">
        <v>33</v>
      </c>
      <c r="M346" t="s">
        <v>510</v>
      </c>
      <c r="O346" s="1">
        <v>32.89</v>
      </c>
      <c r="R346" t="s">
        <v>634</v>
      </c>
    </row>
    <row r="347" spans="1:18" hidden="1">
      <c r="A347">
        <v>15</v>
      </c>
      <c r="B347" t="s">
        <v>405</v>
      </c>
      <c r="C347" t="s">
        <v>483</v>
      </c>
      <c r="G347">
        <v>6</v>
      </c>
      <c r="J347" t="s">
        <v>22</v>
      </c>
      <c r="K347" t="s">
        <v>408</v>
      </c>
      <c r="L347" t="s">
        <v>33</v>
      </c>
      <c r="M347" t="s">
        <v>510</v>
      </c>
      <c r="O347" s="1">
        <v>32.89</v>
      </c>
      <c r="R347" t="s">
        <v>634</v>
      </c>
    </row>
    <row r="348" spans="1:18" hidden="1">
      <c r="A348">
        <v>15</v>
      </c>
      <c r="B348" t="s">
        <v>405</v>
      </c>
      <c r="C348" t="s">
        <v>483</v>
      </c>
      <c r="G348">
        <v>7</v>
      </c>
      <c r="J348" t="s">
        <v>22</v>
      </c>
      <c r="K348" t="s">
        <v>408</v>
      </c>
      <c r="L348" t="s">
        <v>33</v>
      </c>
      <c r="M348" t="s">
        <v>510</v>
      </c>
      <c r="O348" s="1">
        <v>32.89</v>
      </c>
      <c r="R348" t="s">
        <v>634</v>
      </c>
    </row>
    <row r="349" spans="1:18" hidden="1">
      <c r="A349">
        <v>15</v>
      </c>
      <c r="B349" t="s">
        <v>405</v>
      </c>
      <c r="C349" t="s">
        <v>483</v>
      </c>
      <c r="G349">
        <v>8</v>
      </c>
      <c r="J349" t="s">
        <v>22</v>
      </c>
      <c r="K349" t="s">
        <v>408</v>
      </c>
      <c r="L349" t="s">
        <v>33</v>
      </c>
      <c r="M349" t="s">
        <v>510</v>
      </c>
      <c r="O349" s="1">
        <v>32.89</v>
      </c>
      <c r="R349" t="s">
        <v>634</v>
      </c>
    </row>
    <row r="350" spans="1:18" hidden="1">
      <c r="A350">
        <v>15</v>
      </c>
      <c r="B350" t="s">
        <v>405</v>
      </c>
      <c r="C350" t="s">
        <v>483</v>
      </c>
      <c r="G350">
        <v>9</v>
      </c>
      <c r="J350" t="s">
        <v>22</v>
      </c>
      <c r="K350" t="s">
        <v>408</v>
      </c>
      <c r="L350" t="s">
        <v>33</v>
      </c>
      <c r="M350" t="s">
        <v>510</v>
      </c>
      <c r="O350" s="1">
        <v>32.89</v>
      </c>
      <c r="R350" t="s">
        <v>634</v>
      </c>
    </row>
    <row r="351" spans="1:18" hidden="1">
      <c r="A351">
        <v>15</v>
      </c>
      <c r="B351" t="s">
        <v>405</v>
      </c>
      <c r="C351" t="s">
        <v>483</v>
      </c>
      <c r="G351">
        <v>10</v>
      </c>
      <c r="J351" t="s">
        <v>22</v>
      </c>
      <c r="K351" t="s">
        <v>408</v>
      </c>
      <c r="L351" t="s">
        <v>33</v>
      </c>
      <c r="M351" t="s">
        <v>510</v>
      </c>
      <c r="O351" s="1">
        <v>32.89</v>
      </c>
      <c r="R351" t="s">
        <v>634</v>
      </c>
    </row>
    <row r="352" spans="1:18" hidden="1">
      <c r="A352">
        <v>15</v>
      </c>
      <c r="B352" t="s">
        <v>405</v>
      </c>
      <c r="C352" t="s">
        <v>483</v>
      </c>
      <c r="G352">
        <v>11</v>
      </c>
      <c r="J352" t="s">
        <v>22</v>
      </c>
      <c r="K352" t="s">
        <v>408</v>
      </c>
      <c r="L352" t="s">
        <v>33</v>
      </c>
      <c r="M352" t="s">
        <v>510</v>
      </c>
      <c r="O352" s="1">
        <v>32.89</v>
      </c>
      <c r="R352" t="s">
        <v>634</v>
      </c>
    </row>
    <row r="353" spans="1:18" hidden="1">
      <c r="A353">
        <v>15</v>
      </c>
      <c r="B353" t="s">
        <v>405</v>
      </c>
      <c r="C353" t="s">
        <v>483</v>
      </c>
      <c r="G353">
        <v>12</v>
      </c>
      <c r="J353" t="s">
        <v>22</v>
      </c>
      <c r="K353" t="s">
        <v>408</v>
      </c>
      <c r="L353" t="s">
        <v>33</v>
      </c>
      <c r="M353" t="s">
        <v>510</v>
      </c>
      <c r="O353" s="1">
        <v>32.89</v>
      </c>
      <c r="R353" t="s">
        <v>634</v>
      </c>
    </row>
    <row r="354" spans="1:18" hidden="1">
      <c r="A354">
        <v>15</v>
      </c>
      <c r="B354" t="s">
        <v>405</v>
      </c>
      <c r="C354" t="s">
        <v>483</v>
      </c>
      <c r="G354">
        <v>13</v>
      </c>
      <c r="J354" t="s">
        <v>22</v>
      </c>
      <c r="K354" t="s">
        <v>408</v>
      </c>
      <c r="L354" t="s">
        <v>33</v>
      </c>
      <c r="M354" t="s">
        <v>510</v>
      </c>
      <c r="O354" s="1">
        <v>32.89</v>
      </c>
      <c r="R354" t="s">
        <v>634</v>
      </c>
    </row>
    <row r="355" spans="1:18" hidden="1">
      <c r="A355">
        <v>15</v>
      </c>
      <c r="B355" t="s">
        <v>405</v>
      </c>
      <c r="C355" t="s">
        <v>483</v>
      </c>
      <c r="G355">
        <v>14</v>
      </c>
      <c r="J355" t="s">
        <v>22</v>
      </c>
      <c r="K355" t="s">
        <v>408</v>
      </c>
      <c r="L355" t="s">
        <v>33</v>
      </c>
      <c r="M355" t="s">
        <v>510</v>
      </c>
      <c r="O355" s="1">
        <v>32.89</v>
      </c>
      <c r="R355" t="s">
        <v>634</v>
      </c>
    </row>
    <row r="356" spans="1:18" hidden="1">
      <c r="A356">
        <v>15</v>
      </c>
      <c r="B356" t="s">
        <v>405</v>
      </c>
      <c r="C356" t="s">
        <v>483</v>
      </c>
      <c r="G356">
        <v>15</v>
      </c>
      <c r="J356" t="s">
        <v>22</v>
      </c>
      <c r="K356" t="s">
        <v>408</v>
      </c>
      <c r="L356" t="s">
        <v>33</v>
      </c>
      <c r="M356" t="s">
        <v>510</v>
      </c>
      <c r="O356" s="1">
        <v>32.89</v>
      </c>
      <c r="R356" t="s">
        <v>634</v>
      </c>
    </row>
    <row r="357" spans="1:18" hidden="1">
      <c r="A357">
        <v>15</v>
      </c>
      <c r="B357" t="s">
        <v>405</v>
      </c>
      <c r="C357" t="s">
        <v>483</v>
      </c>
      <c r="G357">
        <v>16</v>
      </c>
      <c r="J357" t="s">
        <v>22</v>
      </c>
      <c r="K357" t="s">
        <v>408</v>
      </c>
      <c r="L357" t="s">
        <v>33</v>
      </c>
      <c r="M357" t="s">
        <v>510</v>
      </c>
      <c r="O357" s="1">
        <v>32.89</v>
      </c>
      <c r="R357" t="s">
        <v>634</v>
      </c>
    </row>
    <row r="358" spans="1:18" hidden="1">
      <c r="A358">
        <v>15</v>
      </c>
      <c r="B358" t="s">
        <v>405</v>
      </c>
      <c r="C358" t="s">
        <v>483</v>
      </c>
      <c r="G358">
        <v>17</v>
      </c>
      <c r="J358" t="s">
        <v>22</v>
      </c>
      <c r="K358" t="s">
        <v>408</v>
      </c>
      <c r="L358" t="s">
        <v>33</v>
      </c>
      <c r="M358" t="s">
        <v>510</v>
      </c>
      <c r="O358" s="1">
        <v>32.89</v>
      </c>
      <c r="R358" t="s">
        <v>634</v>
      </c>
    </row>
    <row r="359" spans="1:18" hidden="1">
      <c r="A359">
        <v>15</v>
      </c>
      <c r="B359" t="s">
        <v>405</v>
      </c>
      <c r="C359" t="s">
        <v>483</v>
      </c>
      <c r="G359">
        <v>18</v>
      </c>
      <c r="J359" t="s">
        <v>22</v>
      </c>
      <c r="K359" t="s">
        <v>408</v>
      </c>
      <c r="L359" t="s">
        <v>33</v>
      </c>
      <c r="M359" t="s">
        <v>510</v>
      </c>
      <c r="O359" s="1">
        <v>32.89</v>
      </c>
      <c r="R359" t="s">
        <v>634</v>
      </c>
    </row>
    <row r="360" spans="1:18" hidden="1">
      <c r="A360">
        <v>15</v>
      </c>
      <c r="B360" t="s">
        <v>405</v>
      </c>
      <c r="C360" t="s">
        <v>483</v>
      </c>
      <c r="G360">
        <v>19</v>
      </c>
      <c r="J360" t="s">
        <v>22</v>
      </c>
      <c r="K360" t="s">
        <v>408</v>
      </c>
      <c r="L360" t="s">
        <v>33</v>
      </c>
      <c r="M360" t="s">
        <v>510</v>
      </c>
      <c r="O360" s="1">
        <v>32.89</v>
      </c>
      <c r="R360" t="s">
        <v>634</v>
      </c>
    </row>
    <row r="361" spans="1:18" hidden="1">
      <c r="A361">
        <v>15</v>
      </c>
      <c r="B361" t="s">
        <v>405</v>
      </c>
      <c r="C361" t="s">
        <v>483</v>
      </c>
      <c r="G361">
        <v>20</v>
      </c>
      <c r="J361" t="s">
        <v>22</v>
      </c>
      <c r="K361" t="s">
        <v>408</v>
      </c>
      <c r="L361" t="s">
        <v>33</v>
      </c>
      <c r="M361" t="s">
        <v>510</v>
      </c>
      <c r="O361" s="1">
        <v>32.89</v>
      </c>
      <c r="R361" t="s">
        <v>634</v>
      </c>
    </row>
    <row r="362" spans="1:18" hidden="1">
      <c r="A362">
        <v>15</v>
      </c>
      <c r="B362" t="s">
        <v>405</v>
      </c>
      <c r="C362" t="s">
        <v>483</v>
      </c>
      <c r="G362">
        <v>21</v>
      </c>
      <c r="J362" t="s">
        <v>22</v>
      </c>
      <c r="K362" t="s">
        <v>408</v>
      </c>
      <c r="L362" t="s">
        <v>33</v>
      </c>
      <c r="M362" t="s">
        <v>510</v>
      </c>
      <c r="O362" s="1">
        <v>32.89</v>
      </c>
      <c r="R362" t="s">
        <v>634</v>
      </c>
    </row>
    <row r="363" spans="1:18" hidden="1">
      <c r="A363">
        <v>15</v>
      </c>
      <c r="B363" t="s">
        <v>405</v>
      </c>
      <c r="C363" t="s">
        <v>483</v>
      </c>
      <c r="G363">
        <v>22</v>
      </c>
      <c r="J363" t="s">
        <v>22</v>
      </c>
      <c r="K363" t="s">
        <v>408</v>
      </c>
      <c r="L363" t="s">
        <v>33</v>
      </c>
      <c r="M363" t="s">
        <v>510</v>
      </c>
      <c r="O363" s="1">
        <v>32.89</v>
      </c>
      <c r="R363" t="s">
        <v>634</v>
      </c>
    </row>
    <row r="364" spans="1:18" hidden="1">
      <c r="A364">
        <v>15</v>
      </c>
      <c r="B364" t="s">
        <v>405</v>
      </c>
      <c r="C364" t="s">
        <v>483</v>
      </c>
      <c r="G364">
        <v>4</v>
      </c>
      <c r="J364" t="s">
        <v>22</v>
      </c>
      <c r="K364" t="s">
        <v>71</v>
      </c>
      <c r="L364" t="s">
        <v>33</v>
      </c>
      <c r="M364" t="s">
        <v>511</v>
      </c>
      <c r="O364" s="1">
        <v>9.19</v>
      </c>
      <c r="R364" t="s">
        <v>634</v>
      </c>
    </row>
    <row r="365" spans="1:18" hidden="1">
      <c r="A365">
        <v>15</v>
      </c>
      <c r="B365" t="s">
        <v>405</v>
      </c>
      <c r="C365" t="s">
        <v>483</v>
      </c>
      <c r="G365">
        <v>5</v>
      </c>
      <c r="J365" t="s">
        <v>22</v>
      </c>
      <c r="K365" t="s">
        <v>71</v>
      </c>
      <c r="L365" t="s">
        <v>33</v>
      </c>
      <c r="M365" t="s">
        <v>511</v>
      </c>
      <c r="O365" s="1">
        <v>9.19</v>
      </c>
      <c r="R365" t="s">
        <v>634</v>
      </c>
    </row>
    <row r="366" spans="1:18" hidden="1">
      <c r="A366">
        <v>15</v>
      </c>
      <c r="B366" t="s">
        <v>405</v>
      </c>
      <c r="C366" t="s">
        <v>483</v>
      </c>
      <c r="G366">
        <v>6</v>
      </c>
      <c r="J366" t="s">
        <v>22</v>
      </c>
      <c r="K366" t="s">
        <v>71</v>
      </c>
      <c r="L366" t="s">
        <v>33</v>
      </c>
      <c r="M366" t="s">
        <v>511</v>
      </c>
      <c r="O366" s="1">
        <v>9.19</v>
      </c>
      <c r="R366" t="s">
        <v>634</v>
      </c>
    </row>
    <row r="367" spans="1:18" hidden="1">
      <c r="A367">
        <v>15</v>
      </c>
      <c r="B367" t="s">
        <v>405</v>
      </c>
      <c r="C367" t="s">
        <v>483</v>
      </c>
      <c r="G367">
        <v>7</v>
      </c>
      <c r="J367" t="s">
        <v>22</v>
      </c>
      <c r="K367" t="s">
        <v>71</v>
      </c>
      <c r="L367" t="s">
        <v>33</v>
      </c>
      <c r="M367" t="s">
        <v>511</v>
      </c>
      <c r="O367" s="1">
        <v>9.19</v>
      </c>
      <c r="R367" t="s">
        <v>634</v>
      </c>
    </row>
    <row r="368" spans="1:18" hidden="1">
      <c r="A368">
        <v>15</v>
      </c>
      <c r="B368" t="s">
        <v>405</v>
      </c>
      <c r="C368" t="s">
        <v>483</v>
      </c>
      <c r="G368">
        <v>8</v>
      </c>
      <c r="J368" t="s">
        <v>22</v>
      </c>
      <c r="K368" t="s">
        <v>71</v>
      </c>
      <c r="L368" t="s">
        <v>33</v>
      </c>
      <c r="M368" t="s">
        <v>511</v>
      </c>
      <c r="O368" s="1">
        <v>9.19</v>
      </c>
      <c r="R368" t="s">
        <v>634</v>
      </c>
    </row>
    <row r="369" spans="1:18" hidden="1">
      <c r="A369">
        <v>15</v>
      </c>
      <c r="B369" t="s">
        <v>405</v>
      </c>
      <c r="C369" t="s">
        <v>483</v>
      </c>
      <c r="G369">
        <v>9</v>
      </c>
      <c r="J369" t="s">
        <v>22</v>
      </c>
      <c r="K369" t="s">
        <v>71</v>
      </c>
      <c r="L369" t="s">
        <v>33</v>
      </c>
      <c r="M369" t="s">
        <v>511</v>
      </c>
      <c r="O369" s="1">
        <v>9.19</v>
      </c>
      <c r="R369" t="s">
        <v>634</v>
      </c>
    </row>
    <row r="370" spans="1:18" hidden="1">
      <c r="A370">
        <v>15</v>
      </c>
      <c r="B370" t="s">
        <v>405</v>
      </c>
      <c r="C370" t="s">
        <v>483</v>
      </c>
      <c r="G370">
        <v>10</v>
      </c>
      <c r="J370" t="s">
        <v>22</v>
      </c>
      <c r="K370" t="s">
        <v>71</v>
      </c>
      <c r="L370" t="s">
        <v>33</v>
      </c>
      <c r="M370" t="s">
        <v>511</v>
      </c>
      <c r="O370" s="1">
        <v>9.19</v>
      </c>
      <c r="R370" t="s">
        <v>634</v>
      </c>
    </row>
    <row r="371" spans="1:18" hidden="1">
      <c r="A371">
        <v>15</v>
      </c>
      <c r="B371" t="s">
        <v>405</v>
      </c>
      <c r="C371" t="s">
        <v>483</v>
      </c>
      <c r="G371">
        <v>11</v>
      </c>
      <c r="J371" t="s">
        <v>22</v>
      </c>
      <c r="K371" t="s">
        <v>71</v>
      </c>
      <c r="L371" t="s">
        <v>33</v>
      </c>
      <c r="M371" t="s">
        <v>511</v>
      </c>
      <c r="O371" s="1">
        <v>9.19</v>
      </c>
      <c r="R371" t="s">
        <v>634</v>
      </c>
    </row>
    <row r="372" spans="1:18" hidden="1">
      <c r="A372">
        <v>15</v>
      </c>
      <c r="B372" t="s">
        <v>405</v>
      </c>
      <c r="C372" t="s">
        <v>483</v>
      </c>
      <c r="G372">
        <v>12</v>
      </c>
      <c r="J372" t="s">
        <v>22</v>
      </c>
      <c r="K372" t="s">
        <v>71</v>
      </c>
      <c r="L372" t="s">
        <v>33</v>
      </c>
      <c r="M372" t="s">
        <v>511</v>
      </c>
      <c r="O372" s="1">
        <v>9.19</v>
      </c>
      <c r="R372" t="s">
        <v>634</v>
      </c>
    </row>
    <row r="373" spans="1:18" hidden="1">
      <c r="A373">
        <v>15</v>
      </c>
      <c r="B373" t="s">
        <v>405</v>
      </c>
      <c r="C373" t="s">
        <v>483</v>
      </c>
      <c r="G373">
        <v>13</v>
      </c>
      <c r="J373" t="s">
        <v>22</v>
      </c>
      <c r="K373" t="s">
        <v>71</v>
      </c>
      <c r="L373" t="s">
        <v>33</v>
      </c>
      <c r="M373" t="s">
        <v>511</v>
      </c>
      <c r="O373" s="1">
        <v>9.19</v>
      </c>
      <c r="R373" t="s">
        <v>634</v>
      </c>
    </row>
    <row r="374" spans="1:18" hidden="1">
      <c r="A374">
        <v>15</v>
      </c>
      <c r="B374" t="s">
        <v>405</v>
      </c>
      <c r="C374" t="s">
        <v>483</v>
      </c>
      <c r="G374">
        <v>14</v>
      </c>
      <c r="J374" t="s">
        <v>22</v>
      </c>
      <c r="K374" t="s">
        <v>71</v>
      </c>
      <c r="L374" t="s">
        <v>33</v>
      </c>
      <c r="M374" t="s">
        <v>511</v>
      </c>
      <c r="O374" s="1">
        <v>9.19</v>
      </c>
      <c r="R374" t="s">
        <v>634</v>
      </c>
    </row>
    <row r="375" spans="1:18" hidden="1">
      <c r="A375">
        <v>15</v>
      </c>
      <c r="B375" t="s">
        <v>405</v>
      </c>
      <c r="C375" t="s">
        <v>483</v>
      </c>
      <c r="G375">
        <v>15</v>
      </c>
      <c r="J375" t="s">
        <v>22</v>
      </c>
      <c r="K375" t="s">
        <v>71</v>
      </c>
      <c r="L375" t="s">
        <v>33</v>
      </c>
      <c r="M375" t="s">
        <v>511</v>
      </c>
      <c r="O375" s="1">
        <v>9.19</v>
      </c>
      <c r="R375" t="s">
        <v>634</v>
      </c>
    </row>
    <row r="376" spans="1:18" hidden="1">
      <c r="A376">
        <v>15</v>
      </c>
      <c r="B376" t="s">
        <v>405</v>
      </c>
      <c r="C376" t="s">
        <v>483</v>
      </c>
      <c r="G376">
        <v>16</v>
      </c>
      <c r="J376" t="s">
        <v>22</v>
      </c>
      <c r="K376" t="s">
        <v>71</v>
      </c>
      <c r="L376" t="s">
        <v>33</v>
      </c>
      <c r="M376" t="s">
        <v>511</v>
      </c>
      <c r="O376" s="1">
        <v>9.19</v>
      </c>
      <c r="R376" t="s">
        <v>634</v>
      </c>
    </row>
    <row r="377" spans="1:18" hidden="1">
      <c r="A377">
        <v>15</v>
      </c>
      <c r="B377" t="s">
        <v>405</v>
      </c>
      <c r="C377" t="s">
        <v>483</v>
      </c>
      <c r="G377">
        <v>17</v>
      </c>
      <c r="J377" t="s">
        <v>22</v>
      </c>
      <c r="K377" t="s">
        <v>71</v>
      </c>
      <c r="L377" t="s">
        <v>33</v>
      </c>
      <c r="M377" t="s">
        <v>511</v>
      </c>
      <c r="O377" s="1">
        <v>9.19</v>
      </c>
      <c r="R377" t="s">
        <v>634</v>
      </c>
    </row>
    <row r="378" spans="1:18" hidden="1">
      <c r="A378">
        <v>15</v>
      </c>
      <c r="B378" t="s">
        <v>405</v>
      </c>
      <c r="C378" t="s">
        <v>483</v>
      </c>
      <c r="G378">
        <v>18</v>
      </c>
      <c r="J378" t="s">
        <v>22</v>
      </c>
      <c r="K378" t="s">
        <v>71</v>
      </c>
      <c r="L378" t="s">
        <v>33</v>
      </c>
      <c r="M378" t="s">
        <v>511</v>
      </c>
      <c r="O378" s="1">
        <v>9.19</v>
      </c>
      <c r="R378" t="s">
        <v>634</v>
      </c>
    </row>
    <row r="379" spans="1:18" hidden="1">
      <c r="A379">
        <v>15</v>
      </c>
      <c r="B379" t="s">
        <v>405</v>
      </c>
      <c r="C379" t="s">
        <v>483</v>
      </c>
      <c r="G379">
        <v>19</v>
      </c>
      <c r="J379" t="s">
        <v>22</v>
      </c>
      <c r="K379" t="s">
        <v>71</v>
      </c>
      <c r="L379" t="s">
        <v>33</v>
      </c>
      <c r="M379" t="s">
        <v>511</v>
      </c>
      <c r="O379" s="1">
        <v>9.19</v>
      </c>
      <c r="R379" t="s">
        <v>634</v>
      </c>
    </row>
    <row r="380" spans="1:18" hidden="1">
      <c r="A380">
        <v>15</v>
      </c>
      <c r="B380" t="s">
        <v>405</v>
      </c>
      <c r="C380" t="s">
        <v>483</v>
      </c>
      <c r="G380">
        <v>20</v>
      </c>
      <c r="J380" t="s">
        <v>22</v>
      </c>
      <c r="K380" t="s">
        <v>71</v>
      </c>
      <c r="L380" t="s">
        <v>33</v>
      </c>
      <c r="M380" t="s">
        <v>511</v>
      </c>
      <c r="O380" s="1">
        <v>9.19</v>
      </c>
      <c r="R380" t="s">
        <v>634</v>
      </c>
    </row>
    <row r="381" spans="1:18" hidden="1">
      <c r="A381">
        <v>15</v>
      </c>
      <c r="B381" t="s">
        <v>405</v>
      </c>
      <c r="C381" t="s">
        <v>483</v>
      </c>
      <c r="G381">
        <v>21</v>
      </c>
      <c r="J381" t="s">
        <v>22</v>
      </c>
      <c r="K381" t="s">
        <v>71</v>
      </c>
      <c r="L381" t="s">
        <v>33</v>
      </c>
      <c r="M381" t="s">
        <v>511</v>
      </c>
      <c r="O381" s="1">
        <v>9.19</v>
      </c>
      <c r="R381" t="s">
        <v>634</v>
      </c>
    </row>
    <row r="382" spans="1:18" hidden="1">
      <c r="A382">
        <v>15</v>
      </c>
      <c r="B382" t="s">
        <v>405</v>
      </c>
      <c r="C382" t="s">
        <v>483</v>
      </c>
      <c r="G382">
        <v>22</v>
      </c>
      <c r="J382" t="s">
        <v>22</v>
      </c>
      <c r="K382" t="s">
        <v>71</v>
      </c>
      <c r="L382" t="s">
        <v>33</v>
      </c>
      <c r="M382" t="s">
        <v>511</v>
      </c>
      <c r="O382" s="1">
        <v>9.19</v>
      </c>
      <c r="R382" t="s">
        <v>634</v>
      </c>
    </row>
    <row r="383" spans="1:18" hidden="1">
      <c r="A383">
        <v>15</v>
      </c>
      <c r="B383" t="s">
        <v>405</v>
      </c>
      <c r="C383" t="s">
        <v>483</v>
      </c>
      <c r="G383">
        <v>4</v>
      </c>
      <c r="J383" t="s">
        <v>22</v>
      </c>
      <c r="K383" t="s">
        <v>71</v>
      </c>
      <c r="L383" t="s">
        <v>33</v>
      </c>
      <c r="M383" t="s">
        <v>577</v>
      </c>
      <c r="O383" s="1">
        <f>2.5*1.69</f>
        <v>4.2249999999999996</v>
      </c>
      <c r="P383" t="s">
        <v>978</v>
      </c>
      <c r="R383" t="s">
        <v>634</v>
      </c>
    </row>
    <row r="384" spans="1:18" hidden="1">
      <c r="A384">
        <v>15</v>
      </c>
      <c r="B384" t="s">
        <v>405</v>
      </c>
      <c r="C384" t="s">
        <v>483</v>
      </c>
      <c r="G384">
        <v>5</v>
      </c>
      <c r="J384" t="s">
        <v>22</v>
      </c>
      <c r="K384" t="s">
        <v>71</v>
      </c>
      <c r="L384" t="s">
        <v>33</v>
      </c>
      <c r="M384" t="s">
        <v>577</v>
      </c>
      <c r="O384" s="1">
        <f t="shared" ref="O384:O401" si="4">2.5*1.69</f>
        <v>4.2249999999999996</v>
      </c>
      <c r="P384" t="s">
        <v>978</v>
      </c>
      <c r="R384" t="s">
        <v>634</v>
      </c>
    </row>
    <row r="385" spans="1:18" hidden="1">
      <c r="A385">
        <v>15</v>
      </c>
      <c r="B385" t="s">
        <v>405</v>
      </c>
      <c r="C385" t="s">
        <v>483</v>
      </c>
      <c r="G385">
        <v>6</v>
      </c>
      <c r="J385" t="s">
        <v>22</v>
      </c>
      <c r="K385" t="s">
        <v>71</v>
      </c>
      <c r="L385" t="s">
        <v>33</v>
      </c>
      <c r="M385" t="s">
        <v>577</v>
      </c>
      <c r="O385" s="1">
        <f t="shared" si="4"/>
        <v>4.2249999999999996</v>
      </c>
      <c r="P385" t="s">
        <v>978</v>
      </c>
      <c r="R385" t="s">
        <v>634</v>
      </c>
    </row>
    <row r="386" spans="1:18" hidden="1">
      <c r="A386">
        <v>15</v>
      </c>
      <c r="B386" t="s">
        <v>405</v>
      </c>
      <c r="C386" t="s">
        <v>483</v>
      </c>
      <c r="G386">
        <v>7</v>
      </c>
      <c r="J386" t="s">
        <v>22</v>
      </c>
      <c r="K386" t="s">
        <v>71</v>
      </c>
      <c r="L386" t="s">
        <v>33</v>
      </c>
      <c r="M386" t="s">
        <v>577</v>
      </c>
      <c r="O386" s="1">
        <f t="shared" si="4"/>
        <v>4.2249999999999996</v>
      </c>
      <c r="P386" t="s">
        <v>978</v>
      </c>
      <c r="R386" t="s">
        <v>634</v>
      </c>
    </row>
    <row r="387" spans="1:18" hidden="1">
      <c r="A387">
        <v>15</v>
      </c>
      <c r="B387" t="s">
        <v>405</v>
      </c>
      <c r="C387" t="s">
        <v>483</v>
      </c>
      <c r="G387">
        <v>8</v>
      </c>
      <c r="J387" t="s">
        <v>22</v>
      </c>
      <c r="K387" t="s">
        <v>71</v>
      </c>
      <c r="L387" t="s">
        <v>33</v>
      </c>
      <c r="M387" t="s">
        <v>577</v>
      </c>
      <c r="O387" s="1">
        <f t="shared" si="4"/>
        <v>4.2249999999999996</v>
      </c>
      <c r="P387" t="s">
        <v>978</v>
      </c>
      <c r="R387" t="s">
        <v>634</v>
      </c>
    </row>
    <row r="388" spans="1:18" hidden="1">
      <c r="A388">
        <v>15</v>
      </c>
      <c r="B388" t="s">
        <v>405</v>
      </c>
      <c r="C388" t="s">
        <v>483</v>
      </c>
      <c r="G388">
        <v>9</v>
      </c>
      <c r="J388" t="s">
        <v>22</v>
      </c>
      <c r="K388" t="s">
        <v>71</v>
      </c>
      <c r="L388" t="s">
        <v>33</v>
      </c>
      <c r="M388" t="s">
        <v>577</v>
      </c>
      <c r="O388" s="1">
        <f t="shared" si="4"/>
        <v>4.2249999999999996</v>
      </c>
      <c r="P388" t="s">
        <v>978</v>
      </c>
      <c r="R388" t="s">
        <v>634</v>
      </c>
    </row>
    <row r="389" spans="1:18" hidden="1">
      <c r="A389">
        <v>15</v>
      </c>
      <c r="B389" t="s">
        <v>405</v>
      </c>
      <c r="C389" t="s">
        <v>483</v>
      </c>
      <c r="G389">
        <v>10</v>
      </c>
      <c r="J389" t="s">
        <v>22</v>
      </c>
      <c r="K389" t="s">
        <v>71</v>
      </c>
      <c r="L389" t="s">
        <v>33</v>
      </c>
      <c r="M389" t="s">
        <v>577</v>
      </c>
      <c r="O389" s="1">
        <f t="shared" si="4"/>
        <v>4.2249999999999996</v>
      </c>
      <c r="P389" t="s">
        <v>978</v>
      </c>
      <c r="R389" t="s">
        <v>634</v>
      </c>
    </row>
    <row r="390" spans="1:18" hidden="1">
      <c r="A390">
        <v>15</v>
      </c>
      <c r="B390" t="s">
        <v>405</v>
      </c>
      <c r="C390" t="s">
        <v>483</v>
      </c>
      <c r="G390">
        <v>11</v>
      </c>
      <c r="J390" t="s">
        <v>22</v>
      </c>
      <c r="K390" t="s">
        <v>71</v>
      </c>
      <c r="L390" t="s">
        <v>33</v>
      </c>
      <c r="M390" t="s">
        <v>577</v>
      </c>
      <c r="O390" s="1">
        <f t="shared" si="4"/>
        <v>4.2249999999999996</v>
      </c>
      <c r="P390" t="s">
        <v>978</v>
      </c>
      <c r="R390" t="s">
        <v>634</v>
      </c>
    </row>
    <row r="391" spans="1:18" hidden="1">
      <c r="A391">
        <v>15</v>
      </c>
      <c r="B391" t="s">
        <v>405</v>
      </c>
      <c r="C391" t="s">
        <v>483</v>
      </c>
      <c r="G391">
        <v>12</v>
      </c>
      <c r="J391" t="s">
        <v>22</v>
      </c>
      <c r="K391" t="s">
        <v>71</v>
      </c>
      <c r="L391" t="s">
        <v>33</v>
      </c>
      <c r="M391" t="s">
        <v>577</v>
      </c>
      <c r="O391" s="1">
        <f t="shared" si="4"/>
        <v>4.2249999999999996</v>
      </c>
      <c r="P391" t="s">
        <v>978</v>
      </c>
      <c r="R391" t="s">
        <v>634</v>
      </c>
    </row>
    <row r="392" spans="1:18" hidden="1">
      <c r="A392">
        <v>15</v>
      </c>
      <c r="B392" t="s">
        <v>405</v>
      </c>
      <c r="C392" t="s">
        <v>483</v>
      </c>
      <c r="G392">
        <v>13</v>
      </c>
      <c r="J392" t="s">
        <v>22</v>
      </c>
      <c r="K392" t="s">
        <v>71</v>
      </c>
      <c r="L392" t="s">
        <v>33</v>
      </c>
      <c r="M392" t="s">
        <v>577</v>
      </c>
      <c r="O392" s="1">
        <f t="shared" si="4"/>
        <v>4.2249999999999996</v>
      </c>
      <c r="P392" t="s">
        <v>978</v>
      </c>
      <c r="R392" t="s">
        <v>634</v>
      </c>
    </row>
    <row r="393" spans="1:18" hidden="1">
      <c r="A393">
        <v>15</v>
      </c>
      <c r="B393" t="s">
        <v>405</v>
      </c>
      <c r="C393" t="s">
        <v>483</v>
      </c>
      <c r="G393">
        <v>14</v>
      </c>
      <c r="J393" t="s">
        <v>22</v>
      </c>
      <c r="K393" t="s">
        <v>71</v>
      </c>
      <c r="L393" t="s">
        <v>33</v>
      </c>
      <c r="M393" t="s">
        <v>577</v>
      </c>
      <c r="O393" s="1">
        <f t="shared" si="4"/>
        <v>4.2249999999999996</v>
      </c>
      <c r="P393" t="s">
        <v>978</v>
      </c>
      <c r="R393" t="s">
        <v>634</v>
      </c>
    </row>
    <row r="394" spans="1:18" hidden="1">
      <c r="A394">
        <v>15</v>
      </c>
      <c r="B394" t="s">
        <v>405</v>
      </c>
      <c r="C394" t="s">
        <v>483</v>
      </c>
      <c r="G394">
        <v>15</v>
      </c>
      <c r="J394" t="s">
        <v>22</v>
      </c>
      <c r="K394" t="s">
        <v>71</v>
      </c>
      <c r="L394" t="s">
        <v>33</v>
      </c>
      <c r="M394" t="s">
        <v>577</v>
      </c>
      <c r="O394" s="1">
        <f t="shared" si="4"/>
        <v>4.2249999999999996</v>
      </c>
      <c r="P394" t="s">
        <v>978</v>
      </c>
      <c r="R394" t="s">
        <v>634</v>
      </c>
    </row>
    <row r="395" spans="1:18" hidden="1">
      <c r="A395">
        <v>15</v>
      </c>
      <c r="B395" t="s">
        <v>405</v>
      </c>
      <c r="C395" t="s">
        <v>483</v>
      </c>
      <c r="G395">
        <v>16</v>
      </c>
      <c r="J395" t="s">
        <v>22</v>
      </c>
      <c r="K395" t="s">
        <v>71</v>
      </c>
      <c r="L395" t="s">
        <v>33</v>
      </c>
      <c r="M395" t="s">
        <v>577</v>
      </c>
      <c r="O395" s="1">
        <f t="shared" si="4"/>
        <v>4.2249999999999996</v>
      </c>
      <c r="P395" t="s">
        <v>978</v>
      </c>
      <c r="R395" t="s">
        <v>634</v>
      </c>
    </row>
    <row r="396" spans="1:18" hidden="1">
      <c r="A396">
        <v>15</v>
      </c>
      <c r="B396" t="s">
        <v>405</v>
      </c>
      <c r="C396" t="s">
        <v>483</v>
      </c>
      <c r="G396">
        <v>17</v>
      </c>
      <c r="J396" t="s">
        <v>22</v>
      </c>
      <c r="K396" t="s">
        <v>71</v>
      </c>
      <c r="L396" t="s">
        <v>33</v>
      </c>
      <c r="M396" t="s">
        <v>577</v>
      </c>
      <c r="O396" s="1">
        <f t="shared" si="4"/>
        <v>4.2249999999999996</v>
      </c>
      <c r="P396" t="s">
        <v>978</v>
      </c>
      <c r="R396" t="s">
        <v>634</v>
      </c>
    </row>
    <row r="397" spans="1:18" hidden="1">
      <c r="A397">
        <v>15</v>
      </c>
      <c r="B397" t="s">
        <v>405</v>
      </c>
      <c r="C397" t="s">
        <v>483</v>
      </c>
      <c r="G397">
        <v>18</v>
      </c>
      <c r="J397" t="s">
        <v>22</v>
      </c>
      <c r="K397" t="s">
        <v>71</v>
      </c>
      <c r="L397" t="s">
        <v>33</v>
      </c>
      <c r="M397" t="s">
        <v>577</v>
      </c>
      <c r="O397" s="1">
        <f t="shared" si="4"/>
        <v>4.2249999999999996</v>
      </c>
      <c r="P397" t="s">
        <v>978</v>
      </c>
      <c r="R397" t="s">
        <v>634</v>
      </c>
    </row>
    <row r="398" spans="1:18" hidden="1">
      <c r="A398">
        <v>15</v>
      </c>
      <c r="B398" t="s">
        <v>405</v>
      </c>
      <c r="C398" t="s">
        <v>483</v>
      </c>
      <c r="G398">
        <v>19</v>
      </c>
      <c r="J398" t="s">
        <v>22</v>
      </c>
      <c r="K398" t="s">
        <v>71</v>
      </c>
      <c r="L398" t="s">
        <v>33</v>
      </c>
      <c r="M398" t="s">
        <v>577</v>
      </c>
      <c r="O398" s="1">
        <f t="shared" si="4"/>
        <v>4.2249999999999996</v>
      </c>
      <c r="P398" t="s">
        <v>978</v>
      </c>
      <c r="R398" t="s">
        <v>634</v>
      </c>
    </row>
    <row r="399" spans="1:18" hidden="1">
      <c r="A399">
        <v>15</v>
      </c>
      <c r="B399" t="s">
        <v>405</v>
      </c>
      <c r="C399" t="s">
        <v>483</v>
      </c>
      <c r="G399">
        <v>20</v>
      </c>
      <c r="J399" t="s">
        <v>22</v>
      </c>
      <c r="K399" t="s">
        <v>71</v>
      </c>
      <c r="L399" t="s">
        <v>33</v>
      </c>
      <c r="M399" t="s">
        <v>577</v>
      </c>
      <c r="O399" s="1">
        <f t="shared" si="4"/>
        <v>4.2249999999999996</v>
      </c>
      <c r="P399" t="s">
        <v>978</v>
      </c>
      <c r="R399" t="s">
        <v>634</v>
      </c>
    </row>
    <row r="400" spans="1:18" hidden="1">
      <c r="A400">
        <v>15</v>
      </c>
      <c r="B400" t="s">
        <v>405</v>
      </c>
      <c r="C400" t="s">
        <v>483</v>
      </c>
      <c r="G400">
        <v>21</v>
      </c>
      <c r="J400" t="s">
        <v>22</v>
      </c>
      <c r="K400" t="s">
        <v>71</v>
      </c>
      <c r="L400" t="s">
        <v>33</v>
      </c>
      <c r="M400" t="s">
        <v>577</v>
      </c>
      <c r="O400" s="1">
        <f t="shared" si="4"/>
        <v>4.2249999999999996</v>
      </c>
      <c r="P400" t="s">
        <v>978</v>
      </c>
      <c r="R400" t="s">
        <v>634</v>
      </c>
    </row>
    <row r="401" spans="1:18" hidden="1">
      <c r="A401">
        <v>15</v>
      </c>
      <c r="B401" t="s">
        <v>405</v>
      </c>
      <c r="C401" t="s">
        <v>483</v>
      </c>
      <c r="G401">
        <v>22</v>
      </c>
      <c r="J401" t="s">
        <v>22</v>
      </c>
      <c r="K401" t="s">
        <v>71</v>
      </c>
      <c r="L401" t="s">
        <v>33</v>
      </c>
      <c r="M401" t="s">
        <v>577</v>
      </c>
      <c r="O401" s="1">
        <f t="shared" si="4"/>
        <v>4.2249999999999996</v>
      </c>
      <c r="P401" t="s">
        <v>978</v>
      </c>
      <c r="R401" t="s">
        <v>634</v>
      </c>
    </row>
    <row r="402" spans="1:18">
      <c r="A402">
        <v>15</v>
      </c>
      <c r="B402" t="s">
        <v>405</v>
      </c>
      <c r="C402" t="s">
        <v>483</v>
      </c>
      <c r="G402">
        <v>4</v>
      </c>
      <c r="H402" s="263"/>
      <c r="J402" t="s">
        <v>22</v>
      </c>
      <c r="K402" t="s">
        <v>30</v>
      </c>
      <c r="L402" t="s">
        <v>33</v>
      </c>
      <c r="M402" t="s">
        <v>515</v>
      </c>
      <c r="N402" s="263">
        <v>0.4</v>
      </c>
      <c r="O402" s="1">
        <f>20*0.4</f>
        <v>8</v>
      </c>
      <c r="P402" t="s">
        <v>916</v>
      </c>
      <c r="R402" t="s">
        <v>634</v>
      </c>
    </row>
    <row r="403" spans="1:18">
      <c r="A403">
        <v>15</v>
      </c>
      <c r="B403" t="s">
        <v>405</v>
      </c>
      <c r="C403" t="s">
        <v>483</v>
      </c>
      <c r="G403">
        <v>5</v>
      </c>
      <c r="H403" s="263"/>
      <c r="J403" t="s">
        <v>22</v>
      </c>
      <c r="K403" t="s">
        <v>30</v>
      </c>
      <c r="L403" t="s">
        <v>33</v>
      </c>
      <c r="M403" t="s">
        <v>515</v>
      </c>
      <c r="N403" s="263">
        <v>0.4</v>
      </c>
      <c r="O403" s="1">
        <f t="shared" ref="O403:O420" si="5">20*0.4</f>
        <v>8</v>
      </c>
      <c r="P403" t="s">
        <v>916</v>
      </c>
      <c r="R403" t="s">
        <v>634</v>
      </c>
    </row>
    <row r="404" spans="1:18">
      <c r="A404">
        <v>15</v>
      </c>
      <c r="B404" t="s">
        <v>405</v>
      </c>
      <c r="C404" t="s">
        <v>483</v>
      </c>
      <c r="G404">
        <v>6</v>
      </c>
      <c r="H404" s="263"/>
      <c r="J404" t="s">
        <v>22</v>
      </c>
      <c r="K404" t="s">
        <v>30</v>
      </c>
      <c r="L404" t="s">
        <v>33</v>
      </c>
      <c r="M404" t="s">
        <v>515</v>
      </c>
      <c r="N404" s="263">
        <v>0.4</v>
      </c>
      <c r="O404" s="1">
        <f t="shared" si="5"/>
        <v>8</v>
      </c>
      <c r="P404" t="s">
        <v>916</v>
      </c>
      <c r="R404" t="s">
        <v>634</v>
      </c>
    </row>
    <row r="405" spans="1:18">
      <c r="A405">
        <v>15</v>
      </c>
      <c r="B405" t="s">
        <v>405</v>
      </c>
      <c r="C405" t="s">
        <v>483</v>
      </c>
      <c r="G405">
        <v>7</v>
      </c>
      <c r="H405" s="263"/>
      <c r="J405" t="s">
        <v>22</v>
      </c>
      <c r="K405" t="s">
        <v>30</v>
      </c>
      <c r="L405" t="s">
        <v>33</v>
      </c>
      <c r="M405" t="s">
        <v>515</v>
      </c>
      <c r="N405" s="263">
        <v>0.4</v>
      </c>
      <c r="O405" s="1">
        <f t="shared" si="5"/>
        <v>8</v>
      </c>
      <c r="P405" t="s">
        <v>916</v>
      </c>
      <c r="R405" t="s">
        <v>634</v>
      </c>
    </row>
    <row r="406" spans="1:18">
      <c r="A406">
        <v>15</v>
      </c>
      <c r="B406" t="s">
        <v>405</v>
      </c>
      <c r="C406" t="s">
        <v>483</v>
      </c>
      <c r="G406">
        <v>8</v>
      </c>
      <c r="H406" s="263"/>
      <c r="J406" t="s">
        <v>22</v>
      </c>
      <c r="K406" t="s">
        <v>30</v>
      </c>
      <c r="L406" t="s">
        <v>33</v>
      </c>
      <c r="M406" t="s">
        <v>515</v>
      </c>
      <c r="N406" s="263">
        <v>0.4</v>
      </c>
      <c r="O406" s="1">
        <f t="shared" si="5"/>
        <v>8</v>
      </c>
      <c r="P406" t="s">
        <v>916</v>
      </c>
      <c r="R406" t="s">
        <v>634</v>
      </c>
    </row>
    <row r="407" spans="1:18">
      <c r="A407">
        <v>15</v>
      </c>
      <c r="B407" t="s">
        <v>405</v>
      </c>
      <c r="C407" t="s">
        <v>483</v>
      </c>
      <c r="G407">
        <v>9</v>
      </c>
      <c r="H407" s="263"/>
      <c r="J407" t="s">
        <v>22</v>
      </c>
      <c r="K407" t="s">
        <v>30</v>
      </c>
      <c r="L407" t="s">
        <v>33</v>
      </c>
      <c r="M407" t="s">
        <v>515</v>
      </c>
      <c r="N407" s="263">
        <v>0.4</v>
      </c>
      <c r="O407" s="1">
        <f t="shared" si="5"/>
        <v>8</v>
      </c>
      <c r="P407" t="s">
        <v>916</v>
      </c>
      <c r="R407" t="s">
        <v>634</v>
      </c>
    </row>
    <row r="408" spans="1:18">
      <c r="A408">
        <v>15</v>
      </c>
      <c r="B408" t="s">
        <v>405</v>
      </c>
      <c r="C408" t="s">
        <v>483</v>
      </c>
      <c r="G408">
        <v>10</v>
      </c>
      <c r="H408" s="263"/>
      <c r="J408" t="s">
        <v>22</v>
      </c>
      <c r="K408" t="s">
        <v>30</v>
      </c>
      <c r="L408" t="s">
        <v>33</v>
      </c>
      <c r="M408" t="s">
        <v>515</v>
      </c>
      <c r="N408" s="263">
        <v>0.4</v>
      </c>
      <c r="O408" s="1">
        <f t="shared" si="5"/>
        <v>8</v>
      </c>
      <c r="P408" t="s">
        <v>916</v>
      </c>
      <c r="R408" t="s">
        <v>634</v>
      </c>
    </row>
    <row r="409" spans="1:18">
      <c r="A409">
        <v>15</v>
      </c>
      <c r="B409" t="s">
        <v>405</v>
      </c>
      <c r="C409" t="s">
        <v>483</v>
      </c>
      <c r="G409">
        <v>11</v>
      </c>
      <c r="H409" s="263"/>
      <c r="J409" t="s">
        <v>22</v>
      </c>
      <c r="K409" t="s">
        <v>30</v>
      </c>
      <c r="L409" t="s">
        <v>33</v>
      </c>
      <c r="M409" t="s">
        <v>515</v>
      </c>
      <c r="N409" s="263">
        <v>0.4</v>
      </c>
      <c r="O409" s="1">
        <f t="shared" si="5"/>
        <v>8</v>
      </c>
      <c r="P409" t="s">
        <v>916</v>
      </c>
      <c r="R409" t="s">
        <v>634</v>
      </c>
    </row>
    <row r="410" spans="1:18">
      <c r="A410">
        <v>15</v>
      </c>
      <c r="B410" t="s">
        <v>405</v>
      </c>
      <c r="C410" t="s">
        <v>483</v>
      </c>
      <c r="G410">
        <v>12</v>
      </c>
      <c r="H410" s="263"/>
      <c r="J410" t="s">
        <v>22</v>
      </c>
      <c r="K410" t="s">
        <v>30</v>
      </c>
      <c r="L410" t="s">
        <v>33</v>
      </c>
      <c r="M410" t="s">
        <v>515</v>
      </c>
      <c r="N410" s="263">
        <v>0.4</v>
      </c>
      <c r="O410" s="1">
        <f t="shared" si="5"/>
        <v>8</v>
      </c>
      <c r="P410" t="s">
        <v>916</v>
      </c>
      <c r="R410" t="s">
        <v>634</v>
      </c>
    </row>
    <row r="411" spans="1:18">
      <c r="A411">
        <v>15</v>
      </c>
      <c r="B411" t="s">
        <v>405</v>
      </c>
      <c r="C411" t="s">
        <v>483</v>
      </c>
      <c r="G411">
        <v>13</v>
      </c>
      <c r="H411" s="263"/>
      <c r="J411" t="s">
        <v>22</v>
      </c>
      <c r="K411" t="s">
        <v>30</v>
      </c>
      <c r="L411" t="s">
        <v>33</v>
      </c>
      <c r="M411" t="s">
        <v>515</v>
      </c>
      <c r="N411" s="263">
        <v>0.4</v>
      </c>
      <c r="O411" s="1">
        <f t="shared" si="5"/>
        <v>8</v>
      </c>
      <c r="P411" t="s">
        <v>916</v>
      </c>
      <c r="R411" t="s">
        <v>634</v>
      </c>
    </row>
    <row r="412" spans="1:18">
      <c r="A412">
        <v>15</v>
      </c>
      <c r="B412" t="s">
        <v>405</v>
      </c>
      <c r="C412" t="s">
        <v>483</v>
      </c>
      <c r="G412">
        <v>14</v>
      </c>
      <c r="H412" s="263"/>
      <c r="J412" t="s">
        <v>22</v>
      </c>
      <c r="K412" t="s">
        <v>30</v>
      </c>
      <c r="L412" t="s">
        <v>33</v>
      </c>
      <c r="M412" t="s">
        <v>515</v>
      </c>
      <c r="N412" s="263">
        <v>0.4</v>
      </c>
      <c r="O412" s="1">
        <f t="shared" si="5"/>
        <v>8</v>
      </c>
      <c r="P412" t="s">
        <v>916</v>
      </c>
      <c r="R412" t="s">
        <v>634</v>
      </c>
    </row>
    <row r="413" spans="1:18">
      <c r="A413">
        <v>15</v>
      </c>
      <c r="B413" t="s">
        <v>405</v>
      </c>
      <c r="C413" t="s">
        <v>483</v>
      </c>
      <c r="G413">
        <v>15</v>
      </c>
      <c r="H413" s="263"/>
      <c r="J413" t="s">
        <v>22</v>
      </c>
      <c r="K413" t="s">
        <v>30</v>
      </c>
      <c r="L413" t="s">
        <v>33</v>
      </c>
      <c r="M413" t="s">
        <v>515</v>
      </c>
      <c r="N413" s="263">
        <v>0.4</v>
      </c>
      <c r="O413" s="1">
        <f t="shared" si="5"/>
        <v>8</v>
      </c>
      <c r="P413" t="s">
        <v>916</v>
      </c>
      <c r="R413" t="s">
        <v>634</v>
      </c>
    </row>
    <row r="414" spans="1:18">
      <c r="A414">
        <v>15</v>
      </c>
      <c r="B414" t="s">
        <v>405</v>
      </c>
      <c r="C414" t="s">
        <v>483</v>
      </c>
      <c r="G414">
        <v>16</v>
      </c>
      <c r="H414" s="263"/>
      <c r="J414" t="s">
        <v>22</v>
      </c>
      <c r="K414" t="s">
        <v>30</v>
      </c>
      <c r="L414" t="s">
        <v>33</v>
      </c>
      <c r="M414" t="s">
        <v>515</v>
      </c>
      <c r="N414" s="263">
        <v>0.4</v>
      </c>
      <c r="O414" s="1">
        <f t="shared" si="5"/>
        <v>8</v>
      </c>
      <c r="P414" t="s">
        <v>916</v>
      </c>
      <c r="R414" t="s">
        <v>634</v>
      </c>
    </row>
    <row r="415" spans="1:18">
      <c r="A415">
        <v>15</v>
      </c>
      <c r="B415" t="s">
        <v>405</v>
      </c>
      <c r="C415" t="s">
        <v>483</v>
      </c>
      <c r="G415">
        <v>17</v>
      </c>
      <c r="H415" s="263"/>
      <c r="J415" t="s">
        <v>22</v>
      </c>
      <c r="K415" t="s">
        <v>30</v>
      </c>
      <c r="L415" t="s">
        <v>33</v>
      </c>
      <c r="M415" t="s">
        <v>515</v>
      </c>
      <c r="N415" s="263">
        <v>0.4</v>
      </c>
      <c r="O415" s="1">
        <f t="shared" si="5"/>
        <v>8</v>
      </c>
      <c r="P415" t="s">
        <v>916</v>
      </c>
      <c r="R415" t="s">
        <v>634</v>
      </c>
    </row>
    <row r="416" spans="1:18">
      <c r="A416">
        <v>15</v>
      </c>
      <c r="B416" t="s">
        <v>405</v>
      </c>
      <c r="C416" t="s">
        <v>483</v>
      </c>
      <c r="G416">
        <v>18</v>
      </c>
      <c r="H416" s="263"/>
      <c r="J416" t="s">
        <v>22</v>
      </c>
      <c r="K416" t="s">
        <v>30</v>
      </c>
      <c r="L416" t="s">
        <v>33</v>
      </c>
      <c r="M416" t="s">
        <v>515</v>
      </c>
      <c r="N416" s="263">
        <v>0.4</v>
      </c>
      <c r="O416" s="1">
        <f t="shared" si="5"/>
        <v>8</v>
      </c>
      <c r="P416" t="s">
        <v>916</v>
      </c>
      <c r="R416" t="s">
        <v>634</v>
      </c>
    </row>
    <row r="417" spans="1:18">
      <c r="A417">
        <v>15</v>
      </c>
      <c r="B417" t="s">
        <v>405</v>
      </c>
      <c r="C417" t="s">
        <v>483</v>
      </c>
      <c r="G417">
        <v>19</v>
      </c>
      <c r="H417" s="263"/>
      <c r="J417" t="s">
        <v>22</v>
      </c>
      <c r="K417" t="s">
        <v>30</v>
      </c>
      <c r="L417" t="s">
        <v>33</v>
      </c>
      <c r="M417" t="s">
        <v>515</v>
      </c>
      <c r="N417" s="263">
        <v>0.4</v>
      </c>
      <c r="O417" s="1">
        <f t="shared" si="5"/>
        <v>8</v>
      </c>
      <c r="P417" t="s">
        <v>916</v>
      </c>
      <c r="R417" t="s">
        <v>634</v>
      </c>
    </row>
    <row r="418" spans="1:18">
      <c r="A418">
        <v>15</v>
      </c>
      <c r="B418" t="s">
        <v>405</v>
      </c>
      <c r="C418" t="s">
        <v>483</v>
      </c>
      <c r="G418">
        <v>20</v>
      </c>
      <c r="H418" s="263"/>
      <c r="J418" t="s">
        <v>22</v>
      </c>
      <c r="K418" t="s">
        <v>30</v>
      </c>
      <c r="L418" t="s">
        <v>33</v>
      </c>
      <c r="M418" t="s">
        <v>515</v>
      </c>
      <c r="N418" s="263">
        <v>0.4</v>
      </c>
      <c r="O418" s="1">
        <f t="shared" si="5"/>
        <v>8</v>
      </c>
      <c r="P418" t="s">
        <v>916</v>
      </c>
      <c r="R418" t="s">
        <v>634</v>
      </c>
    </row>
    <row r="419" spans="1:18">
      <c r="A419">
        <v>15</v>
      </c>
      <c r="B419" t="s">
        <v>405</v>
      </c>
      <c r="C419" t="s">
        <v>483</v>
      </c>
      <c r="G419">
        <v>21</v>
      </c>
      <c r="H419" s="263"/>
      <c r="J419" t="s">
        <v>22</v>
      </c>
      <c r="K419" t="s">
        <v>30</v>
      </c>
      <c r="L419" t="s">
        <v>33</v>
      </c>
      <c r="M419" t="s">
        <v>515</v>
      </c>
      <c r="N419" s="263">
        <v>0.4</v>
      </c>
      <c r="O419" s="1">
        <f t="shared" si="5"/>
        <v>8</v>
      </c>
      <c r="P419" t="s">
        <v>916</v>
      </c>
      <c r="R419" t="s">
        <v>634</v>
      </c>
    </row>
    <row r="420" spans="1:18">
      <c r="A420">
        <v>15</v>
      </c>
      <c r="B420" t="s">
        <v>405</v>
      </c>
      <c r="C420" t="s">
        <v>483</v>
      </c>
      <c r="G420">
        <v>22</v>
      </c>
      <c r="H420" s="263"/>
      <c r="J420" t="s">
        <v>22</v>
      </c>
      <c r="K420" t="s">
        <v>30</v>
      </c>
      <c r="L420" t="s">
        <v>33</v>
      </c>
      <c r="M420" t="s">
        <v>515</v>
      </c>
      <c r="N420" s="263">
        <v>0.4</v>
      </c>
      <c r="O420" s="1">
        <f t="shared" si="5"/>
        <v>8</v>
      </c>
      <c r="P420" t="s">
        <v>916</v>
      </c>
      <c r="R420" t="s">
        <v>634</v>
      </c>
    </row>
    <row r="421" spans="1:18" hidden="1">
      <c r="A421">
        <v>15</v>
      </c>
      <c r="B421" t="s">
        <v>405</v>
      </c>
      <c r="C421" t="s">
        <v>483</v>
      </c>
      <c r="G421">
        <v>4</v>
      </c>
      <c r="J421" t="s">
        <v>22</v>
      </c>
      <c r="K421" t="s">
        <v>408</v>
      </c>
      <c r="L421" t="s">
        <v>33</v>
      </c>
      <c r="M421" t="s">
        <v>578</v>
      </c>
      <c r="O421" s="1">
        <v>4.93</v>
      </c>
      <c r="R421" t="s">
        <v>634</v>
      </c>
    </row>
    <row r="422" spans="1:18" hidden="1">
      <c r="A422">
        <v>15</v>
      </c>
      <c r="B422" t="s">
        <v>405</v>
      </c>
      <c r="C422" t="s">
        <v>483</v>
      </c>
      <c r="G422">
        <v>5</v>
      </c>
      <c r="J422" t="s">
        <v>22</v>
      </c>
      <c r="K422" t="s">
        <v>408</v>
      </c>
      <c r="L422" t="s">
        <v>33</v>
      </c>
      <c r="M422" t="s">
        <v>578</v>
      </c>
      <c r="O422" s="1">
        <v>4.93</v>
      </c>
      <c r="R422" t="s">
        <v>634</v>
      </c>
    </row>
    <row r="423" spans="1:18" hidden="1">
      <c r="A423">
        <v>15</v>
      </c>
      <c r="B423" t="s">
        <v>405</v>
      </c>
      <c r="C423" t="s">
        <v>483</v>
      </c>
      <c r="G423">
        <v>6</v>
      </c>
      <c r="J423" t="s">
        <v>22</v>
      </c>
      <c r="K423" t="s">
        <v>408</v>
      </c>
      <c r="L423" t="s">
        <v>33</v>
      </c>
      <c r="M423" t="s">
        <v>578</v>
      </c>
      <c r="O423" s="1">
        <v>4.93</v>
      </c>
      <c r="R423" t="s">
        <v>634</v>
      </c>
    </row>
    <row r="424" spans="1:18" hidden="1">
      <c r="A424">
        <v>15</v>
      </c>
      <c r="B424" t="s">
        <v>405</v>
      </c>
      <c r="C424" t="s">
        <v>483</v>
      </c>
      <c r="G424">
        <v>7</v>
      </c>
      <c r="J424" t="s">
        <v>22</v>
      </c>
      <c r="K424" t="s">
        <v>408</v>
      </c>
      <c r="L424" t="s">
        <v>33</v>
      </c>
      <c r="M424" t="s">
        <v>578</v>
      </c>
      <c r="O424" s="1">
        <v>4.93</v>
      </c>
      <c r="R424" t="s">
        <v>634</v>
      </c>
    </row>
    <row r="425" spans="1:18" hidden="1">
      <c r="A425">
        <v>15</v>
      </c>
      <c r="B425" t="s">
        <v>405</v>
      </c>
      <c r="C425" t="s">
        <v>483</v>
      </c>
      <c r="G425">
        <v>8</v>
      </c>
      <c r="J425" t="s">
        <v>22</v>
      </c>
      <c r="K425" t="s">
        <v>408</v>
      </c>
      <c r="L425" t="s">
        <v>33</v>
      </c>
      <c r="M425" t="s">
        <v>578</v>
      </c>
      <c r="O425" s="1">
        <v>4.93</v>
      </c>
      <c r="R425" t="s">
        <v>634</v>
      </c>
    </row>
    <row r="426" spans="1:18" hidden="1">
      <c r="A426">
        <v>15</v>
      </c>
      <c r="B426" t="s">
        <v>405</v>
      </c>
      <c r="C426" t="s">
        <v>483</v>
      </c>
      <c r="G426">
        <v>9</v>
      </c>
      <c r="J426" t="s">
        <v>22</v>
      </c>
      <c r="K426" t="s">
        <v>408</v>
      </c>
      <c r="L426" t="s">
        <v>33</v>
      </c>
      <c r="M426" t="s">
        <v>578</v>
      </c>
      <c r="O426" s="1">
        <v>4.93</v>
      </c>
      <c r="R426" t="s">
        <v>634</v>
      </c>
    </row>
    <row r="427" spans="1:18" hidden="1">
      <c r="A427">
        <v>15</v>
      </c>
      <c r="B427" t="s">
        <v>405</v>
      </c>
      <c r="C427" t="s">
        <v>483</v>
      </c>
      <c r="G427">
        <v>10</v>
      </c>
      <c r="J427" t="s">
        <v>22</v>
      </c>
      <c r="K427" t="s">
        <v>408</v>
      </c>
      <c r="L427" t="s">
        <v>33</v>
      </c>
      <c r="M427" t="s">
        <v>578</v>
      </c>
      <c r="O427" s="1">
        <v>4.93</v>
      </c>
      <c r="R427" t="s">
        <v>634</v>
      </c>
    </row>
    <row r="428" spans="1:18" hidden="1">
      <c r="A428">
        <v>15</v>
      </c>
      <c r="B428" t="s">
        <v>405</v>
      </c>
      <c r="C428" t="s">
        <v>483</v>
      </c>
      <c r="G428">
        <v>11</v>
      </c>
      <c r="J428" t="s">
        <v>22</v>
      </c>
      <c r="K428" t="s">
        <v>408</v>
      </c>
      <c r="L428" t="s">
        <v>33</v>
      </c>
      <c r="M428" t="s">
        <v>578</v>
      </c>
      <c r="O428" s="1">
        <v>4.93</v>
      </c>
      <c r="R428" t="s">
        <v>634</v>
      </c>
    </row>
    <row r="429" spans="1:18" hidden="1">
      <c r="A429">
        <v>15</v>
      </c>
      <c r="B429" t="s">
        <v>405</v>
      </c>
      <c r="C429" t="s">
        <v>483</v>
      </c>
      <c r="G429">
        <v>12</v>
      </c>
      <c r="J429" t="s">
        <v>22</v>
      </c>
      <c r="K429" t="s">
        <v>408</v>
      </c>
      <c r="L429" t="s">
        <v>33</v>
      </c>
      <c r="M429" t="s">
        <v>578</v>
      </c>
      <c r="O429" s="1">
        <v>4.93</v>
      </c>
      <c r="R429" t="s">
        <v>634</v>
      </c>
    </row>
    <row r="430" spans="1:18" hidden="1">
      <c r="A430">
        <v>15</v>
      </c>
      <c r="B430" t="s">
        <v>405</v>
      </c>
      <c r="C430" t="s">
        <v>483</v>
      </c>
      <c r="G430">
        <v>13</v>
      </c>
      <c r="J430" t="s">
        <v>22</v>
      </c>
      <c r="K430" t="s">
        <v>408</v>
      </c>
      <c r="L430" t="s">
        <v>33</v>
      </c>
      <c r="M430" t="s">
        <v>578</v>
      </c>
      <c r="O430" s="1">
        <v>4.93</v>
      </c>
      <c r="R430" t="s">
        <v>634</v>
      </c>
    </row>
    <row r="431" spans="1:18" hidden="1">
      <c r="A431">
        <v>15</v>
      </c>
      <c r="B431" t="s">
        <v>405</v>
      </c>
      <c r="C431" t="s">
        <v>483</v>
      </c>
      <c r="G431">
        <v>14</v>
      </c>
      <c r="J431" t="s">
        <v>22</v>
      </c>
      <c r="K431" t="s">
        <v>408</v>
      </c>
      <c r="L431" t="s">
        <v>33</v>
      </c>
      <c r="M431" t="s">
        <v>578</v>
      </c>
      <c r="O431" s="1">
        <v>4.93</v>
      </c>
      <c r="R431" t="s">
        <v>634</v>
      </c>
    </row>
    <row r="432" spans="1:18" hidden="1">
      <c r="A432">
        <v>15</v>
      </c>
      <c r="B432" t="s">
        <v>405</v>
      </c>
      <c r="C432" t="s">
        <v>483</v>
      </c>
      <c r="G432">
        <v>15</v>
      </c>
      <c r="J432" t="s">
        <v>22</v>
      </c>
      <c r="K432" t="s">
        <v>408</v>
      </c>
      <c r="L432" t="s">
        <v>33</v>
      </c>
      <c r="M432" t="s">
        <v>578</v>
      </c>
      <c r="O432" s="1">
        <v>4.93</v>
      </c>
      <c r="R432" t="s">
        <v>634</v>
      </c>
    </row>
    <row r="433" spans="1:18" hidden="1">
      <c r="A433">
        <v>15</v>
      </c>
      <c r="B433" t="s">
        <v>405</v>
      </c>
      <c r="C433" t="s">
        <v>483</v>
      </c>
      <c r="G433">
        <v>16</v>
      </c>
      <c r="J433" t="s">
        <v>22</v>
      </c>
      <c r="K433" t="s">
        <v>408</v>
      </c>
      <c r="L433" t="s">
        <v>33</v>
      </c>
      <c r="M433" t="s">
        <v>578</v>
      </c>
      <c r="O433" s="1">
        <v>4.93</v>
      </c>
      <c r="R433" t="s">
        <v>634</v>
      </c>
    </row>
    <row r="434" spans="1:18" hidden="1">
      <c r="A434">
        <v>15</v>
      </c>
      <c r="B434" t="s">
        <v>405</v>
      </c>
      <c r="C434" t="s">
        <v>483</v>
      </c>
      <c r="G434">
        <v>17</v>
      </c>
      <c r="J434" t="s">
        <v>22</v>
      </c>
      <c r="K434" t="s">
        <v>408</v>
      </c>
      <c r="L434" t="s">
        <v>33</v>
      </c>
      <c r="M434" t="s">
        <v>578</v>
      </c>
      <c r="O434" s="1">
        <v>4.93</v>
      </c>
      <c r="R434" t="s">
        <v>634</v>
      </c>
    </row>
    <row r="435" spans="1:18" hidden="1">
      <c r="A435">
        <v>15</v>
      </c>
      <c r="B435" t="s">
        <v>405</v>
      </c>
      <c r="C435" t="s">
        <v>483</v>
      </c>
      <c r="G435">
        <v>18</v>
      </c>
      <c r="J435" t="s">
        <v>22</v>
      </c>
      <c r="K435" t="s">
        <v>408</v>
      </c>
      <c r="L435" t="s">
        <v>33</v>
      </c>
      <c r="M435" t="s">
        <v>578</v>
      </c>
      <c r="O435" s="1">
        <v>4.93</v>
      </c>
      <c r="R435" t="s">
        <v>634</v>
      </c>
    </row>
    <row r="436" spans="1:18" hidden="1">
      <c r="A436">
        <v>15</v>
      </c>
      <c r="B436" t="s">
        <v>405</v>
      </c>
      <c r="C436" t="s">
        <v>483</v>
      </c>
      <c r="G436">
        <v>19</v>
      </c>
      <c r="J436" t="s">
        <v>22</v>
      </c>
      <c r="K436" t="s">
        <v>408</v>
      </c>
      <c r="L436" t="s">
        <v>33</v>
      </c>
      <c r="M436" t="s">
        <v>578</v>
      </c>
      <c r="O436" s="1">
        <v>4.93</v>
      </c>
      <c r="R436" t="s">
        <v>634</v>
      </c>
    </row>
    <row r="437" spans="1:18" hidden="1">
      <c r="A437">
        <v>15</v>
      </c>
      <c r="B437" t="s">
        <v>405</v>
      </c>
      <c r="C437" t="s">
        <v>483</v>
      </c>
      <c r="G437">
        <v>20</v>
      </c>
      <c r="J437" t="s">
        <v>22</v>
      </c>
      <c r="K437" t="s">
        <v>408</v>
      </c>
      <c r="L437" t="s">
        <v>33</v>
      </c>
      <c r="M437" t="s">
        <v>578</v>
      </c>
      <c r="O437" s="1">
        <v>4.93</v>
      </c>
      <c r="R437" t="s">
        <v>634</v>
      </c>
    </row>
    <row r="438" spans="1:18" hidden="1">
      <c r="A438">
        <v>15</v>
      </c>
      <c r="B438" t="s">
        <v>405</v>
      </c>
      <c r="C438" t="s">
        <v>483</v>
      </c>
      <c r="G438">
        <v>21</v>
      </c>
      <c r="J438" t="s">
        <v>22</v>
      </c>
      <c r="K438" t="s">
        <v>408</v>
      </c>
      <c r="L438" t="s">
        <v>33</v>
      </c>
      <c r="M438" t="s">
        <v>578</v>
      </c>
      <c r="O438" s="1">
        <v>4.93</v>
      </c>
      <c r="R438" t="s">
        <v>634</v>
      </c>
    </row>
    <row r="439" spans="1:18" hidden="1">
      <c r="A439">
        <v>15</v>
      </c>
      <c r="B439" t="s">
        <v>405</v>
      </c>
      <c r="C439" t="s">
        <v>483</v>
      </c>
      <c r="G439">
        <v>22</v>
      </c>
      <c r="J439" t="s">
        <v>22</v>
      </c>
      <c r="K439" t="s">
        <v>408</v>
      </c>
      <c r="L439" t="s">
        <v>33</v>
      </c>
      <c r="M439" t="s">
        <v>578</v>
      </c>
      <c r="O439" s="1">
        <v>4.93</v>
      </c>
      <c r="R439" t="s">
        <v>634</v>
      </c>
    </row>
    <row r="440" spans="1:18" hidden="1">
      <c r="A440">
        <v>15</v>
      </c>
      <c r="B440" t="s">
        <v>405</v>
      </c>
      <c r="C440" t="s">
        <v>483</v>
      </c>
      <c r="G440">
        <v>4</v>
      </c>
      <c r="J440" t="s">
        <v>22</v>
      </c>
      <c r="K440" t="s">
        <v>71</v>
      </c>
      <c r="L440" t="s">
        <v>33</v>
      </c>
      <c r="M440" t="s">
        <v>516</v>
      </c>
      <c r="O440" s="1">
        <v>21.38</v>
      </c>
      <c r="R440" t="s">
        <v>634</v>
      </c>
    </row>
    <row r="441" spans="1:18" hidden="1">
      <c r="A441">
        <v>15</v>
      </c>
      <c r="B441" t="s">
        <v>405</v>
      </c>
      <c r="C441" t="s">
        <v>483</v>
      </c>
      <c r="G441">
        <v>5</v>
      </c>
      <c r="J441" t="s">
        <v>22</v>
      </c>
      <c r="K441" t="s">
        <v>71</v>
      </c>
      <c r="L441" t="s">
        <v>33</v>
      </c>
      <c r="M441" t="s">
        <v>516</v>
      </c>
      <c r="O441" s="1">
        <v>21.38</v>
      </c>
      <c r="R441" t="s">
        <v>634</v>
      </c>
    </row>
    <row r="442" spans="1:18" hidden="1">
      <c r="A442">
        <v>15</v>
      </c>
      <c r="B442" t="s">
        <v>405</v>
      </c>
      <c r="C442" t="s">
        <v>483</v>
      </c>
      <c r="G442">
        <v>6</v>
      </c>
      <c r="J442" t="s">
        <v>22</v>
      </c>
      <c r="K442" t="s">
        <v>71</v>
      </c>
      <c r="L442" t="s">
        <v>33</v>
      </c>
      <c r="M442" t="s">
        <v>516</v>
      </c>
      <c r="O442" s="1">
        <v>21.38</v>
      </c>
      <c r="R442" t="s">
        <v>634</v>
      </c>
    </row>
    <row r="443" spans="1:18" hidden="1">
      <c r="A443">
        <v>15</v>
      </c>
      <c r="B443" t="s">
        <v>405</v>
      </c>
      <c r="C443" t="s">
        <v>483</v>
      </c>
      <c r="G443">
        <v>7</v>
      </c>
      <c r="J443" t="s">
        <v>22</v>
      </c>
      <c r="K443" t="s">
        <v>71</v>
      </c>
      <c r="L443" t="s">
        <v>33</v>
      </c>
      <c r="M443" t="s">
        <v>516</v>
      </c>
      <c r="O443" s="1">
        <v>21.38</v>
      </c>
      <c r="R443" t="s">
        <v>634</v>
      </c>
    </row>
    <row r="444" spans="1:18" hidden="1">
      <c r="A444">
        <v>15</v>
      </c>
      <c r="B444" t="s">
        <v>405</v>
      </c>
      <c r="C444" t="s">
        <v>483</v>
      </c>
      <c r="G444">
        <v>8</v>
      </c>
      <c r="J444" t="s">
        <v>22</v>
      </c>
      <c r="K444" t="s">
        <v>71</v>
      </c>
      <c r="L444" t="s">
        <v>33</v>
      </c>
      <c r="M444" t="s">
        <v>516</v>
      </c>
      <c r="O444" s="1">
        <v>21.38</v>
      </c>
      <c r="R444" t="s">
        <v>634</v>
      </c>
    </row>
    <row r="445" spans="1:18" hidden="1">
      <c r="A445">
        <v>15</v>
      </c>
      <c r="B445" t="s">
        <v>405</v>
      </c>
      <c r="C445" t="s">
        <v>483</v>
      </c>
      <c r="G445">
        <v>9</v>
      </c>
      <c r="J445" t="s">
        <v>22</v>
      </c>
      <c r="K445" t="s">
        <v>71</v>
      </c>
      <c r="L445" t="s">
        <v>33</v>
      </c>
      <c r="M445" t="s">
        <v>516</v>
      </c>
      <c r="O445" s="1">
        <v>21.38</v>
      </c>
      <c r="R445" t="s">
        <v>634</v>
      </c>
    </row>
    <row r="446" spans="1:18" hidden="1">
      <c r="A446">
        <v>15</v>
      </c>
      <c r="B446" t="s">
        <v>405</v>
      </c>
      <c r="C446" t="s">
        <v>483</v>
      </c>
      <c r="G446">
        <v>10</v>
      </c>
      <c r="J446" t="s">
        <v>22</v>
      </c>
      <c r="K446" t="s">
        <v>71</v>
      </c>
      <c r="L446" t="s">
        <v>33</v>
      </c>
      <c r="M446" t="s">
        <v>516</v>
      </c>
      <c r="O446" s="1">
        <v>21.38</v>
      </c>
      <c r="R446" t="s">
        <v>634</v>
      </c>
    </row>
    <row r="447" spans="1:18" hidden="1">
      <c r="A447">
        <v>15</v>
      </c>
      <c r="B447" t="s">
        <v>405</v>
      </c>
      <c r="C447" t="s">
        <v>483</v>
      </c>
      <c r="G447">
        <v>11</v>
      </c>
      <c r="J447" t="s">
        <v>22</v>
      </c>
      <c r="K447" t="s">
        <v>71</v>
      </c>
      <c r="L447" t="s">
        <v>33</v>
      </c>
      <c r="M447" t="s">
        <v>516</v>
      </c>
      <c r="O447" s="1">
        <v>21.38</v>
      </c>
      <c r="R447" t="s">
        <v>634</v>
      </c>
    </row>
    <row r="448" spans="1:18" hidden="1">
      <c r="A448">
        <v>15</v>
      </c>
      <c r="B448" t="s">
        <v>405</v>
      </c>
      <c r="C448" t="s">
        <v>483</v>
      </c>
      <c r="G448">
        <v>12</v>
      </c>
      <c r="J448" t="s">
        <v>22</v>
      </c>
      <c r="K448" t="s">
        <v>71</v>
      </c>
      <c r="L448" t="s">
        <v>33</v>
      </c>
      <c r="M448" t="s">
        <v>516</v>
      </c>
      <c r="O448" s="1">
        <v>21.38</v>
      </c>
      <c r="R448" t="s">
        <v>634</v>
      </c>
    </row>
    <row r="449" spans="1:18" hidden="1">
      <c r="A449">
        <v>15</v>
      </c>
      <c r="B449" t="s">
        <v>405</v>
      </c>
      <c r="C449" t="s">
        <v>483</v>
      </c>
      <c r="G449">
        <v>13</v>
      </c>
      <c r="J449" t="s">
        <v>22</v>
      </c>
      <c r="K449" t="s">
        <v>71</v>
      </c>
      <c r="L449" t="s">
        <v>33</v>
      </c>
      <c r="M449" t="s">
        <v>516</v>
      </c>
      <c r="O449" s="1">
        <v>21.38</v>
      </c>
      <c r="R449" t="s">
        <v>634</v>
      </c>
    </row>
    <row r="450" spans="1:18" hidden="1">
      <c r="A450">
        <v>15</v>
      </c>
      <c r="B450" t="s">
        <v>405</v>
      </c>
      <c r="C450" t="s">
        <v>483</v>
      </c>
      <c r="G450">
        <v>14</v>
      </c>
      <c r="J450" t="s">
        <v>22</v>
      </c>
      <c r="K450" t="s">
        <v>71</v>
      </c>
      <c r="L450" t="s">
        <v>33</v>
      </c>
      <c r="M450" t="s">
        <v>516</v>
      </c>
      <c r="O450" s="1">
        <v>21.38</v>
      </c>
      <c r="R450" t="s">
        <v>634</v>
      </c>
    </row>
    <row r="451" spans="1:18" hidden="1">
      <c r="A451">
        <v>15</v>
      </c>
      <c r="B451" t="s">
        <v>405</v>
      </c>
      <c r="C451" t="s">
        <v>483</v>
      </c>
      <c r="G451">
        <v>15</v>
      </c>
      <c r="J451" t="s">
        <v>22</v>
      </c>
      <c r="K451" t="s">
        <v>71</v>
      </c>
      <c r="L451" t="s">
        <v>33</v>
      </c>
      <c r="M451" t="s">
        <v>516</v>
      </c>
      <c r="O451" s="1">
        <v>21.38</v>
      </c>
      <c r="R451" t="s">
        <v>634</v>
      </c>
    </row>
    <row r="452" spans="1:18" hidden="1">
      <c r="A452">
        <v>15</v>
      </c>
      <c r="B452" t="s">
        <v>405</v>
      </c>
      <c r="C452" t="s">
        <v>483</v>
      </c>
      <c r="G452">
        <v>16</v>
      </c>
      <c r="J452" t="s">
        <v>22</v>
      </c>
      <c r="K452" t="s">
        <v>71</v>
      </c>
      <c r="L452" t="s">
        <v>33</v>
      </c>
      <c r="M452" t="s">
        <v>516</v>
      </c>
      <c r="O452" s="1">
        <v>21.38</v>
      </c>
      <c r="R452" t="s">
        <v>634</v>
      </c>
    </row>
    <row r="453" spans="1:18" hidden="1">
      <c r="A453">
        <v>15</v>
      </c>
      <c r="B453" t="s">
        <v>405</v>
      </c>
      <c r="C453" t="s">
        <v>483</v>
      </c>
      <c r="G453">
        <v>17</v>
      </c>
      <c r="J453" t="s">
        <v>22</v>
      </c>
      <c r="K453" t="s">
        <v>71</v>
      </c>
      <c r="L453" t="s">
        <v>33</v>
      </c>
      <c r="M453" t="s">
        <v>516</v>
      </c>
      <c r="O453" s="1">
        <v>21.38</v>
      </c>
      <c r="R453" t="s">
        <v>634</v>
      </c>
    </row>
    <row r="454" spans="1:18" hidden="1">
      <c r="A454">
        <v>15</v>
      </c>
      <c r="B454" t="s">
        <v>405</v>
      </c>
      <c r="C454" t="s">
        <v>483</v>
      </c>
      <c r="G454">
        <v>18</v>
      </c>
      <c r="J454" t="s">
        <v>22</v>
      </c>
      <c r="K454" t="s">
        <v>71</v>
      </c>
      <c r="L454" t="s">
        <v>33</v>
      </c>
      <c r="M454" t="s">
        <v>516</v>
      </c>
      <c r="O454" s="1">
        <v>21.38</v>
      </c>
      <c r="R454" t="s">
        <v>634</v>
      </c>
    </row>
    <row r="455" spans="1:18" hidden="1">
      <c r="A455">
        <v>15</v>
      </c>
      <c r="B455" t="s">
        <v>405</v>
      </c>
      <c r="C455" t="s">
        <v>483</v>
      </c>
      <c r="G455">
        <v>19</v>
      </c>
      <c r="J455" t="s">
        <v>22</v>
      </c>
      <c r="K455" t="s">
        <v>71</v>
      </c>
      <c r="L455" t="s">
        <v>33</v>
      </c>
      <c r="M455" t="s">
        <v>516</v>
      </c>
      <c r="O455" s="1">
        <v>21.38</v>
      </c>
      <c r="R455" t="s">
        <v>634</v>
      </c>
    </row>
    <row r="456" spans="1:18" hidden="1">
      <c r="A456">
        <v>15</v>
      </c>
      <c r="B456" t="s">
        <v>405</v>
      </c>
      <c r="C456" t="s">
        <v>483</v>
      </c>
      <c r="G456">
        <v>20</v>
      </c>
      <c r="J456" t="s">
        <v>22</v>
      </c>
      <c r="K456" t="s">
        <v>71</v>
      </c>
      <c r="L456" t="s">
        <v>33</v>
      </c>
      <c r="M456" t="s">
        <v>516</v>
      </c>
      <c r="O456" s="1">
        <v>21.38</v>
      </c>
      <c r="R456" t="s">
        <v>634</v>
      </c>
    </row>
    <row r="457" spans="1:18" hidden="1">
      <c r="A457">
        <v>15</v>
      </c>
      <c r="B457" t="s">
        <v>405</v>
      </c>
      <c r="C457" t="s">
        <v>483</v>
      </c>
      <c r="G457">
        <v>21</v>
      </c>
      <c r="J457" t="s">
        <v>22</v>
      </c>
      <c r="K457" t="s">
        <v>71</v>
      </c>
      <c r="L457" t="s">
        <v>33</v>
      </c>
      <c r="M457" t="s">
        <v>516</v>
      </c>
      <c r="O457" s="1">
        <v>21.38</v>
      </c>
      <c r="R457" t="s">
        <v>634</v>
      </c>
    </row>
    <row r="458" spans="1:18" hidden="1">
      <c r="A458">
        <v>15</v>
      </c>
      <c r="B458" t="s">
        <v>405</v>
      </c>
      <c r="C458" t="s">
        <v>483</v>
      </c>
      <c r="G458">
        <v>22</v>
      </c>
      <c r="J458" t="s">
        <v>22</v>
      </c>
      <c r="K458" t="s">
        <v>71</v>
      </c>
      <c r="L458" t="s">
        <v>33</v>
      </c>
      <c r="M458" t="s">
        <v>516</v>
      </c>
      <c r="O458" s="1">
        <v>21.38</v>
      </c>
      <c r="R458" t="s">
        <v>634</v>
      </c>
    </row>
    <row r="459" spans="1:18">
      <c r="A459">
        <v>15</v>
      </c>
      <c r="B459" t="s">
        <v>405</v>
      </c>
      <c r="C459" t="s">
        <v>483</v>
      </c>
      <c r="G459">
        <v>4</v>
      </c>
      <c r="H459" s="263"/>
      <c r="J459" t="s">
        <v>22</v>
      </c>
      <c r="K459" t="s">
        <v>30</v>
      </c>
      <c r="L459" t="s">
        <v>33</v>
      </c>
      <c r="M459" t="s">
        <v>537</v>
      </c>
      <c r="N459" s="263">
        <v>4</v>
      </c>
      <c r="O459" s="1">
        <f>13.5*4</f>
        <v>54</v>
      </c>
      <c r="P459" t="s">
        <v>913</v>
      </c>
      <c r="R459" t="s">
        <v>634</v>
      </c>
    </row>
    <row r="460" spans="1:18">
      <c r="A460">
        <v>15</v>
      </c>
      <c r="B460" t="s">
        <v>405</v>
      </c>
      <c r="C460" t="s">
        <v>483</v>
      </c>
      <c r="G460">
        <v>5</v>
      </c>
      <c r="H460" s="263"/>
      <c r="J460" t="s">
        <v>22</v>
      </c>
      <c r="K460" t="s">
        <v>30</v>
      </c>
      <c r="L460" t="s">
        <v>33</v>
      </c>
      <c r="M460" t="s">
        <v>537</v>
      </c>
      <c r="N460" s="263">
        <v>4</v>
      </c>
      <c r="O460" s="1">
        <f t="shared" ref="O460:O496" si="6">13.5*4</f>
        <v>54</v>
      </c>
      <c r="P460" t="s">
        <v>913</v>
      </c>
      <c r="R460" t="s">
        <v>634</v>
      </c>
    </row>
    <row r="461" spans="1:18">
      <c r="A461">
        <v>15</v>
      </c>
      <c r="B461" t="s">
        <v>405</v>
      </c>
      <c r="C461" t="s">
        <v>483</v>
      </c>
      <c r="G461">
        <v>6</v>
      </c>
      <c r="H461" s="263"/>
      <c r="J461" t="s">
        <v>22</v>
      </c>
      <c r="K461" t="s">
        <v>30</v>
      </c>
      <c r="L461" t="s">
        <v>33</v>
      </c>
      <c r="M461" t="s">
        <v>537</v>
      </c>
      <c r="N461" s="263">
        <v>4</v>
      </c>
      <c r="O461" s="1">
        <f t="shared" si="6"/>
        <v>54</v>
      </c>
      <c r="P461" t="s">
        <v>913</v>
      </c>
      <c r="R461" t="s">
        <v>634</v>
      </c>
    </row>
    <row r="462" spans="1:18">
      <c r="A462">
        <v>15</v>
      </c>
      <c r="B462" t="s">
        <v>405</v>
      </c>
      <c r="C462" t="s">
        <v>483</v>
      </c>
      <c r="G462">
        <v>7</v>
      </c>
      <c r="H462" s="263"/>
      <c r="J462" t="s">
        <v>22</v>
      </c>
      <c r="K462" t="s">
        <v>30</v>
      </c>
      <c r="L462" t="s">
        <v>33</v>
      </c>
      <c r="M462" t="s">
        <v>537</v>
      </c>
      <c r="N462" s="263">
        <v>4</v>
      </c>
      <c r="O462" s="1">
        <f t="shared" si="6"/>
        <v>54</v>
      </c>
      <c r="P462" t="s">
        <v>913</v>
      </c>
      <c r="R462" t="s">
        <v>634</v>
      </c>
    </row>
    <row r="463" spans="1:18">
      <c r="A463">
        <v>15</v>
      </c>
      <c r="B463" t="s">
        <v>405</v>
      </c>
      <c r="C463" t="s">
        <v>483</v>
      </c>
      <c r="G463">
        <v>8</v>
      </c>
      <c r="H463" s="263"/>
      <c r="J463" t="s">
        <v>22</v>
      </c>
      <c r="K463" t="s">
        <v>30</v>
      </c>
      <c r="L463" t="s">
        <v>33</v>
      </c>
      <c r="M463" t="s">
        <v>537</v>
      </c>
      <c r="N463" s="263">
        <v>4</v>
      </c>
      <c r="O463" s="1">
        <f t="shared" si="6"/>
        <v>54</v>
      </c>
      <c r="P463" t="s">
        <v>913</v>
      </c>
      <c r="R463" t="s">
        <v>634</v>
      </c>
    </row>
    <row r="464" spans="1:18">
      <c r="A464">
        <v>15</v>
      </c>
      <c r="B464" t="s">
        <v>405</v>
      </c>
      <c r="C464" t="s">
        <v>483</v>
      </c>
      <c r="G464">
        <v>9</v>
      </c>
      <c r="H464" s="263"/>
      <c r="J464" t="s">
        <v>22</v>
      </c>
      <c r="K464" t="s">
        <v>30</v>
      </c>
      <c r="L464" t="s">
        <v>33</v>
      </c>
      <c r="M464" t="s">
        <v>537</v>
      </c>
      <c r="N464" s="263">
        <v>4</v>
      </c>
      <c r="O464" s="1">
        <f t="shared" si="6"/>
        <v>54</v>
      </c>
      <c r="P464" t="s">
        <v>913</v>
      </c>
      <c r="R464" t="s">
        <v>634</v>
      </c>
    </row>
    <row r="465" spans="1:18">
      <c r="A465">
        <v>15</v>
      </c>
      <c r="B465" t="s">
        <v>405</v>
      </c>
      <c r="C465" t="s">
        <v>483</v>
      </c>
      <c r="G465">
        <v>10</v>
      </c>
      <c r="H465" s="263"/>
      <c r="J465" t="s">
        <v>22</v>
      </c>
      <c r="K465" t="s">
        <v>30</v>
      </c>
      <c r="L465" t="s">
        <v>33</v>
      </c>
      <c r="M465" t="s">
        <v>537</v>
      </c>
      <c r="N465" s="263">
        <v>4</v>
      </c>
      <c r="O465" s="1">
        <f t="shared" si="6"/>
        <v>54</v>
      </c>
      <c r="P465" t="s">
        <v>913</v>
      </c>
      <c r="R465" t="s">
        <v>634</v>
      </c>
    </row>
    <row r="466" spans="1:18">
      <c r="A466">
        <v>15</v>
      </c>
      <c r="B466" t="s">
        <v>405</v>
      </c>
      <c r="C466" t="s">
        <v>483</v>
      </c>
      <c r="G466">
        <v>11</v>
      </c>
      <c r="H466" s="263"/>
      <c r="J466" t="s">
        <v>22</v>
      </c>
      <c r="K466" t="s">
        <v>30</v>
      </c>
      <c r="L466" t="s">
        <v>33</v>
      </c>
      <c r="M466" t="s">
        <v>537</v>
      </c>
      <c r="N466" s="263">
        <v>4</v>
      </c>
      <c r="O466" s="1">
        <f t="shared" si="6"/>
        <v>54</v>
      </c>
      <c r="P466" t="s">
        <v>913</v>
      </c>
      <c r="R466" t="s">
        <v>634</v>
      </c>
    </row>
    <row r="467" spans="1:18">
      <c r="A467">
        <v>15</v>
      </c>
      <c r="B467" t="s">
        <v>405</v>
      </c>
      <c r="C467" t="s">
        <v>483</v>
      </c>
      <c r="G467">
        <v>12</v>
      </c>
      <c r="H467" s="263"/>
      <c r="J467" t="s">
        <v>22</v>
      </c>
      <c r="K467" t="s">
        <v>30</v>
      </c>
      <c r="L467" t="s">
        <v>33</v>
      </c>
      <c r="M467" t="s">
        <v>537</v>
      </c>
      <c r="N467" s="263">
        <v>4</v>
      </c>
      <c r="O467" s="1">
        <f t="shared" si="6"/>
        <v>54</v>
      </c>
      <c r="P467" t="s">
        <v>913</v>
      </c>
      <c r="R467" t="s">
        <v>634</v>
      </c>
    </row>
    <row r="468" spans="1:18">
      <c r="A468">
        <v>15</v>
      </c>
      <c r="B468" t="s">
        <v>405</v>
      </c>
      <c r="C468" t="s">
        <v>483</v>
      </c>
      <c r="G468">
        <v>13</v>
      </c>
      <c r="H468" s="263"/>
      <c r="J468" t="s">
        <v>22</v>
      </c>
      <c r="K468" t="s">
        <v>30</v>
      </c>
      <c r="L468" t="s">
        <v>33</v>
      </c>
      <c r="M468" t="s">
        <v>537</v>
      </c>
      <c r="N468" s="263">
        <v>4</v>
      </c>
      <c r="O468" s="1">
        <f t="shared" si="6"/>
        <v>54</v>
      </c>
      <c r="P468" t="s">
        <v>913</v>
      </c>
      <c r="R468" t="s">
        <v>634</v>
      </c>
    </row>
    <row r="469" spans="1:18">
      <c r="A469">
        <v>15</v>
      </c>
      <c r="B469" t="s">
        <v>405</v>
      </c>
      <c r="C469" t="s">
        <v>483</v>
      </c>
      <c r="G469">
        <v>14</v>
      </c>
      <c r="H469" s="263"/>
      <c r="J469" t="s">
        <v>22</v>
      </c>
      <c r="K469" t="s">
        <v>30</v>
      </c>
      <c r="L469" t="s">
        <v>33</v>
      </c>
      <c r="M469" t="s">
        <v>537</v>
      </c>
      <c r="N469" s="263">
        <v>4</v>
      </c>
      <c r="O469" s="1">
        <f t="shared" si="6"/>
        <v>54</v>
      </c>
      <c r="P469" t="s">
        <v>913</v>
      </c>
      <c r="R469" t="s">
        <v>634</v>
      </c>
    </row>
    <row r="470" spans="1:18">
      <c r="A470">
        <v>15</v>
      </c>
      <c r="B470" t="s">
        <v>405</v>
      </c>
      <c r="C470" t="s">
        <v>483</v>
      </c>
      <c r="G470">
        <v>15</v>
      </c>
      <c r="H470" s="263"/>
      <c r="J470" t="s">
        <v>22</v>
      </c>
      <c r="K470" t="s">
        <v>30</v>
      </c>
      <c r="L470" t="s">
        <v>33</v>
      </c>
      <c r="M470" t="s">
        <v>537</v>
      </c>
      <c r="N470" s="263">
        <v>4</v>
      </c>
      <c r="O470" s="1">
        <f t="shared" si="6"/>
        <v>54</v>
      </c>
      <c r="P470" t="s">
        <v>913</v>
      </c>
      <c r="R470" t="s">
        <v>634</v>
      </c>
    </row>
    <row r="471" spans="1:18">
      <c r="A471">
        <v>15</v>
      </c>
      <c r="B471" t="s">
        <v>405</v>
      </c>
      <c r="C471" t="s">
        <v>483</v>
      </c>
      <c r="G471">
        <v>16</v>
      </c>
      <c r="H471" s="263"/>
      <c r="J471" t="s">
        <v>22</v>
      </c>
      <c r="K471" t="s">
        <v>30</v>
      </c>
      <c r="L471" t="s">
        <v>33</v>
      </c>
      <c r="M471" t="s">
        <v>537</v>
      </c>
      <c r="N471" s="263">
        <v>4</v>
      </c>
      <c r="O471" s="1">
        <f t="shared" si="6"/>
        <v>54</v>
      </c>
      <c r="P471" t="s">
        <v>913</v>
      </c>
      <c r="R471" t="s">
        <v>634</v>
      </c>
    </row>
    <row r="472" spans="1:18">
      <c r="A472">
        <v>15</v>
      </c>
      <c r="B472" t="s">
        <v>405</v>
      </c>
      <c r="C472" t="s">
        <v>483</v>
      </c>
      <c r="G472">
        <v>17</v>
      </c>
      <c r="H472" s="263"/>
      <c r="J472" t="s">
        <v>22</v>
      </c>
      <c r="K472" t="s">
        <v>30</v>
      </c>
      <c r="L472" t="s">
        <v>33</v>
      </c>
      <c r="M472" t="s">
        <v>537</v>
      </c>
      <c r="N472" s="263">
        <v>4</v>
      </c>
      <c r="O472" s="1">
        <f t="shared" si="6"/>
        <v>54</v>
      </c>
      <c r="P472" t="s">
        <v>913</v>
      </c>
      <c r="R472" t="s">
        <v>634</v>
      </c>
    </row>
    <row r="473" spans="1:18">
      <c r="A473">
        <v>15</v>
      </c>
      <c r="B473" t="s">
        <v>405</v>
      </c>
      <c r="C473" t="s">
        <v>483</v>
      </c>
      <c r="G473">
        <v>18</v>
      </c>
      <c r="H473" s="263"/>
      <c r="J473" t="s">
        <v>22</v>
      </c>
      <c r="K473" t="s">
        <v>30</v>
      </c>
      <c r="L473" t="s">
        <v>33</v>
      </c>
      <c r="M473" t="s">
        <v>537</v>
      </c>
      <c r="N473" s="263">
        <v>4</v>
      </c>
      <c r="O473" s="1">
        <f t="shared" si="6"/>
        <v>54</v>
      </c>
      <c r="P473" t="s">
        <v>913</v>
      </c>
      <c r="R473" t="s">
        <v>634</v>
      </c>
    </row>
    <row r="474" spans="1:18">
      <c r="A474">
        <v>15</v>
      </c>
      <c r="B474" t="s">
        <v>405</v>
      </c>
      <c r="C474" t="s">
        <v>483</v>
      </c>
      <c r="G474">
        <v>19</v>
      </c>
      <c r="H474" s="263"/>
      <c r="J474" t="s">
        <v>22</v>
      </c>
      <c r="K474" t="s">
        <v>30</v>
      </c>
      <c r="L474" t="s">
        <v>33</v>
      </c>
      <c r="M474" t="s">
        <v>537</v>
      </c>
      <c r="N474" s="263">
        <v>4</v>
      </c>
      <c r="O474" s="1">
        <f t="shared" si="6"/>
        <v>54</v>
      </c>
      <c r="P474" t="s">
        <v>913</v>
      </c>
      <c r="R474" t="s">
        <v>634</v>
      </c>
    </row>
    <row r="475" spans="1:18">
      <c r="A475">
        <v>15</v>
      </c>
      <c r="B475" t="s">
        <v>405</v>
      </c>
      <c r="C475" t="s">
        <v>483</v>
      </c>
      <c r="G475">
        <v>20</v>
      </c>
      <c r="H475" s="263"/>
      <c r="J475" t="s">
        <v>22</v>
      </c>
      <c r="K475" t="s">
        <v>30</v>
      </c>
      <c r="L475" t="s">
        <v>33</v>
      </c>
      <c r="M475" t="s">
        <v>537</v>
      </c>
      <c r="N475" s="263">
        <v>4</v>
      </c>
      <c r="O475" s="1">
        <f t="shared" si="6"/>
        <v>54</v>
      </c>
      <c r="P475" t="s">
        <v>913</v>
      </c>
      <c r="R475" t="s">
        <v>634</v>
      </c>
    </row>
    <row r="476" spans="1:18">
      <c r="A476">
        <v>15</v>
      </c>
      <c r="B476" t="s">
        <v>405</v>
      </c>
      <c r="C476" t="s">
        <v>483</v>
      </c>
      <c r="G476">
        <v>21</v>
      </c>
      <c r="H476" s="263"/>
      <c r="J476" t="s">
        <v>22</v>
      </c>
      <c r="K476" t="s">
        <v>30</v>
      </c>
      <c r="L476" t="s">
        <v>33</v>
      </c>
      <c r="M476" t="s">
        <v>537</v>
      </c>
      <c r="N476" s="263">
        <v>4</v>
      </c>
      <c r="O476" s="1">
        <f t="shared" si="6"/>
        <v>54</v>
      </c>
      <c r="P476" t="s">
        <v>913</v>
      </c>
      <c r="R476" t="s">
        <v>634</v>
      </c>
    </row>
    <row r="477" spans="1:18">
      <c r="A477">
        <v>15</v>
      </c>
      <c r="B477" t="s">
        <v>405</v>
      </c>
      <c r="C477" t="s">
        <v>483</v>
      </c>
      <c r="G477">
        <v>22</v>
      </c>
      <c r="H477" s="263"/>
      <c r="J477" t="s">
        <v>22</v>
      </c>
      <c r="K477" t="s">
        <v>30</v>
      </c>
      <c r="L477" t="s">
        <v>33</v>
      </c>
      <c r="M477" t="s">
        <v>537</v>
      </c>
      <c r="N477" s="263">
        <v>4</v>
      </c>
      <c r="O477" s="1">
        <f t="shared" si="6"/>
        <v>54</v>
      </c>
      <c r="P477" t="s">
        <v>913</v>
      </c>
      <c r="R477" t="s">
        <v>634</v>
      </c>
    </row>
    <row r="478" spans="1:18">
      <c r="A478">
        <v>15</v>
      </c>
      <c r="B478" t="s">
        <v>405</v>
      </c>
      <c r="C478" t="s">
        <v>483</v>
      </c>
      <c r="G478">
        <v>4</v>
      </c>
      <c r="H478" s="263"/>
      <c r="J478" t="s">
        <v>22</v>
      </c>
      <c r="K478" t="s">
        <v>30</v>
      </c>
      <c r="L478" t="s">
        <v>33</v>
      </c>
      <c r="M478" t="s">
        <v>915</v>
      </c>
      <c r="N478" s="263">
        <v>4</v>
      </c>
      <c r="O478" s="1">
        <f t="shared" si="6"/>
        <v>54</v>
      </c>
      <c r="P478" t="s">
        <v>913</v>
      </c>
      <c r="R478" t="s">
        <v>634</v>
      </c>
    </row>
    <row r="479" spans="1:18">
      <c r="A479">
        <v>15</v>
      </c>
      <c r="B479" t="s">
        <v>405</v>
      </c>
      <c r="C479" t="s">
        <v>483</v>
      </c>
      <c r="G479">
        <v>5</v>
      </c>
      <c r="H479" s="263"/>
      <c r="J479" t="s">
        <v>22</v>
      </c>
      <c r="K479" t="s">
        <v>30</v>
      </c>
      <c r="L479" t="s">
        <v>33</v>
      </c>
      <c r="M479" t="s">
        <v>538</v>
      </c>
      <c r="N479" s="263">
        <v>4</v>
      </c>
      <c r="O479" s="1">
        <f t="shared" si="6"/>
        <v>54</v>
      </c>
      <c r="P479" t="s">
        <v>913</v>
      </c>
      <c r="R479" t="s">
        <v>634</v>
      </c>
    </row>
    <row r="480" spans="1:18">
      <c r="A480">
        <v>15</v>
      </c>
      <c r="B480" t="s">
        <v>405</v>
      </c>
      <c r="C480" t="s">
        <v>483</v>
      </c>
      <c r="G480">
        <v>6</v>
      </c>
      <c r="H480" s="263"/>
      <c r="J480" t="s">
        <v>22</v>
      </c>
      <c r="K480" t="s">
        <v>30</v>
      </c>
      <c r="L480" t="s">
        <v>33</v>
      </c>
      <c r="M480" t="s">
        <v>538</v>
      </c>
      <c r="N480" s="263">
        <v>4</v>
      </c>
      <c r="O480" s="1">
        <f t="shared" si="6"/>
        <v>54</v>
      </c>
      <c r="P480" t="s">
        <v>913</v>
      </c>
      <c r="R480" t="s">
        <v>634</v>
      </c>
    </row>
    <row r="481" spans="1:18">
      <c r="A481">
        <v>15</v>
      </c>
      <c r="B481" t="s">
        <v>405</v>
      </c>
      <c r="C481" t="s">
        <v>483</v>
      </c>
      <c r="G481">
        <v>7</v>
      </c>
      <c r="H481" s="263"/>
      <c r="J481" t="s">
        <v>22</v>
      </c>
      <c r="K481" t="s">
        <v>30</v>
      </c>
      <c r="L481" t="s">
        <v>33</v>
      </c>
      <c r="M481" t="s">
        <v>538</v>
      </c>
      <c r="N481" s="263">
        <v>4</v>
      </c>
      <c r="O481" s="1">
        <f t="shared" si="6"/>
        <v>54</v>
      </c>
      <c r="P481" t="s">
        <v>913</v>
      </c>
      <c r="R481" t="s">
        <v>634</v>
      </c>
    </row>
    <row r="482" spans="1:18">
      <c r="A482">
        <v>15</v>
      </c>
      <c r="B482" t="s">
        <v>405</v>
      </c>
      <c r="C482" t="s">
        <v>483</v>
      </c>
      <c r="G482">
        <v>8</v>
      </c>
      <c r="H482" s="263"/>
      <c r="J482" t="s">
        <v>22</v>
      </c>
      <c r="K482" t="s">
        <v>30</v>
      </c>
      <c r="L482" t="s">
        <v>33</v>
      </c>
      <c r="M482" t="s">
        <v>538</v>
      </c>
      <c r="N482" s="263">
        <v>4</v>
      </c>
      <c r="O482" s="1">
        <f t="shared" si="6"/>
        <v>54</v>
      </c>
      <c r="P482" t="s">
        <v>913</v>
      </c>
      <c r="R482" t="s">
        <v>634</v>
      </c>
    </row>
    <row r="483" spans="1:18">
      <c r="A483">
        <v>15</v>
      </c>
      <c r="B483" t="s">
        <v>405</v>
      </c>
      <c r="C483" t="s">
        <v>483</v>
      </c>
      <c r="G483">
        <v>9</v>
      </c>
      <c r="H483" s="263"/>
      <c r="J483" t="s">
        <v>22</v>
      </c>
      <c r="K483" t="s">
        <v>30</v>
      </c>
      <c r="L483" t="s">
        <v>33</v>
      </c>
      <c r="M483" t="s">
        <v>538</v>
      </c>
      <c r="N483" s="263">
        <v>4</v>
      </c>
      <c r="O483" s="1">
        <f t="shared" si="6"/>
        <v>54</v>
      </c>
      <c r="P483" t="s">
        <v>913</v>
      </c>
      <c r="R483" t="s">
        <v>634</v>
      </c>
    </row>
    <row r="484" spans="1:18">
      <c r="A484">
        <v>15</v>
      </c>
      <c r="B484" t="s">
        <v>405</v>
      </c>
      <c r="C484" t="s">
        <v>483</v>
      </c>
      <c r="G484">
        <v>10</v>
      </c>
      <c r="H484" s="263"/>
      <c r="J484" t="s">
        <v>22</v>
      </c>
      <c r="K484" t="s">
        <v>30</v>
      </c>
      <c r="L484" t="s">
        <v>33</v>
      </c>
      <c r="M484" t="s">
        <v>538</v>
      </c>
      <c r="N484" s="263">
        <v>4</v>
      </c>
      <c r="O484" s="1">
        <f t="shared" si="6"/>
        <v>54</v>
      </c>
      <c r="P484" t="s">
        <v>913</v>
      </c>
      <c r="R484" t="s">
        <v>634</v>
      </c>
    </row>
    <row r="485" spans="1:18">
      <c r="A485">
        <v>15</v>
      </c>
      <c r="B485" t="s">
        <v>405</v>
      </c>
      <c r="C485" t="s">
        <v>483</v>
      </c>
      <c r="G485">
        <v>11</v>
      </c>
      <c r="H485" s="263"/>
      <c r="J485" t="s">
        <v>22</v>
      </c>
      <c r="K485" t="s">
        <v>30</v>
      </c>
      <c r="L485" t="s">
        <v>33</v>
      </c>
      <c r="M485" t="s">
        <v>538</v>
      </c>
      <c r="N485" s="263">
        <v>4</v>
      </c>
      <c r="O485" s="1">
        <f t="shared" si="6"/>
        <v>54</v>
      </c>
      <c r="P485" t="s">
        <v>913</v>
      </c>
      <c r="R485" t="s">
        <v>634</v>
      </c>
    </row>
    <row r="486" spans="1:18">
      <c r="A486">
        <v>15</v>
      </c>
      <c r="B486" t="s">
        <v>405</v>
      </c>
      <c r="C486" t="s">
        <v>483</v>
      </c>
      <c r="G486">
        <v>12</v>
      </c>
      <c r="H486" s="263"/>
      <c r="J486" t="s">
        <v>22</v>
      </c>
      <c r="K486" t="s">
        <v>30</v>
      </c>
      <c r="L486" t="s">
        <v>33</v>
      </c>
      <c r="M486" t="s">
        <v>538</v>
      </c>
      <c r="N486" s="263">
        <v>4</v>
      </c>
      <c r="O486" s="1">
        <f t="shared" si="6"/>
        <v>54</v>
      </c>
      <c r="P486" t="s">
        <v>913</v>
      </c>
      <c r="R486" t="s">
        <v>634</v>
      </c>
    </row>
    <row r="487" spans="1:18">
      <c r="A487">
        <v>15</v>
      </c>
      <c r="B487" t="s">
        <v>405</v>
      </c>
      <c r="C487" t="s">
        <v>483</v>
      </c>
      <c r="G487">
        <v>13</v>
      </c>
      <c r="H487" s="263"/>
      <c r="J487" t="s">
        <v>22</v>
      </c>
      <c r="K487" t="s">
        <v>30</v>
      </c>
      <c r="L487" t="s">
        <v>33</v>
      </c>
      <c r="M487" t="s">
        <v>538</v>
      </c>
      <c r="N487" s="263">
        <v>4</v>
      </c>
      <c r="O487" s="1">
        <f t="shared" si="6"/>
        <v>54</v>
      </c>
      <c r="P487" t="s">
        <v>913</v>
      </c>
      <c r="R487" t="s">
        <v>634</v>
      </c>
    </row>
    <row r="488" spans="1:18">
      <c r="A488">
        <v>15</v>
      </c>
      <c r="B488" t="s">
        <v>405</v>
      </c>
      <c r="C488" t="s">
        <v>483</v>
      </c>
      <c r="G488">
        <v>14</v>
      </c>
      <c r="H488" s="263"/>
      <c r="J488" t="s">
        <v>22</v>
      </c>
      <c r="K488" t="s">
        <v>30</v>
      </c>
      <c r="L488" t="s">
        <v>33</v>
      </c>
      <c r="M488" t="s">
        <v>538</v>
      </c>
      <c r="N488" s="263">
        <v>4</v>
      </c>
      <c r="O488" s="1">
        <f t="shared" si="6"/>
        <v>54</v>
      </c>
      <c r="P488" t="s">
        <v>913</v>
      </c>
      <c r="R488" t="s">
        <v>634</v>
      </c>
    </row>
    <row r="489" spans="1:18">
      <c r="A489">
        <v>15</v>
      </c>
      <c r="B489" t="s">
        <v>405</v>
      </c>
      <c r="C489" t="s">
        <v>483</v>
      </c>
      <c r="G489">
        <v>15</v>
      </c>
      <c r="H489" s="263"/>
      <c r="J489" t="s">
        <v>22</v>
      </c>
      <c r="K489" t="s">
        <v>30</v>
      </c>
      <c r="L489" t="s">
        <v>33</v>
      </c>
      <c r="M489" t="s">
        <v>538</v>
      </c>
      <c r="N489" s="263">
        <v>4</v>
      </c>
      <c r="O489" s="1">
        <f t="shared" si="6"/>
        <v>54</v>
      </c>
      <c r="P489" t="s">
        <v>913</v>
      </c>
      <c r="R489" t="s">
        <v>634</v>
      </c>
    </row>
    <row r="490" spans="1:18">
      <c r="A490">
        <v>15</v>
      </c>
      <c r="B490" t="s">
        <v>405</v>
      </c>
      <c r="C490" t="s">
        <v>483</v>
      </c>
      <c r="G490">
        <v>16</v>
      </c>
      <c r="H490" s="263"/>
      <c r="J490" t="s">
        <v>22</v>
      </c>
      <c r="K490" t="s">
        <v>30</v>
      </c>
      <c r="L490" t="s">
        <v>33</v>
      </c>
      <c r="M490" t="s">
        <v>538</v>
      </c>
      <c r="N490" s="263">
        <v>4</v>
      </c>
      <c r="O490" s="1">
        <f t="shared" si="6"/>
        <v>54</v>
      </c>
      <c r="P490" t="s">
        <v>913</v>
      </c>
      <c r="R490" t="s">
        <v>634</v>
      </c>
    </row>
    <row r="491" spans="1:18">
      <c r="A491">
        <v>15</v>
      </c>
      <c r="B491" t="s">
        <v>405</v>
      </c>
      <c r="C491" t="s">
        <v>483</v>
      </c>
      <c r="G491">
        <v>17</v>
      </c>
      <c r="H491" s="263"/>
      <c r="J491" t="s">
        <v>22</v>
      </c>
      <c r="K491" t="s">
        <v>30</v>
      </c>
      <c r="L491" t="s">
        <v>33</v>
      </c>
      <c r="M491" t="s">
        <v>538</v>
      </c>
      <c r="N491" s="263">
        <v>4</v>
      </c>
      <c r="O491" s="1">
        <f t="shared" si="6"/>
        <v>54</v>
      </c>
      <c r="P491" t="s">
        <v>913</v>
      </c>
      <c r="R491" t="s">
        <v>634</v>
      </c>
    </row>
    <row r="492" spans="1:18">
      <c r="A492">
        <v>15</v>
      </c>
      <c r="B492" t="s">
        <v>405</v>
      </c>
      <c r="C492" t="s">
        <v>483</v>
      </c>
      <c r="G492">
        <v>18</v>
      </c>
      <c r="H492" s="263"/>
      <c r="J492" t="s">
        <v>22</v>
      </c>
      <c r="K492" t="s">
        <v>30</v>
      </c>
      <c r="L492" t="s">
        <v>33</v>
      </c>
      <c r="M492" t="s">
        <v>538</v>
      </c>
      <c r="N492" s="263">
        <v>4</v>
      </c>
      <c r="O492" s="1">
        <f t="shared" si="6"/>
        <v>54</v>
      </c>
      <c r="P492" t="s">
        <v>913</v>
      </c>
      <c r="R492" t="s">
        <v>634</v>
      </c>
    </row>
    <row r="493" spans="1:18">
      <c r="A493">
        <v>15</v>
      </c>
      <c r="B493" t="s">
        <v>405</v>
      </c>
      <c r="C493" t="s">
        <v>483</v>
      </c>
      <c r="G493">
        <v>19</v>
      </c>
      <c r="H493" s="263"/>
      <c r="J493" t="s">
        <v>22</v>
      </c>
      <c r="K493" t="s">
        <v>30</v>
      </c>
      <c r="L493" t="s">
        <v>33</v>
      </c>
      <c r="M493" t="s">
        <v>538</v>
      </c>
      <c r="N493" s="263">
        <v>4</v>
      </c>
      <c r="O493" s="1">
        <f t="shared" si="6"/>
        <v>54</v>
      </c>
      <c r="P493" t="s">
        <v>913</v>
      </c>
      <c r="R493" t="s">
        <v>634</v>
      </c>
    </row>
    <row r="494" spans="1:18">
      <c r="A494">
        <v>15</v>
      </c>
      <c r="B494" t="s">
        <v>405</v>
      </c>
      <c r="C494" t="s">
        <v>483</v>
      </c>
      <c r="G494">
        <v>20</v>
      </c>
      <c r="H494" s="263"/>
      <c r="J494" t="s">
        <v>22</v>
      </c>
      <c r="K494" t="s">
        <v>30</v>
      </c>
      <c r="L494" t="s">
        <v>33</v>
      </c>
      <c r="M494" t="s">
        <v>538</v>
      </c>
      <c r="N494" s="263">
        <v>4</v>
      </c>
      <c r="O494" s="1">
        <f t="shared" si="6"/>
        <v>54</v>
      </c>
      <c r="P494" t="s">
        <v>913</v>
      </c>
      <c r="R494" t="s">
        <v>634</v>
      </c>
    </row>
    <row r="495" spans="1:18">
      <c r="A495">
        <v>15</v>
      </c>
      <c r="B495" t="s">
        <v>405</v>
      </c>
      <c r="C495" t="s">
        <v>483</v>
      </c>
      <c r="G495">
        <v>21</v>
      </c>
      <c r="H495" s="263"/>
      <c r="J495" t="s">
        <v>22</v>
      </c>
      <c r="K495" t="s">
        <v>30</v>
      </c>
      <c r="L495" t="s">
        <v>33</v>
      </c>
      <c r="M495" t="s">
        <v>538</v>
      </c>
      <c r="N495" s="263">
        <v>4</v>
      </c>
      <c r="O495" s="1">
        <f t="shared" si="6"/>
        <v>54</v>
      </c>
      <c r="P495" t="s">
        <v>913</v>
      </c>
      <c r="R495" t="s">
        <v>634</v>
      </c>
    </row>
    <row r="496" spans="1:18">
      <c r="A496">
        <v>15</v>
      </c>
      <c r="B496" t="s">
        <v>405</v>
      </c>
      <c r="C496" t="s">
        <v>483</v>
      </c>
      <c r="G496">
        <v>22</v>
      </c>
      <c r="H496" s="263"/>
      <c r="J496" t="s">
        <v>22</v>
      </c>
      <c r="K496" t="s">
        <v>30</v>
      </c>
      <c r="L496" t="s">
        <v>33</v>
      </c>
      <c r="M496" t="s">
        <v>538</v>
      </c>
      <c r="N496" s="263">
        <v>4</v>
      </c>
      <c r="O496" s="1">
        <f t="shared" si="6"/>
        <v>54</v>
      </c>
      <c r="P496" t="s">
        <v>913</v>
      </c>
      <c r="R496" t="s">
        <v>634</v>
      </c>
    </row>
    <row r="497" spans="1:18">
      <c r="A497">
        <v>15</v>
      </c>
      <c r="B497" t="s">
        <v>405</v>
      </c>
      <c r="C497" t="s">
        <v>483</v>
      </c>
      <c r="G497">
        <v>4</v>
      </c>
      <c r="H497" s="263"/>
      <c r="J497" t="s">
        <v>22</v>
      </c>
      <c r="K497" t="s">
        <v>30</v>
      </c>
      <c r="L497" t="s">
        <v>33</v>
      </c>
      <c r="M497" t="s">
        <v>579</v>
      </c>
      <c r="N497" s="263">
        <v>6</v>
      </c>
      <c r="O497" s="1">
        <f>13.5*6</f>
        <v>81</v>
      </c>
      <c r="P497" t="s">
        <v>912</v>
      </c>
      <c r="R497" t="s">
        <v>634</v>
      </c>
    </row>
    <row r="498" spans="1:18">
      <c r="A498">
        <v>15</v>
      </c>
      <c r="B498" t="s">
        <v>405</v>
      </c>
      <c r="C498" t="s">
        <v>483</v>
      </c>
      <c r="G498">
        <v>5</v>
      </c>
      <c r="H498" s="263"/>
      <c r="J498" t="s">
        <v>22</v>
      </c>
      <c r="K498" t="s">
        <v>30</v>
      </c>
      <c r="L498" t="s">
        <v>33</v>
      </c>
      <c r="M498" t="s">
        <v>579</v>
      </c>
      <c r="N498" s="263">
        <v>6</v>
      </c>
      <c r="O498" s="1">
        <f t="shared" ref="O498:O515" si="7">13.5*6</f>
        <v>81</v>
      </c>
      <c r="P498" t="s">
        <v>912</v>
      </c>
      <c r="R498" t="s">
        <v>634</v>
      </c>
    </row>
    <row r="499" spans="1:18">
      <c r="A499">
        <v>15</v>
      </c>
      <c r="B499" t="s">
        <v>405</v>
      </c>
      <c r="C499" t="s">
        <v>483</v>
      </c>
      <c r="G499">
        <v>6</v>
      </c>
      <c r="H499" s="263"/>
      <c r="J499" t="s">
        <v>22</v>
      </c>
      <c r="K499" t="s">
        <v>30</v>
      </c>
      <c r="L499" t="s">
        <v>33</v>
      </c>
      <c r="M499" t="s">
        <v>579</v>
      </c>
      <c r="N499" s="263">
        <v>6</v>
      </c>
      <c r="O499" s="1">
        <f t="shared" si="7"/>
        <v>81</v>
      </c>
      <c r="P499" t="s">
        <v>912</v>
      </c>
      <c r="R499" t="s">
        <v>634</v>
      </c>
    </row>
    <row r="500" spans="1:18">
      <c r="A500">
        <v>15</v>
      </c>
      <c r="B500" t="s">
        <v>405</v>
      </c>
      <c r="C500" t="s">
        <v>483</v>
      </c>
      <c r="G500">
        <v>7</v>
      </c>
      <c r="H500" s="263"/>
      <c r="J500" t="s">
        <v>22</v>
      </c>
      <c r="K500" t="s">
        <v>30</v>
      </c>
      <c r="L500" t="s">
        <v>33</v>
      </c>
      <c r="M500" t="s">
        <v>579</v>
      </c>
      <c r="N500" s="263">
        <v>6</v>
      </c>
      <c r="O500" s="1">
        <f t="shared" si="7"/>
        <v>81</v>
      </c>
      <c r="P500" t="s">
        <v>912</v>
      </c>
      <c r="R500" t="s">
        <v>634</v>
      </c>
    </row>
    <row r="501" spans="1:18">
      <c r="A501">
        <v>15</v>
      </c>
      <c r="B501" t="s">
        <v>405</v>
      </c>
      <c r="C501" t="s">
        <v>483</v>
      </c>
      <c r="G501">
        <v>8</v>
      </c>
      <c r="H501" s="263"/>
      <c r="J501" t="s">
        <v>22</v>
      </c>
      <c r="K501" t="s">
        <v>30</v>
      </c>
      <c r="L501" t="s">
        <v>33</v>
      </c>
      <c r="M501" t="s">
        <v>579</v>
      </c>
      <c r="N501" s="263">
        <v>6</v>
      </c>
      <c r="O501" s="1">
        <f t="shared" si="7"/>
        <v>81</v>
      </c>
      <c r="P501" t="s">
        <v>912</v>
      </c>
      <c r="R501" t="s">
        <v>634</v>
      </c>
    </row>
    <row r="502" spans="1:18">
      <c r="A502">
        <v>15</v>
      </c>
      <c r="B502" t="s">
        <v>405</v>
      </c>
      <c r="C502" t="s">
        <v>483</v>
      </c>
      <c r="G502">
        <v>9</v>
      </c>
      <c r="H502" s="263"/>
      <c r="J502" t="s">
        <v>22</v>
      </c>
      <c r="K502" t="s">
        <v>30</v>
      </c>
      <c r="L502" t="s">
        <v>33</v>
      </c>
      <c r="M502" t="s">
        <v>579</v>
      </c>
      <c r="N502" s="263">
        <v>6</v>
      </c>
      <c r="O502" s="1">
        <f t="shared" si="7"/>
        <v>81</v>
      </c>
      <c r="P502" t="s">
        <v>912</v>
      </c>
      <c r="R502" t="s">
        <v>634</v>
      </c>
    </row>
    <row r="503" spans="1:18">
      <c r="A503">
        <v>15</v>
      </c>
      <c r="B503" t="s">
        <v>405</v>
      </c>
      <c r="C503" t="s">
        <v>483</v>
      </c>
      <c r="G503">
        <v>10</v>
      </c>
      <c r="H503" s="263"/>
      <c r="J503" t="s">
        <v>22</v>
      </c>
      <c r="K503" t="s">
        <v>30</v>
      </c>
      <c r="L503" t="s">
        <v>33</v>
      </c>
      <c r="M503" t="s">
        <v>579</v>
      </c>
      <c r="N503" s="263">
        <v>6</v>
      </c>
      <c r="O503" s="1">
        <f t="shared" si="7"/>
        <v>81</v>
      </c>
      <c r="P503" t="s">
        <v>912</v>
      </c>
      <c r="R503" t="s">
        <v>634</v>
      </c>
    </row>
    <row r="504" spans="1:18">
      <c r="A504">
        <v>15</v>
      </c>
      <c r="B504" t="s">
        <v>405</v>
      </c>
      <c r="C504" t="s">
        <v>483</v>
      </c>
      <c r="G504">
        <v>11</v>
      </c>
      <c r="H504" s="263"/>
      <c r="J504" t="s">
        <v>22</v>
      </c>
      <c r="K504" t="s">
        <v>30</v>
      </c>
      <c r="L504" t="s">
        <v>33</v>
      </c>
      <c r="M504" t="s">
        <v>579</v>
      </c>
      <c r="N504" s="263">
        <v>6</v>
      </c>
      <c r="O504" s="1">
        <f t="shared" si="7"/>
        <v>81</v>
      </c>
      <c r="P504" t="s">
        <v>912</v>
      </c>
      <c r="R504" t="s">
        <v>634</v>
      </c>
    </row>
    <row r="505" spans="1:18">
      <c r="A505">
        <v>15</v>
      </c>
      <c r="B505" t="s">
        <v>405</v>
      </c>
      <c r="C505" t="s">
        <v>483</v>
      </c>
      <c r="G505">
        <v>12</v>
      </c>
      <c r="H505" s="263"/>
      <c r="J505" t="s">
        <v>22</v>
      </c>
      <c r="K505" t="s">
        <v>30</v>
      </c>
      <c r="L505" t="s">
        <v>33</v>
      </c>
      <c r="M505" t="s">
        <v>579</v>
      </c>
      <c r="N505" s="263">
        <v>6</v>
      </c>
      <c r="O505" s="1">
        <f t="shared" si="7"/>
        <v>81</v>
      </c>
      <c r="P505" t="s">
        <v>912</v>
      </c>
      <c r="R505" t="s">
        <v>634</v>
      </c>
    </row>
    <row r="506" spans="1:18">
      <c r="A506">
        <v>15</v>
      </c>
      <c r="B506" t="s">
        <v>405</v>
      </c>
      <c r="C506" t="s">
        <v>483</v>
      </c>
      <c r="G506">
        <v>13</v>
      </c>
      <c r="H506" s="263"/>
      <c r="J506" t="s">
        <v>22</v>
      </c>
      <c r="K506" t="s">
        <v>30</v>
      </c>
      <c r="L506" t="s">
        <v>33</v>
      </c>
      <c r="M506" t="s">
        <v>579</v>
      </c>
      <c r="N506" s="263">
        <v>6</v>
      </c>
      <c r="O506" s="1">
        <f t="shared" si="7"/>
        <v>81</v>
      </c>
      <c r="P506" t="s">
        <v>912</v>
      </c>
      <c r="R506" t="s">
        <v>634</v>
      </c>
    </row>
    <row r="507" spans="1:18">
      <c r="A507">
        <v>15</v>
      </c>
      <c r="B507" t="s">
        <v>405</v>
      </c>
      <c r="C507" t="s">
        <v>483</v>
      </c>
      <c r="G507">
        <v>14</v>
      </c>
      <c r="H507" s="263"/>
      <c r="J507" t="s">
        <v>22</v>
      </c>
      <c r="K507" t="s">
        <v>30</v>
      </c>
      <c r="L507" t="s">
        <v>33</v>
      </c>
      <c r="M507" t="s">
        <v>579</v>
      </c>
      <c r="N507" s="263">
        <v>6</v>
      </c>
      <c r="O507" s="1">
        <f t="shared" si="7"/>
        <v>81</v>
      </c>
      <c r="P507" t="s">
        <v>912</v>
      </c>
      <c r="R507" t="s">
        <v>634</v>
      </c>
    </row>
    <row r="508" spans="1:18">
      <c r="A508">
        <v>15</v>
      </c>
      <c r="B508" t="s">
        <v>405</v>
      </c>
      <c r="C508" t="s">
        <v>483</v>
      </c>
      <c r="G508">
        <v>15</v>
      </c>
      <c r="H508" s="263"/>
      <c r="J508" t="s">
        <v>22</v>
      </c>
      <c r="K508" t="s">
        <v>30</v>
      </c>
      <c r="L508" t="s">
        <v>33</v>
      </c>
      <c r="M508" t="s">
        <v>579</v>
      </c>
      <c r="N508" s="263">
        <v>6</v>
      </c>
      <c r="O508" s="1">
        <f t="shared" si="7"/>
        <v>81</v>
      </c>
      <c r="P508" t="s">
        <v>912</v>
      </c>
      <c r="R508" t="s">
        <v>634</v>
      </c>
    </row>
    <row r="509" spans="1:18">
      <c r="A509">
        <v>15</v>
      </c>
      <c r="B509" t="s">
        <v>405</v>
      </c>
      <c r="C509" t="s">
        <v>483</v>
      </c>
      <c r="G509">
        <v>16</v>
      </c>
      <c r="H509" s="263"/>
      <c r="J509" t="s">
        <v>22</v>
      </c>
      <c r="K509" t="s">
        <v>30</v>
      </c>
      <c r="L509" t="s">
        <v>33</v>
      </c>
      <c r="M509" t="s">
        <v>579</v>
      </c>
      <c r="N509" s="263">
        <v>6</v>
      </c>
      <c r="O509" s="1">
        <f t="shared" si="7"/>
        <v>81</v>
      </c>
      <c r="P509" t="s">
        <v>912</v>
      </c>
      <c r="R509" t="s">
        <v>634</v>
      </c>
    </row>
    <row r="510" spans="1:18">
      <c r="A510">
        <v>15</v>
      </c>
      <c r="B510" t="s">
        <v>405</v>
      </c>
      <c r="C510" t="s">
        <v>483</v>
      </c>
      <c r="G510">
        <v>17</v>
      </c>
      <c r="H510" s="263"/>
      <c r="J510" t="s">
        <v>22</v>
      </c>
      <c r="K510" t="s">
        <v>30</v>
      </c>
      <c r="L510" t="s">
        <v>33</v>
      </c>
      <c r="M510" t="s">
        <v>579</v>
      </c>
      <c r="N510" s="263">
        <v>6</v>
      </c>
      <c r="O510" s="1">
        <f t="shared" si="7"/>
        <v>81</v>
      </c>
      <c r="P510" t="s">
        <v>912</v>
      </c>
      <c r="R510" t="s">
        <v>634</v>
      </c>
    </row>
    <row r="511" spans="1:18">
      <c r="A511">
        <v>15</v>
      </c>
      <c r="B511" t="s">
        <v>405</v>
      </c>
      <c r="C511" t="s">
        <v>483</v>
      </c>
      <c r="G511">
        <v>18</v>
      </c>
      <c r="H511" s="263"/>
      <c r="J511" t="s">
        <v>22</v>
      </c>
      <c r="K511" t="s">
        <v>30</v>
      </c>
      <c r="L511" t="s">
        <v>33</v>
      </c>
      <c r="M511" t="s">
        <v>579</v>
      </c>
      <c r="N511" s="263">
        <v>6</v>
      </c>
      <c r="O511" s="1">
        <f t="shared" si="7"/>
        <v>81</v>
      </c>
      <c r="P511" t="s">
        <v>912</v>
      </c>
      <c r="R511" t="s">
        <v>634</v>
      </c>
    </row>
    <row r="512" spans="1:18">
      <c r="A512">
        <v>15</v>
      </c>
      <c r="B512" t="s">
        <v>405</v>
      </c>
      <c r="C512" t="s">
        <v>483</v>
      </c>
      <c r="G512">
        <v>19</v>
      </c>
      <c r="H512" s="263"/>
      <c r="J512" t="s">
        <v>22</v>
      </c>
      <c r="K512" t="s">
        <v>30</v>
      </c>
      <c r="L512" t="s">
        <v>33</v>
      </c>
      <c r="M512" t="s">
        <v>579</v>
      </c>
      <c r="N512" s="263">
        <v>6</v>
      </c>
      <c r="O512" s="1">
        <f t="shared" si="7"/>
        <v>81</v>
      </c>
      <c r="P512" t="s">
        <v>912</v>
      </c>
      <c r="R512" t="s">
        <v>634</v>
      </c>
    </row>
    <row r="513" spans="1:18">
      <c r="A513">
        <v>15</v>
      </c>
      <c r="B513" t="s">
        <v>405</v>
      </c>
      <c r="C513" t="s">
        <v>483</v>
      </c>
      <c r="G513">
        <v>20</v>
      </c>
      <c r="H513" s="263"/>
      <c r="J513" t="s">
        <v>22</v>
      </c>
      <c r="K513" t="s">
        <v>30</v>
      </c>
      <c r="L513" t="s">
        <v>33</v>
      </c>
      <c r="M513" t="s">
        <v>579</v>
      </c>
      <c r="N513" s="263">
        <v>6</v>
      </c>
      <c r="O513" s="1">
        <f t="shared" si="7"/>
        <v>81</v>
      </c>
      <c r="P513" t="s">
        <v>912</v>
      </c>
      <c r="R513" t="s">
        <v>634</v>
      </c>
    </row>
    <row r="514" spans="1:18">
      <c r="A514">
        <v>15</v>
      </c>
      <c r="B514" t="s">
        <v>405</v>
      </c>
      <c r="C514" t="s">
        <v>483</v>
      </c>
      <c r="G514">
        <v>21</v>
      </c>
      <c r="H514" s="263"/>
      <c r="J514" t="s">
        <v>22</v>
      </c>
      <c r="K514" t="s">
        <v>30</v>
      </c>
      <c r="L514" t="s">
        <v>33</v>
      </c>
      <c r="M514" t="s">
        <v>579</v>
      </c>
      <c r="N514" s="263">
        <v>6</v>
      </c>
      <c r="O514" s="1">
        <f t="shared" si="7"/>
        <v>81</v>
      </c>
      <c r="P514" t="s">
        <v>912</v>
      </c>
      <c r="R514" t="s">
        <v>634</v>
      </c>
    </row>
    <row r="515" spans="1:18">
      <c r="A515">
        <v>15</v>
      </c>
      <c r="B515" t="s">
        <v>405</v>
      </c>
      <c r="C515" t="s">
        <v>483</v>
      </c>
      <c r="G515">
        <v>22</v>
      </c>
      <c r="H515" s="263"/>
      <c r="J515" t="s">
        <v>22</v>
      </c>
      <c r="K515" t="s">
        <v>30</v>
      </c>
      <c r="L515" t="s">
        <v>33</v>
      </c>
      <c r="M515" t="s">
        <v>579</v>
      </c>
      <c r="N515" s="263">
        <v>6</v>
      </c>
      <c r="O515" s="1">
        <f t="shared" si="7"/>
        <v>81</v>
      </c>
      <c r="P515" t="s">
        <v>912</v>
      </c>
      <c r="R515" t="s">
        <v>634</v>
      </c>
    </row>
    <row r="516" spans="1:18">
      <c r="A516">
        <v>15</v>
      </c>
      <c r="B516" t="s">
        <v>405</v>
      </c>
      <c r="C516" t="s">
        <v>483</v>
      </c>
      <c r="G516">
        <v>4</v>
      </c>
      <c r="H516" s="263"/>
      <c r="J516" t="s">
        <v>22</v>
      </c>
      <c r="K516" t="s">
        <v>30</v>
      </c>
      <c r="L516" t="s">
        <v>33</v>
      </c>
      <c r="M516" t="s">
        <v>580</v>
      </c>
      <c r="N516" s="263">
        <v>3</v>
      </c>
      <c r="O516" s="1">
        <f>20*3</f>
        <v>60</v>
      </c>
      <c r="P516" t="s">
        <v>911</v>
      </c>
      <c r="R516" t="s">
        <v>634</v>
      </c>
    </row>
    <row r="517" spans="1:18">
      <c r="A517">
        <v>15</v>
      </c>
      <c r="B517" t="s">
        <v>405</v>
      </c>
      <c r="C517" t="s">
        <v>483</v>
      </c>
      <c r="G517">
        <v>5</v>
      </c>
      <c r="H517" s="263"/>
      <c r="J517" t="s">
        <v>22</v>
      </c>
      <c r="K517" t="s">
        <v>30</v>
      </c>
      <c r="L517" t="s">
        <v>33</v>
      </c>
      <c r="M517" t="s">
        <v>580</v>
      </c>
      <c r="N517" s="263">
        <v>3</v>
      </c>
      <c r="O517" s="1">
        <f t="shared" ref="O517:O534" si="8">20*3</f>
        <v>60</v>
      </c>
      <c r="P517" t="s">
        <v>911</v>
      </c>
      <c r="R517" t="s">
        <v>634</v>
      </c>
    </row>
    <row r="518" spans="1:18">
      <c r="A518">
        <v>15</v>
      </c>
      <c r="B518" t="s">
        <v>405</v>
      </c>
      <c r="C518" t="s">
        <v>483</v>
      </c>
      <c r="G518">
        <v>6</v>
      </c>
      <c r="H518" s="263"/>
      <c r="J518" t="s">
        <v>22</v>
      </c>
      <c r="K518" t="s">
        <v>30</v>
      </c>
      <c r="L518" t="s">
        <v>33</v>
      </c>
      <c r="M518" t="s">
        <v>580</v>
      </c>
      <c r="N518" s="263">
        <v>3</v>
      </c>
      <c r="O518" s="1">
        <f t="shared" si="8"/>
        <v>60</v>
      </c>
      <c r="P518" t="s">
        <v>911</v>
      </c>
      <c r="R518" t="s">
        <v>634</v>
      </c>
    </row>
    <row r="519" spans="1:18">
      <c r="A519">
        <v>15</v>
      </c>
      <c r="B519" t="s">
        <v>405</v>
      </c>
      <c r="C519" t="s">
        <v>483</v>
      </c>
      <c r="G519">
        <v>7</v>
      </c>
      <c r="H519" s="263"/>
      <c r="J519" t="s">
        <v>22</v>
      </c>
      <c r="K519" t="s">
        <v>30</v>
      </c>
      <c r="L519" t="s">
        <v>33</v>
      </c>
      <c r="M519" t="s">
        <v>580</v>
      </c>
      <c r="N519" s="263">
        <v>3</v>
      </c>
      <c r="O519" s="1">
        <f t="shared" si="8"/>
        <v>60</v>
      </c>
      <c r="P519" t="s">
        <v>911</v>
      </c>
      <c r="R519" t="s">
        <v>634</v>
      </c>
    </row>
    <row r="520" spans="1:18">
      <c r="A520">
        <v>15</v>
      </c>
      <c r="B520" t="s">
        <v>405</v>
      </c>
      <c r="C520" t="s">
        <v>483</v>
      </c>
      <c r="G520">
        <v>8</v>
      </c>
      <c r="H520" s="263"/>
      <c r="J520" t="s">
        <v>22</v>
      </c>
      <c r="K520" t="s">
        <v>30</v>
      </c>
      <c r="L520" t="s">
        <v>33</v>
      </c>
      <c r="M520" t="s">
        <v>580</v>
      </c>
      <c r="N520" s="263">
        <v>3</v>
      </c>
      <c r="O520" s="1">
        <f t="shared" si="8"/>
        <v>60</v>
      </c>
      <c r="P520" t="s">
        <v>911</v>
      </c>
      <c r="R520" t="s">
        <v>634</v>
      </c>
    </row>
    <row r="521" spans="1:18">
      <c r="A521">
        <v>15</v>
      </c>
      <c r="B521" t="s">
        <v>405</v>
      </c>
      <c r="C521" t="s">
        <v>483</v>
      </c>
      <c r="G521">
        <v>9</v>
      </c>
      <c r="H521" s="263"/>
      <c r="J521" t="s">
        <v>22</v>
      </c>
      <c r="K521" t="s">
        <v>30</v>
      </c>
      <c r="L521" t="s">
        <v>33</v>
      </c>
      <c r="M521" t="s">
        <v>580</v>
      </c>
      <c r="N521" s="263">
        <v>3</v>
      </c>
      <c r="O521" s="1">
        <f t="shared" si="8"/>
        <v>60</v>
      </c>
      <c r="P521" t="s">
        <v>911</v>
      </c>
      <c r="R521" t="s">
        <v>634</v>
      </c>
    </row>
    <row r="522" spans="1:18">
      <c r="A522">
        <v>15</v>
      </c>
      <c r="B522" t="s">
        <v>405</v>
      </c>
      <c r="C522" t="s">
        <v>483</v>
      </c>
      <c r="G522">
        <v>10</v>
      </c>
      <c r="H522" s="263"/>
      <c r="J522" t="s">
        <v>22</v>
      </c>
      <c r="K522" t="s">
        <v>30</v>
      </c>
      <c r="L522" t="s">
        <v>33</v>
      </c>
      <c r="M522" t="s">
        <v>580</v>
      </c>
      <c r="N522" s="263">
        <v>3</v>
      </c>
      <c r="O522" s="1">
        <f t="shared" si="8"/>
        <v>60</v>
      </c>
      <c r="P522" t="s">
        <v>911</v>
      </c>
      <c r="R522" t="s">
        <v>634</v>
      </c>
    </row>
    <row r="523" spans="1:18">
      <c r="A523">
        <v>15</v>
      </c>
      <c r="B523" t="s">
        <v>405</v>
      </c>
      <c r="C523" t="s">
        <v>483</v>
      </c>
      <c r="G523">
        <v>11</v>
      </c>
      <c r="H523" s="263"/>
      <c r="J523" t="s">
        <v>22</v>
      </c>
      <c r="K523" t="s">
        <v>30</v>
      </c>
      <c r="L523" t="s">
        <v>33</v>
      </c>
      <c r="M523" t="s">
        <v>580</v>
      </c>
      <c r="N523" s="263">
        <v>3</v>
      </c>
      <c r="O523" s="1">
        <f t="shared" si="8"/>
        <v>60</v>
      </c>
      <c r="P523" t="s">
        <v>911</v>
      </c>
      <c r="R523" t="s">
        <v>634</v>
      </c>
    </row>
    <row r="524" spans="1:18">
      <c r="A524">
        <v>15</v>
      </c>
      <c r="B524" t="s">
        <v>405</v>
      </c>
      <c r="C524" t="s">
        <v>483</v>
      </c>
      <c r="G524">
        <v>12</v>
      </c>
      <c r="H524" s="263"/>
      <c r="J524" t="s">
        <v>22</v>
      </c>
      <c r="K524" t="s">
        <v>30</v>
      </c>
      <c r="L524" t="s">
        <v>33</v>
      </c>
      <c r="M524" t="s">
        <v>580</v>
      </c>
      <c r="N524" s="263">
        <v>3</v>
      </c>
      <c r="O524" s="1">
        <f t="shared" si="8"/>
        <v>60</v>
      </c>
      <c r="P524" t="s">
        <v>911</v>
      </c>
      <c r="R524" t="s">
        <v>634</v>
      </c>
    </row>
    <row r="525" spans="1:18">
      <c r="A525">
        <v>15</v>
      </c>
      <c r="B525" t="s">
        <v>405</v>
      </c>
      <c r="C525" t="s">
        <v>483</v>
      </c>
      <c r="G525">
        <v>13</v>
      </c>
      <c r="H525" s="263"/>
      <c r="J525" t="s">
        <v>22</v>
      </c>
      <c r="K525" t="s">
        <v>30</v>
      </c>
      <c r="L525" t="s">
        <v>33</v>
      </c>
      <c r="M525" t="s">
        <v>580</v>
      </c>
      <c r="N525" s="263">
        <v>3</v>
      </c>
      <c r="O525" s="1">
        <f t="shared" si="8"/>
        <v>60</v>
      </c>
      <c r="P525" t="s">
        <v>911</v>
      </c>
      <c r="R525" t="s">
        <v>634</v>
      </c>
    </row>
    <row r="526" spans="1:18">
      <c r="A526">
        <v>15</v>
      </c>
      <c r="B526" t="s">
        <v>405</v>
      </c>
      <c r="C526" t="s">
        <v>483</v>
      </c>
      <c r="G526">
        <v>14</v>
      </c>
      <c r="H526" s="263"/>
      <c r="J526" t="s">
        <v>22</v>
      </c>
      <c r="K526" t="s">
        <v>30</v>
      </c>
      <c r="L526" t="s">
        <v>33</v>
      </c>
      <c r="M526" t="s">
        <v>580</v>
      </c>
      <c r="N526" s="263">
        <v>3</v>
      </c>
      <c r="O526" s="1">
        <f t="shared" si="8"/>
        <v>60</v>
      </c>
      <c r="P526" t="s">
        <v>911</v>
      </c>
      <c r="R526" t="s">
        <v>634</v>
      </c>
    </row>
    <row r="527" spans="1:18">
      <c r="A527">
        <v>15</v>
      </c>
      <c r="B527" t="s">
        <v>405</v>
      </c>
      <c r="C527" t="s">
        <v>483</v>
      </c>
      <c r="G527">
        <v>15</v>
      </c>
      <c r="H527" s="263"/>
      <c r="J527" t="s">
        <v>22</v>
      </c>
      <c r="K527" t="s">
        <v>30</v>
      </c>
      <c r="L527" t="s">
        <v>33</v>
      </c>
      <c r="M527" t="s">
        <v>580</v>
      </c>
      <c r="N527" s="263">
        <v>3</v>
      </c>
      <c r="O527" s="1">
        <f t="shared" si="8"/>
        <v>60</v>
      </c>
      <c r="P527" t="s">
        <v>911</v>
      </c>
      <c r="R527" t="s">
        <v>634</v>
      </c>
    </row>
    <row r="528" spans="1:18">
      <c r="A528">
        <v>15</v>
      </c>
      <c r="B528" t="s">
        <v>405</v>
      </c>
      <c r="C528" t="s">
        <v>483</v>
      </c>
      <c r="G528">
        <v>16</v>
      </c>
      <c r="H528" s="263"/>
      <c r="J528" t="s">
        <v>22</v>
      </c>
      <c r="K528" t="s">
        <v>30</v>
      </c>
      <c r="L528" t="s">
        <v>33</v>
      </c>
      <c r="M528" t="s">
        <v>580</v>
      </c>
      <c r="N528" s="263">
        <v>3</v>
      </c>
      <c r="O528" s="1">
        <f t="shared" si="8"/>
        <v>60</v>
      </c>
      <c r="P528" t="s">
        <v>911</v>
      </c>
      <c r="R528" t="s">
        <v>634</v>
      </c>
    </row>
    <row r="529" spans="1:18">
      <c r="A529">
        <v>15</v>
      </c>
      <c r="B529" t="s">
        <v>405</v>
      </c>
      <c r="C529" t="s">
        <v>483</v>
      </c>
      <c r="G529">
        <v>17</v>
      </c>
      <c r="H529" s="263"/>
      <c r="J529" t="s">
        <v>22</v>
      </c>
      <c r="K529" t="s">
        <v>30</v>
      </c>
      <c r="L529" t="s">
        <v>33</v>
      </c>
      <c r="M529" t="s">
        <v>580</v>
      </c>
      <c r="N529" s="263">
        <v>3</v>
      </c>
      <c r="O529" s="1">
        <f t="shared" si="8"/>
        <v>60</v>
      </c>
      <c r="P529" t="s">
        <v>911</v>
      </c>
      <c r="R529" t="s">
        <v>634</v>
      </c>
    </row>
    <row r="530" spans="1:18">
      <c r="A530">
        <v>15</v>
      </c>
      <c r="B530" t="s">
        <v>405</v>
      </c>
      <c r="C530" t="s">
        <v>483</v>
      </c>
      <c r="G530">
        <v>18</v>
      </c>
      <c r="H530" s="263"/>
      <c r="J530" t="s">
        <v>22</v>
      </c>
      <c r="K530" t="s">
        <v>30</v>
      </c>
      <c r="L530" t="s">
        <v>33</v>
      </c>
      <c r="M530" t="s">
        <v>580</v>
      </c>
      <c r="N530" s="263">
        <v>3</v>
      </c>
      <c r="O530" s="1">
        <f t="shared" si="8"/>
        <v>60</v>
      </c>
      <c r="P530" t="s">
        <v>911</v>
      </c>
      <c r="R530" t="s">
        <v>634</v>
      </c>
    </row>
    <row r="531" spans="1:18">
      <c r="A531">
        <v>15</v>
      </c>
      <c r="B531" t="s">
        <v>405</v>
      </c>
      <c r="C531" t="s">
        <v>483</v>
      </c>
      <c r="G531">
        <v>19</v>
      </c>
      <c r="H531" s="263"/>
      <c r="J531" t="s">
        <v>22</v>
      </c>
      <c r="K531" t="s">
        <v>30</v>
      </c>
      <c r="L531" t="s">
        <v>33</v>
      </c>
      <c r="M531" t="s">
        <v>580</v>
      </c>
      <c r="N531" s="263">
        <v>3</v>
      </c>
      <c r="O531" s="1">
        <f t="shared" si="8"/>
        <v>60</v>
      </c>
      <c r="P531" t="s">
        <v>911</v>
      </c>
      <c r="R531" t="s">
        <v>634</v>
      </c>
    </row>
    <row r="532" spans="1:18">
      <c r="A532">
        <v>15</v>
      </c>
      <c r="B532" t="s">
        <v>405</v>
      </c>
      <c r="C532" t="s">
        <v>483</v>
      </c>
      <c r="G532">
        <v>20</v>
      </c>
      <c r="H532" s="263"/>
      <c r="J532" t="s">
        <v>22</v>
      </c>
      <c r="K532" t="s">
        <v>30</v>
      </c>
      <c r="L532" t="s">
        <v>33</v>
      </c>
      <c r="M532" t="s">
        <v>580</v>
      </c>
      <c r="N532" s="263">
        <v>3</v>
      </c>
      <c r="O532" s="1">
        <f t="shared" si="8"/>
        <v>60</v>
      </c>
      <c r="P532" t="s">
        <v>911</v>
      </c>
      <c r="R532" t="s">
        <v>634</v>
      </c>
    </row>
    <row r="533" spans="1:18">
      <c r="A533">
        <v>15</v>
      </c>
      <c r="B533" t="s">
        <v>405</v>
      </c>
      <c r="C533" t="s">
        <v>483</v>
      </c>
      <c r="G533">
        <v>21</v>
      </c>
      <c r="H533" s="263"/>
      <c r="J533" t="s">
        <v>22</v>
      </c>
      <c r="K533" t="s">
        <v>30</v>
      </c>
      <c r="L533" t="s">
        <v>33</v>
      </c>
      <c r="M533" t="s">
        <v>580</v>
      </c>
      <c r="N533" s="263">
        <v>3</v>
      </c>
      <c r="O533" s="1">
        <f t="shared" si="8"/>
        <v>60</v>
      </c>
      <c r="P533" t="s">
        <v>911</v>
      </c>
      <c r="R533" t="s">
        <v>634</v>
      </c>
    </row>
    <row r="534" spans="1:18">
      <c r="A534">
        <v>15</v>
      </c>
      <c r="B534" t="s">
        <v>405</v>
      </c>
      <c r="C534" t="s">
        <v>483</v>
      </c>
      <c r="G534">
        <v>22</v>
      </c>
      <c r="H534" s="263"/>
      <c r="J534" t="s">
        <v>22</v>
      </c>
      <c r="K534" t="s">
        <v>30</v>
      </c>
      <c r="L534" t="s">
        <v>33</v>
      </c>
      <c r="M534" t="s">
        <v>580</v>
      </c>
      <c r="N534" s="263">
        <v>3</v>
      </c>
      <c r="O534" s="1">
        <f t="shared" si="8"/>
        <v>60</v>
      </c>
      <c r="P534" t="s">
        <v>911</v>
      </c>
      <c r="R534" t="s">
        <v>634</v>
      </c>
    </row>
    <row r="535" spans="1:18" hidden="1">
      <c r="A535">
        <v>15</v>
      </c>
      <c r="B535" t="s">
        <v>405</v>
      </c>
      <c r="C535" t="s">
        <v>483</v>
      </c>
      <c r="G535">
        <v>4</v>
      </c>
      <c r="J535" t="s">
        <v>22</v>
      </c>
      <c r="K535" t="s">
        <v>408</v>
      </c>
      <c r="L535" t="s">
        <v>33</v>
      </c>
      <c r="M535" t="s">
        <v>581</v>
      </c>
      <c r="O535" s="1">
        <v>45.09</v>
      </c>
      <c r="R535" t="s">
        <v>634</v>
      </c>
    </row>
    <row r="536" spans="1:18" hidden="1">
      <c r="A536">
        <v>15</v>
      </c>
      <c r="B536" t="s">
        <v>405</v>
      </c>
      <c r="C536" t="s">
        <v>483</v>
      </c>
      <c r="G536">
        <v>5</v>
      </c>
      <c r="J536" t="s">
        <v>22</v>
      </c>
      <c r="K536" t="s">
        <v>408</v>
      </c>
      <c r="L536" t="s">
        <v>33</v>
      </c>
      <c r="M536" t="s">
        <v>581</v>
      </c>
      <c r="O536" s="1">
        <v>45.09</v>
      </c>
      <c r="R536" t="s">
        <v>634</v>
      </c>
    </row>
    <row r="537" spans="1:18" hidden="1">
      <c r="A537">
        <v>15</v>
      </c>
      <c r="B537" t="s">
        <v>405</v>
      </c>
      <c r="C537" t="s">
        <v>483</v>
      </c>
      <c r="G537">
        <v>6</v>
      </c>
      <c r="J537" t="s">
        <v>22</v>
      </c>
      <c r="K537" t="s">
        <v>408</v>
      </c>
      <c r="L537" t="s">
        <v>33</v>
      </c>
      <c r="M537" t="s">
        <v>581</v>
      </c>
      <c r="O537" s="1">
        <v>45.09</v>
      </c>
      <c r="R537" t="s">
        <v>634</v>
      </c>
    </row>
    <row r="538" spans="1:18" hidden="1">
      <c r="A538">
        <v>15</v>
      </c>
      <c r="B538" t="s">
        <v>405</v>
      </c>
      <c r="C538" t="s">
        <v>483</v>
      </c>
      <c r="G538">
        <v>7</v>
      </c>
      <c r="J538" t="s">
        <v>22</v>
      </c>
      <c r="K538" t="s">
        <v>408</v>
      </c>
      <c r="L538" t="s">
        <v>33</v>
      </c>
      <c r="M538" t="s">
        <v>581</v>
      </c>
      <c r="O538" s="1">
        <v>45.09</v>
      </c>
      <c r="R538" t="s">
        <v>634</v>
      </c>
    </row>
    <row r="539" spans="1:18" hidden="1">
      <c r="A539">
        <v>15</v>
      </c>
      <c r="B539" t="s">
        <v>405</v>
      </c>
      <c r="C539" t="s">
        <v>483</v>
      </c>
      <c r="G539">
        <v>8</v>
      </c>
      <c r="J539" t="s">
        <v>22</v>
      </c>
      <c r="K539" t="s">
        <v>408</v>
      </c>
      <c r="L539" t="s">
        <v>33</v>
      </c>
      <c r="M539" t="s">
        <v>581</v>
      </c>
      <c r="O539" s="1">
        <v>45.09</v>
      </c>
      <c r="R539" t="s">
        <v>634</v>
      </c>
    </row>
    <row r="540" spans="1:18" hidden="1">
      <c r="A540">
        <v>15</v>
      </c>
      <c r="B540" t="s">
        <v>405</v>
      </c>
      <c r="C540" t="s">
        <v>483</v>
      </c>
      <c r="G540">
        <v>9</v>
      </c>
      <c r="J540" t="s">
        <v>22</v>
      </c>
      <c r="K540" t="s">
        <v>408</v>
      </c>
      <c r="L540" t="s">
        <v>33</v>
      </c>
      <c r="M540" t="s">
        <v>581</v>
      </c>
      <c r="O540" s="1">
        <v>45.09</v>
      </c>
      <c r="R540" t="s">
        <v>634</v>
      </c>
    </row>
    <row r="541" spans="1:18" hidden="1">
      <c r="A541">
        <v>15</v>
      </c>
      <c r="B541" t="s">
        <v>405</v>
      </c>
      <c r="C541" t="s">
        <v>483</v>
      </c>
      <c r="G541">
        <v>10</v>
      </c>
      <c r="J541" t="s">
        <v>22</v>
      </c>
      <c r="K541" t="s">
        <v>408</v>
      </c>
      <c r="L541" t="s">
        <v>33</v>
      </c>
      <c r="M541" t="s">
        <v>581</v>
      </c>
      <c r="O541" s="1">
        <v>45.09</v>
      </c>
      <c r="R541" t="s">
        <v>634</v>
      </c>
    </row>
    <row r="542" spans="1:18" hidden="1">
      <c r="A542">
        <v>15</v>
      </c>
      <c r="B542" t="s">
        <v>405</v>
      </c>
      <c r="C542" t="s">
        <v>483</v>
      </c>
      <c r="G542">
        <v>11</v>
      </c>
      <c r="J542" t="s">
        <v>22</v>
      </c>
      <c r="K542" t="s">
        <v>408</v>
      </c>
      <c r="L542" t="s">
        <v>33</v>
      </c>
      <c r="M542" t="s">
        <v>581</v>
      </c>
      <c r="O542" s="1">
        <v>45.09</v>
      </c>
      <c r="R542" t="s">
        <v>634</v>
      </c>
    </row>
    <row r="543" spans="1:18" hidden="1">
      <c r="A543">
        <v>15</v>
      </c>
      <c r="B543" t="s">
        <v>405</v>
      </c>
      <c r="C543" t="s">
        <v>483</v>
      </c>
      <c r="G543">
        <v>12</v>
      </c>
      <c r="J543" t="s">
        <v>22</v>
      </c>
      <c r="K543" t="s">
        <v>408</v>
      </c>
      <c r="L543" t="s">
        <v>33</v>
      </c>
      <c r="M543" t="s">
        <v>581</v>
      </c>
      <c r="O543" s="1">
        <v>45.09</v>
      </c>
      <c r="R543" t="s">
        <v>634</v>
      </c>
    </row>
    <row r="544" spans="1:18" hidden="1">
      <c r="A544">
        <v>15</v>
      </c>
      <c r="B544" t="s">
        <v>405</v>
      </c>
      <c r="C544" t="s">
        <v>483</v>
      </c>
      <c r="G544">
        <v>13</v>
      </c>
      <c r="J544" t="s">
        <v>22</v>
      </c>
      <c r="K544" t="s">
        <v>408</v>
      </c>
      <c r="L544" t="s">
        <v>33</v>
      </c>
      <c r="M544" t="s">
        <v>581</v>
      </c>
      <c r="O544" s="1">
        <v>45.09</v>
      </c>
      <c r="R544" t="s">
        <v>634</v>
      </c>
    </row>
    <row r="545" spans="1:18" hidden="1">
      <c r="A545">
        <v>15</v>
      </c>
      <c r="B545" t="s">
        <v>405</v>
      </c>
      <c r="C545" t="s">
        <v>483</v>
      </c>
      <c r="G545">
        <v>14</v>
      </c>
      <c r="J545" t="s">
        <v>22</v>
      </c>
      <c r="K545" t="s">
        <v>408</v>
      </c>
      <c r="L545" t="s">
        <v>33</v>
      </c>
      <c r="M545" t="s">
        <v>581</v>
      </c>
      <c r="O545" s="1">
        <v>45.09</v>
      </c>
      <c r="R545" t="s">
        <v>634</v>
      </c>
    </row>
    <row r="546" spans="1:18" hidden="1">
      <c r="A546">
        <v>15</v>
      </c>
      <c r="B546" t="s">
        <v>405</v>
      </c>
      <c r="C546" t="s">
        <v>483</v>
      </c>
      <c r="G546">
        <v>15</v>
      </c>
      <c r="J546" t="s">
        <v>22</v>
      </c>
      <c r="K546" t="s">
        <v>408</v>
      </c>
      <c r="L546" t="s">
        <v>33</v>
      </c>
      <c r="M546" t="s">
        <v>581</v>
      </c>
      <c r="O546" s="1">
        <v>45.09</v>
      </c>
      <c r="R546" t="s">
        <v>634</v>
      </c>
    </row>
    <row r="547" spans="1:18" hidden="1">
      <c r="A547">
        <v>15</v>
      </c>
      <c r="B547" t="s">
        <v>405</v>
      </c>
      <c r="C547" t="s">
        <v>483</v>
      </c>
      <c r="G547">
        <v>16</v>
      </c>
      <c r="J547" t="s">
        <v>22</v>
      </c>
      <c r="K547" t="s">
        <v>408</v>
      </c>
      <c r="L547" t="s">
        <v>33</v>
      </c>
      <c r="M547" t="s">
        <v>581</v>
      </c>
      <c r="O547" s="1">
        <v>45.09</v>
      </c>
      <c r="R547" t="s">
        <v>634</v>
      </c>
    </row>
    <row r="548" spans="1:18" hidden="1">
      <c r="A548">
        <v>15</v>
      </c>
      <c r="B548" t="s">
        <v>405</v>
      </c>
      <c r="C548" t="s">
        <v>483</v>
      </c>
      <c r="G548">
        <v>17</v>
      </c>
      <c r="J548" t="s">
        <v>22</v>
      </c>
      <c r="K548" t="s">
        <v>408</v>
      </c>
      <c r="L548" t="s">
        <v>33</v>
      </c>
      <c r="M548" t="s">
        <v>581</v>
      </c>
      <c r="O548" s="1">
        <v>45.09</v>
      </c>
      <c r="R548" t="s">
        <v>634</v>
      </c>
    </row>
    <row r="549" spans="1:18" hidden="1">
      <c r="A549">
        <v>15</v>
      </c>
      <c r="B549" t="s">
        <v>405</v>
      </c>
      <c r="C549" t="s">
        <v>483</v>
      </c>
      <c r="G549">
        <v>18</v>
      </c>
      <c r="J549" t="s">
        <v>22</v>
      </c>
      <c r="K549" t="s">
        <v>408</v>
      </c>
      <c r="L549" t="s">
        <v>33</v>
      </c>
      <c r="M549" t="s">
        <v>581</v>
      </c>
      <c r="O549" s="1">
        <v>45.09</v>
      </c>
      <c r="R549" t="s">
        <v>634</v>
      </c>
    </row>
    <row r="550" spans="1:18" hidden="1">
      <c r="A550">
        <v>15</v>
      </c>
      <c r="B550" t="s">
        <v>405</v>
      </c>
      <c r="C550" t="s">
        <v>483</v>
      </c>
      <c r="G550">
        <v>19</v>
      </c>
      <c r="J550" t="s">
        <v>22</v>
      </c>
      <c r="K550" t="s">
        <v>408</v>
      </c>
      <c r="L550" t="s">
        <v>33</v>
      </c>
      <c r="M550" t="s">
        <v>581</v>
      </c>
      <c r="O550" s="1">
        <v>45.09</v>
      </c>
      <c r="R550" t="s">
        <v>634</v>
      </c>
    </row>
    <row r="551" spans="1:18" hidden="1">
      <c r="A551">
        <v>15</v>
      </c>
      <c r="B551" t="s">
        <v>405</v>
      </c>
      <c r="C551" t="s">
        <v>483</v>
      </c>
      <c r="G551">
        <v>20</v>
      </c>
      <c r="J551" t="s">
        <v>22</v>
      </c>
      <c r="K551" t="s">
        <v>408</v>
      </c>
      <c r="L551" t="s">
        <v>33</v>
      </c>
      <c r="M551" t="s">
        <v>581</v>
      </c>
      <c r="O551" s="1">
        <v>45.09</v>
      </c>
      <c r="R551" t="s">
        <v>634</v>
      </c>
    </row>
    <row r="552" spans="1:18" hidden="1">
      <c r="A552">
        <v>15</v>
      </c>
      <c r="B552" t="s">
        <v>405</v>
      </c>
      <c r="C552" t="s">
        <v>483</v>
      </c>
      <c r="G552">
        <v>21</v>
      </c>
      <c r="J552" t="s">
        <v>22</v>
      </c>
      <c r="K552" t="s">
        <v>408</v>
      </c>
      <c r="L552" t="s">
        <v>33</v>
      </c>
      <c r="M552" t="s">
        <v>581</v>
      </c>
      <c r="O552" s="1">
        <v>45.09</v>
      </c>
      <c r="R552" t="s">
        <v>634</v>
      </c>
    </row>
    <row r="553" spans="1:18" hidden="1">
      <c r="A553">
        <v>15</v>
      </c>
      <c r="B553" t="s">
        <v>405</v>
      </c>
      <c r="C553" t="s">
        <v>483</v>
      </c>
      <c r="G553">
        <v>22</v>
      </c>
      <c r="J553" t="s">
        <v>22</v>
      </c>
      <c r="K553" t="s">
        <v>408</v>
      </c>
      <c r="L553" t="s">
        <v>33</v>
      </c>
      <c r="M553" t="s">
        <v>581</v>
      </c>
      <c r="O553" s="1">
        <v>45.09</v>
      </c>
      <c r="R553" t="s">
        <v>634</v>
      </c>
    </row>
    <row r="554" spans="1:18">
      <c r="A554">
        <v>15</v>
      </c>
      <c r="B554" t="s">
        <v>405</v>
      </c>
      <c r="C554" t="s">
        <v>483</v>
      </c>
      <c r="G554">
        <v>4</v>
      </c>
      <c r="H554" s="263"/>
      <c r="J554" t="s">
        <v>22</v>
      </c>
      <c r="K554" t="s">
        <v>30</v>
      </c>
      <c r="L554" t="s">
        <v>33</v>
      </c>
      <c r="M554" t="s">
        <v>554</v>
      </c>
      <c r="N554" s="263">
        <v>3</v>
      </c>
      <c r="O554" s="1">
        <f>20*3</f>
        <v>60</v>
      </c>
      <c r="P554" t="s">
        <v>911</v>
      </c>
      <c r="R554" t="s">
        <v>634</v>
      </c>
    </row>
    <row r="555" spans="1:18">
      <c r="A555">
        <v>15</v>
      </c>
      <c r="B555" t="s">
        <v>405</v>
      </c>
      <c r="C555" t="s">
        <v>483</v>
      </c>
      <c r="G555">
        <v>5</v>
      </c>
      <c r="H555" s="263"/>
      <c r="J555" t="s">
        <v>22</v>
      </c>
      <c r="K555" t="s">
        <v>30</v>
      </c>
      <c r="L555" t="s">
        <v>33</v>
      </c>
      <c r="M555" t="s">
        <v>554</v>
      </c>
      <c r="N555" s="263">
        <v>3</v>
      </c>
      <c r="O555" s="1">
        <f t="shared" ref="O555:O572" si="9">20*3</f>
        <v>60</v>
      </c>
      <c r="P555" t="s">
        <v>911</v>
      </c>
      <c r="R555" t="s">
        <v>634</v>
      </c>
    </row>
    <row r="556" spans="1:18">
      <c r="A556">
        <v>15</v>
      </c>
      <c r="B556" t="s">
        <v>405</v>
      </c>
      <c r="C556" t="s">
        <v>483</v>
      </c>
      <c r="G556">
        <v>6</v>
      </c>
      <c r="H556" s="263"/>
      <c r="J556" t="s">
        <v>22</v>
      </c>
      <c r="K556" t="s">
        <v>30</v>
      </c>
      <c r="L556" t="s">
        <v>33</v>
      </c>
      <c r="M556" t="s">
        <v>554</v>
      </c>
      <c r="N556" s="263">
        <v>3</v>
      </c>
      <c r="O556" s="1">
        <f t="shared" si="9"/>
        <v>60</v>
      </c>
      <c r="P556" t="s">
        <v>911</v>
      </c>
      <c r="R556" t="s">
        <v>634</v>
      </c>
    </row>
    <row r="557" spans="1:18">
      <c r="A557">
        <v>15</v>
      </c>
      <c r="B557" t="s">
        <v>405</v>
      </c>
      <c r="C557" t="s">
        <v>483</v>
      </c>
      <c r="G557">
        <v>7</v>
      </c>
      <c r="H557" s="263"/>
      <c r="J557" t="s">
        <v>22</v>
      </c>
      <c r="K557" t="s">
        <v>30</v>
      </c>
      <c r="L557" t="s">
        <v>33</v>
      </c>
      <c r="M557" t="s">
        <v>554</v>
      </c>
      <c r="N557" s="263">
        <v>3</v>
      </c>
      <c r="O557" s="1">
        <f t="shared" si="9"/>
        <v>60</v>
      </c>
      <c r="P557" t="s">
        <v>911</v>
      </c>
      <c r="R557" t="s">
        <v>634</v>
      </c>
    </row>
    <row r="558" spans="1:18">
      <c r="A558">
        <v>15</v>
      </c>
      <c r="B558" t="s">
        <v>405</v>
      </c>
      <c r="C558" t="s">
        <v>483</v>
      </c>
      <c r="G558">
        <v>8</v>
      </c>
      <c r="H558" s="263"/>
      <c r="J558" t="s">
        <v>22</v>
      </c>
      <c r="K558" t="s">
        <v>30</v>
      </c>
      <c r="L558" t="s">
        <v>33</v>
      </c>
      <c r="M558" t="s">
        <v>554</v>
      </c>
      <c r="N558" s="263">
        <v>3</v>
      </c>
      <c r="O558" s="1">
        <f t="shared" si="9"/>
        <v>60</v>
      </c>
      <c r="P558" t="s">
        <v>911</v>
      </c>
      <c r="R558" t="s">
        <v>634</v>
      </c>
    </row>
    <row r="559" spans="1:18">
      <c r="A559">
        <v>15</v>
      </c>
      <c r="B559" t="s">
        <v>405</v>
      </c>
      <c r="C559" t="s">
        <v>483</v>
      </c>
      <c r="G559">
        <v>9</v>
      </c>
      <c r="H559" s="263"/>
      <c r="J559" t="s">
        <v>22</v>
      </c>
      <c r="K559" t="s">
        <v>30</v>
      </c>
      <c r="L559" t="s">
        <v>33</v>
      </c>
      <c r="M559" t="s">
        <v>554</v>
      </c>
      <c r="N559" s="263">
        <v>3</v>
      </c>
      <c r="O559" s="1">
        <f t="shared" si="9"/>
        <v>60</v>
      </c>
      <c r="P559" t="s">
        <v>911</v>
      </c>
      <c r="R559" t="s">
        <v>634</v>
      </c>
    </row>
    <row r="560" spans="1:18">
      <c r="A560">
        <v>15</v>
      </c>
      <c r="B560" t="s">
        <v>405</v>
      </c>
      <c r="C560" t="s">
        <v>483</v>
      </c>
      <c r="G560">
        <v>10</v>
      </c>
      <c r="H560" s="263"/>
      <c r="J560" t="s">
        <v>22</v>
      </c>
      <c r="K560" t="s">
        <v>30</v>
      </c>
      <c r="L560" t="s">
        <v>33</v>
      </c>
      <c r="M560" t="s">
        <v>554</v>
      </c>
      <c r="N560" s="263">
        <v>3</v>
      </c>
      <c r="O560" s="1">
        <f t="shared" si="9"/>
        <v>60</v>
      </c>
      <c r="P560" t="s">
        <v>911</v>
      </c>
      <c r="R560" t="s">
        <v>634</v>
      </c>
    </row>
    <row r="561" spans="1:18">
      <c r="A561">
        <v>15</v>
      </c>
      <c r="B561" t="s">
        <v>405</v>
      </c>
      <c r="C561" t="s">
        <v>483</v>
      </c>
      <c r="G561">
        <v>11</v>
      </c>
      <c r="H561" s="263"/>
      <c r="J561" t="s">
        <v>22</v>
      </c>
      <c r="K561" t="s">
        <v>30</v>
      </c>
      <c r="L561" t="s">
        <v>33</v>
      </c>
      <c r="M561" t="s">
        <v>554</v>
      </c>
      <c r="N561" s="263">
        <v>3</v>
      </c>
      <c r="O561" s="1">
        <f t="shared" si="9"/>
        <v>60</v>
      </c>
      <c r="P561" t="s">
        <v>911</v>
      </c>
      <c r="R561" t="s">
        <v>634</v>
      </c>
    </row>
    <row r="562" spans="1:18">
      <c r="A562">
        <v>15</v>
      </c>
      <c r="B562" t="s">
        <v>405</v>
      </c>
      <c r="C562" t="s">
        <v>483</v>
      </c>
      <c r="G562">
        <v>12</v>
      </c>
      <c r="H562" s="263"/>
      <c r="J562" t="s">
        <v>22</v>
      </c>
      <c r="K562" t="s">
        <v>30</v>
      </c>
      <c r="L562" t="s">
        <v>33</v>
      </c>
      <c r="M562" t="s">
        <v>554</v>
      </c>
      <c r="N562" s="263">
        <v>3</v>
      </c>
      <c r="O562" s="1">
        <f t="shared" si="9"/>
        <v>60</v>
      </c>
      <c r="P562" t="s">
        <v>911</v>
      </c>
      <c r="R562" t="s">
        <v>634</v>
      </c>
    </row>
    <row r="563" spans="1:18">
      <c r="A563">
        <v>15</v>
      </c>
      <c r="B563" t="s">
        <v>405</v>
      </c>
      <c r="C563" t="s">
        <v>483</v>
      </c>
      <c r="G563">
        <v>13</v>
      </c>
      <c r="H563" s="263"/>
      <c r="J563" t="s">
        <v>22</v>
      </c>
      <c r="K563" t="s">
        <v>30</v>
      </c>
      <c r="L563" t="s">
        <v>33</v>
      </c>
      <c r="M563" t="s">
        <v>554</v>
      </c>
      <c r="N563" s="263">
        <v>3</v>
      </c>
      <c r="O563" s="1">
        <f t="shared" si="9"/>
        <v>60</v>
      </c>
      <c r="P563" t="s">
        <v>911</v>
      </c>
      <c r="R563" t="s">
        <v>634</v>
      </c>
    </row>
    <row r="564" spans="1:18">
      <c r="A564">
        <v>15</v>
      </c>
      <c r="B564" t="s">
        <v>405</v>
      </c>
      <c r="C564" t="s">
        <v>483</v>
      </c>
      <c r="G564">
        <v>14</v>
      </c>
      <c r="H564" s="263"/>
      <c r="J564" t="s">
        <v>22</v>
      </c>
      <c r="K564" t="s">
        <v>30</v>
      </c>
      <c r="L564" t="s">
        <v>33</v>
      </c>
      <c r="M564" t="s">
        <v>554</v>
      </c>
      <c r="N564" s="263">
        <v>3</v>
      </c>
      <c r="O564" s="1">
        <f t="shared" si="9"/>
        <v>60</v>
      </c>
      <c r="P564" t="s">
        <v>911</v>
      </c>
      <c r="R564" t="s">
        <v>634</v>
      </c>
    </row>
    <row r="565" spans="1:18">
      <c r="A565">
        <v>15</v>
      </c>
      <c r="B565" t="s">
        <v>405</v>
      </c>
      <c r="C565" t="s">
        <v>483</v>
      </c>
      <c r="G565">
        <v>15</v>
      </c>
      <c r="H565" s="263"/>
      <c r="J565" t="s">
        <v>22</v>
      </c>
      <c r="K565" t="s">
        <v>30</v>
      </c>
      <c r="L565" t="s">
        <v>33</v>
      </c>
      <c r="M565" t="s">
        <v>554</v>
      </c>
      <c r="N565" s="263">
        <v>3</v>
      </c>
      <c r="O565" s="1">
        <f t="shared" si="9"/>
        <v>60</v>
      </c>
      <c r="P565" t="s">
        <v>911</v>
      </c>
      <c r="R565" t="s">
        <v>634</v>
      </c>
    </row>
    <row r="566" spans="1:18">
      <c r="A566">
        <v>15</v>
      </c>
      <c r="B566" t="s">
        <v>405</v>
      </c>
      <c r="C566" t="s">
        <v>483</v>
      </c>
      <c r="G566">
        <v>16</v>
      </c>
      <c r="H566" s="263"/>
      <c r="J566" t="s">
        <v>22</v>
      </c>
      <c r="K566" t="s">
        <v>30</v>
      </c>
      <c r="L566" t="s">
        <v>33</v>
      </c>
      <c r="M566" t="s">
        <v>554</v>
      </c>
      <c r="N566" s="263">
        <v>3</v>
      </c>
      <c r="O566" s="1">
        <f t="shared" si="9"/>
        <v>60</v>
      </c>
      <c r="P566" t="s">
        <v>911</v>
      </c>
      <c r="R566" t="s">
        <v>634</v>
      </c>
    </row>
    <row r="567" spans="1:18">
      <c r="A567">
        <v>15</v>
      </c>
      <c r="B567" t="s">
        <v>405</v>
      </c>
      <c r="C567" t="s">
        <v>483</v>
      </c>
      <c r="G567">
        <v>17</v>
      </c>
      <c r="H567" s="263"/>
      <c r="J567" t="s">
        <v>22</v>
      </c>
      <c r="K567" t="s">
        <v>30</v>
      </c>
      <c r="L567" t="s">
        <v>33</v>
      </c>
      <c r="M567" t="s">
        <v>554</v>
      </c>
      <c r="N567" s="263">
        <v>3</v>
      </c>
      <c r="O567" s="1">
        <f t="shared" si="9"/>
        <v>60</v>
      </c>
      <c r="P567" t="s">
        <v>911</v>
      </c>
      <c r="R567" t="s">
        <v>634</v>
      </c>
    </row>
    <row r="568" spans="1:18">
      <c r="A568">
        <v>15</v>
      </c>
      <c r="B568" t="s">
        <v>405</v>
      </c>
      <c r="C568" t="s">
        <v>483</v>
      </c>
      <c r="G568">
        <v>18</v>
      </c>
      <c r="H568" s="263"/>
      <c r="J568" t="s">
        <v>22</v>
      </c>
      <c r="K568" t="s">
        <v>30</v>
      </c>
      <c r="L568" t="s">
        <v>33</v>
      </c>
      <c r="M568" t="s">
        <v>554</v>
      </c>
      <c r="N568" s="263">
        <v>3</v>
      </c>
      <c r="O568" s="1">
        <f t="shared" si="9"/>
        <v>60</v>
      </c>
      <c r="P568" t="s">
        <v>911</v>
      </c>
      <c r="R568" t="s">
        <v>634</v>
      </c>
    </row>
    <row r="569" spans="1:18">
      <c r="A569">
        <v>15</v>
      </c>
      <c r="B569" t="s">
        <v>405</v>
      </c>
      <c r="C569" t="s">
        <v>483</v>
      </c>
      <c r="G569">
        <v>19</v>
      </c>
      <c r="H569" s="263"/>
      <c r="J569" t="s">
        <v>22</v>
      </c>
      <c r="K569" t="s">
        <v>30</v>
      </c>
      <c r="L569" t="s">
        <v>33</v>
      </c>
      <c r="M569" t="s">
        <v>554</v>
      </c>
      <c r="N569" s="263">
        <v>3</v>
      </c>
      <c r="O569" s="1">
        <f t="shared" si="9"/>
        <v>60</v>
      </c>
      <c r="P569" t="s">
        <v>911</v>
      </c>
      <c r="R569" t="s">
        <v>634</v>
      </c>
    </row>
    <row r="570" spans="1:18">
      <c r="A570">
        <v>15</v>
      </c>
      <c r="B570" t="s">
        <v>405</v>
      </c>
      <c r="C570" t="s">
        <v>483</v>
      </c>
      <c r="G570">
        <v>20</v>
      </c>
      <c r="H570" s="263"/>
      <c r="J570" t="s">
        <v>22</v>
      </c>
      <c r="K570" t="s">
        <v>30</v>
      </c>
      <c r="L570" t="s">
        <v>33</v>
      </c>
      <c r="M570" t="s">
        <v>554</v>
      </c>
      <c r="N570" s="263">
        <v>3</v>
      </c>
      <c r="O570" s="1">
        <f t="shared" si="9"/>
        <v>60</v>
      </c>
      <c r="P570" t="s">
        <v>911</v>
      </c>
      <c r="R570" t="s">
        <v>634</v>
      </c>
    </row>
    <row r="571" spans="1:18">
      <c r="A571">
        <v>15</v>
      </c>
      <c r="B571" t="s">
        <v>405</v>
      </c>
      <c r="C571" t="s">
        <v>483</v>
      </c>
      <c r="G571">
        <v>21</v>
      </c>
      <c r="H571" s="263"/>
      <c r="J571" t="s">
        <v>22</v>
      </c>
      <c r="K571" t="s">
        <v>30</v>
      </c>
      <c r="L571" t="s">
        <v>33</v>
      </c>
      <c r="M571" t="s">
        <v>554</v>
      </c>
      <c r="N571" s="263">
        <v>3</v>
      </c>
      <c r="O571" s="1">
        <f t="shared" si="9"/>
        <v>60</v>
      </c>
      <c r="P571" t="s">
        <v>911</v>
      </c>
      <c r="R571" t="s">
        <v>634</v>
      </c>
    </row>
    <row r="572" spans="1:18">
      <c r="A572">
        <v>15</v>
      </c>
      <c r="B572" t="s">
        <v>405</v>
      </c>
      <c r="C572" t="s">
        <v>483</v>
      </c>
      <c r="G572">
        <v>22</v>
      </c>
      <c r="H572" s="263"/>
      <c r="J572" t="s">
        <v>22</v>
      </c>
      <c r="K572" t="s">
        <v>30</v>
      </c>
      <c r="L572" t="s">
        <v>33</v>
      </c>
      <c r="M572" t="s">
        <v>554</v>
      </c>
      <c r="N572" s="263">
        <v>3</v>
      </c>
      <c r="O572" s="1">
        <f t="shared" si="9"/>
        <v>60</v>
      </c>
      <c r="P572" t="s">
        <v>911</v>
      </c>
      <c r="R572" t="s">
        <v>634</v>
      </c>
    </row>
    <row r="573" spans="1:18" hidden="1">
      <c r="A573">
        <v>15</v>
      </c>
      <c r="B573" t="s">
        <v>405</v>
      </c>
      <c r="C573" t="s">
        <v>483</v>
      </c>
      <c r="G573">
        <v>4</v>
      </c>
      <c r="J573" t="s">
        <v>22</v>
      </c>
      <c r="K573" t="s">
        <v>71</v>
      </c>
      <c r="L573" t="s">
        <v>33</v>
      </c>
      <c r="M573" t="s">
        <v>555</v>
      </c>
      <c r="O573" s="1">
        <f>3*4.05*2</f>
        <v>24.299999999999997</v>
      </c>
      <c r="P573" t="s">
        <v>643</v>
      </c>
      <c r="R573" t="s">
        <v>634</v>
      </c>
    </row>
    <row r="574" spans="1:18" hidden="1">
      <c r="A574">
        <v>15</v>
      </c>
      <c r="B574" t="s">
        <v>405</v>
      </c>
      <c r="C574" t="s">
        <v>483</v>
      </c>
      <c r="G574">
        <v>5</v>
      </c>
      <c r="J574" t="s">
        <v>22</v>
      </c>
      <c r="K574" t="s">
        <v>71</v>
      </c>
      <c r="L574" t="s">
        <v>33</v>
      </c>
      <c r="M574" t="s">
        <v>555</v>
      </c>
      <c r="O574" s="1">
        <f t="shared" ref="O574:O591" si="10">3*4.05*2</f>
        <v>24.299999999999997</v>
      </c>
      <c r="P574" t="s">
        <v>643</v>
      </c>
      <c r="R574" t="s">
        <v>634</v>
      </c>
    </row>
    <row r="575" spans="1:18" hidden="1">
      <c r="A575">
        <v>15</v>
      </c>
      <c r="B575" t="s">
        <v>405</v>
      </c>
      <c r="C575" t="s">
        <v>483</v>
      </c>
      <c r="G575">
        <v>6</v>
      </c>
      <c r="J575" t="s">
        <v>22</v>
      </c>
      <c r="K575" t="s">
        <v>71</v>
      </c>
      <c r="L575" t="s">
        <v>33</v>
      </c>
      <c r="M575" t="s">
        <v>555</v>
      </c>
      <c r="O575" s="1">
        <f t="shared" si="10"/>
        <v>24.299999999999997</v>
      </c>
      <c r="P575" t="s">
        <v>643</v>
      </c>
      <c r="R575" t="s">
        <v>634</v>
      </c>
    </row>
    <row r="576" spans="1:18" hidden="1">
      <c r="A576">
        <v>15</v>
      </c>
      <c r="B576" t="s">
        <v>405</v>
      </c>
      <c r="C576" t="s">
        <v>483</v>
      </c>
      <c r="G576">
        <v>7</v>
      </c>
      <c r="J576" t="s">
        <v>22</v>
      </c>
      <c r="K576" t="s">
        <v>71</v>
      </c>
      <c r="L576" t="s">
        <v>33</v>
      </c>
      <c r="M576" t="s">
        <v>555</v>
      </c>
      <c r="O576" s="1">
        <f t="shared" si="10"/>
        <v>24.299999999999997</v>
      </c>
      <c r="P576" t="s">
        <v>643</v>
      </c>
      <c r="R576" t="s">
        <v>634</v>
      </c>
    </row>
    <row r="577" spans="1:18" hidden="1">
      <c r="A577">
        <v>15</v>
      </c>
      <c r="B577" t="s">
        <v>405</v>
      </c>
      <c r="C577" t="s">
        <v>483</v>
      </c>
      <c r="G577">
        <v>8</v>
      </c>
      <c r="J577" t="s">
        <v>22</v>
      </c>
      <c r="K577" t="s">
        <v>71</v>
      </c>
      <c r="L577" t="s">
        <v>33</v>
      </c>
      <c r="M577" t="s">
        <v>555</v>
      </c>
      <c r="O577" s="1">
        <f t="shared" si="10"/>
        <v>24.299999999999997</v>
      </c>
      <c r="P577" t="s">
        <v>643</v>
      </c>
      <c r="R577" t="s">
        <v>634</v>
      </c>
    </row>
    <row r="578" spans="1:18" hidden="1">
      <c r="A578">
        <v>15</v>
      </c>
      <c r="B578" t="s">
        <v>405</v>
      </c>
      <c r="C578" t="s">
        <v>483</v>
      </c>
      <c r="G578">
        <v>9</v>
      </c>
      <c r="J578" t="s">
        <v>22</v>
      </c>
      <c r="K578" t="s">
        <v>71</v>
      </c>
      <c r="L578" t="s">
        <v>33</v>
      </c>
      <c r="M578" t="s">
        <v>555</v>
      </c>
      <c r="O578" s="1">
        <f t="shared" si="10"/>
        <v>24.299999999999997</v>
      </c>
      <c r="P578" t="s">
        <v>643</v>
      </c>
      <c r="R578" t="s">
        <v>634</v>
      </c>
    </row>
    <row r="579" spans="1:18" hidden="1">
      <c r="A579">
        <v>15</v>
      </c>
      <c r="B579" t="s">
        <v>405</v>
      </c>
      <c r="C579" t="s">
        <v>483</v>
      </c>
      <c r="G579">
        <v>10</v>
      </c>
      <c r="J579" t="s">
        <v>22</v>
      </c>
      <c r="K579" t="s">
        <v>71</v>
      </c>
      <c r="L579" t="s">
        <v>33</v>
      </c>
      <c r="M579" t="s">
        <v>555</v>
      </c>
      <c r="O579" s="1">
        <f t="shared" si="10"/>
        <v>24.299999999999997</v>
      </c>
      <c r="P579" t="s">
        <v>643</v>
      </c>
      <c r="R579" t="s">
        <v>634</v>
      </c>
    </row>
    <row r="580" spans="1:18" hidden="1">
      <c r="A580">
        <v>15</v>
      </c>
      <c r="B580" t="s">
        <v>405</v>
      </c>
      <c r="C580" t="s">
        <v>483</v>
      </c>
      <c r="G580">
        <v>11</v>
      </c>
      <c r="J580" t="s">
        <v>22</v>
      </c>
      <c r="K580" t="s">
        <v>71</v>
      </c>
      <c r="L580" t="s">
        <v>33</v>
      </c>
      <c r="M580" t="s">
        <v>555</v>
      </c>
      <c r="O580" s="1">
        <f t="shared" si="10"/>
        <v>24.299999999999997</v>
      </c>
      <c r="P580" t="s">
        <v>643</v>
      </c>
      <c r="R580" t="s">
        <v>634</v>
      </c>
    </row>
    <row r="581" spans="1:18" hidden="1">
      <c r="A581">
        <v>15</v>
      </c>
      <c r="B581" t="s">
        <v>405</v>
      </c>
      <c r="C581" t="s">
        <v>483</v>
      </c>
      <c r="G581">
        <v>12</v>
      </c>
      <c r="J581" t="s">
        <v>22</v>
      </c>
      <c r="K581" t="s">
        <v>71</v>
      </c>
      <c r="L581" t="s">
        <v>33</v>
      </c>
      <c r="M581" t="s">
        <v>555</v>
      </c>
      <c r="O581" s="1">
        <f t="shared" si="10"/>
        <v>24.299999999999997</v>
      </c>
      <c r="P581" t="s">
        <v>643</v>
      </c>
      <c r="R581" t="s">
        <v>634</v>
      </c>
    </row>
    <row r="582" spans="1:18" hidden="1">
      <c r="A582">
        <v>15</v>
      </c>
      <c r="B582" t="s">
        <v>405</v>
      </c>
      <c r="C582" t="s">
        <v>483</v>
      </c>
      <c r="G582">
        <v>13</v>
      </c>
      <c r="J582" t="s">
        <v>22</v>
      </c>
      <c r="K582" t="s">
        <v>71</v>
      </c>
      <c r="L582" t="s">
        <v>33</v>
      </c>
      <c r="M582" t="s">
        <v>555</v>
      </c>
      <c r="O582" s="1">
        <f t="shared" si="10"/>
        <v>24.299999999999997</v>
      </c>
      <c r="P582" t="s">
        <v>643</v>
      </c>
      <c r="R582" t="s">
        <v>634</v>
      </c>
    </row>
    <row r="583" spans="1:18" hidden="1">
      <c r="A583">
        <v>15</v>
      </c>
      <c r="B583" t="s">
        <v>405</v>
      </c>
      <c r="C583" t="s">
        <v>483</v>
      </c>
      <c r="G583">
        <v>14</v>
      </c>
      <c r="J583" t="s">
        <v>22</v>
      </c>
      <c r="K583" t="s">
        <v>71</v>
      </c>
      <c r="L583" t="s">
        <v>33</v>
      </c>
      <c r="M583" t="s">
        <v>555</v>
      </c>
      <c r="O583" s="1">
        <f t="shared" si="10"/>
        <v>24.299999999999997</v>
      </c>
      <c r="P583" t="s">
        <v>643</v>
      </c>
      <c r="R583" t="s">
        <v>634</v>
      </c>
    </row>
    <row r="584" spans="1:18" hidden="1">
      <c r="A584">
        <v>15</v>
      </c>
      <c r="B584" t="s">
        <v>405</v>
      </c>
      <c r="C584" t="s">
        <v>483</v>
      </c>
      <c r="G584">
        <v>15</v>
      </c>
      <c r="J584" t="s">
        <v>22</v>
      </c>
      <c r="K584" t="s">
        <v>71</v>
      </c>
      <c r="L584" t="s">
        <v>33</v>
      </c>
      <c r="M584" t="s">
        <v>555</v>
      </c>
      <c r="O584" s="1">
        <f t="shared" si="10"/>
        <v>24.299999999999997</v>
      </c>
      <c r="P584" t="s">
        <v>643</v>
      </c>
      <c r="R584" t="s">
        <v>634</v>
      </c>
    </row>
    <row r="585" spans="1:18" hidden="1">
      <c r="A585">
        <v>15</v>
      </c>
      <c r="B585" t="s">
        <v>405</v>
      </c>
      <c r="C585" t="s">
        <v>483</v>
      </c>
      <c r="G585">
        <v>16</v>
      </c>
      <c r="J585" t="s">
        <v>22</v>
      </c>
      <c r="K585" t="s">
        <v>71</v>
      </c>
      <c r="L585" t="s">
        <v>33</v>
      </c>
      <c r="M585" t="s">
        <v>555</v>
      </c>
      <c r="O585" s="1">
        <f t="shared" si="10"/>
        <v>24.299999999999997</v>
      </c>
      <c r="P585" t="s">
        <v>643</v>
      </c>
      <c r="R585" t="s">
        <v>634</v>
      </c>
    </row>
    <row r="586" spans="1:18" hidden="1">
      <c r="A586">
        <v>15</v>
      </c>
      <c r="B586" t="s">
        <v>405</v>
      </c>
      <c r="C586" t="s">
        <v>483</v>
      </c>
      <c r="G586">
        <v>17</v>
      </c>
      <c r="J586" t="s">
        <v>22</v>
      </c>
      <c r="K586" t="s">
        <v>71</v>
      </c>
      <c r="L586" t="s">
        <v>33</v>
      </c>
      <c r="M586" t="s">
        <v>555</v>
      </c>
      <c r="O586" s="1">
        <f t="shared" si="10"/>
        <v>24.299999999999997</v>
      </c>
      <c r="P586" t="s">
        <v>643</v>
      </c>
      <c r="R586" t="s">
        <v>634</v>
      </c>
    </row>
    <row r="587" spans="1:18" hidden="1">
      <c r="A587">
        <v>15</v>
      </c>
      <c r="B587" t="s">
        <v>405</v>
      </c>
      <c r="C587" t="s">
        <v>483</v>
      </c>
      <c r="G587">
        <v>18</v>
      </c>
      <c r="J587" t="s">
        <v>22</v>
      </c>
      <c r="K587" t="s">
        <v>71</v>
      </c>
      <c r="L587" t="s">
        <v>33</v>
      </c>
      <c r="M587" t="s">
        <v>555</v>
      </c>
      <c r="O587" s="1">
        <f t="shared" si="10"/>
        <v>24.299999999999997</v>
      </c>
      <c r="P587" t="s">
        <v>643</v>
      </c>
      <c r="R587" t="s">
        <v>634</v>
      </c>
    </row>
    <row r="588" spans="1:18" hidden="1">
      <c r="A588">
        <v>15</v>
      </c>
      <c r="B588" t="s">
        <v>405</v>
      </c>
      <c r="C588" t="s">
        <v>483</v>
      </c>
      <c r="G588">
        <v>19</v>
      </c>
      <c r="J588" t="s">
        <v>22</v>
      </c>
      <c r="K588" t="s">
        <v>71</v>
      </c>
      <c r="L588" t="s">
        <v>33</v>
      </c>
      <c r="M588" t="s">
        <v>555</v>
      </c>
      <c r="O588" s="1">
        <f t="shared" si="10"/>
        <v>24.299999999999997</v>
      </c>
      <c r="P588" t="s">
        <v>643</v>
      </c>
      <c r="R588" t="s">
        <v>634</v>
      </c>
    </row>
    <row r="589" spans="1:18" hidden="1">
      <c r="A589">
        <v>15</v>
      </c>
      <c r="B589" t="s">
        <v>405</v>
      </c>
      <c r="C589" t="s">
        <v>483</v>
      </c>
      <c r="G589">
        <v>20</v>
      </c>
      <c r="J589" t="s">
        <v>22</v>
      </c>
      <c r="K589" t="s">
        <v>71</v>
      </c>
      <c r="L589" t="s">
        <v>33</v>
      </c>
      <c r="M589" t="s">
        <v>555</v>
      </c>
      <c r="O589" s="1">
        <f t="shared" si="10"/>
        <v>24.299999999999997</v>
      </c>
      <c r="P589" t="s">
        <v>643</v>
      </c>
      <c r="R589" t="s">
        <v>634</v>
      </c>
    </row>
    <row r="590" spans="1:18" hidden="1">
      <c r="A590">
        <v>15</v>
      </c>
      <c r="B590" t="s">
        <v>405</v>
      </c>
      <c r="C590" t="s">
        <v>483</v>
      </c>
      <c r="G590">
        <v>21</v>
      </c>
      <c r="J590" t="s">
        <v>22</v>
      </c>
      <c r="K590" t="s">
        <v>71</v>
      </c>
      <c r="L590" t="s">
        <v>33</v>
      </c>
      <c r="M590" t="s">
        <v>555</v>
      </c>
      <c r="O590" s="1">
        <f t="shared" si="10"/>
        <v>24.299999999999997</v>
      </c>
      <c r="P590" t="s">
        <v>643</v>
      </c>
      <c r="R590" t="s">
        <v>634</v>
      </c>
    </row>
    <row r="591" spans="1:18" hidden="1">
      <c r="A591">
        <v>15</v>
      </c>
      <c r="B591" t="s">
        <v>405</v>
      </c>
      <c r="C591" t="s">
        <v>483</v>
      </c>
      <c r="G591">
        <v>22</v>
      </c>
      <c r="J591" t="s">
        <v>22</v>
      </c>
      <c r="K591" t="s">
        <v>71</v>
      </c>
      <c r="L591" t="s">
        <v>33</v>
      </c>
      <c r="M591" t="s">
        <v>555</v>
      </c>
      <c r="O591" s="1">
        <f t="shared" si="10"/>
        <v>24.299999999999997</v>
      </c>
      <c r="P591" t="s">
        <v>643</v>
      </c>
      <c r="R591" t="s">
        <v>634</v>
      </c>
    </row>
    <row r="592" spans="1:18" hidden="1">
      <c r="A592">
        <v>15</v>
      </c>
      <c r="B592" t="s">
        <v>405</v>
      </c>
      <c r="C592" t="s">
        <v>483</v>
      </c>
      <c r="G592">
        <v>4</v>
      </c>
      <c r="J592" t="s">
        <v>22</v>
      </c>
      <c r="K592" t="s">
        <v>71</v>
      </c>
      <c r="L592" t="s">
        <v>33</v>
      </c>
      <c r="M592" t="s">
        <v>556</v>
      </c>
      <c r="O592" s="1">
        <f>4*0.5*2</f>
        <v>4</v>
      </c>
      <c r="P592" t="s">
        <v>644</v>
      </c>
      <c r="R592" t="s">
        <v>634</v>
      </c>
    </row>
    <row r="593" spans="1:18" hidden="1">
      <c r="A593">
        <v>15</v>
      </c>
      <c r="B593" t="s">
        <v>405</v>
      </c>
      <c r="C593" t="s">
        <v>483</v>
      </c>
      <c r="G593">
        <v>5</v>
      </c>
      <c r="J593" t="s">
        <v>22</v>
      </c>
      <c r="K593" t="s">
        <v>71</v>
      </c>
      <c r="L593" t="s">
        <v>33</v>
      </c>
      <c r="M593" t="s">
        <v>556</v>
      </c>
      <c r="O593" s="1">
        <f t="shared" ref="O593:O610" si="11">4*0.5*2</f>
        <v>4</v>
      </c>
      <c r="P593" t="s">
        <v>644</v>
      </c>
      <c r="R593" t="s">
        <v>634</v>
      </c>
    </row>
    <row r="594" spans="1:18" hidden="1">
      <c r="A594">
        <v>15</v>
      </c>
      <c r="B594" t="s">
        <v>405</v>
      </c>
      <c r="C594" t="s">
        <v>483</v>
      </c>
      <c r="G594">
        <v>6</v>
      </c>
      <c r="J594" t="s">
        <v>22</v>
      </c>
      <c r="K594" t="s">
        <v>71</v>
      </c>
      <c r="L594" t="s">
        <v>33</v>
      </c>
      <c r="M594" t="s">
        <v>556</v>
      </c>
      <c r="O594" s="1">
        <f t="shared" si="11"/>
        <v>4</v>
      </c>
      <c r="P594" t="s">
        <v>644</v>
      </c>
      <c r="R594" t="s">
        <v>634</v>
      </c>
    </row>
    <row r="595" spans="1:18" hidden="1">
      <c r="A595">
        <v>15</v>
      </c>
      <c r="B595" t="s">
        <v>405</v>
      </c>
      <c r="C595" t="s">
        <v>483</v>
      </c>
      <c r="G595">
        <v>7</v>
      </c>
      <c r="J595" t="s">
        <v>22</v>
      </c>
      <c r="K595" t="s">
        <v>71</v>
      </c>
      <c r="L595" t="s">
        <v>33</v>
      </c>
      <c r="M595" t="s">
        <v>556</v>
      </c>
      <c r="O595" s="1">
        <f t="shared" si="11"/>
        <v>4</v>
      </c>
      <c r="P595" t="s">
        <v>644</v>
      </c>
      <c r="R595" t="s">
        <v>634</v>
      </c>
    </row>
    <row r="596" spans="1:18" hidden="1">
      <c r="A596">
        <v>15</v>
      </c>
      <c r="B596" t="s">
        <v>405</v>
      </c>
      <c r="C596" t="s">
        <v>483</v>
      </c>
      <c r="G596">
        <v>8</v>
      </c>
      <c r="J596" t="s">
        <v>22</v>
      </c>
      <c r="K596" t="s">
        <v>71</v>
      </c>
      <c r="L596" t="s">
        <v>33</v>
      </c>
      <c r="M596" t="s">
        <v>556</v>
      </c>
      <c r="O596" s="1">
        <f t="shared" si="11"/>
        <v>4</v>
      </c>
      <c r="P596" t="s">
        <v>644</v>
      </c>
      <c r="R596" t="s">
        <v>634</v>
      </c>
    </row>
    <row r="597" spans="1:18" hidden="1">
      <c r="A597">
        <v>15</v>
      </c>
      <c r="B597" t="s">
        <v>405</v>
      </c>
      <c r="C597" t="s">
        <v>483</v>
      </c>
      <c r="G597">
        <v>9</v>
      </c>
      <c r="J597" t="s">
        <v>22</v>
      </c>
      <c r="K597" t="s">
        <v>71</v>
      </c>
      <c r="L597" t="s">
        <v>33</v>
      </c>
      <c r="M597" t="s">
        <v>556</v>
      </c>
      <c r="O597" s="1">
        <f t="shared" si="11"/>
        <v>4</v>
      </c>
      <c r="P597" t="s">
        <v>644</v>
      </c>
      <c r="R597" t="s">
        <v>634</v>
      </c>
    </row>
    <row r="598" spans="1:18" hidden="1">
      <c r="A598">
        <v>15</v>
      </c>
      <c r="B598" t="s">
        <v>405</v>
      </c>
      <c r="C598" t="s">
        <v>483</v>
      </c>
      <c r="G598">
        <v>10</v>
      </c>
      <c r="J598" t="s">
        <v>22</v>
      </c>
      <c r="K598" t="s">
        <v>71</v>
      </c>
      <c r="L598" t="s">
        <v>33</v>
      </c>
      <c r="M598" t="s">
        <v>556</v>
      </c>
      <c r="O598" s="1">
        <f t="shared" si="11"/>
        <v>4</v>
      </c>
      <c r="P598" t="s">
        <v>644</v>
      </c>
      <c r="R598" t="s">
        <v>634</v>
      </c>
    </row>
    <row r="599" spans="1:18" hidden="1">
      <c r="A599">
        <v>15</v>
      </c>
      <c r="B599" t="s">
        <v>405</v>
      </c>
      <c r="C599" t="s">
        <v>483</v>
      </c>
      <c r="G599">
        <v>11</v>
      </c>
      <c r="J599" t="s">
        <v>22</v>
      </c>
      <c r="K599" t="s">
        <v>71</v>
      </c>
      <c r="L599" t="s">
        <v>33</v>
      </c>
      <c r="M599" t="s">
        <v>556</v>
      </c>
      <c r="O599" s="1">
        <f t="shared" si="11"/>
        <v>4</v>
      </c>
      <c r="P599" t="s">
        <v>644</v>
      </c>
      <c r="R599" t="s">
        <v>634</v>
      </c>
    </row>
    <row r="600" spans="1:18" hidden="1">
      <c r="A600">
        <v>15</v>
      </c>
      <c r="B600" t="s">
        <v>405</v>
      </c>
      <c r="C600" t="s">
        <v>483</v>
      </c>
      <c r="G600">
        <v>12</v>
      </c>
      <c r="J600" t="s">
        <v>22</v>
      </c>
      <c r="K600" t="s">
        <v>71</v>
      </c>
      <c r="L600" t="s">
        <v>33</v>
      </c>
      <c r="M600" t="s">
        <v>556</v>
      </c>
      <c r="O600" s="1">
        <f t="shared" si="11"/>
        <v>4</v>
      </c>
      <c r="P600" t="s">
        <v>644</v>
      </c>
      <c r="R600" t="s">
        <v>634</v>
      </c>
    </row>
    <row r="601" spans="1:18" hidden="1">
      <c r="A601">
        <v>15</v>
      </c>
      <c r="B601" t="s">
        <v>405</v>
      </c>
      <c r="C601" t="s">
        <v>483</v>
      </c>
      <c r="G601">
        <v>13</v>
      </c>
      <c r="J601" t="s">
        <v>22</v>
      </c>
      <c r="K601" t="s">
        <v>71</v>
      </c>
      <c r="L601" t="s">
        <v>33</v>
      </c>
      <c r="M601" t="s">
        <v>556</v>
      </c>
      <c r="O601" s="1">
        <f t="shared" si="11"/>
        <v>4</v>
      </c>
      <c r="P601" t="s">
        <v>644</v>
      </c>
      <c r="R601" t="s">
        <v>634</v>
      </c>
    </row>
    <row r="602" spans="1:18" hidden="1">
      <c r="A602">
        <v>15</v>
      </c>
      <c r="B602" t="s">
        <v>405</v>
      </c>
      <c r="C602" t="s">
        <v>483</v>
      </c>
      <c r="G602">
        <v>14</v>
      </c>
      <c r="J602" t="s">
        <v>22</v>
      </c>
      <c r="K602" t="s">
        <v>71</v>
      </c>
      <c r="L602" t="s">
        <v>33</v>
      </c>
      <c r="M602" t="s">
        <v>556</v>
      </c>
      <c r="O602" s="1">
        <f t="shared" si="11"/>
        <v>4</v>
      </c>
      <c r="P602" t="s">
        <v>644</v>
      </c>
      <c r="R602" t="s">
        <v>634</v>
      </c>
    </row>
    <row r="603" spans="1:18" hidden="1">
      <c r="A603">
        <v>15</v>
      </c>
      <c r="B603" t="s">
        <v>405</v>
      </c>
      <c r="C603" t="s">
        <v>483</v>
      </c>
      <c r="G603">
        <v>15</v>
      </c>
      <c r="J603" t="s">
        <v>22</v>
      </c>
      <c r="K603" t="s">
        <v>71</v>
      </c>
      <c r="L603" t="s">
        <v>33</v>
      </c>
      <c r="M603" t="s">
        <v>556</v>
      </c>
      <c r="O603" s="1">
        <f t="shared" si="11"/>
        <v>4</v>
      </c>
      <c r="P603" t="s">
        <v>644</v>
      </c>
      <c r="R603" t="s">
        <v>634</v>
      </c>
    </row>
    <row r="604" spans="1:18" hidden="1">
      <c r="A604">
        <v>15</v>
      </c>
      <c r="B604" t="s">
        <v>405</v>
      </c>
      <c r="C604" t="s">
        <v>483</v>
      </c>
      <c r="G604">
        <v>16</v>
      </c>
      <c r="J604" t="s">
        <v>22</v>
      </c>
      <c r="K604" t="s">
        <v>71</v>
      </c>
      <c r="L604" t="s">
        <v>33</v>
      </c>
      <c r="M604" t="s">
        <v>556</v>
      </c>
      <c r="O604" s="1">
        <f t="shared" si="11"/>
        <v>4</v>
      </c>
      <c r="P604" t="s">
        <v>644</v>
      </c>
      <c r="R604" t="s">
        <v>634</v>
      </c>
    </row>
    <row r="605" spans="1:18" hidden="1">
      <c r="A605">
        <v>15</v>
      </c>
      <c r="B605" t="s">
        <v>405</v>
      </c>
      <c r="C605" t="s">
        <v>483</v>
      </c>
      <c r="G605">
        <v>17</v>
      </c>
      <c r="J605" t="s">
        <v>22</v>
      </c>
      <c r="K605" t="s">
        <v>71</v>
      </c>
      <c r="L605" t="s">
        <v>33</v>
      </c>
      <c r="M605" t="s">
        <v>556</v>
      </c>
      <c r="O605" s="1">
        <f t="shared" si="11"/>
        <v>4</v>
      </c>
      <c r="P605" t="s">
        <v>644</v>
      </c>
      <c r="R605" t="s">
        <v>634</v>
      </c>
    </row>
    <row r="606" spans="1:18" hidden="1">
      <c r="A606">
        <v>15</v>
      </c>
      <c r="B606" t="s">
        <v>405</v>
      </c>
      <c r="C606" t="s">
        <v>483</v>
      </c>
      <c r="G606">
        <v>18</v>
      </c>
      <c r="J606" t="s">
        <v>22</v>
      </c>
      <c r="K606" t="s">
        <v>71</v>
      </c>
      <c r="L606" t="s">
        <v>33</v>
      </c>
      <c r="M606" t="s">
        <v>556</v>
      </c>
      <c r="O606" s="1">
        <f t="shared" si="11"/>
        <v>4</v>
      </c>
      <c r="P606" t="s">
        <v>644</v>
      </c>
      <c r="R606" t="s">
        <v>634</v>
      </c>
    </row>
    <row r="607" spans="1:18" hidden="1">
      <c r="A607">
        <v>15</v>
      </c>
      <c r="B607" t="s">
        <v>405</v>
      </c>
      <c r="C607" t="s">
        <v>483</v>
      </c>
      <c r="G607">
        <v>19</v>
      </c>
      <c r="J607" t="s">
        <v>22</v>
      </c>
      <c r="K607" t="s">
        <v>71</v>
      </c>
      <c r="L607" t="s">
        <v>33</v>
      </c>
      <c r="M607" t="s">
        <v>556</v>
      </c>
      <c r="O607" s="1">
        <f t="shared" si="11"/>
        <v>4</v>
      </c>
      <c r="P607" t="s">
        <v>644</v>
      </c>
      <c r="R607" t="s">
        <v>634</v>
      </c>
    </row>
    <row r="608" spans="1:18" hidden="1">
      <c r="A608">
        <v>15</v>
      </c>
      <c r="B608" t="s">
        <v>405</v>
      </c>
      <c r="C608" t="s">
        <v>483</v>
      </c>
      <c r="G608">
        <v>20</v>
      </c>
      <c r="J608" t="s">
        <v>22</v>
      </c>
      <c r="K608" t="s">
        <v>71</v>
      </c>
      <c r="L608" t="s">
        <v>33</v>
      </c>
      <c r="M608" t="s">
        <v>556</v>
      </c>
      <c r="O608" s="1">
        <f t="shared" si="11"/>
        <v>4</v>
      </c>
      <c r="P608" t="s">
        <v>644</v>
      </c>
      <c r="R608" t="s">
        <v>634</v>
      </c>
    </row>
    <row r="609" spans="1:18" hidden="1">
      <c r="A609">
        <v>15</v>
      </c>
      <c r="B609" t="s">
        <v>405</v>
      </c>
      <c r="C609" t="s">
        <v>483</v>
      </c>
      <c r="G609">
        <v>21</v>
      </c>
      <c r="J609" t="s">
        <v>22</v>
      </c>
      <c r="K609" t="s">
        <v>71</v>
      </c>
      <c r="L609" t="s">
        <v>33</v>
      </c>
      <c r="M609" t="s">
        <v>556</v>
      </c>
      <c r="O609" s="1">
        <f t="shared" si="11"/>
        <v>4</v>
      </c>
      <c r="P609" t="s">
        <v>644</v>
      </c>
      <c r="R609" t="s">
        <v>634</v>
      </c>
    </row>
    <row r="610" spans="1:18" hidden="1">
      <c r="A610">
        <v>15</v>
      </c>
      <c r="B610" t="s">
        <v>405</v>
      </c>
      <c r="C610" t="s">
        <v>483</v>
      </c>
      <c r="G610">
        <v>22</v>
      </c>
      <c r="J610" t="s">
        <v>22</v>
      </c>
      <c r="K610" t="s">
        <v>71</v>
      </c>
      <c r="L610" t="s">
        <v>33</v>
      </c>
      <c r="M610" t="s">
        <v>556</v>
      </c>
      <c r="O610" s="1">
        <f t="shared" si="11"/>
        <v>4</v>
      </c>
      <c r="P610" t="s">
        <v>644</v>
      </c>
      <c r="R610" t="s">
        <v>634</v>
      </c>
    </row>
    <row r="611" spans="1:18" hidden="1">
      <c r="A611">
        <v>15</v>
      </c>
      <c r="B611" t="s">
        <v>405</v>
      </c>
      <c r="C611" t="s">
        <v>483</v>
      </c>
      <c r="G611">
        <v>4</v>
      </c>
      <c r="J611" t="s">
        <v>22</v>
      </c>
      <c r="K611" t="s">
        <v>71</v>
      </c>
      <c r="L611" t="s">
        <v>33</v>
      </c>
      <c r="M611" t="s">
        <v>557</v>
      </c>
      <c r="O611" s="1">
        <f>(4/128)*20*2</f>
        <v>1.25</v>
      </c>
      <c r="P611" t="s">
        <v>645</v>
      </c>
      <c r="R611" t="s">
        <v>634</v>
      </c>
    </row>
    <row r="612" spans="1:18" hidden="1">
      <c r="A612">
        <v>15</v>
      </c>
      <c r="B612" t="s">
        <v>405</v>
      </c>
      <c r="C612" t="s">
        <v>483</v>
      </c>
      <c r="G612">
        <v>5</v>
      </c>
      <c r="J612" t="s">
        <v>22</v>
      </c>
      <c r="K612" t="s">
        <v>71</v>
      </c>
      <c r="L612" t="s">
        <v>33</v>
      </c>
      <c r="M612" t="s">
        <v>557</v>
      </c>
      <c r="O612" s="1">
        <f t="shared" ref="O612:O629" si="12">(4/128)*20*2</f>
        <v>1.25</v>
      </c>
      <c r="P612" t="s">
        <v>645</v>
      </c>
      <c r="R612" t="s">
        <v>634</v>
      </c>
    </row>
    <row r="613" spans="1:18" hidden="1">
      <c r="A613">
        <v>15</v>
      </c>
      <c r="B613" t="s">
        <v>405</v>
      </c>
      <c r="C613" t="s">
        <v>483</v>
      </c>
      <c r="G613">
        <v>6</v>
      </c>
      <c r="J613" t="s">
        <v>22</v>
      </c>
      <c r="K613" t="s">
        <v>71</v>
      </c>
      <c r="L613" t="s">
        <v>33</v>
      </c>
      <c r="M613" t="s">
        <v>557</v>
      </c>
      <c r="O613" s="1">
        <f t="shared" si="12"/>
        <v>1.25</v>
      </c>
      <c r="P613" t="s">
        <v>645</v>
      </c>
      <c r="R613" t="s">
        <v>634</v>
      </c>
    </row>
    <row r="614" spans="1:18" hidden="1">
      <c r="A614">
        <v>15</v>
      </c>
      <c r="B614" t="s">
        <v>405</v>
      </c>
      <c r="C614" t="s">
        <v>483</v>
      </c>
      <c r="G614">
        <v>7</v>
      </c>
      <c r="J614" t="s">
        <v>22</v>
      </c>
      <c r="K614" t="s">
        <v>71</v>
      </c>
      <c r="L614" t="s">
        <v>33</v>
      </c>
      <c r="M614" t="s">
        <v>557</v>
      </c>
      <c r="O614" s="1">
        <f t="shared" si="12"/>
        <v>1.25</v>
      </c>
      <c r="P614" t="s">
        <v>645</v>
      </c>
      <c r="R614" t="s">
        <v>634</v>
      </c>
    </row>
    <row r="615" spans="1:18" hidden="1">
      <c r="A615">
        <v>15</v>
      </c>
      <c r="B615" t="s">
        <v>405</v>
      </c>
      <c r="C615" t="s">
        <v>483</v>
      </c>
      <c r="G615">
        <v>8</v>
      </c>
      <c r="J615" t="s">
        <v>22</v>
      </c>
      <c r="K615" t="s">
        <v>71</v>
      </c>
      <c r="L615" t="s">
        <v>33</v>
      </c>
      <c r="M615" t="s">
        <v>557</v>
      </c>
      <c r="O615" s="1">
        <f t="shared" si="12"/>
        <v>1.25</v>
      </c>
      <c r="P615" t="s">
        <v>645</v>
      </c>
      <c r="R615" t="s">
        <v>634</v>
      </c>
    </row>
    <row r="616" spans="1:18" hidden="1">
      <c r="A616">
        <v>15</v>
      </c>
      <c r="B616" t="s">
        <v>405</v>
      </c>
      <c r="C616" t="s">
        <v>483</v>
      </c>
      <c r="G616">
        <v>9</v>
      </c>
      <c r="J616" t="s">
        <v>22</v>
      </c>
      <c r="K616" t="s">
        <v>71</v>
      </c>
      <c r="L616" t="s">
        <v>33</v>
      </c>
      <c r="M616" t="s">
        <v>557</v>
      </c>
      <c r="O616" s="1">
        <f t="shared" si="12"/>
        <v>1.25</v>
      </c>
      <c r="P616" t="s">
        <v>645</v>
      </c>
      <c r="R616" t="s">
        <v>634</v>
      </c>
    </row>
    <row r="617" spans="1:18" hidden="1">
      <c r="A617">
        <v>15</v>
      </c>
      <c r="B617" t="s">
        <v>405</v>
      </c>
      <c r="C617" t="s">
        <v>483</v>
      </c>
      <c r="G617">
        <v>10</v>
      </c>
      <c r="J617" t="s">
        <v>22</v>
      </c>
      <c r="K617" t="s">
        <v>71</v>
      </c>
      <c r="L617" t="s">
        <v>33</v>
      </c>
      <c r="M617" t="s">
        <v>557</v>
      </c>
      <c r="O617" s="1">
        <f t="shared" si="12"/>
        <v>1.25</v>
      </c>
      <c r="P617" t="s">
        <v>645</v>
      </c>
      <c r="R617" t="s">
        <v>634</v>
      </c>
    </row>
    <row r="618" spans="1:18" hidden="1">
      <c r="A618">
        <v>15</v>
      </c>
      <c r="B618" t="s">
        <v>405</v>
      </c>
      <c r="C618" t="s">
        <v>483</v>
      </c>
      <c r="G618">
        <v>11</v>
      </c>
      <c r="J618" t="s">
        <v>22</v>
      </c>
      <c r="K618" t="s">
        <v>71</v>
      </c>
      <c r="L618" t="s">
        <v>33</v>
      </c>
      <c r="M618" t="s">
        <v>557</v>
      </c>
      <c r="O618" s="1">
        <f t="shared" si="12"/>
        <v>1.25</v>
      </c>
      <c r="P618" t="s">
        <v>645</v>
      </c>
      <c r="R618" t="s">
        <v>634</v>
      </c>
    </row>
    <row r="619" spans="1:18" hidden="1">
      <c r="A619">
        <v>15</v>
      </c>
      <c r="B619" t="s">
        <v>405</v>
      </c>
      <c r="C619" t="s">
        <v>483</v>
      </c>
      <c r="G619">
        <v>12</v>
      </c>
      <c r="J619" t="s">
        <v>22</v>
      </c>
      <c r="K619" t="s">
        <v>71</v>
      </c>
      <c r="L619" t="s">
        <v>33</v>
      </c>
      <c r="M619" t="s">
        <v>557</v>
      </c>
      <c r="O619" s="1">
        <f t="shared" si="12"/>
        <v>1.25</v>
      </c>
      <c r="P619" t="s">
        <v>645</v>
      </c>
      <c r="R619" t="s">
        <v>634</v>
      </c>
    </row>
    <row r="620" spans="1:18" hidden="1">
      <c r="A620">
        <v>15</v>
      </c>
      <c r="B620" t="s">
        <v>405</v>
      </c>
      <c r="C620" t="s">
        <v>483</v>
      </c>
      <c r="G620">
        <v>13</v>
      </c>
      <c r="J620" t="s">
        <v>22</v>
      </c>
      <c r="K620" t="s">
        <v>71</v>
      </c>
      <c r="L620" t="s">
        <v>33</v>
      </c>
      <c r="M620" t="s">
        <v>557</v>
      </c>
      <c r="O620" s="1">
        <f t="shared" si="12"/>
        <v>1.25</v>
      </c>
      <c r="P620" t="s">
        <v>645</v>
      </c>
      <c r="R620" t="s">
        <v>634</v>
      </c>
    </row>
    <row r="621" spans="1:18" hidden="1">
      <c r="A621">
        <v>15</v>
      </c>
      <c r="B621" t="s">
        <v>405</v>
      </c>
      <c r="C621" t="s">
        <v>483</v>
      </c>
      <c r="G621">
        <v>14</v>
      </c>
      <c r="J621" t="s">
        <v>22</v>
      </c>
      <c r="K621" t="s">
        <v>71</v>
      </c>
      <c r="L621" t="s">
        <v>33</v>
      </c>
      <c r="M621" t="s">
        <v>557</v>
      </c>
      <c r="O621" s="1">
        <f t="shared" si="12"/>
        <v>1.25</v>
      </c>
      <c r="P621" t="s">
        <v>645</v>
      </c>
      <c r="R621" t="s">
        <v>634</v>
      </c>
    </row>
    <row r="622" spans="1:18" hidden="1">
      <c r="A622">
        <v>15</v>
      </c>
      <c r="B622" t="s">
        <v>405</v>
      </c>
      <c r="C622" t="s">
        <v>483</v>
      </c>
      <c r="G622">
        <v>15</v>
      </c>
      <c r="J622" t="s">
        <v>22</v>
      </c>
      <c r="K622" t="s">
        <v>71</v>
      </c>
      <c r="L622" t="s">
        <v>33</v>
      </c>
      <c r="M622" t="s">
        <v>557</v>
      </c>
      <c r="O622" s="1">
        <f t="shared" si="12"/>
        <v>1.25</v>
      </c>
      <c r="P622" t="s">
        <v>645</v>
      </c>
      <c r="R622" t="s">
        <v>634</v>
      </c>
    </row>
    <row r="623" spans="1:18" hidden="1">
      <c r="A623">
        <v>15</v>
      </c>
      <c r="B623" t="s">
        <v>405</v>
      </c>
      <c r="C623" t="s">
        <v>483</v>
      </c>
      <c r="G623">
        <v>16</v>
      </c>
      <c r="J623" t="s">
        <v>22</v>
      </c>
      <c r="K623" t="s">
        <v>71</v>
      </c>
      <c r="L623" t="s">
        <v>33</v>
      </c>
      <c r="M623" t="s">
        <v>557</v>
      </c>
      <c r="O623" s="1">
        <f t="shared" si="12"/>
        <v>1.25</v>
      </c>
      <c r="P623" t="s">
        <v>645</v>
      </c>
      <c r="R623" t="s">
        <v>634</v>
      </c>
    </row>
    <row r="624" spans="1:18" hidden="1">
      <c r="A624">
        <v>15</v>
      </c>
      <c r="B624" t="s">
        <v>405</v>
      </c>
      <c r="C624" t="s">
        <v>483</v>
      </c>
      <c r="G624">
        <v>17</v>
      </c>
      <c r="J624" t="s">
        <v>22</v>
      </c>
      <c r="K624" t="s">
        <v>71</v>
      </c>
      <c r="L624" t="s">
        <v>33</v>
      </c>
      <c r="M624" t="s">
        <v>557</v>
      </c>
      <c r="O624" s="1">
        <f t="shared" si="12"/>
        <v>1.25</v>
      </c>
      <c r="P624" t="s">
        <v>645</v>
      </c>
      <c r="R624" t="s">
        <v>634</v>
      </c>
    </row>
    <row r="625" spans="1:18" hidden="1">
      <c r="A625">
        <v>15</v>
      </c>
      <c r="B625" t="s">
        <v>405</v>
      </c>
      <c r="C625" t="s">
        <v>483</v>
      </c>
      <c r="G625">
        <v>18</v>
      </c>
      <c r="J625" t="s">
        <v>22</v>
      </c>
      <c r="K625" t="s">
        <v>71</v>
      </c>
      <c r="L625" t="s">
        <v>33</v>
      </c>
      <c r="M625" t="s">
        <v>557</v>
      </c>
      <c r="O625" s="1">
        <f t="shared" si="12"/>
        <v>1.25</v>
      </c>
      <c r="P625" t="s">
        <v>645</v>
      </c>
      <c r="R625" t="s">
        <v>634</v>
      </c>
    </row>
    <row r="626" spans="1:18" hidden="1">
      <c r="A626">
        <v>15</v>
      </c>
      <c r="B626" t="s">
        <v>405</v>
      </c>
      <c r="C626" t="s">
        <v>483</v>
      </c>
      <c r="G626">
        <v>19</v>
      </c>
      <c r="J626" t="s">
        <v>22</v>
      </c>
      <c r="K626" t="s">
        <v>71</v>
      </c>
      <c r="L626" t="s">
        <v>33</v>
      </c>
      <c r="M626" t="s">
        <v>557</v>
      </c>
      <c r="O626" s="1">
        <f t="shared" si="12"/>
        <v>1.25</v>
      </c>
      <c r="P626" t="s">
        <v>645</v>
      </c>
      <c r="R626" t="s">
        <v>634</v>
      </c>
    </row>
    <row r="627" spans="1:18" hidden="1">
      <c r="A627">
        <v>15</v>
      </c>
      <c r="B627" t="s">
        <v>405</v>
      </c>
      <c r="C627" t="s">
        <v>483</v>
      </c>
      <c r="G627">
        <v>20</v>
      </c>
      <c r="J627" t="s">
        <v>22</v>
      </c>
      <c r="K627" t="s">
        <v>71</v>
      </c>
      <c r="L627" t="s">
        <v>33</v>
      </c>
      <c r="M627" t="s">
        <v>557</v>
      </c>
      <c r="O627" s="1">
        <f t="shared" si="12"/>
        <v>1.25</v>
      </c>
      <c r="P627" t="s">
        <v>645</v>
      </c>
      <c r="R627" t="s">
        <v>634</v>
      </c>
    </row>
    <row r="628" spans="1:18" hidden="1">
      <c r="A628">
        <v>15</v>
      </c>
      <c r="B628" t="s">
        <v>405</v>
      </c>
      <c r="C628" t="s">
        <v>483</v>
      </c>
      <c r="G628">
        <v>21</v>
      </c>
      <c r="J628" t="s">
        <v>22</v>
      </c>
      <c r="K628" t="s">
        <v>71</v>
      </c>
      <c r="L628" t="s">
        <v>33</v>
      </c>
      <c r="M628" t="s">
        <v>557</v>
      </c>
      <c r="O628" s="1">
        <f t="shared" si="12"/>
        <v>1.25</v>
      </c>
      <c r="P628" t="s">
        <v>645</v>
      </c>
      <c r="R628" t="s">
        <v>634</v>
      </c>
    </row>
    <row r="629" spans="1:18" hidden="1">
      <c r="A629">
        <v>15</v>
      </c>
      <c r="B629" t="s">
        <v>405</v>
      </c>
      <c r="C629" t="s">
        <v>483</v>
      </c>
      <c r="G629">
        <v>22</v>
      </c>
      <c r="J629" t="s">
        <v>22</v>
      </c>
      <c r="K629" t="s">
        <v>71</v>
      </c>
      <c r="L629" t="s">
        <v>33</v>
      </c>
      <c r="M629" t="s">
        <v>557</v>
      </c>
      <c r="O629" s="1">
        <f t="shared" si="12"/>
        <v>1.25</v>
      </c>
      <c r="P629" t="s">
        <v>645</v>
      </c>
      <c r="R629" t="s">
        <v>634</v>
      </c>
    </row>
    <row r="630" spans="1:18">
      <c r="A630">
        <v>15</v>
      </c>
      <c r="B630" t="s">
        <v>405</v>
      </c>
      <c r="C630" t="s">
        <v>483</v>
      </c>
      <c r="G630">
        <v>4</v>
      </c>
      <c r="H630" s="263"/>
      <c r="J630" t="s">
        <v>22</v>
      </c>
      <c r="K630" t="s">
        <v>30</v>
      </c>
      <c r="L630" t="s">
        <v>33</v>
      </c>
      <c r="M630" t="s">
        <v>558</v>
      </c>
      <c r="N630" s="263">
        <f>0.6*2</f>
        <v>1.2</v>
      </c>
      <c r="O630" s="1">
        <f>0.6*20*2</f>
        <v>24</v>
      </c>
      <c r="P630" t="s">
        <v>646</v>
      </c>
      <c r="R630" t="s">
        <v>634</v>
      </c>
    </row>
    <row r="631" spans="1:18">
      <c r="A631">
        <v>15</v>
      </c>
      <c r="B631" t="s">
        <v>405</v>
      </c>
      <c r="C631" t="s">
        <v>483</v>
      </c>
      <c r="G631">
        <v>5</v>
      </c>
      <c r="H631" s="263"/>
      <c r="J631" t="s">
        <v>22</v>
      </c>
      <c r="K631" t="s">
        <v>30</v>
      </c>
      <c r="L631" t="s">
        <v>33</v>
      </c>
      <c r="M631" t="s">
        <v>558</v>
      </c>
      <c r="N631" s="263">
        <f>0.6*2</f>
        <v>1.2</v>
      </c>
      <c r="O631" s="1">
        <f t="shared" ref="O631:O648" si="13">0.6*20*2</f>
        <v>24</v>
      </c>
      <c r="P631" t="s">
        <v>646</v>
      </c>
      <c r="R631" t="s">
        <v>634</v>
      </c>
    </row>
    <row r="632" spans="1:18">
      <c r="A632">
        <v>15</v>
      </c>
      <c r="B632" t="s">
        <v>405</v>
      </c>
      <c r="C632" t="s">
        <v>483</v>
      </c>
      <c r="G632">
        <v>6</v>
      </c>
      <c r="H632" s="263"/>
      <c r="J632" t="s">
        <v>22</v>
      </c>
      <c r="K632" t="s">
        <v>30</v>
      </c>
      <c r="L632" t="s">
        <v>33</v>
      </c>
      <c r="M632" t="s">
        <v>558</v>
      </c>
      <c r="N632" s="263">
        <f t="shared" ref="N632:N648" si="14">0.6*2</f>
        <v>1.2</v>
      </c>
      <c r="O632" s="1">
        <f t="shared" si="13"/>
        <v>24</v>
      </c>
      <c r="P632" t="s">
        <v>646</v>
      </c>
      <c r="R632" t="s">
        <v>634</v>
      </c>
    </row>
    <row r="633" spans="1:18">
      <c r="A633">
        <v>15</v>
      </c>
      <c r="B633" t="s">
        <v>405</v>
      </c>
      <c r="C633" t="s">
        <v>483</v>
      </c>
      <c r="G633">
        <v>7</v>
      </c>
      <c r="H633" s="263"/>
      <c r="J633" t="s">
        <v>22</v>
      </c>
      <c r="K633" t="s">
        <v>30</v>
      </c>
      <c r="L633" t="s">
        <v>33</v>
      </c>
      <c r="M633" t="s">
        <v>558</v>
      </c>
      <c r="N633" s="263">
        <f t="shared" si="14"/>
        <v>1.2</v>
      </c>
      <c r="O633" s="1">
        <f t="shared" si="13"/>
        <v>24</v>
      </c>
      <c r="P633" t="s">
        <v>646</v>
      </c>
      <c r="R633" t="s">
        <v>634</v>
      </c>
    </row>
    <row r="634" spans="1:18">
      <c r="A634">
        <v>15</v>
      </c>
      <c r="B634" t="s">
        <v>405</v>
      </c>
      <c r="C634" t="s">
        <v>483</v>
      </c>
      <c r="G634">
        <v>8</v>
      </c>
      <c r="H634" s="263"/>
      <c r="J634" t="s">
        <v>22</v>
      </c>
      <c r="K634" t="s">
        <v>30</v>
      </c>
      <c r="L634" t="s">
        <v>33</v>
      </c>
      <c r="M634" t="s">
        <v>558</v>
      </c>
      <c r="N634" s="263">
        <f t="shared" si="14"/>
        <v>1.2</v>
      </c>
      <c r="O634" s="1">
        <f t="shared" si="13"/>
        <v>24</v>
      </c>
      <c r="P634" t="s">
        <v>646</v>
      </c>
      <c r="R634" t="s">
        <v>634</v>
      </c>
    </row>
    <row r="635" spans="1:18">
      <c r="A635">
        <v>15</v>
      </c>
      <c r="B635" t="s">
        <v>405</v>
      </c>
      <c r="C635" t="s">
        <v>483</v>
      </c>
      <c r="G635">
        <v>9</v>
      </c>
      <c r="H635" s="263"/>
      <c r="J635" t="s">
        <v>22</v>
      </c>
      <c r="K635" t="s">
        <v>30</v>
      </c>
      <c r="L635" t="s">
        <v>33</v>
      </c>
      <c r="M635" t="s">
        <v>558</v>
      </c>
      <c r="N635" s="263">
        <f t="shared" si="14"/>
        <v>1.2</v>
      </c>
      <c r="O635" s="1">
        <f t="shared" si="13"/>
        <v>24</v>
      </c>
      <c r="P635" t="s">
        <v>646</v>
      </c>
      <c r="R635" t="s">
        <v>634</v>
      </c>
    </row>
    <row r="636" spans="1:18">
      <c r="A636">
        <v>15</v>
      </c>
      <c r="B636" t="s">
        <v>405</v>
      </c>
      <c r="C636" t="s">
        <v>483</v>
      </c>
      <c r="G636">
        <v>10</v>
      </c>
      <c r="H636" s="263"/>
      <c r="J636" t="s">
        <v>22</v>
      </c>
      <c r="K636" t="s">
        <v>30</v>
      </c>
      <c r="L636" t="s">
        <v>33</v>
      </c>
      <c r="M636" t="s">
        <v>558</v>
      </c>
      <c r="N636" s="263">
        <f t="shared" si="14"/>
        <v>1.2</v>
      </c>
      <c r="O636" s="1">
        <f t="shared" si="13"/>
        <v>24</v>
      </c>
      <c r="P636" t="s">
        <v>646</v>
      </c>
      <c r="R636" t="s">
        <v>634</v>
      </c>
    </row>
    <row r="637" spans="1:18">
      <c r="A637">
        <v>15</v>
      </c>
      <c r="B637" t="s">
        <v>405</v>
      </c>
      <c r="C637" t="s">
        <v>483</v>
      </c>
      <c r="G637">
        <v>11</v>
      </c>
      <c r="H637" s="263"/>
      <c r="J637" t="s">
        <v>22</v>
      </c>
      <c r="K637" t="s">
        <v>30</v>
      </c>
      <c r="L637" t="s">
        <v>33</v>
      </c>
      <c r="M637" t="s">
        <v>558</v>
      </c>
      <c r="N637" s="263">
        <f t="shared" si="14"/>
        <v>1.2</v>
      </c>
      <c r="O637" s="1">
        <f t="shared" si="13"/>
        <v>24</v>
      </c>
      <c r="P637" t="s">
        <v>646</v>
      </c>
      <c r="R637" t="s">
        <v>634</v>
      </c>
    </row>
    <row r="638" spans="1:18">
      <c r="A638">
        <v>15</v>
      </c>
      <c r="B638" t="s">
        <v>405</v>
      </c>
      <c r="C638" t="s">
        <v>483</v>
      </c>
      <c r="G638">
        <v>12</v>
      </c>
      <c r="H638" s="263"/>
      <c r="J638" t="s">
        <v>22</v>
      </c>
      <c r="K638" t="s">
        <v>30</v>
      </c>
      <c r="L638" t="s">
        <v>33</v>
      </c>
      <c r="M638" t="s">
        <v>558</v>
      </c>
      <c r="N638" s="263">
        <f t="shared" si="14"/>
        <v>1.2</v>
      </c>
      <c r="O638" s="1">
        <f t="shared" si="13"/>
        <v>24</v>
      </c>
      <c r="P638" t="s">
        <v>646</v>
      </c>
      <c r="R638" t="s">
        <v>634</v>
      </c>
    </row>
    <row r="639" spans="1:18">
      <c r="A639">
        <v>15</v>
      </c>
      <c r="B639" t="s">
        <v>405</v>
      </c>
      <c r="C639" t="s">
        <v>483</v>
      </c>
      <c r="G639">
        <v>13</v>
      </c>
      <c r="H639" s="263"/>
      <c r="J639" t="s">
        <v>22</v>
      </c>
      <c r="K639" t="s">
        <v>30</v>
      </c>
      <c r="L639" t="s">
        <v>33</v>
      </c>
      <c r="M639" t="s">
        <v>558</v>
      </c>
      <c r="N639" s="263">
        <f t="shared" si="14"/>
        <v>1.2</v>
      </c>
      <c r="O639" s="1">
        <f t="shared" si="13"/>
        <v>24</v>
      </c>
      <c r="P639" t="s">
        <v>646</v>
      </c>
      <c r="R639" t="s">
        <v>634</v>
      </c>
    </row>
    <row r="640" spans="1:18">
      <c r="A640">
        <v>15</v>
      </c>
      <c r="B640" t="s">
        <v>405</v>
      </c>
      <c r="C640" t="s">
        <v>483</v>
      </c>
      <c r="G640">
        <v>14</v>
      </c>
      <c r="H640" s="263"/>
      <c r="J640" t="s">
        <v>22</v>
      </c>
      <c r="K640" t="s">
        <v>30</v>
      </c>
      <c r="L640" t="s">
        <v>33</v>
      </c>
      <c r="M640" t="s">
        <v>558</v>
      </c>
      <c r="N640" s="263">
        <f t="shared" si="14"/>
        <v>1.2</v>
      </c>
      <c r="O640" s="1">
        <f t="shared" si="13"/>
        <v>24</v>
      </c>
      <c r="P640" t="s">
        <v>646</v>
      </c>
      <c r="R640" t="s">
        <v>634</v>
      </c>
    </row>
    <row r="641" spans="1:18">
      <c r="A641">
        <v>15</v>
      </c>
      <c r="B641" t="s">
        <v>405</v>
      </c>
      <c r="C641" t="s">
        <v>483</v>
      </c>
      <c r="G641">
        <v>15</v>
      </c>
      <c r="H641" s="263"/>
      <c r="J641" t="s">
        <v>22</v>
      </c>
      <c r="K641" t="s">
        <v>30</v>
      </c>
      <c r="L641" t="s">
        <v>33</v>
      </c>
      <c r="M641" t="s">
        <v>558</v>
      </c>
      <c r="N641" s="263">
        <f t="shared" si="14"/>
        <v>1.2</v>
      </c>
      <c r="O641" s="1">
        <f t="shared" si="13"/>
        <v>24</v>
      </c>
      <c r="P641" t="s">
        <v>646</v>
      </c>
      <c r="R641" t="s">
        <v>634</v>
      </c>
    </row>
    <row r="642" spans="1:18">
      <c r="A642">
        <v>15</v>
      </c>
      <c r="B642" t="s">
        <v>405</v>
      </c>
      <c r="C642" t="s">
        <v>483</v>
      </c>
      <c r="G642">
        <v>16</v>
      </c>
      <c r="H642" s="263"/>
      <c r="J642" t="s">
        <v>22</v>
      </c>
      <c r="K642" t="s">
        <v>30</v>
      </c>
      <c r="L642" t="s">
        <v>33</v>
      </c>
      <c r="M642" t="s">
        <v>558</v>
      </c>
      <c r="N642" s="263">
        <f t="shared" si="14"/>
        <v>1.2</v>
      </c>
      <c r="O642" s="1">
        <f t="shared" si="13"/>
        <v>24</v>
      </c>
      <c r="P642" t="s">
        <v>646</v>
      </c>
      <c r="R642" t="s">
        <v>634</v>
      </c>
    </row>
    <row r="643" spans="1:18">
      <c r="A643">
        <v>15</v>
      </c>
      <c r="B643" t="s">
        <v>405</v>
      </c>
      <c r="C643" t="s">
        <v>483</v>
      </c>
      <c r="G643">
        <v>17</v>
      </c>
      <c r="H643" s="263"/>
      <c r="J643" t="s">
        <v>22</v>
      </c>
      <c r="K643" t="s">
        <v>30</v>
      </c>
      <c r="L643" t="s">
        <v>33</v>
      </c>
      <c r="M643" t="s">
        <v>558</v>
      </c>
      <c r="N643" s="263">
        <f t="shared" si="14"/>
        <v>1.2</v>
      </c>
      <c r="O643" s="1">
        <f t="shared" si="13"/>
        <v>24</v>
      </c>
      <c r="P643" t="s">
        <v>646</v>
      </c>
      <c r="R643" t="s">
        <v>634</v>
      </c>
    </row>
    <row r="644" spans="1:18">
      <c r="A644">
        <v>15</v>
      </c>
      <c r="B644" t="s">
        <v>405</v>
      </c>
      <c r="C644" t="s">
        <v>483</v>
      </c>
      <c r="G644">
        <v>18</v>
      </c>
      <c r="H644" s="263"/>
      <c r="J644" t="s">
        <v>22</v>
      </c>
      <c r="K644" t="s">
        <v>30</v>
      </c>
      <c r="L644" t="s">
        <v>33</v>
      </c>
      <c r="M644" t="s">
        <v>558</v>
      </c>
      <c r="N644" s="263">
        <f t="shared" si="14"/>
        <v>1.2</v>
      </c>
      <c r="O644" s="1">
        <f t="shared" si="13"/>
        <v>24</v>
      </c>
      <c r="P644" t="s">
        <v>646</v>
      </c>
      <c r="R644" t="s">
        <v>634</v>
      </c>
    </row>
    <row r="645" spans="1:18">
      <c r="A645">
        <v>15</v>
      </c>
      <c r="B645" t="s">
        <v>405</v>
      </c>
      <c r="C645" t="s">
        <v>483</v>
      </c>
      <c r="G645">
        <v>19</v>
      </c>
      <c r="H645" s="263"/>
      <c r="J645" t="s">
        <v>22</v>
      </c>
      <c r="K645" t="s">
        <v>30</v>
      </c>
      <c r="L645" t="s">
        <v>33</v>
      </c>
      <c r="M645" t="s">
        <v>558</v>
      </c>
      <c r="N645" s="263">
        <f t="shared" si="14"/>
        <v>1.2</v>
      </c>
      <c r="O645" s="1">
        <f t="shared" si="13"/>
        <v>24</v>
      </c>
      <c r="P645" t="s">
        <v>646</v>
      </c>
      <c r="R645" t="s">
        <v>634</v>
      </c>
    </row>
    <row r="646" spans="1:18">
      <c r="A646">
        <v>15</v>
      </c>
      <c r="B646" t="s">
        <v>405</v>
      </c>
      <c r="C646" t="s">
        <v>483</v>
      </c>
      <c r="G646">
        <v>20</v>
      </c>
      <c r="H646" s="263"/>
      <c r="J646" t="s">
        <v>22</v>
      </c>
      <c r="K646" t="s">
        <v>30</v>
      </c>
      <c r="L646" t="s">
        <v>33</v>
      </c>
      <c r="M646" t="s">
        <v>558</v>
      </c>
      <c r="N646" s="263">
        <f t="shared" si="14"/>
        <v>1.2</v>
      </c>
      <c r="O646" s="1">
        <f t="shared" si="13"/>
        <v>24</v>
      </c>
      <c r="P646" t="s">
        <v>646</v>
      </c>
      <c r="R646" t="s">
        <v>634</v>
      </c>
    </row>
    <row r="647" spans="1:18">
      <c r="A647">
        <v>15</v>
      </c>
      <c r="B647" t="s">
        <v>405</v>
      </c>
      <c r="C647" t="s">
        <v>483</v>
      </c>
      <c r="G647">
        <v>21</v>
      </c>
      <c r="H647" s="263"/>
      <c r="J647" t="s">
        <v>22</v>
      </c>
      <c r="K647" t="s">
        <v>30</v>
      </c>
      <c r="L647" t="s">
        <v>33</v>
      </c>
      <c r="M647" t="s">
        <v>558</v>
      </c>
      <c r="N647" s="263">
        <f t="shared" si="14"/>
        <v>1.2</v>
      </c>
      <c r="O647" s="1">
        <f t="shared" si="13"/>
        <v>24</v>
      </c>
      <c r="P647" t="s">
        <v>646</v>
      </c>
      <c r="R647" t="s">
        <v>634</v>
      </c>
    </row>
    <row r="648" spans="1:18">
      <c r="A648">
        <v>15</v>
      </c>
      <c r="B648" t="s">
        <v>405</v>
      </c>
      <c r="C648" t="s">
        <v>483</v>
      </c>
      <c r="G648">
        <v>22</v>
      </c>
      <c r="H648" s="263"/>
      <c r="J648" t="s">
        <v>22</v>
      </c>
      <c r="K648" t="s">
        <v>30</v>
      </c>
      <c r="L648" t="s">
        <v>33</v>
      </c>
      <c r="M648" t="s">
        <v>558</v>
      </c>
      <c r="N648" s="263">
        <f t="shared" si="14"/>
        <v>1.2</v>
      </c>
      <c r="O648" s="1">
        <f t="shared" si="13"/>
        <v>24</v>
      </c>
      <c r="P648" t="s">
        <v>646</v>
      </c>
      <c r="R648" t="s">
        <v>634</v>
      </c>
    </row>
    <row r="649" spans="1:18" hidden="1">
      <c r="A649">
        <v>15</v>
      </c>
      <c r="B649" t="s">
        <v>405</v>
      </c>
      <c r="C649" t="s">
        <v>483</v>
      </c>
      <c r="G649">
        <v>4</v>
      </c>
      <c r="J649" t="s">
        <v>22</v>
      </c>
      <c r="K649" t="s">
        <v>408</v>
      </c>
      <c r="L649" t="s">
        <v>33</v>
      </c>
      <c r="M649" t="s">
        <v>559</v>
      </c>
      <c r="O649" s="1">
        <f>13.97*2</f>
        <v>27.94</v>
      </c>
      <c r="P649" t="s">
        <v>910</v>
      </c>
      <c r="R649" t="s">
        <v>634</v>
      </c>
    </row>
    <row r="650" spans="1:18" hidden="1">
      <c r="A650">
        <v>15</v>
      </c>
      <c r="B650" t="s">
        <v>405</v>
      </c>
      <c r="C650" t="s">
        <v>483</v>
      </c>
      <c r="G650">
        <v>5</v>
      </c>
      <c r="J650" t="s">
        <v>22</v>
      </c>
      <c r="K650" t="s">
        <v>408</v>
      </c>
      <c r="L650" t="s">
        <v>33</v>
      </c>
      <c r="M650" t="s">
        <v>559</v>
      </c>
      <c r="O650" s="1">
        <f t="shared" ref="O650:O667" si="15">13.97*2</f>
        <v>27.94</v>
      </c>
      <c r="P650" t="s">
        <v>910</v>
      </c>
      <c r="R650" t="s">
        <v>634</v>
      </c>
    </row>
    <row r="651" spans="1:18" hidden="1">
      <c r="A651">
        <v>15</v>
      </c>
      <c r="B651" t="s">
        <v>405</v>
      </c>
      <c r="C651" t="s">
        <v>483</v>
      </c>
      <c r="G651">
        <v>6</v>
      </c>
      <c r="J651" t="s">
        <v>22</v>
      </c>
      <c r="K651" t="s">
        <v>408</v>
      </c>
      <c r="L651" t="s">
        <v>33</v>
      </c>
      <c r="M651" t="s">
        <v>559</v>
      </c>
      <c r="O651" s="1">
        <f t="shared" si="15"/>
        <v>27.94</v>
      </c>
      <c r="P651" t="s">
        <v>910</v>
      </c>
      <c r="R651" t="s">
        <v>634</v>
      </c>
    </row>
    <row r="652" spans="1:18" hidden="1">
      <c r="A652">
        <v>15</v>
      </c>
      <c r="B652" t="s">
        <v>405</v>
      </c>
      <c r="C652" t="s">
        <v>483</v>
      </c>
      <c r="G652">
        <v>7</v>
      </c>
      <c r="J652" t="s">
        <v>22</v>
      </c>
      <c r="K652" t="s">
        <v>408</v>
      </c>
      <c r="L652" t="s">
        <v>33</v>
      </c>
      <c r="M652" t="s">
        <v>559</v>
      </c>
      <c r="O652" s="1">
        <f t="shared" si="15"/>
        <v>27.94</v>
      </c>
      <c r="P652" t="s">
        <v>910</v>
      </c>
      <c r="R652" t="s">
        <v>634</v>
      </c>
    </row>
    <row r="653" spans="1:18" hidden="1">
      <c r="A653">
        <v>15</v>
      </c>
      <c r="B653" t="s">
        <v>405</v>
      </c>
      <c r="C653" t="s">
        <v>483</v>
      </c>
      <c r="G653">
        <v>8</v>
      </c>
      <c r="J653" t="s">
        <v>22</v>
      </c>
      <c r="K653" t="s">
        <v>408</v>
      </c>
      <c r="L653" t="s">
        <v>33</v>
      </c>
      <c r="M653" t="s">
        <v>559</v>
      </c>
      <c r="O653" s="1">
        <f t="shared" si="15"/>
        <v>27.94</v>
      </c>
      <c r="P653" t="s">
        <v>910</v>
      </c>
      <c r="R653" t="s">
        <v>634</v>
      </c>
    </row>
    <row r="654" spans="1:18" hidden="1">
      <c r="A654">
        <v>15</v>
      </c>
      <c r="B654" t="s">
        <v>405</v>
      </c>
      <c r="C654" t="s">
        <v>483</v>
      </c>
      <c r="G654">
        <v>9</v>
      </c>
      <c r="J654" t="s">
        <v>22</v>
      </c>
      <c r="K654" t="s">
        <v>408</v>
      </c>
      <c r="L654" t="s">
        <v>33</v>
      </c>
      <c r="M654" t="s">
        <v>559</v>
      </c>
      <c r="O654" s="1">
        <f t="shared" si="15"/>
        <v>27.94</v>
      </c>
      <c r="P654" t="s">
        <v>910</v>
      </c>
      <c r="R654" t="s">
        <v>634</v>
      </c>
    </row>
    <row r="655" spans="1:18" hidden="1">
      <c r="A655">
        <v>15</v>
      </c>
      <c r="B655" t="s">
        <v>405</v>
      </c>
      <c r="C655" t="s">
        <v>483</v>
      </c>
      <c r="G655">
        <v>10</v>
      </c>
      <c r="J655" t="s">
        <v>22</v>
      </c>
      <c r="K655" t="s">
        <v>408</v>
      </c>
      <c r="L655" t="s">
        <v>33</v>
      </c>
      <c r="M655" t="s">
        <v>559</v>
      </c>
      <c r="O655" s="1">
        <f t="shared" si="15"/>
        <v>27.94</v>
      </c>
      <c r="P655" t="s">
        <v>910</v>
      </c>
      <c r="R655" t="s">
        <v>634</v>
      </c>
    </row>
    <row r="656" spans="1:18" hidden="1">
      <c r="A656">
        <v>15</v>
      </c>
      <c r="B656" t="s">
        <v>405</v>
      </c>
      <c r="C656" t="s">
        <v>483</v>
      </c>
      <c r="G656">
        <v>11</v>
      </c>
      <c r="J656" t="s">
        <v>22</v>
      </c>
      <c r="K656" t="s">
        <v>408</v>
      </c>
      <c r="L656" t="s">
        <v>33</v>
      </c>
      <c r="M656" t="s">
        <v>559</v>
      </c>
      <c r="O656" s="1">
        <f t="shared" si="15"/>
        <v>27.94</v>
      </c>
      <c r="P656" t="s">
        <v>910</v>
      </c>
      <c r="R656" t="s">
        <v>634</v>
      </c>
    </row>
    <row r="657" spans="1:18" hidden="1">
      <c r="A657">
        <v>15</v>
      </c>
      <c r="B657" t="s">
        <v>405</v>
      </c>
      <c r="C657" t="s">
        <v>483</v>
      </c>
      <c r="G657">
        <v>12</v>
      </c>
      <c r="J657" t="s">
        <v>22</v>
      </c>
      <c r="K657" t="s">
        <v>408</v>
      </c>
      <c r="L657" t="s">
        <v>33</v>
      </c>
      <c r="M657" t="s">
        <v>559</v>
      </c>
      <c r="O657" s="1">
        <f t="shared" si="15"/>
        <v>27.94</v>
      </c>
      <c r="P657" t="s">
        <v>910</v>
      </c>
      <c r="R657" t="s">
        <v>634</v>
      </c>
    </row>
    <row r="658" spans="1:18" hidden="1">
      <c r="A658">
        <v>15</v>
      </c>
      <c r="B658" t="s">
        <v>405</v>
      </c>
      <c r="C658" t="s">
        <v>483</v>
      </c>
      <c r="G658">
        <v>13</v>
      </c>
      <c r="J658" t="s">
        <v>22</v>
      </c>
      <c r="K658" t="s">
        <v>408</v>
      </c>
      <c r="L658" t="s">
        <v>33</v>
      </c>
      <c r="M658" t="s">
        <v>559</v>
      </c>
      <c r="O658" s="1">
        <f t="shared" si="15"/>
        <v>27.94</v>
      </c>
      <c r="P658" t="s">
        <v>910</v>
      </c>
      <c r="R658" t="s">
        <v>634</v>
      </c>
    </row>
    <row r="659" spans="1:18" hidden="1">
      <c r="A659">
        <v>15</v>
      </c>
      <c r="B659" t="s">
        <v>405</v>
      </c>
      <c r="C659" t="s">
        <v>483</v>
      </c>
      <c r="G659">
        <v>14</v>
      </c>
      <c r="J659" t="s">
        <v>22</v>
      </c>
      <c r="K659" t="s">
        <v>408</v>
      </c>
      <c r="L659" t="s">
        <v>33</v>
      </c>
      <c r="M659" t="s">
        <v>559</v>
      </c>
      <c r="O659" s="1">
        <f t="shared" si="15"/>
        <v>27.94</v>
      </c>
      <c r="P659" t="s">
        <v>910</v>
      </c>
      <c r="R659" t="s">
        <v>634</v>
      </c>
    </row>
    <row r="660" spans="1:18" hidden="1">
      <c r="A660">
        <v>15</v>
      </c>
      <c r="B660" t="s">
        <v>405</v>
      </c>
      <c r="C660" t="s">
        <v>483</v>
      </c>
      <c r="G660">
        <v>15</v>
      </c>
      <c r="J660" t="s">
        <v>22</v>
      </c>
      <c r="K660" t="s">
        <v>408</v>
      </c>
      <c r="L660" t="s">
        <v>33</v>
      </c>
      <c r="M660" t="s">
        <v>559</v>
      </c>
      <c r="O660" s="1">
        <f t="shared" si="15"/>
        <v>27.94</v>
      </c>
      <c r="P660" t="s">
        <v>910</v>
      </c>
      <c r="R660" t="s">
        <v>634</v>
      </c>
    </row>
    <row r="661" spans="1:18" hidden="1">
      <c r="A661">
        <v>15</v>
      </c>
      <c r="B661" t="s">
        <v>405</v>
      </c>
      <c r="C661" t="s">
        <v>483</v>
      </c>
      <c r="G661">
        <v>16</v>
      </c>
      <c r="J661" t="s">
        <v>22</v>
      </c>
      <c r="K661" t="s">
        <v>408</v>
      </c>
      <c r="L661" t="s">
        <v>33</v>
      </c>
      <c r="M661" t="s">
        <v>559</v>
      </c>
      <c r="O661" s="1">
        <f t="shared" si="15"/>
        <v>27.94</v>
      </c>
      <c r="P661" t="s">
        <v>910</v>
      </c>
      <c r="R661" t="s">
        <v>634</v>
      </c>
    </row>
    <row r="662" spans="1:18" hidden="1">
      <c r="A662">
        <v>15</v>
      </c>
      <c r="B662" t="s">
        <v>405</v>
      </c>
      <c r="C662" t="s">
        <v>483</v>
      </c>
      <c r="G662">
        <v>17</v>
      </c>
      <c r="J662" t="s">
        <v>22</v>
      </c>
      <c r="K662" t="s">
        <v>408</v>
      </c>
      <c r="L662" t="s">
        <v>33</v>
      </c>
      <c r="M662" t="s">
        <v>559</v>
      </c>
      <c r="O662" s="1">
        <f t="shared" si="15"/>
        <v>27.94</v>
      </c>
      <c r="P662" t="s">
        <v>910</v>
      </c>
      <c r="R662" t="s">
        <v>634</v>
      </c>
    </row>
    <row r="663" spans="1:18" hidden="1">
      <c r="A663">
        <v>15</v>
      </c>
      <c r="B663" t="s">
        <v>405</v>
      </c>
      <c r="C663" t="s">
        <v>483</v>
      </c>
      <c r="G663">
        <v>18</v>
      </c>
      <c r="J663" t="s">
        <v>22</v>
      </c>
      <c r="K663" t="s">
        <v>408</v>
      </c>
      <c r="L663" t="s">
        <v>33</v>
      </c>
      <c r="M663" t="s">
        <v>559</v>
      </c>
      <c r="O663" s="1">
        <f t="shared" si="15"/>
        <v>27.94</v>
      </c>
      <c r="P663" t="s">
        <v>910</v>
      </c>
      <c r="R663" t="s">
        <v>634</v>
      </c>
    </row>
    <row r="664" spans="1:18" hidden="1">
      <c r="A664">
        <v>15</v>
      </c>
      <c r="B664" t="s">
        <v>405</v>
      </c>
      <c r="C664" t="s">
        <v>483</v>
      </c>
      <c r="G664">
        <v>19</v>
      </c>
      <c r="J664" t="s">
        <v>22</v>
      </c>
      <c r="K664" t="s">
        <v>408</v>
      </c>
      <c r="L664" t="s">
        <v>33</v>
      </c>
      <c r="M664" t="s">
        <v>559</v>
      </c>
      <c r="O664" s="1">
        <f t="shared" si="15"/>
        <v>27.94</v>
      </c>
      <c r="P664" t="s">
        <v>910</v>
      </c>
      <c r="R664" t="s">
        <v>634</v>
      </c>
    </row>
    <row r="665" spans="1:18" hidden="1">
      <c r="A665">
        <v>15</v>
      </c>
      <c r="B665" t="s">
        <v>405</v>
      </c>
      <c r="C665" t="s">
        <v>483</v>
      </c>
      <c r="G665">
        <v>20</v>
      </c>
      <c r="J665" t="s">
        <v>22</v>
      </c>
      <c r="K665" t="s">
        <v>408</v>
      </c>
      <c r="L665" t="s">
        <v>33</v>
      </c>
      <c r="M665" t="s">
        <v>559</v>
      </c>
      <c r="O665" s="1">
        <f t="shared" si="15"/>
        <v>27.94</v>
      </c>
      <c r="P665" t="s">
        <v>910</v>
      </c>
      <c r="R665" t="s">
        <v>634</v>
      </c>
    </row>
    <row r="666" spans="1:18" hidden="1">
      <c r="A666">
        <v>15</v>
      </c>
      <c r="B666" t="s">
        <v>405</v>
      </c>
      <c r="C666" t="s">
        <v>483</v>
      </c>
      <c r="G666">
        <v>21</v>
      </c>
      <c r="J666" t="s">
        <v>22</v>
      </c>
      <c r="K666" t="s">
        <v>408</v>
      </c>
      <c r="L666" t="s">
        <v>33</v>
      </c>
      <c r="M666" t="s">
        <v>559</v>
      </c>
      <c r="O666" s="1">
        <f t="shared" si="15"/>
        <v>27.94</v>
      </c>
      <c r="P666" t="s">
        <v>910</v>
      </c>
      <c r="R666" t="s">
        <v>634</v>
      </c>
    </row>
    <row r="667" spans="1:18" hidden="1">
      <c r="A667">
        <v>15</v>
      </c>
      <c r="B667" t="s">
        <v>405</v>
      </c>
      <c r="C667" t="s">
        <v>483</v>
      </c>
      <c r="G667">
        <v>22</v>
      </c>
      <c r="J667" t="s">
        <v>22</v>
      </c>
      <c r="K667" t="s">
        <v>408</v>
      </c>
      <c r="L667" t="s">
        <v>33</v>
      </c>
      <c r="M667" t="s">
        <v>559</v>
      </c>
      <c r="O667" s="1">
        <f t="shared" si="15"/>
        <v>27.94</v>
      </c>
      <c r="P667" t="s">
        <v>910</v>
      </c>
      <c r="R667" t="s">
        <v>634</v>
      </c>
    </row>
    <row r="668" spans="1:18" hidden="1">
      <c r="A668">
        <v>15</v>
      </c>
      <c r="B668" t="s">
        <v>405</v>
      </c>
      <c r="C668" t="s">
        <v>483</v>
      </c>
      <c r="G668">
        <v>4</v>
      </c>
      <c r="J668" t="s">
        <v>22</v>
      </c>
      <c r="K668" t="s">
        <v>71</v>
      </c>
      <c r="L668" t="s">
        <v>33</v>
      </c>
      <c r="M668" t="s">
        <v>582</v>
      </c>
      <c r="O668" s="1">
        <f>3*4.05</f>
        <v>12.149999999999999</v>
      </c>
      <c r="P668" t="s">
        <v>909</v>
      </c>
      <c r="R668" t="s">
        <v>634</v>
      </c>
    </row>
    <row r="669" spans="1:18" hidden="1">
      <c r="A669">
        <v>15</v>
      </c>
      <c r="B669" t="s">
        <v>405</v>
      </c>
      <c r="C669" t="s">
        <v>483</v>
      </c>
      <c r="G669">
        <v>5</v>
      </c>
      <c r="J669" t="s">
        <v>22</v>
      </c>
      <c r="K669" t="s">
        <v>71</v>
      </c>
      <c r="L669" t="s">
        <v>33</v>
      </c>
      <c r="M669" t="s">
        <v>582</v>
      </c>
      <c r="O669" s="1">
        <f t="shared" ref="O669:O686" si="16">3*4.05</f>
        <v>12.149999999999999</v>
      </c>
      <c r="P669" t="s">
        <v>909</v>
      </c>
      <c r="R669" t="s">
        <v>634</v>
      </c>
    </row>
    <row r="670" spans="1:18" hidden="1">
      <c r="A670">
        <v>15</v>
      </c>
      <c r="B670" t="s">
        <v>405</v>
      </c>
      <c r="C670" t="s">
        <v>483</v>
      </c>
      <c r="G670">
        <v>6</v>
      </c>
      <c r="J670" t="s">
        <v>22</v>
      </c>
      <c r="K670" t="s">
        <v>71</v>
      </c>
      <c r="L670" t="s">
        <v>33</v>
      </c>
      <c r="M670" t="s">
        <v>582</v>
      </c>
      <c r="O670" s="1">
        <f t="shared" si="16"/>
        <v>12.149999999999999</v>
      </c>
      <c r="P670" t="s">
        <v>909</v>
      </c>
      <c r="R670" t="s">
        <v>634</v>
      </c>
    </row>
    <row r="671" spans="1:18" hidden="1">
      <c r="A671">
        <v>15</v>
      </c>
      <c r="B671" t="s">
        <v>405</v>
      </c>
      <c r="C671" t="s">
        <v>483</v>
      </c>
      <c r="G671">
        <v>7</v>
      </c>
      <c r="J671" t="s">
        <v>22</v>
      </c>
      <c r="K671" t="s">
        <v>71</v>
      </c>
      <c r="L671" t="s">
        <v>33</v>
      </c>
      <c r="M671" t="s">
        <v>582</v>
      </c>
      <c r="O671" s="1">
        <f t="shared" si="16"/>
        <v>12.149999999999999</v>
      </c>
      <c r="P671" t="s">
        <v>909</v>
      </c>
      <c r="R671" t="s">
        <v>634</v>
      </c>
    </row>
    <row r="672" spans="1:18" hidden="1">
      <c r="A672">
        <v>15</v>
      </c>
      <c r="B672" t="s">
        <v>405</v>
      </c>
      <c r="C672" t="s">
        <v>483</v>
      </c>
      <c r="G672">
        <v>8</v>
      </c>
      <c r="J672" t="s">
        <v>22</v>
      </c>
      <c r="K672" t="s">
        <v>71</v>
      </c>
      <c r="L672" t="s">
        <v>33</v>
      </c>
      <c r="M672" t="s">
        <v>582</v>
      </c>
      <c r="O672" s="1">
        <f t="shared" si="16"/>
        <v>12.149999999999999</v>
      </c>
      <c r="P672" t="s">
        <v>909</v>
      </c>
      <c r="R672" t="s">
        <v>634</v>
      </c>
    </row>
    <row r="673" spans="1:18" hidden="1">
      <c r="A673">
        <v>15</v>
      </c>
      <c r="B673" t="s">
        <v>405</v>
      </c>
      <c r="C673" t="s">
        <v>483</v>
      </c>
      <c r="G673">
        <v>9</v>
      </c>
      <c r="J673" t="s">
        <v>22</v>
      </c>
      <c r="K673" t="s">
        <v>71</v>
      </c>
      <c r="L673" t="s">
        <v>33</v>
      </c>
      <c r="M673" t="s">
        <v>582</v>
      </c>
      <c r="O673" s="1">
        <f t="shared" si="16"/>
        <v>12.149999999999999</v>
      </c>
      <c r="P673" t="s">
        <v>909</v>
      </c>
      <c r="R673" t="s">
        <v>634</v>
      </c>
    </row>
    <row r="674" spans="1:18" hidden="1">
      <c r="A674">
        <v>15</v>
      </c>
      <c r="B674" t="s">
        <v>405</v>
      </c>
      <c r="C674" t="s">
        <v>483</v>
      </c>
      <c r="G674">
        <v>10</v>
      </c>
      <c r="J674" t="s">
        <v>22</v>
      </c>
      <c r="K674" t="s">
        <v>71</v>
      </c>
      <c r="L674" t="s">
        <v>33</v>
      </c>
      <c r="M674" t="s">
        <v>582</v>
      </c>
      <c r="O674" s="1">
        <f t="shared" si="16"/>
        <v>12.149999999999999</v>
      </c>
      <c r="P674" t="s">
        <v>909</v>
      </c>
      <c r="R674" t="s">
        <v>634</v>
      </c>
    </row>
    <row r="675" spans="1:18" hidden="1">
      <c r="A675">
        <v>15</v>
      </c>
      <c r="B675" t="s">
        <v>405</v>
      </c>
      <c r="C675" t="s">
        <v>483</v>
      </c>
      <c r="G675">
        <v>11</v>
      </c>
      <c r="J675" t="s">
        <v>22</v>
      </c>
      <c r="K675" t="s">
        <v>71</v>
      </c>
      <c r="L675" t="s">
        <v>33</v>
      </c>
      <c r="M675" t="s">
        <v>582</v>
      </c>
      <c r="O675" s="1">
        <f t="shared" si="16"/>
        <v>12.149999999999999</v>
      </c>
      <c r="P675" t="s">
        <v>909</v>
      </c>
      <c r="R675" t="s">
        <v>634</v>
      </c>
    </row>
    <row r="676" spans="1:18" hidden="1">
      <c r="A676">
        <v>15</v>
      </c>
      <c r="B676" t="s">
        <v>405</v>
      </c>
      <c r="C676" t="s">
        <v>483</v>
      </c>
      <c r="G676">
        <v>12</v>
      </c>
      <c r="J676" t="s">
        <v>22</v>
      </c>
      <c r="K676" t="s">
        <v>71</v>
      </c>
      <c r="L676" t="s">
        <v>33</v>
      </c>
      <c r="M676" t="s">
        <v>582</v>
      </c>
      <c r="O676" s="1">
        <f t="shared" si="16"/>
        <v>12.149999999999999</v>
      </c>
      <c r="P676" t="s">
        <v>909</v>
      </c>
      <c r="R676" t="s">
        <v>634</v>
      </c>
    </row>
    <row r="677" spans="1:18" hidden="1">
      <c r="A677">
        <v>15</v>
      </c>
      <c r="B677" t="s">
        <v>405</v>
      </c>
      <c r="C677" t="s">
        <v>483</v>
      </c>
      <c r="G677">
        <v>13</v>
      </c>
      <c r="J677" t="s">
        <v>22</v>
      </c>
      <c r="K677" t="s">
        <v>71</v>
      </c>
      <c r="L677" t="s">
        <v>33</v>
      </c>
      <c r="M677" t="s">
        <v>582</v>
      </c>
      <c r="O677" s="1">
        <f t="shared" si="16"/>
        <v>12.149999999999999</v>
      </c>
      <c r="P677" t="s">
        <v>909</v>
      </c>
      <c r="R677" t="s">
        <v>634</v>
      </c>
    </row>
    <row r="678" spans="1:18" hidden="1">
      <c r="A678">
        <v>15</v>
      </c>
      <c r="B678" t="s">
        <v>405</v>
      </c>
      <c r="C678" t="s">
        <v>483</v>
      </c>
      <c r="G678">
        <v>14</v>
      </c>
      <c r="J678" t="s">
        <v>22</v>
      </c>
      <c r="K678" t="s">
        <v>71</v>
      </c>
      <c r="L678" t="s">
        <v>33</v>
      </c>
      <c r="M678" t="s">
        <v>582</v>
      </c>
      <c r="O678" s="1">
        <f t="shared" si="16"/>
        <v>12.149999999999999</v>
      </c>
      <c r="P678" t="s">
        <v>909</v>
      </c>
      <c r="R678" t="s">
        <v>634</v>
      </c>
    </row>
    <row r="679" spans="1:18" hidden="1">
      <c r="A679">
        <v>15</v>
      </c>
      <c r="B679" t="s">
        <v>405</v>
      </c>
      <c r="C679" t="s">
        <v>483</v>
      </c>
      <c r="G679">
        <v>15</v>
      </c>
      <c r="J679" t="s">
        <v>22</v>
      </c>
      <c r="K679" t="s">
        <v>71</v>
      </c>
      <c r="L679" t="s">
        <v>33</v>
      </c>
      <c r="M679" t="s">
        <v>582</v>
      </c>
      <c r="O679" s="1">
        <f t="shared" si="16"/>
        <v>12.149999999999999</v>
      </c>
      <c r="P679" t="s">
        <v>909</v>
      </c>
      <c r="R679" t="s">
        <v>634</v>
      </c>
    </row>
    <row r="680" spans="1:18" hidden="1">
      <c r="A680">
        <v>15</v>
      </c>
      <c r="B680" t="s">
        <v>405</v>
      </c>
      <c r="C680" t="s">
        <v>483</v>
      </c>
      <c r="G680">
        <v>16</v>
      </c>
      <c r="J680" t="s">
        <v>22</v>
      </c>
      <c r="K680" t="s">
        <v>71</v>
      </c>
      <c r="L680" t="s">
        <v>33</v>
      </c>
      <c r="M680" t="s">
        <v>582</v>
      </c>
      <c r="O680" s="1">
        <f t="shared" si="16"/>
        <v>12.149999999999999</v>
      </c>
      <c r="P680" t="s">
        <v>909</v>
      </c>
      <c r="R680" t="s">
        <v>634</v>
      </c>
    </row>
    <row r="681" spans="1:18" hidden="1">
      <c r="A681">
        <v>15</v>
      </c>
      <c r="B681" t="s">
        <v>405</v>
      </c>
      <c r="C681" t="s">
        <v>483</v>
      </c>
      <c r="G681">
        <v>17</v>
      </c>
      <c r="J681" t="s">
        <v>22</v>
      </c>
      <c r="K681" t="s">
        <v>71</v>
      </c>
      <c r="L681" t="s">
        <v>33</v>
      </c>
      <c r="M681" t="s">
        <v>582</v>
      </c>
      <c r="O681" s="1">
        <f t="shared" si="16"/>
        <v>12.149999999999999</v>
      </c>
      <c r="P681" t="s">
        <v>909</v>
      </c>
      <c r="R681" t="s">
        <v>634</v>
      </c>
    </row>
    <row r="682" spans="1:18" hidden="1">
      <c r="A682">
        <v>15</v>
      </c>
      <c r="B682" t="s">
        <v>405</v>
      </c>
      <c r="C682" t="s">
        <v>483</v>
      </c>
      <c r="G682">
        <v>18</v>
      </c>
      <c r="J682" t="s">
        <v>22</v>
      </c>
      <c r="K682" t="s">
        <v>71</v>
      </c>
      <c r="L682" t="s">
        <v>33</v>
      </c>
      <c r="M682" t="s">
        <v>582</v>
      </c>
      <c r="O682" s="1">
        <f t="shared" si="16"/>
        <v>12.149999999999999</v>
      </c>
      <c r="P682" t="s">
        <v>909</v>
      </c>
      <c r="R682" t="s">
        <v>634</v>
      </c>
    </row>
    <row r="683" spans="1:18" hidden="1">
      <c r="A683">
        <v>15</v>
      </c>
      <c r="B683" t="s">
        <v>405</v>
      </c>
      <c r="C683" t="s">
        <v>483</v>
      </c>
      <c r="G683">
        <v>19</v>
      </c>
      <c r="J683" t="s">
        <v>22</v>
      </c>
      <c r="K683" t="s">
        <v>71</v>
      </c>
      <c r="L683" t="s">
        <v>33</v>
      </c>
      <c r="M683" t="s">
        <v>582</v>
      </c>
      <c r="O683" s="1">
        <f t="shared" si="16"/>
        <v>12.149999999999999</v>
      </c>
      <c r="P683" t="s">
        <v>909</v>
      </c>
      <c r="R683" t="s">
        <v>634</v>
      </c>
    </row>
    <row r="684" spans="1:18" hidden="1">
      <c r="A684">
        <v>15</v>
      </c>
      <c r="B684" t="s">
        <v>405</v>
      </c>
      <c r="C684" t="s">
        <v>483</v>
      </c>
      <c r="G684">
        <v>20</v>
      </c>
      <c r="J684" t="s">
        <v>22</v>
      </c>
      <c r="K684" t="s">
        <v>71</v>
      </c>
      <c r="L684" t="s">
        <v>33</v>
      </c>
      <c r="M684" t="s">
        <v>582</v>
      </c>
      <c r="O684" s="1">
        <f t="shared" si="16"/>
        <v>12.149999999999999</v>
      </c>
      <c r="P684" t="s">
        <v>909</v>
      </c>
      <c r="R684" t="s">
        <v>634</v>
      </c>
    </row>
    <row r="685" spans="1:18" hidden="1">
      <c r="A685">
        <v>15</v>
      </c>
      <c r="B685" t="s">
        <v>405</v>
      </c>
      <c r="C685" t="s">
        <v>483</v>
      </c>
      <c r="G685">
        <v>21</v>
      </c>
      <c r="J685" t="s">
        <v>22</v>
      </c>
      <c r="K685" t="s">
        <v>71</v>
      </c>
      <c r="L685" t="s">
        <v>33</v>
      </c>
      <c r="M685" t="s">
        <v>582</v>
      </c>
      <c r="O685" s="1">
        <f t="shared" si="16"/>
        <v>12.149999999999999</v>
      </c>
      <c r="P685" t="s">
        <v>909</v>
      </c>
      <c r="R685" t="s">
        <v>634</v>
      </c>
    </row>
    <row r="686" spans="1:18" hidden="1">
      <c r="A686">
        <v>15</v>
      </c>
      <c r="B686" t="s">
        <v>405</v>
      </c>
      <c r="C686" t="s">
        <v>483</v>
      </c>
      <c r="G686">
        <v>22</v>
      </c>
      <c r="J686" t="s">
        <v>22</v>
      </c>
      <c r="K686" t="s">
        <v>71</v>
      </c>
      <c r="L686" t="s">
        <v>33</v>
      </c>
      <c r="M686" t="s">
        <v>582</v>
      </c>
      <c r="O686" s="1">
        <f t="shared" si="16"/>
        <v>12.149999999999999</v>
      </c>
      <c r="P686" t="s">
        <v>909</v>
      </c>
      <c r="R686" t="s">
        <v>634</v>
      </c>
    </row>
    <row r="687" spans="1:18" hidden="1">
      <c r="A687">
        <v>15</v>
      </c>
      <c r="B687" t="s">
        <v>405</v>
      </c>
      <c r="C687" t="s">
        <v>483</v>
      </c>
      <c r="G687">
        <v>4</v>
      </c>
      <c r="J687" t="s">
        <v>22</v>
      </c>
      <c r="K687" t="s">
        <v>71</v>
      </c>
      <c r="L687" t="s">
        <v>33</v>
      </c>
      <c r="M687" t="s">
        <v>583</v>
      </c>
      <c r="O687" s="1">
        <f>5*0.5*1</f>
        <v>2.5</v>
      </c>
      <c r="P687" t="s">
        <v>653</v>
      </c>
      <c r="R687" t="s">
        <v>634</v>
      </c>
    </row>
    <row r="688" spans="1:18" hidden="1">
      <c r="A688">
        <v>15</v>
      </c>
      <c r="B688" t="s">
        <v>405</v>
      </c>
      <c r="C688" t="s">
        <v>483</v>
      </c>
      <c r="G688">
        <v>5</v>
      </c>
      <c r="J688" t="s">
        <v>22</v>
      </c>
      <c r="K688" t="s">
        <v>71</v>
      </c>
      <c r="L688" t="s">
        <v>33</v>
      </c>
      <c r="M688" t="s">
        <v>583</v>
      </c>
      <c r="O688" s="1">
        <f t="shared" ref="O688:O705" si="17">5*0.5*1</f>
        <v>2.5</v>
      </c>
      <c r="P688" t="s">
        <v>653</v>
      </c>
      <c r="R688" t="s">
        <v>634</v>
      </c>
    </row>
    <row r="689" spans="1:18" hidden="1">
      <c r="A689">
        <v>15</v>
      </c>
      <c r="B689" t="s">
        <v>405</v>
      </c>
      <c r="C689" t="s">
        <v>483</v>
      </c>
      <c r="G689">
        <v>6</v>
      </c>
      <c r="J689" t="s">
        <v>22</v>
      </c>
      <c r="K689" t="s">
        <v>71</v>
      </c>
      <c r="L689" t="s">
        <v>33</v>
      </c>
      <c r="M689" t="s">
        <v>583</v>
      </c>
      <c r="O689" s="1">
        <f t="shared" si="17"/>
        <v>2.5</v>
      </c>
      <c r="P689" t="s">
        <v>653</v>
      </c>
      <c r="R689" t="s">
        <v>634</v>
      </c>
    </row>
    <row r="690" spans="1:18" hidden="1">
      <c r="A690">
        <v>15</v>
      </c>
      <c r="B690" t="s">
        <v>405</v>
      </c>
      <c r="C690" t="s">
        <v>483</v>
      </c>
      <c r="G690">
        <v>7</v>
      </c>
      <c r="J690" t="s">
        <v>22</v>
      </c>
      <c r="K690" t="s">
        <v>71</v>
      </c>
      <c r="L690" t="s">
        <v>33</v>
      </c>
      <c r="M690" t="s">
        <v>583</v>
      </c>
      <c r="O690" s="1">
        <f t="shared" si="17"/>
        <v>2.5</v>
      </c>
      <c r="P690" t="s">
        <v>653</v>
      </c>
      <c r="R690" t="s">
        <v>634</v>
      </c>
    </row>
    <row r="691" spans="1:18" hidden="1">
      <c r="A691">
        <v>15</v>
      </c>
      <c r="B691" t="s">
        <v>405</v>
      </c>
      <c r="C691" t="s">
        <v>483</v>
      </c>
      <c r="G691">
        <v>8</v>
      </c>
      <c r="J691" t="s">
        <v>22</v>
      </c>
      <c r="K691" t="s">
        <v>71</v>
      </c>
      <c r="L691" t="s">
        <v>33</v>
      </c>
      <c r="M691" t="s">
        <v>583</v>
      </c>
      <c r="O691" s="1">
        <f t="shared" si="17"/>
        <v>2.5</v>
      </c>
      <c r="P691" t="s">
        <v>653</v>
      </c>
      <c r="R691" t="s">
        <v>634</v>
      </c>
    </row>
    <row r="692" spans="1:18" hidden="1">
      <c r="A692">
        <v>15</v>
      </c>
      <c r="B692" t="s">
        <v>405</v>
      </c>
      <c r="C692" t="s">
        <v>483</v>
      </c>
      <c r="G692">
        <v>9</v>
      </c>
      <c r="J692" t="s">
        <v>22</v>
      </c>
      <c r="K692" t="s">
        <v>71</v>
      </c>
      <c r="L692" t="s">
        <v>33</v>
      </c>
      <c r="M692" t="s">
        <v>583</v>
      </c>
      <c r="O692" s="1">
        <f t="shared" si="17"/>
        <v>2.5</v>
      </c>
      <c r="P692" t="s">
        <v>653</v>
      </c>
      <c r="R692" t="s">
        <v>634</v>
      </c>
    </row>
    <row r="693" spans="1:18" hidden="1">
      <c r="A693">
        <v>15</v>
      </c>
      <c r="B693" t="s">
        <v>405</v>
      </c>
      <c r="C693" t="s">
        <v>483</v>
      </c>
      <c r="G693">
        <v>10</v>
      </c>
      <c r="J693" t="s">
        <v>22</v>
      </c>
      <c r="K693" t="s">
        <v>71</v>
      </c>
      <c r="L693" t="s">
        <v>33</v>
      </c>
      <c r="M693" t="s">
        <v>583</v>
      </c>
      <c r="O693" s="1">
        <f t="shared" si="17"/>
        <v>2.5</v>
      </c>
      <c r="P693" t="s">
        <v>653</v>
      </c>
      <c r="R693" t="s">
        <v>634</v>
      </c>
    </row>
    <row r="694" spans="1:18" hidden="1">
      <c r="A694">
        <v>15</v>
      </c>
      <c r="B694" t="s">
        <v>405</v>
      </c>
      <c r="C694" t="s">
        <v>483</v>
      </c>
      <c r="G694">
        <v>11</v>
      </c>
      <c r="J694" t="s">
        <v>22</v>
      </c>
      <c r="K694" t="s">
        <v>71</v>
      </c>
      <c r="L694" t="s">
        <v>33</v>
      </c>
      <c r="M694" t="s">
        <v>583</v>
      </c>
      <c r="O694" s="1">
        <f t="shared" si="17"/>
        <v>2.5</v>
      </c>
      <c r="P694" t="s">
        <v>653</v>
      </c>
      <c r="R694" t="s">
        <v>634</v>
      </c>
    </row>
    <row r="695" spans="1:18" hidden="1">
      <c r="A695">
        <v>15</v>
      </c>
      <c r="B695" t="s">
        <v>405</v>
      </c>
      <c r="C695" t="s">
        <v>483</v>
      </c>
      <c r="G695">
        <v>12</v>
      </c>
      <c r="J695" t="s">
        <v>22</v>
      </c>
      <c r="K695" t="s">
        <v>71</v>
      </c>
      <c r="L695" t="s">
        <v>33</v>
      </c>
      <c r="M695" t="s">
        <v>583</v>
      </c>
      <c r="O695" s="1">
        <f t="shared" si="17"/>
        <v>2.5</v>
      </c>
      <c r="P695" t="s">
        <v>653</v>
      </c>
      <c r="R695" t="s">
        <v>634</v>
      </c>
    </row>
    <row r="696" spans="1:18" hidden="1">
      <c r="A696">
        <v>15</v>
      </c>
      <c r="B696" t="s">
        <v>405</v>
      </c>
      <c r="C696" t="s">
        <v>483</v>
      </c>
      <c r="G696">
        <v>13</v>
      </c>
      <c r="J696" t="s">
        <v>22</v>
      </c>
      <c r="K696" t="s">
        <v>71</v>
      </c>
      <c r="L696" t="s">
        <v>33</v>
      </c>
      <c r="M696" t="s">
        <v>583</v>
      </c>
      <c r="O696" s="1">
        <f t="shared" si="17"/>
        <v>2.5</v>
      </c>
      <c r="P696" t="s">
        <v>653</v>
      </c>
      <c r="R696" t="s">
        <v>634</v>
      </c>
    </row>
    <row r="697" spans="1:18" hidden="1">
      <c r="A697">
        <v>15</v>
      </c>
      <c r="B697" t="s">
        <v>405</v>
      </c>
      <c r="C697" t="s">
        <v>483</v>
      </c>
      <c r="G697">
        <v>14</v>
      </c>
      <c r="J697" t="s">
        <v>22</v>
      </c>
      <c r="K697" t="s">
        <v>71</v>
      </c>
      <c r="L697" t="s">
        <v>33</v>
      </c>
      <c r="M697" t="s">
        <v>583</v>
      </c>
      <c r="O697" s="1">
        <f t="shared" si="17"/>
        <v>2.5</v>
      </c>
      <c r="P697" t="s">
        <v>653</v>
      </c>
      <c r="R697" t="s">
        <v>634</v>
      </c>
    </row>
    <row r="698" spans="1:18" hidden="1">
      <c r="A698">
        <v>15</v>
      </c>
      <c r="B698" t="s">
        <v>405</v>
      </c>
      <c r="C698" t="s">
        <v>483</v>
      </c>
      <c r="G698">
        <v>15</v>
      </c>
      <c r="J698" t="s">
        <v>22</v>
      </c>
      <c r="K698" t="s">
        <v>71</v>
      </c>
      <c r="L698" t="s">
        <v>33</v>
      </c>
      <c r="M698" t="s">
        <v>583</v>
      </c>
      <c r="O698" s="1">
        <f t="shared" si="17"/>
        <v>2.5</v>
      </c>
      <c r="P698" t="s">
        <v>653</v>
      </c>
      <c r="R698" t="s">
        <v>634</v>
      </c>
    </row>
    <row r="699" spans="1:18" hidden="1">
      <c r="A699">
        <v>15</v>
      </c>
      <c r="B699" t="s">
        <v>405</v>
      </c>
      <c r="C699" t="s">
        <v>483</v>
      </c>
      <c r="G699">
        <v>16</v>
      </c>
      <c r="J699" t="s">
        <v>22</v>
      </c>
      <c r="K699" t="s">
        <v>71</v>
      </c>
      <c r="L699" t="s">
        <v>33</v>
      </c>
      <c r="M699" t="s">
        <v>583</v>
      </c>
      <c r="O699" s="1">
        <f t="shared" si="17"/>
        <v>2.5</v>
      </c>
      <c r="P699" t="s">
        <v>653</v>
      </c>
      <c r="R699" t="s">
        <v>634</v>
      </c>
    </row>
    <row r="700" spans="1:18" hidden="1">
      <c r="A700">
        <v>15</v>
      </c>
      <c r="B700" t="s">
        <v>405</v>
      </c>
      <c r="C700" t="s">
        <v>483</v>
      </c>
      <c r="G700">
        <v>17</v>
      </c>
      <c r="J700" t="s">
        <v>22</v>
      </c>
      <c r="K700" t="s">
        <v>71</v>
      </c>
      <c r="L700" t="s">
        <v>33</v>
      </c>
      <c r="M700" t="s">
        <v>583</v>
      </c>
      <c r="O700" s="1">
        <f t="shared" si="17"/>
        <v>2.5</v>
      </c>
      <c r="P700" t="s">
        <v>653</v>
      </c>
      <c r="R700" t="s">
        <v>634</v>
      </c>
    </row>
    <row r="701" spans="1:18" hidden="1">
      <c r="A701">
        <v>15</v>
      </c>
      <c r="B701" t="s">
        <v>405</v>
      </c>
      <c r="C701" t="s">
        <v>483</v>
      </c>
      <c r="G701">
        <v>18</v>
      </c>
      <c r="J701" t="s">
        <v>22</v>
      </c>
      <c r="K701" t="s">
        <v>71</v>
      </c>
      <c r="L701" t="s">
        <v>33</v>
      </c>
      <c r="M701" t="s">
        <v>583</v>
      </c>
      <c r="O701" s="1">
        <f t="shared" si="17"/>
        <v>2.5</v>
      </c>
      <c r="P701" t="s">
        <v>653</v>
      </c>
      <c r="R701" t="s">
        <v>634</v>
      </c>
    </row>
    <row r="702" spans="1:18" hidden="1">
      <c r="A702">
        <v>15</v>
      </c>
      <c r="B702" t="s">
        <v>405</v>
      </c>
      <c r="C702" t="s">
        <v>483</v>
      </c>
      <c r="G702">
        <v>19</v>
      </c>
      <c r="J702" t="s">
        <v>22</v>
      </c>
      <c r="K702" t="s">
        <v>71</v>
      </c>
      <c r="L702" t="s">
        <v>33</v>
      </c>
      <c r="M702" t="s">
        <v>583</v>
      </c>
      <c r="O702" s="1">
        <f t="shared" si="17"/>
        <v>2.5</v>
      </c>
      <c r="P702" t="s">
        <v>653</v>
      </c>
      <c r="R702" t="s">
        <v>634</v>
      </c>
    </row>
    <row r="703" spans="1:18" hidden="1">
      <c r="A703">
        <v>15</v>
      </c>
      <c r="B703" t="s">
        <v>405</v>
      </c>
      <c r="C703" t="s">
        <v>483</v>
      </c>
      <c r="G703">
        <v>20</v>
      </c>
      <c r="J703" t="s">
        <v>22</v>
      </c>
      <c r="K703" t="s">
        <v>71</v>
      </c>
      <c r="L703" t="s">
        <v>33</v>
      </c>
      <c r="M703" t="s">
        <v>583</v>
      </c>
      <c r="O703" s="1">
        <f t="shared" si="17"/>
        <v>2.5</v>
      </c>
      <c r="P703" t="s">
        <v>653</v>
      </c>
      <c r="R703" t="s">
        <v>634</v>
      </c>
    </row>
    <row r="704" spans="1:18" hidden="1">
      <c r="A704">
        <v>15</v>
      </c>
      <c r="B704" t="s">
        <v>405</v>
      </c>
      <c r="C704" t="s">
        <v>483</v>
      </c>
      <c r="G704">
        <v>21</v>
      </c>
      <c r="J704" t="s">
        <v>22</v>
      </c>
      <c r="K704" t="s">
        <v>71</v>
      </c>
      <c r="L704" t="s">
        <v>33</v>
      </c>
      <c r="M704" t="s">
        <v>583</v>
      </c>
      <c r="O704" s="1">
        <f t="shared" si="17"/>
        <v>2.5</v>
      </c>
      <c r="P704" t="s">
        <v>653</v>
      </c>
      <c r="R704" t="s">
        <v>634</v>
      </c>
    </row>
    <row r="705" spans="1:18" hidden="1">
      <c r="A705">
        <v>15</v>
      </c>
      <c r="B705" t="s">
        <v>405</v>
      </c>
      <c r="C705" t="s">
        <v>483</v>
      </c>
      <c r="G705">
        <v>22</v>
      </c>
      <c r="J705" t="s">
        <v>22</v>
      </c>
      <c r="K705" t="s">
        <v>71</v>
      </c>
      <c r="L705" t="s">
        <v>33</v>
      </c>
      <c r="M705" t="s">
        <v>583</v>
      </c>
      <c r="O705" s="1">
        <f t="shared" si="17"/>
        <v>2.5</v>
      </c>
      <c r="P705" t="s">
        <v>653</v>
      </c>
      <c r="R705" t="s">
        <v>634</v>
      </c>
    </row>
    <row r="706" spans="1:18" hidden="1">
      <c r="A706">
        <v>15</v>
      </c>
      <c r="B706" t="s">
        <v>405</v>
      </c>
      <c r="C706" t="s">
        <v>483</v>
      </c>
      <c r="G706">
        <v>4</v>
      </c>
      <c r="J706" t="s">
        <v>22</v>
      </c>
      <c r="K706" t="s">
        <v>71</v>
      </c>
      <c r="L706" t="s">
        <v>33</v>
      </c>
      <c r="M706" t="s">
        <v>584</v>
      </c>
      <c r="O706" s="1">
        <f>(4/128)*20*1</f>
        <v>0.625</v>
      </c>
      <c r="P706" t="s">
        <v>654</v>
      </c>
      <c r="R706" t="s">
        <v>634</v>
      </c>
    </row>
    <row r="707" spans="1:18" hidden="1">
      <c r="A707">
        <v>15</v>
      </c>
      <c r="B707" t="s">
        <v>405</v>
      </c>
      <c r="C707" t="s">
        <v>483</v>
      </c>
      <c r="G707">
        <v>5</v>
      </c>
      <c r="J707" t="s">
        <v>22</v>
      </c>
      <c r="K707" t="s">
        <v>71</v>
      </c>
      <c r="L707" t="s">
        <v>33</v>
      </c>
      <c r="M707" t="s">
        <v>584</v>
      </c>
      <c r="O707" s="1">
        <f t="shared" ref="O707:O724" si="18">(4/128)*20*1</f>
        <v>0.625</v>
      </c>
      <c r="P707" t="s">
        <v>654</v>
      </c>
      <c r="R707" t="s">
        <v>634</v>
      </c>
    </row>
    <row r="708" spans="1:18" hidden="1">
      <c r="A708">
        <v>15</v>
      </c>
      <c r="B708" t="s">
        <v>405</v>
      </c>
      <c r="C708" t="s">
        <v>483</v>
      </c>
      <c r="G708">
        <v>6</v>
      </c>
      <c r="J708" t="s">
        <v>22</v>
      </c>
      <c r="K708" t="s">
        <v>71</v>
      </c>
      <c r="L708" t="s">
        <v>33</v>
      </c>
      <c r="M708" t="s">
        <v>584</v>
      </c>
      <c r="O708" s="1">
        <f t="shared" si="18"/>
        <v>0.625</v>
      </c>
      <c r="P708" t="s">
        <v>654</v>
      </c>
      <c r="R708" t="s">
        <v>634</v>
      </c>
    </row>
    <row r="709" spans="1:18" hidden="1">
      <c r="A709">
        <v>15</v>
      </c>
      <c r="B709" t="s">
        <v>405</v>
      </c>
      <c r="C709" t="s">
        <v>483</v>
      </c>
      <c r="G709">
        <v>7</v>
      </c>
      <c r="J709" t="s">
        <v>22</v>
      </c>
      <c r="K709" t="s">
        <v>71</v>
      </c>
      <c r="L709" t="s">
        <v>33</v>
      </c>
      <c r="M709" t="s">
        <v>584</v>
      </c>
      <c r="O709" s="1">
        <f t="shared" si="18"/>
        <v>0.625</v>
      </c>
      <c r="P709" t="s">
        <v>654</v>
      </c>
      <c r="R709" t="s">
        <v>634</v>
      </c>
    </row>
    <row r="710" spans="1:18" hidden="1">
      <c r="A710">
        <v>15</v>
      </c>
      <c r="B710" t="s">
        <v>405</v>
      </c>
      <c r="C710" t="s">
        <v>483</v>
      </c>
      <c r="G710">
        <v>8</v>
      </c>
      <c r="J710" t="s">
        <v>22</v>
      </c>
      <c r="K710" t="s">
        <v>71</v>
      </c>
      <c r="L710" t="s">
        <v>33</v>
      </c>
      <c r="M710" t="s">
        <v>584</v>
      </c>
      <c r="O710" s="1">
        <f t="shared" si="18"/>
        <v>0.625</v>
      </c>
      <c r="P710" t="s">
        <v>654</v>
      </c>
      <c r="R710" t="s">
        <v>634</v>
      </c>
    </row>
    <row r="711" spans="1:18" hidden="1">
      <c r="A711">
        <v>15</v>
      </c>
      <c r="B711" t="s">
        <v>405</v>
      </c>
      <c r="C711" t="s">
        <v>483</v>
      </c>
      <c r="G711">
        <v>9</v>
      </c>
      <c r="J711" t="s">
        <v>22</v>
      </c>
      <c r="K711" t="s">
        <v>71</v>
      </c>
      <c r="L711" t="s">
        <v>33</v>
      </c>
      <c r="M711" t="s">
        <v>584</v>
      </c>
      <c r="O711" s="1">
        <f t="shared" si="18"/>
        <v>0.625</v>
      </c>
      <c r="P711" t="s">
        <v>654</v>
      </c>
      <c r="R711" t="s">
        <v>634</v>
      </c>
    </row>
    <row r="712" spans="1:18" hidden="1">
      <c r="A712">
        <v>15</v>
      </c>
      <c r="B712" t="s">
        <v>405</v>
      </c>
      <c r="C712" t="s">
        <v>483</v>
      </c>
      <c r="G712">
        <v>10</v>
      </c>
      <c r="J712" t="s">
        <v>22</v>
      </c>
      <c r="K712" t="s">
        <v>71</v>
      </c>
      <c r="L712" t="s">
        <v>33</v>
      </c>
      <c r="M712" t="s">
        <v>584</v>
      </c>
      <c r="O712" s="1">
        <f t="shared" si="18"/>
        <v>0.625</v>
      </c>
      <c r="P712" t="s">
        <v>654</v>
      </c>
      <c r="R712" t="s">
        <v>634</v>
      </c>
    </row>
    <row r="713" spans="1:18" hidden="1">
      <c r="A713">
        <v>15</v>
      </c>
      <c r="B713" t="s">
        <v>405</v>
      </c>
      <c r="C713" t="s">
        <v>483</v>
      </c>
      <c r="G713">
        <v>11</v>
      </c>
      <c r="J713" t="s">
        <v>22</v>
      </c>
      <c r="K713" t="s">
        <v>71</v>
      </c>
      <c r="L713" t="s">
        <v>33</v>
      </c>
      <c r="M713" t="s">
        <v>584</v>
      </c>
      <c r="O713" s="1">
        <f t="shared" si="18"/>
        <v>0.625</v>
      </c>
      <c r="P713" t="s">
        <v>654</v>
      </c>
      <c r="R713" t="s">
        <v>634</v>
      </c>
    </row>
    <row r="714" spans="1:18" hidden="1">
      <c r="A714">
        <v>15</v>
      </c>
      <c r="B714" t="s">
        <v>405</v>
      </c>
      <c r="C714" t="s">
        <v>483</v>
      </c>
      <c r="G714">
        <v>12</v>
      </c>
      <c r="J714" t="s">
        <v>22</v>
      </c>
      <c r="K714" t="s">
        <v>71</v>
      </c>
      <c r="L714" t="s">
        <v>33</v>
      </c>
      <c r="M714" t="s">
        <v>584</v>
      </c>
      <c r="O714" s="1">
        <f t="shared" si="18"/>
        <v>0.625</v>
      </c>
      <c r="P714" t="s">
        <v>654</v>
      </c>
      <c r="R714" t="s">
        <v>634</v>
      </c>
    </row>
    <row r="715" spans="1:18" hidden="1">
      <c r="A715">
        <v>15</v>
      </c>
      <c r="B715" t="s">
        <v>405</v>
      </c>
      <c r="C715" t="s">
        <v>483</v>
      </c>
      <c r="G715">
        <v>13</v>
      </c>
      <c r="J715" t="s">
        <v>22</v>
      </c>
      <c r="K715" t="s">
        <v>71</v>
      </c>
      <c r="L715" t="s">
        <v>33</v>
      </c>
      <c r="M715" t="s">
        <v>584</v>
      </c>
      <c r="O715" s="1">
        <f t="shared" si="18"/>
        <v>0.625</v>
      </c>
      <c r="P715" t="s">
        <v>654</v>
      </c>
      <c r="R715" t="s">
        <v>634</v>
      </c>
    </row>
    <row r="716" spans="1:18" hidden="1">
      <c r="A716">
        <v>15</v>
      </c>
      <c r="B716" t="s">
        <v>405</v>
      </c>
      <c r="C716" t="s">
        <v>483</v>
      </c>
      <c r="G716">
        <v>14</v>
      </c>
      <c r="J716" t="s">
        <v>22</v>
      </c>
      <c r="K716" t="s">
        <v>71</v>
      </c>
      <c r="L716" t="s">
        <v>33</v>
      </c>
      <c r="M716" t="s">
        <v>584</v>
      </c>
      <c r="O716" s="1">
        <f t="shared" si="18"/>
        <v>0.625</v>
      </c>
      <c r="P716" t="s">
        <v>654</v>
      </c>
      <c r="R716" t="s">
        <v>634</v>
      </c>
    </row>
    <row r="717" spans="1:18" hidden="1">
      <c r="A717">
        <v>15</v>
      </c>
      <c r="B717" t="s">
        <v>405</v>
      </c>
      <c r="C717" t="s">
        <v>483</v>
      </c>
      <c r="G717">
        <v>15</v>
      </c>
      <c r="J717" t="s">
        <v>22</v>
      </c>
      <c r="K717" t="s">
        <v>71</v>
      </c>
      <c r="L717" t="s">
        <v>33</v>
      </c>
      <c r="M717" t="s">
        <v>584</v>
      </c>
      <c r="O717" s="1">
        <f t="shared" si="18"/>
        <v>0.625</v>
      </c>
      <c r="P717" t="s">
        <v>654</v>
      </c>
      <c r="R717" t="s">
        <v>634</v>
      </c>
    </row>
    <row r="718" spans="1:18" hidden="1">
      <c r="A718">
        <v>15</v>
      </c>
      <c r="B718" t="s">
        <v>405</v>
      </c>
      <c r="C718" t="s">
        <v>483</v>
      </c>
      <c r="G718">
        <v>16</v>
      </c>
      <c r="J718" t="s">
        <v>22</v>
      </c>
      <c r="K718" t="s">
        <v>71</v>
      </c>
      <c r="L718" t="s">
        <v>33</v>
      </c>
      <c r="M718" t="s">
        <v>584</v>
      </c>
      <c r="O718" s="1">
        <f t="shared" si="18"/>
        <v>0.625</v>
      </c>
      <c r="P718" t="s">
        <v>654</v>
      </c>
      <c r="R718" t="s">
        <v>634</v>
      </c>
    </row>
    <row r="719" spans="1:18" hidden="1">
      <c r="A719">
        <v>15</v>
      </c>
      <c r="B719" t="s">
        <v>405</v>
      </c>
      <c r="C719" t="s">
        <v>483</v>
      </c>
      <c r="G719">
        <v>17</v>
      </c>
      <c r="J719" t="s">
        <v>22</v>
      </c>
      <c r="K719" t="s">
        <v>71</v>
      </c>
      <c r="L719" t="s">
        <v>33</v>
      </c>
      <c r="M719" t="s">
        <v>584</v>
      </c>
      <c r="O719" s="1">
        <f t="shared" si="18"/>
        <v>0.625</v>
      </c>
      <c r="P719" t="s">
        <v>654</v>
      </c>
      <c r="R719" t="s">
        <v>634</v>
      </c>
    </row>
    <row r="720" spans="1:18" hidden="1">
      <c r="A720">
        <v>15</v>
      </c>
      <c r="B720" t="s">
        <v>405</v>
      </c>
      <c r="C720" t="s">
        <v>483</v>
      </c>
      <c r="G720">
        <v>18</v>
      </c>
      <c r="J720" t="s">
        <v>22</v>
      </c>
      <c r="K720" t="s">
        <v>71</v>
      </c>
      <c r="L720" t="s">
        <v>33</v>
      </c>
      <c r="M720" t="s">
        <v>584</v>
      </c>
      <c r="O720" s="1">
        <f t="shared" si="18"/>
        <v>0.625</v>
      </c>
      <c r="P720" t="s">
        <v>654</v>
      </c>
      <c r="R720" t="s">
        <v>634</v>
      </c>
    </row>
    <row r="721" spans="1:18" hidden="1">
      <c r="A721">
        <v>15</v>
      </c>
      <c r="B721" t="s">
        <v>405</v>
      </c>
      <c r="C721" t="s">
        <v>483</v>
      </c>
      <c r="G721">
        <v>19</v>
      </c>
      <c r="J721" t="s">
        <v>22</v>
      </c>
      <c r="K721" t="s">
        <v>71</v>
      </c>
      <c r="L721" t="s">
        <v>33</v>
      </c>
      <c r="M721" t="s">
        <v>584</v>
      </c>
      <c r="O721" s="1">
        <f t="shared" si="18"/>
        <v>0.625</v>
      </c>
      <c r="P721" t="s">
        <v>654</v>
      </c>
      <c r="R721" t="s">
        <v>634</v>
      </c>
    </row>
    <row r="722" spans="1:18" hidden="1">
      <c r="A722">
        <v>15</v>
      </c>
      <c r="B722" t="s">
        <v>405</v>
      </c>
      <c r="C722" t="s">
        <v>483</v>
      </c>
      <c r="G722">
        <v>20</v>
      </c>
      <c r="J722" t="s">
        <v>22</v>
      </c>
      <c r="K722" t="s">
        <v>71</v>
      </c>
      <c r="L722" t="s">
        <v>33</v>
      </c>
      <c r="M722" t="s">
        <v>584</v>
      </c>
      <c r="O722" s="1">
        <f t="shared" si="18"/>
        <v>0.625</v>
      </c>
      <c r="P722" t="s">
        <v>654</v>
      </c>
      <c r="R722" t="s">
        <v>634</v>
      </c>
    </row>
    <row r="723" spans="1:18" hidden="1">
      <c r="A723">
        <v>15</v>
      </c>
      <c r="B723" t="s">
        <v>405</v>
      </c>
      <c r="C723" t="s">
        <v>483</v>
      </c>
      <c r="G723">
        <v>21</v>
      </c>
      <c r="J723" t="s">
        <v>22</v>
      </c>
      <c r="K723" t="s">
        <v>71</v>
      </c>
      <c r="L723" t="s">
        <v>33</v>
      </c>
      <c r="M723" t="s">
        <v>584</v>
      </c>
      <c r="O723" s="1">
        <f t="shared" si="18"/>
        <v>0.625</v>
      </c>
      <c r="P723" t="s">
        <v>654</v>
      </c>
      <c r="R723" t="s">
        <v>634</v>
      </c>
    </row>
    <row r="724" spans="1:18" hidden="1">
      <c r="A724">
        <v>15</v>
      </c>
      <c r="B724" t="s">
        <v>405</v>
      </c>
      <c r="C724" t="s">
        <v>483</v>
      </c>
      <c r="G724">
        <v>22</v>
      </c>
      <c r="J724" t="s">
        <v>22</v>
      </c>
      <c r="K724" t="s">
        <v>71</v>
      </c>
      <c r="L724" t="s">
        <v>33</v>
      </c>
      <c r="M724" t="s">
        <v>584</v>
      </c>
      <c r="O724" s="1">
        <f t="shared" si="18"/>
        <v>0.625</v>
      </c>
      <c r="P724" t="s">
        <v>654</v>
      </c>
      <c r="R724" t="s">
        <v>634</v>
      </c>
    </row>
    <row r="725" spans="1:18">
      <c r="A725">
        <v>15</v>
      </c>
      <c r="B725" t="s">
        <v>405</v>
      </c>
      <c r="C725" t="s">
        <v>483</v>
      </c>
      <c r="G725">
        <v>4</v>
      </c>
      <c r="H725" s="263"/>
      <c r="J725" t="s">
        <v>22</v>
      </c>
      <c r="K725" t="s">
        <v>30</v>
      </c>
      <c r="L725" t="s">
        <v>33</v>
      </c>
      <c r="M725" t="s">
        <v>585</v>
      </c>
      <c r="N725" s="263">
        <v>0.6</v>
      </c>
      <c r="O725" s="1">
        <f>0.6*20*1</f>
        <v>12</v>
      </c>
      <c r="P725" t="s">
        <v>651</v>
      </c>
      <c r="R725" t="s">
        <v>634</v>
      </c>
    </row>
    <row r="726" spans="1:18">
      <c r="A726">
        <v>15</v>
      </c>
      <c r="B726" t="s">
        <v>405</v>
      </c>
      <c r="C726" t="s">
        <v>483</v>
      </c>
      <c r="G726">
        <v>5</v>
      </c>
      <c r="H726" s="263"/>
      <c r="J726" t="s">
        <v>22</v>
      </c>
      <c r="K726" t="s">
        <v>30</v>
      </c>
      <c r="L726" t="s">
        <v>33</v>
      </c>
      <c r="M726" t="s">
        <v>585</v>
      </c>
      <c r="N726" s="263">
        <v>0.6</v>
      </c>
      <c r="O726" s="1">
        <f t="shared" ref="O726:O743" si="19">0.6*20*1</f>
        <v>12</v>
      </c>
      <c r="P726" t="s">
        <v>651</v>
      </c>
      <c r="R726" t="s">
        <v>634</v>
      </c>
    </row>
    <row r="727" spans="1:18">
      <c r="A727">
        <v>15</v>
      </c>
      <c r="B727" t="s">
        <v>405</v>
      </c>
      <c r="C727" t="s">
        <v>483</v>
      </c>
      <c r="G727">
        <v>6</v>
      </c>
      <c r="H727" s="263"/>
      <c r="J727" t="s">
        <v>22</v>
      </c>
      <c r="K727" t="s">
        <v>30</v>
      </c>
      <c r="L727" t="s">
        <v>33</v>
      </c>
      <c r="M727" t="s">
        <v>585</v>
      </c>
      <c r="N727" s="263">
        <v>0.6</v>
      </c>
      <c r="O727" s="1">
        <f t="shared" si="19"/>
        <v>12</v>
      </c>
      <c r="P727" t="s">
        <v>651</v>
      </c>
      <c r="R727" t="s">
        <v>634</v>
      </c>
    </row>
    <row r="728" spans="1:18">
      <c r="A728">
        <v>15</v>
      </c>
      <c r="B728" t="s">
        <v>405</v>
      </c>
      <c r="C728" t="s">
        <v>483</v>
      </c>
      <c r="G728">
        <v>7</v>
      </c>
      <c r="H728" s="263"/>
      <c r="J728" t="s">
        <v>22</v>
      </c>
      <c r="K728" t="s">
        <v>30</v>
      </c>
      <c r="L728" t="s">
        <v>33</v>
      </c>
      <c r="M728" t="s">
        <v>585</v>
      </c>
      <c r="N728" s="263">
        <v>0.6</v>
      </c>
      <c r="O728" s="1">
        <f t="shared" si="19"/>
        <v>12</v>
      </c>
      <c r="P728" t="s">
        <v>651</v>
      </c>
      <c r="R728" t="s">
        <v>634</v>
      </c>
    </row>
    <row r="729" spans="1:18">
      <c r="A729">
        <v>15</v>
      </c>
      <c r="B729" t="s">
        <v>405</v>
      </c>
      <c r="C729" t="s">
        <v>483</v>
      </c>
      <c r="G729">
        <v>8</v>
      </c>
      <c r="H729" s="263"/>
      <c r="J729" t="s">
        <v>22</v>
      </c>
      <c r="K729" t="s">
        <v>30</v>
      </c>
      <c r="L729" t="s">
        <v>33</v>
      </c>
      <c r="M729" t="s">
        <v>585</v>
      </c>
      <c r="N729" s="263">
        <v>0.6</v>
      </c>
      <c r="O729" s="1">
        <f t="shared" si="19"/>
        <v>12</v>
      </c>
      <c r="P729" t="s">
        <v>651</v>
      </c>
      <c r="R729" t="s">
        <v>634</v>
      </c>
    </row>
    <row r="730" spans="1:18">
      <c r="A730">
        <v>15</v>
      </c>
      <c r="B730" t="s">
        <v>405</v>
      </c>
      <c r="C730" t="s">
        <v>483</v>
      </c>
      <c r="G730">
        <v>9</v>
      </c>
      <c r="H730" s="263"/>
      <c r="J730" t="s">
        <v>22</v>
      </c>
      <c r="K730" t="s">
        <v>30</v>
      </c>
      <c r="L730" t="s">
        <v>33</v>
      </c>
      <c r="M730" t="s">
        <v>585</v>
      </c>
      <c r="N730" s="263">
        <v>0.6</v>
      </c>
      <c r="O730" s="1">
        <f t="shared" si="19"/>
        <v>12</v>
      </c>
      <c r="P730" t="s">
        <v>651</v>
      </c>
      <c r="R730" t="s">
        <v>634</v>
      </c>
    </row>
    <row r="731" spans="1:18">
      <c r="A731">
        <v>15</v>
      </c>
      <c r="B731" t="s">
        <v>405</v>
      </c>
      <c r="C731" t="s">
        <v>483</v>
      </c>
      <c r="G731">
        <v>10</v>
      </c>
      <c r="H731" s="263"/>
      <c r="J731" t="s">
        <v>22</v>
      </c>
      <c r="K731" t="s">
        <v>30</v>
      </c>
      <c r="L731" t="s">
        <v>33</v>
      </c>
      <c r="M731" t="s">
        <v>585</v>
      </c>
      <c r="N731" s="263">
        <v>0.6</v>
      </c>
      <c r="O731" s="1">
        <f t="shared" si="19"/>
        <v>12</v>
      </c>
      <c r="P731" t="s">
        <v>651</v>
      </c>
      <c r="R731" t="s">
        <v>634</v>
      </c>
    </row>
    <row r="732" spans="1:18">
      <c r="A732">
        <v>15</v>
      </c>
      <c r="B732" t="s">
        <v>405</v>
      </c>
      <c r="C732" t="s">
        <v>483</v>
      </c>
      <c r="G732">
        <v>11</v>
      </c>
      <c r="H732" s="263"/>
      <c r="J732" t="s">
        <v>22</v>
      </c>
      <c r="K732" t="s">
        <v>30</v>
      </c>
      <c r="L732" t="s">
        <v>33</v>
      </c>
      <c r="M732" t="s">
        <v>585</v>
      </c>
      <c r="N732" s="263">
        <v>0.6</v>
      </c>
      <c r="O732" s="1">
        <f t="shared" si="19"/>
        <v>12</v>
      </c>
      <c r="P732" t="s">
        <v>651</v>
      </c>
      <c r="R732" t="s">
        <v>634</v>
      </c>
    </row>
    <row r="733" spans="1:18">
      <c r="A733">
        <v>15</v>
      </c>
      <c r="B733" t="s">
        <v>405</v>
      </c>
      <c r="C733" t="s">
        <v>483</v>
      </c>
      <c r="G733">
        <v>12</v>
      </c>
      <c r="H733" s="263"/>
      <c r="J733" t="s">
        <v>22</v>
      </c>
      <c r="K733" t="s">
        <v>30</v>
      </c>
      <c r="L733" t="s">
        <v>33</v>
      </c>
      <c r="M733" t="s">
        <v>585</v>
      </c>
      <c r="N733" s="263">
        <v>0.6</v>
      </c>
      <c r="O733" s="1">
        <f t="shared" si="19"/>
        <v>12</v>
      </c>
      <c r="P733" t="s">
        <v>651</v>
      </c>
      <c r="R733" t="s">
        <v>634</v>
      </c>
    </row>
    <row r="734" spans="1:18">
      <c r="A734">
        <v>15</v>
      </c>
      <c r="B734" t="s">
        <v>405</v>
      </c>
      <c r="C734" t="s">
        <v>483</v>
      </c>
      <c r="G734">
        <v>13</v>
      </c>
      <c r="H734" s="263"/>
      <c r="J734" t="s">
        <v>22</v>
      </c>
      <c r="K734" t="s">
        <v>30</v>
      </c>
      <c r="L734" t="s">
        <v>33</v>
      </c>
      <c r="M734" t="s">
        <v>585</v>
      </c>
      <c r="N734" s="263">
        <v>0.6</v>
      </c>
      <c r="O734" s="1">
        <f t="shared" si="19"/>
        <v>12</v>
      </c>
      <c r="P734" t="s">
        <v>651</v>
      </c>
      <c r="R734" t="s">
        <v>634</v>
      </c>
    </row>
    <row r="735" spans="1:18">
      <c r="A735">
        <v>15</v>
      </c>
      <c r="B735" t="s">
        <v>405</v>
      </c>
      <c r="C735" t="s">
        <v>483</v>
      </c>
      <c r="G735">
        <v>14</v>
      </c>
      <c r="H735" s="263"/>
      <c r="J735" t="s">
        <v>22</v>
      </c>
      <c r="K735" t="s">
        <v>30</v>
      </c>
      <c r="L735" t="s">
        <v>33</v>
      </c>
      <c r="M735" t="s">
        <v>585</v>
      </c>
      <c r="N735" s="263">
        <v>0.6</v>
      </c>
      <c r="O735" s="1">
        <f t="shared" si="19"/>
        <v>12</v>
      </c>
      <c r="P735" t="s">
        <v>651</v>
      </c>
      <c r="R735" t="s">
        <v>634</v>
      </c>
    </row>
    <row r="736" spans="1:18">
      <c r="A736">
        <v>15</v>
      </c>
      <c r="B736" t="s">
        <v>405</v>
      </c>
      <c r="C736" t="s">
        <v>483</v>
      </c>
      <c r="G736">
        <v>15</v>
      </c>
      <c r="H736" s="263"/>
      <c r="J736" t="s">
        <v>22</v>
      </c>
      <c r="K736" t="s">
        <v>30</v>
      </c>
      <c r="L736" t="s">
        <v>33</v>
      </c>
      <c r="M736" t="s">
        <v>585</v>
      </c>
      <c r="N736" s="263">
        <v>0.6</v>
      </c>
      <c r="O736" s="1">
        <f t="shared" si="19"/>
        <v>12</v>
      </c>
      <c r="P736" t="s">
        <v>651</v>
      </c>
      <c r="R736" t="s">
        <v>634</v>
      </c>
    </row>
    <row r="737" spans="1:18">
      <c r="A737">
        <v>15</v>
      </c>
      <c r="B737" t="s">
        <v>405</v>
      </c>
      <c r="C737" t="s">
        <v>483</v>
      </c>
      <c r="G737">
        <v>16</v>
      </c>
      <c r="H737" s="263"/>
      <c r="J737" t="s">
        <v>22</v>
      </c>
      <c r="K737" t="s">
        <v>30</v>
      </c>
      <c r="L737" t="s">
        <v>33</v>
      </c>
      <c r="M737" t="s">
        <v>585</v>
      </c>
      <c r="N737" s="263">
        <v>0.6</v>
      </c>
      <c r="O737" s="1">
        <f t="shared" si="19"/>
        <v>12</v>
      </c>
      <c r="P737" t="s">
        <v>651</v>
      </c>
      <c r="R737" t="s">
        <v>634</v>
      </c>
    </row>
    <row r="738" spans="1:18">
      <c r="A738">
        <v>15</v>
      </c>
      <c r="B738" t="s">
        <v>405</v>
      </c>
      <c r="C738" t="s">
        <v>483</v>
      </c>
      <c r="G738">
        <v>17</v>
      </c>
      <c r="H738" s="263"/>
      <c r="J738" t="s">
        <v>22</v>
      </c>
      <c r="K738" t="s">
        <v>30</v>
      </c>
      <c r="L738" t="s">
        <v>33</v>
      </c>
      <c r="M738" t="s">
        <v>585</v>
      </c>
      <c r="N738" s="263">
        <v>0.6</v>
      </c>
      <c r="O738" s="1">
        <f t="shared" si="19"/>
        <v>12</v>
      </c>
      <c r="P738" t="s">
        <v>651</v>
      </c>
      <c r="R738" t="s">
        <v>634</v>
      </c>
    </row>
    <row r="739" spans="1:18">
      <c r="A739">
        <v>15</v>
      </c>
      <c r="B739" t="s">
        <v>405</v>
      </c>
      <c r="C739" t="s">
        <v>483</v>
      </c>
      <c r="G739">
        <v>18</v>
      </c>
      <c r="H739" s="263"/>
      <c r="J739" t="s">
        <v>22</v>
      </c>
      <c r="K739" t="s">
        <v>30</v>
      </c>
      <c r="L739" t="s">
        <v>33</v>
      </c>
      <c r="M739" t="s">
        <v>585</v>
      </c>
      <c r="N739" s="263">
        <v>0.6</v>
      </c>
      <c r="O739" s="1">
        <f t="shared" si="19"/>
        <v>12</v>
      </c>
      <c r="P739" t="s">
        <v>651</v>
      </c>
      <c r="R739" t="s">
        <v>634</v>
      </c>
    </row>
    <row r="740" spans="1:18">
      <c r="A740">
        <v>15</v>
      </c>
      <c r="B740" t="s">
        <v>405</v>
      </c>
      <c r="C740" t="s">
        <v>483</v>
      </c>
      <c r="G740">
        <v>19</v>
      </c>
      <c r="H740" s="263"/>
      <c r="J740" t="s">
        <v>22</v>
      </c>
      <c r="K740" t="s">
        <v>30</v>
      </c>
      <c r="L740" t="s">
        <v>33</v>
      </c>
      <c r="M740" t="s">
        <v>585</v>
      </c>
      <c r="N740" s="263">
        <v>0.6</v>
      </c>
      <c r="O740" s="1">
        <f t="shared" si="19"/>
        <v>12</v>
      </c>
      <c r="P740" t="s">
        <v>651</v>
      </c>
      <c r="R740" t="s">
        <v>634</v>
      </c>
    </row>
    <row r="741" spans="1:18">
      <c r="A741">
        <v>15</v>
      </c>
      <c r="B741" t="s">
        <v>405</v>
      </c>
      <c r="C741" t="s">
        <v>483</v>
      </c>
      <c r="G741">
        <v>20</v>
      </c>
      <c r="H741" s="263"/>
      <c r="J741" t="s">
        <v>22</v>
      </c>
      <c r="K741" t="s">
        <v>30</v>
      </c>
      <c r="L741" t="s">
        <v>33</v>
      </c>
      <c r="M741" t="s">
        <v>585</v>
      </c>
      <c r="N741" s="263">
        <v>0.6</v>
      </c>
      <c r="O741" s="1">
        <f t="shared" si="19"/>
        <v>12</v>
      </c>
      <c r="P741" t="s">
        <v>651</v>
      </c>
      <c r="R741" t="s">
        <v>634</v>
      </c>
    </row>
    <row r="742" spans="1:18">
      <c r="A742">
        <v>15</v>
      </c>
      <c r="B742" t="s">
        <v>405</v>
      </c>
      <c r="C742" t="s">
        <v>483</v>
      </c>
      <c r="G742">
        <v>21</v>
      </c>
      <c r="H742" s="263"/>
      <c r="J742" t="s">
        <v>22</v>
      </c>
      <c r="K742" t="s">
        <v>30</v>
      </c>
      <c r="L742" t="s">
        <v>33</v>
      </c>
      <c r="M742" t="s">
        <v>585</v>
      </c>
      <c r="N742" s="263">
        <v>0.6</v>
      </c>
      <c r="O742" s="1">
        <f t="shared" si="19"/>
        <v>12</v>
      </c>
      <c r="P742" t="s">
        <v>651</v>
      </c>
      <c r="R742" t="s">
        <v>634</v>
      </c>
    </row>
    <row r="743" spans="1:18">
      <c r="A743">
        <v>15</v>
      </c>
      <c r="B743" t="s">
        <v>405</v>
      </c>
      <c r="C743" t="s">
        <v>483</v>
      </c>
      <c r="G743">
        <v>22</v>
      </c>
      <c r="H743" s="263"/>
      <c r="J743" t="s">
        <v>22</v>
      </c>
      <c r="K743" t="s">
        <v>30</v>
      </c>
      <c r="L743" t="s">
        <v>33</v>
      </c>
      <c r="M743" t="s">
        <v>585</v>
      </c>
      <c r="N743" s="263">
        <v>0.6</v>
      </c>
      <c r="O743" s="1">
        <f t="shared" si="19"/>
        <v>12</v>
      </c>
      <c r="P743" t="s">
        <v>651</v>
      </c>
      <c r="R743" t="s">
        <v>634</v>
      </c>
    </row>
    <row r="744" spans="1:18" hidden="1">
      <c r="A744">
        <v>15</v>
      </c>
      <c r="B744" t="s">
        <v>405</v>
      </c>
      <c r="C744" t="s">
        <v>483</v>
      </c>
      <c r="G744">
        <v>4</v>
      </c>
      <c r="J744" t="s">
        <v>22</v>
      </c>
      <c r="K744" t="s">
        <v>408</v>
      </c>
      <c r="L744" t="s">
        <v>33</v>
      </c>
      <c r="M744" t="s">
        <v>586</v>
      </c>
      <c r="O744" s="1">
        <v>13.97</v>
      </c>
      <c r="P744" t="s">
        <v>903</v>
      </c>
      <c r="R744" t="s">
        <v>634</v>
      </c>
    </row>
    <row r="745" spans="1:18" hidden="1">
      <c r="A745">
        <v>15</v>
      </c>
      <c r="B745" t="s">
        <v>405</v>
      </c>
      <c r="C745" t="s">
        <v>483</v>
      </c>
      <c r="G745">
        <v>5</v>
      </c>
      <c r="J745" t="s">
        <v>22</v>
      </c>
      <c r="K745" t="s">
        <v>408</v>
      </c>
      <c r="L745" t="s">
        <v>33</v>
      </c>
      <c r="M745" t="s">
        <v>586</v>
      </c>
      <c r="O745" s="1">
        <v>13.97</v>
      </c>
      <c r="P745" t="s">
        <v>903</v>
      </c>
      <c r="R745" t="s">
        <v>634</v>
      </c>
    </row>
    <row r="746" spans="1:18" hidden="1">
      <c r="A746">
        <v>15</v>
      </c>
      <c r="B746" t="s">
        <v>405</v>
      </c>
      <c r="C746" t="s">
        <v>483</v>
      </c>
      <c r="G746">
        <v>6</v>
      </c>
      <c r="J746" t="s">
        <v>22</v>
      </c>
      <c r="K746" t="s">
        <v>408</v>
      </c>
      <c r="L746" t="s">
        <v>33</v>
      </c>
      <c r="M746" t="s">
        <v>586</v>
      </c>
      <c r="O746" s="1">
        <v>13.97</v>
      </c>
      <c r="P746" t="s">
        <v>903</v>
      </c>
      <c r="R746" t="s">
        <v>634</v>
      </c>
    </row>
    <row r="747" spans="1:18" hidden="1">
      <c r="A747">
        <v>15</v>
      </c>
      <c r="B747" t="s">
        <v>405</v>
      </c>
      <c r="C747" t="s">
        <v>483</v>
      </c>
      <c r="G747">
        <v>7</v>
      </c>
      <c r="J747" t="s">
        <v>22</v>
      </c>
      <c r="K747" t="s">
        <v>408</v>
      </c>
      <c r="L747" t="s">
        <v>33</v>
      </c>
      <c r="M747" t="s">
        <v>586</v>
      </c>
      <c r="O747" s="1">
        <v>13.97</v>
      </c>
      <c r="P747" t="s">
        <v>903</v>
      </c>
      <c r="R747" t="s">
        <v>634</v>
      </c>
    </row>
    <row r="748" spans="1:18" hidden="1">
      <c r="A748">
        <v>15</v>
      </c>
      <c r="B748" t="s">
        <v>405</v>
      </c>
      <c r="C748" t="s">
        <v>483</v>
      </c>
      <c r="G748">
        <v>8</v>
      </c>
      <c r="J748" t="s">
        <v>22</v>
      </c>
      <c r="K748" t="s">
        <v>408</v>
      </c>
      <c r="L748" t="s">
        <v>33</v>
      </c>
      <c r="M748" t="s">
        <v>586</v>
      </c>
      <c r="O748" s="1">
        <v>13.97</v>
      </c>
      <c r="P748" t="s">
        <v>903</v>
      </c>
      <c r="R748" t="s">
        <v>634</v>
      </c>
    </row>
    <row r="749" spans="1:18" hidden="1">
      <c r="A749">
        <v>15</v>
      </c>
      <c r="B749" t="s">
        <v>405</v>
      </c>
      <c r="C749" t="s">
        <v>483</v>
      </c>
      <c r="G749">
        <v>9</v>
      </c>
      <c r="J749" t="s">
        <v>22</v>
      </c>
      <c r="K749" t="s">
        <v>408</v>
      </c>
      <c r="L749" t="s">
        <v>33</v>
      </c>
      <c r="M749" t="s">
        <v>586</v>
      </c>
      <c r="O749" s="1">
        <v>13.97</v>
      </c>
      <c r="P749" t="s">
        <v>903</v>
      </c>
      <c r="R749" t="s">
        <v>634</v>
      </c>
    </row>
    <row r="750" spans="1:18" hidden="1">
      <c r="A750">
        <v>15</v>
      </c>
      <c r="B750" t="s">
        <v>405</v>
      </c>
      <c r="C750" t="s">
        <v>483</v>
      </c>
      <c r="G750">
        <v>10</v>
      </c>
      <c r="J750" t="s">
        <v>22</v>
      </c>
      <c r="K750" t="s">
        <v>408</v>
      </c>
      <c r="L750" t="s">
        <v>33</v>
      </c>
      <c r="M750" t="s">
        <v>586</v>
      </c>
      <c r="O750" s="1">
        <v>13.97</v>
      </c>
      <c r="P750" t="s">
        <v>903</v>
      </c>
      <c r="R750" t="s">
        <v>634</v>
      </c>
    </row>
    <row r="751" spans="1:18" hidden="1">
      <c r="A751">
        <v>15</v>
      </c>
      <c r="B751" t="s">
        <v>405</v>
      </c>
      <c r="C751" t="s">
        <v>483</v>
      </c>
      <c r="G751">
        <v>11</v>
      </c>
      <c r="J751" t="s">
        <v>22</v>
      </c>
      <c r="K751" t="s">
        <v>408</v>
      </c>
      <c r="L751" t="s">
        <v>33</v>
      </c>
      <c r="M751" t="s">
        <v>586</v>
      </c>
      <c r="O751" s="1">
        <v>13.97</v>
      </c>
      <c r="P751" t="s">
        <v>903</v>
      </c>
      <c r="R751" t="s">
        <v>634</v>
      </c>
    </row>
    <row r="752" spans="1:18" hidden="1">
      <c r="A752">
        <v>15</v>
      </c>
      <c r="B752" t="s">
        <v>405</v>
      </c>
      <c r="C752" t="s">
        <v>483</v>
      </c>
      <c r="G752">
        <v>12</v>
      </c>
      <c r="J752" t="s">
        <v>22</v>
      </c>
      <c r="K752" t="s">
        <v>408</v>
      </c>
      <c r="L752" t="s">
        <v>33</v>
      </c>
      <c r="M752" t="s">
        <v>586</v>
      </c>
      <c r="O752" s="1">
        <v>13.97</v>
      </c>
      <c r="P752" t="s">
        <v>903</v>
      </c>
      <c r="R752" t="s">
        <v>634</v>
      </c>
    </row>
    <row r="753" spans="1:18" hidden="1">
      <c r="A753">
        <v>15</v>
      </c>
      <c r="B753" t="s">
        <v>405</v>
      </c>
      <c r="C753" t="s">
        <v>483</v>
      </c>
      <c r="G753">
        <v>13</v>
      </c>
      <c r="J753" t="s">
        <v>22</v>
      </c>
      <c r="K753" t="s">
        <v>408</v>
      </c>
      <c r="L753" t="s">
        <v>33</v>
      </c>
      <c r="M753" t="s">
        <v>586</v>
      </c>
      <c r="O753" s="1">
        <v>13.97</v>
      </c>
      <c r="P753" t="s">
        <v>903</v>
      </c>
      <c r="R753" t="s">
        <v>634</v>
      </c>
    </row>
    <row r="754" spans="1:18" hidden="1">
      <c r="A754">
        <v>15</v>
      </c>
      <c r="B754" t="s">
        <v>405</v>
      </c>
      <c r="C754" t="s">
        <v>483</v>
      </c>
      <c r="G754">
        <v>14</v>
      </c>
      <c r="J754" t="s">
        <v>22</v>
      </c>
      <c r="K754" t="s">
        <v>408</v>
      </c>
      <c r="L754" t="s">
        <v>33</v>
      </c>
      <c r="M754" t="s">
        <v>586</v>
      </c>
      <c r="O754" s="1">
        <v>13.97</v>
      </c>
      <c r="P754" t="s">
        <v>903</v>
      </c>
      <c r="R754" t="s">
        <v>634</v>
      </c>
    </row>
    <row r="755" spans="1:18" hidden="1">
      <c r="A755">
        <v>15</v>
      </c>
      <c r="B755" t="s">
        <v>405</v>
      </c>
      <c r="C755" t="s">
        <v>483</v>
      </c>
      <c r="G755">
        <v>15</v>
      </c>
      <c r="J755" t="s">
        <v>22</v>
      </c>
      <c r="K755" t="s">
        <v>408</v>
      </c>
      <c r="L755" t="s">
        <v>33</v>
      </c>
      <c r="M755" t="s">
        <v>586</v>
      </c>
      <c r="O755" s="1">
        <v>13.97</v>
      </c>
      <c r="P755" t="s">
        <v>903</v>
      </c>
      <c r="R755" t="s">
        <v>634</v>
      </c>
    </row>
    <row r="756" spans="1:18" hidden="1">
      <c r="A756">
        <v>15</v>
      </c>
      <c r="B756" t="s">
        <v>405</v>
      </c>
      <c r="C756" t="s">
        <v>483</v>
      </c>
      <c r="G756">
        <v>16</v>
      </c>
      <c r="J756" t="s">
        <v>22</v>
      </c>
      <c r="K756" t="s">
        <v>408</v>
      </c>
      <c r="L756" t="s">
        <v>33</v>
      </c>
      <c r="M756" t="s">
        <v>586</v>
      </c>
      <c r="O756" s="1">
        <v>13.97</v>
      </c>
      <c r="P756" t="s">
        <v>903</v>
      </c>
      <c r="R756" t="s">
        <v>634</v>
      </c>
    </row>
    <row r="757" spans="1:18" hidden="1">
      <c r="A757">
        <v>15</v>
      </c>
      <c r="B757" t="s">
        <v>405</v>
      </c>
      <c r="C757" t="s">
        <v>483</v>
      </c>
      <c r="G757">
        <v>17</v>
      </c>
      <c r="J757" t="s">
        <v>22</v>
      </c>
      <c r="K757" t="s">
        <v>408</v>
      </c>
      <c r="L757" t="s">
        <v>33</v>
      </c>
      <c r="M757" t="s">
        <v>586</v>
      </c>
      <c r="O757" s="1">
        <v>13.97</v>
      </c>
      <c r="P757" t="s">
        <v>903</v>
      </c>
      <c r="R757" t="s">
        <v>634</v>
      </c>
    </row>
    <row r="758" spans="1:18" hidden="1">
      <c r="A758">
        <v>15</v>
      </c>
      <c r="B758" t="s">
        <v>405</v>
      </c>
      <c r="C758" t="s">
        <v>483</v>
      </c>
      <c r="G758">
        <v>18</v>
      </c>
      <c r="J758" t="s">
        <v>22</v>
      </c>
      <c r="K758" t="s">
        <v>408</v>
      </c>
      <c r="L758" t="s">
        <v>33</v>
      </c>
      <c r="M758" t="s">
        <v>586</v>
      </c>
      <c r="O758" s="1">
        <v>13.97</v>
      </c>
      <c r="P758" t="s">
        <v>903</v>
      </c>
      <c r="R758" t="s">
        <v>634</v>
      </c>
    </row>
    <row r="759" spans="1:18" hidden="1">
      <c r="A759">
        <v>15</v>
      </c>
      <c r="B759" t="s">
        <v>405</v>
      </c>
      <c r="C759" t="s">
        <v>483</v>
      </c>
      <c r="G759">
        <v>19</v>
      </c>
      <c r="J759" t="s">
        <v>22</v>
      </c>
      <c r="K759" t="s">
        <v>408</v>
      </c>
      <c r="L759" t="s">
        <v>33</v>
      </c>
      <c r="M759" t="s">
        <v>586</v>
      </c>
      <c r="O759" s="1">
        <v>13.97</v>
      </c>
      <c r="P759" t="s">
        <v>903</v>
      </c>
      <c r="R759" t="s">
        <v>634</v>
      </c>
    </row>
    <row r="760" spans="1:18" hidden="1">
      <c r="A760">
        <v>15</v>
      </c>
      <c r="B760" t="s">
        <v>405</v>
      </c>
      <c r="C760" t="s">
        <v>483</v>
      </c>
      <c r="G760">
        <v>20</v>
      </c>
      <c r="J760" t="s">
        <v>22</v>
      </c>
      <c r="K760" t="s">
        <v>408</v>
      </c>
      <c r="L760" t="s">
        <v>33</v>
      </c>
      <c r="M760" t="s">
        <v>586</v>
      </c>
      <c r="O760" s="1">
        <v>13.97</v>
      </c>
      <c r="P760" t="s">
        <v>903</v>
      </c>
      <c r="R760" t="s">
        <v>634</v>
      </c>
    </row>
    <row r="761" spans="1:18" hidden="1">
      <c r="A761">
        <v>15</v>
      </c>
      <c r="B761" t="s">
        <v>405</v>
      </c>
      <c r="C761" t="s">
        <v>483</v>
      </c>
      <c r="G761">
        <v>21</v>
      </c>
      <c r="J761" t="s">
        <v>22</v>
      </c>
      <c r="K761" t="s">
        <v>408</v>
      </c>
      <c r="L761" t="s">
        <v>33</v>
      </c>
      <c r="M761" t="s">
        <v>586</v>
      </c>
      <c r="O761" s="1">
        <v>13.97</v>
      </c>
      <c r="P761" t="s">
        <v>903</v>
      </c>
      <c r="R761" t="s">
        <v>634</v>
      </c>
    </row>
    <row r="762" spans="1:18" hidden="1">
      <c r="A762">
        <v>15</v>
      </c>
      <c r="B762" t="s">
        <v>405</v>
      </c>
      <c r="C762" t="s">
        <v>483</v>
      </c>
      <c r="G762">
        <v>22</v>
      </c>
      <c r="J762" t="s">
        <v>22</v>
      </c>
      <c r="K762" t="s">
        <v>408</v>
      </c>
      <c r="L762" t="s">
        <v>33</v>
      </c>
      <c r="M762" t="s">
        <v>586</v>
      </c>
      <c r="O762" s="1">
        <v>13.97</v>
      </c>
      <c r="P762" t="s">
        <v>903</v>
      </c>
      <c r="R762" t="s">
        <v>634</v>
      </c>
    </row>
    <row r="763" spans="1:18" hidden="1">
      <c r="A763">
        <v>15</v>
      </c>
      <c r="B763" t="s">
        <v>405</v>
      </c>
      <c r="C763" t="s">
        <v>483</v>
      </c>
      <c r="G763">
        <v>4</v>
      </c>
      <c r="J763" t="s">
        <v>22</v>
      </c>
      <c r="K763" t="s">
        <v>71</v>
      </c>
      <c r="L763" t="s">
        <v>33</v>
      </c>
      <c r="M763" t="s">
        <v>587</v>
      </c>
      <c r="O763" s="1">
        <f>7*2.34*1</f>
        <v>16.38</v>
      </c>
      <c r="P763" t="s">
        <v>652</v>
      </c>
      <c r="R763" t="s">
        <v>634</v>
      </c>
    </row>
    <row r="764" spans="1:18" hidden="1">
      <c r="A764">
        <v>15</v>
      </c>
      <c r="B764" t="s">
        <v>405</v>
      </c>
      <c r="C764" t="s">
        <v>483</v>
      </c>
      <c r="G764">
        <v>5</v>
      </c>
      <c r="J764" t="s">
        <v>22</v>
      </c>
      <c r="K764" t="s">
        <v>71</v>
      </c>
      <c r="L764" t="s">
        <v>33</v>
      </c>
      <c r="M764" t="s">
        <v>587</v>
      </c>
      <c r="O764" s="1">
        <f t="shared" ref="O764:O781" si="20">7*2.34*1</f>
        <v>16.38</v>
      </c>
      <c r="P764" t="s">
        <v>652</v>
      </c>
      <c r="R764" t="s">
        <v>634</v>
      </c>
    </row>
    <row r="765" spans="1:18" hidden="1">
      <c r="A765">
        <v>15</v>
      </c>
      <c r="B765" t="s">
        <v>405</v>
      </c>
      <c r="C765" t="s">
        <v>483</v>
      </c>
      <c r="G765">
        <v>6</v>
      </c>
      <c r="J765" t="s">
        <v>22</v>
      </c>
      <c r="K765" t="s">
        <v>71</v>
      </c>
      <c r="L765" t="s">
        <v>33</v>
      </c>
      <c r="M765" t="s">
        <v>587</v>
      </c>
      <c r="O765" s="1">
        <f t="shared" si="20"/>
        <v>16.38</v>
      </c>
      <c r="P765" t="s">
        <v>652</v>
      </c>
      <c r="R765" t="s">
        <v>634</v>
      </c>
    </row>
    <row r="766" spans="1:18" hidden="1">
      <c r="A766">
        <v>15</v>
      </c>
      <c r="B766" t="s">
        <v>405</v>
      </c>
      <c r="C766" t="s">
        <v>483</v>
      </c>
      <c r="G766">
        <v>7</v>
      </c>
      <c r="J766" t="s">
        <v>22</v>
      </c>
      <c r="K766" t="s">
        <v>71</v>
      </c>
      <c r="L766" t="s">
        <v>33</v>
      </c>
      <c r="M766" t="s">
        <v>587</v>
      </c>
      <c r="O766" s="1">
        <f t="shared" si="20"/>
        <v>16.38</v>
      </c>
      <c r="P766" t="s">
        <v>652</v>
      </c>
      <c r="R766" t="s">
        <v>634</v>
      </c>
    </row>
    <row r="767" spans="1:18" hidden="1">
      <c r="A767">
        <v>15</v>
      </c>
      <c r="B767" t="s">
        <v>405</v>
      </c>
      <c r="C767" t="s">
        <v>483</v>
      </c>
      <c r="G767">
        <v>8</v>
      </c>
      <c r="J767" t="s">
        <v>22</v>
      </c>
      <c r="K767" t="s">
        <v>71</v>
      </c>
      <c r="L767" t="s">
        <v>33</v>
      </c>
      <c r="M767" t="s">
        <v>587</v>
      </c>
      <c r="O767" s="1">
        <f t="shared" si="20"/>
        <v>16.38</v>
      </c>
      <c r="P767" t="s">
        <v>652</v>
      </c>
      <c r="R767" t="s">
        <v>634</v>
      </c>
    </row>
    <row r="768" spans="1:18" hidden="1">
      <c r="A768">
        <v>15</v>
      </c>
      <c r="B768" t="s">
        <v>405</v>
      </c>
      <c r="C768" t="s">
        <v>483</v>
      </c>
      <c r="G768">
        <v>9</v>
      </c>
      <c r="J768" t="s">
        <v>22</v>
      </c>
      <c r="K768" t="s">
        <v>71</v>
      </c>
      <c r="L768" t="s">
        <v>33</v>
      </c>
      <c r="M768" t="s">
        <v>587</v>
      </c>
      <c r="O768" s="1">
        <f t="shared" si="20"/>
        <v>16.38</v>
      </c>
      <c r="P768" t="s">
        <v>652</v>
      </c>
      <c r="R768" t="s">
        <v>634</v>
      </c>
    </row>
    <row r="769" spans="1:18" hidden="1">
      <c r="A769">
        <v>15</v>
      </c>
      <c r="B769" t="s">
        <v>405</v>
      </c>
      <c r="C769" t="s">
        <v>483</v>
      </c>
      <c r="G769">
        <v>10</v>
      </c>
      <c r="J769" t="s">
        <v>22</v>
      </c>
      <c r="K769" t="s">
        <v>71</v>
      </c>
      <c r="L769" t="s">
        <v>33</v>
      </c>
      <c r="M769" t="s">
        <v>587</v>
      </c>
      <c r="O769" s="1">
        <f t="shared" si="20"/>
        <v>16.38</v>
      </c>
      <c r="P769" t="s">
        <v>652</v>
      </c>
      <c r="R769" t="s">
        <v>634</v>
      </c>
    </row>
    <row r="770" spans="1:18" hidden="1">
      <c r="A770">
        <v>15</v>
      </c>
      <c r="B770" t="s">
        <v>405</v>
      </c>
      <c r="C770" t="s">
        <v>483</v>
      </c>
      <c r="G770">
        <v>11</v>
      </c>
      <c r="J770" t="s">
        <v>22</v>
      </c>
      <c r="K770" t="s">
        <v>71</v>
      </c>
      <c r="L770" t="s">
        <v>33</v>
      </c>
      <c r="M770" t="s">
        <v>587</v>
      </c>
      <c r="O770" s="1">
        <f t="shared" si="20"/>
        <v>16.38</v>
      </c>
      <c r="P770" t="s">
        <v>652</v>
      </c>
      <c r="R770" t="s">
        <v>634</v>
      </c>
    </row>
    <row r="771" spans="1:18" hidden="1">
      <c r="A771">
        <v>15</v>
      </c>
      <c r="B771" t="s">
        <v>405</v>
      </c>
      <c r="C771" t="s">
        <v>483</v>
      </c>
      <c r="G771">
        <v>12</v>
      </c>
      <c r="J771" t="s">
        <v>22</v>
      </c>
      <c r="K771" t="s">
        <v>71</v>
      </c>
      <c r="L771" t="s">
        <v>33</v>
      </c>
      <c r="M771" t="s">
        <v>587</v>
      </c>
      <c r="O771" s="1">
        <f t="shared" si="20"/>
        <v>16.38</v>
      </c>
      <c r="P771" t="s">
        <v>652</v>
      </c>
      <c r="R771" t="s">
        <v>634</v>
      </c>
    </row>
    <row r="772" spans="1:18" hidden="1">
      <c r="A772">
        <v>15</v>
      </c>
      <c r="B772" t="s">
        <v>405</v>
      </c>
      <c r="C772" t="s">
        <v>483</v>
      </c>
      <c r="G772">
        <v>13</v>
      </c>
      <c r="J772" t="s">
        <v>22</v>
      </c>
      <c r="K772" t="s">
        <v>71</v>
      </c>
      <c r="L772" t="s">
        <v>33</v>
      </c>
      <c r="M772" t="s">
        <v>587</v>
      </c>
      <c r="O772" s="1">
        <f t="shared" si="20"/>
        <v>16.38</v>
      </c>
      <c r="P772" t="s">
        <v>652</v>
      </c>
      <c r="R772" t="s">
        <v>634</v>
      </c>
    </row>
    <row r="773" spans="1:18" hidden="1">
      <c r="A773">
        <v>15</v>
      </c>
      <c r="B773" t="s">
        <v>405</v>
      </c>
      <c r="C773" t="s">
        <v>483</v>
      </c>
      <c r="G773">
        <v>14</v>
      </c>
      <c r="J773" t="s">
        <v>22</v>
      </c>
      <c r="K773" t="s">
        <v>71</v>
      </c>
      <c r="L773" t="s">
        <v>33</v>
      </c>
      <c r="M773" t="s">
        <v>587</v>
      </c>
      <c r="O773" s="1">
        <f t="shared" si="20"/>
        <v>16.38</v>
      </c>
      <c r="P773" t="s">
        <v>652</v>
      </c>
      <c r="R773" t="s">
        <v>634</v>
      </c>
    </row>
    <row r="774" spans="1:18" hidden="1">
      <c r="A774">
        <v>15</v>
      </c>
      <c r="B774" t="s">
        <v>405</v>
      </c>
      <c r="C774" t="s">
        <v>483</v>
      </c>
      <c r="G774">
        <v>15</v>
      </c>
      <c r="J774" t="s">
        <v>22</v>
      </c>
      <c r="K774" t="s">
        <v>71</v>
      </c>
      <c r="L774" t="s">
        <v>33</v>
      </c>
      <c r="M774" t="s">
        <v>587</v>
      </c>
      <c r="O774" s="1">
        <f t="shared" si="20"/>
        <v>16.38</v>
      </c>
      <c r="P774" t="s">
        <v>652</v>
      </c>
      <c r="R774" t="s">
        <v>634</v>
      </c>
    </row>
    <row r="775" spans="1:18" hidden="1">
      <c r="A775">
        <v>15</v>
      </c>
      <c r="B775" t="s">
        <v>405</v>
      </c>
      <c r="C775" t="s">
        <v>483</v>
      </c>
      <c r="G775">
        <v>16</v>
      </c>
      <c r="J775" t="s">
        <v>22</v>
      </c>
      <c r="K775" t="s">
        <v>71</v>
      </c>
      <c r="L775" t="s">
        <v>33</v>
      </c>
      <c r="M775" t="s">
        <v>587</v>
      </c>
      <c r="O775" s="1">
        <f t="shared" si="20"/>
        <v>16.38</v>
      </c>
      <c r="P775" t="s">
        <v>652</v>
      </c>
      <c r="R775" t="s">
        <v>634</v>
      </c>
    </row>
    <row r="776" spans="1:18" hidden="1">
      <c r="A776">
        <v>15</v>
      </c>
      <c r="B776" t="s">
        <v>405</v>
      </c>
      <c r="C776" t="s">
        <v>483</v>
      </c>
      <c r="G776">
        <v>17</v>
      </c>
      <c r="J776" t="s">
        <v>22</v>
      </c>
      <c r="K776" t="s">
        <v>71</v>
      </c>
      <c r="L776" t="s">
        <v>33</v>
      </c>
      <c r="M776" t="s">
        <v>587</v>
      </c>
      <c r="O776" s="1">
        <f t="shared" si="20"/>
        <v>16.38</v>
      </c>
      <c r="P776" t="s">
        <v>652</v>
      </c>
      <c r="R776" t="s">
        <v>634</v>
      </c>
    </row>
    <row r="777" spans="1:18" hidden="1">
      <c r="A777">
        <v>15</v>
      </c>
      <c r="B777" t="s">
        <v>405</v>
      </c>
      <c r="C777" t="s">
        <v>483</v>
      </c>
      <c r="G777">
        <v>18</v>
      </c>
      <c r="J777" t="s">
        <v>22</v>
      </c>
      <c r="K777" t="s">
        <v>71</v>
      </c>
      <c r="L777" t="s">
        <v>33</v>
      </c>
      <c r="M777" t="s">
        <v>587</v>
      </c>
      <c r="O777" s="1">
        <f t="shared" si="20"/>
        <v>16.38</v>
      </c>
      <c r="P777" t="s">
        <v>652</v>
      </c>
      <c r="R777" t="s">
        <v>634</v>
      </c>
    </row>
    <row r="778" spans="1:18" hidden="1">
      <c r="A778">
        <v>15</v>
      </c>
      <c r="B778" t="s">
        <v>405</v>
      </c>
      <c r="C778" t="s">
        <v>483</v>
      </c>
      <c r="G778">
        <v>19</v>
      </c>
      <c r="J778" t="s">
        <v>22</v>
      </c>
      <c r="K778" t="s">
        <v>71</v>
      </c>
      <c r="L778" t="s">
        <v>33</v>
      </c>
      <c r="M778" t="s">
        <v>587</v>
      </c>
      <c r="O778" s="1">
        <f t="shared" si="20"/>
        <v>16.38</v>
      </c>
      <c r="P778" t="s">
        <v>652</v>
      </c>
      <c r="R778" t="s">
        <v>634</v>
      </c>
    </row>
    <row r="779" spans="1:18" hidden="1">
      <c r="A779">
        <v>15</v>
      </c>
      <c r="B779" t="s">
        <v>405</v>
      </c>
      <c r="C779" t="s">
        <v>483</v>
      </c>
      <c r="G779">
        <v>20</v>
      </c>
      <c r="J779" t="s">
        <v>22</v>
      </c>
      <c r="K779" t="s">
        <v>71</v>
      </c>
      <c r="L779" t="s">
        <v>33</v>
      </c>
      <c r="M779" t="s">
        <v>587</v>
      </c>
      <c r="O779" s="1">
        <f t="shared" si="20"/>
        <v>16.38</v>
      </c>
      <c r="P779" t="s">
        <v>652</v>
      </c>
      <c r="R779" t="s">
        <v>634</v>
      </c>
    </row>
    <row r="780" spans="1:18" hidden="1">
      <c r="A780">
        <v>15</v>
      </c>
      <c r="B780" t="s">
        <v>405</v>
      </c>
      <c r="C780" t="s">
        <v>483</v>
      </c>
      <c r="G780">
        <v>21</v>
      </c>
      <c r="J780" t="s">
        <v>22</v>
      </c>
      <c r="K780" t="s">
        <v>71</v>
      </c>
      <c r="L780" t="s">
        <v>33</v>
      </c>
      <c r="M780" t="s">
        <v>587</v>
      </c>
      <c r="O780" s="1">
        <f t="shared" si="20"/>
        <v>16.38</v>
      </c>
      <c r="P780" t="s">
        <v>652</v>
      </c>
      <c r="R780" t="s">
        <v>634</v>
      </c>
    </row>
    <row r="781" spans="1:18" hidden="1">
      <c r="A781">
        <v>15</v>
      </c>
      <c r="B781" t="s">
        <v>405</v>
      </c>
      <c r="C781" t="s">
        <v>483</v>
      </c>
      <c r="G781">
        <v>22</v>
      </c>
      <c r="J781" t="s">
        <v>22</v>
      </c>
      <c r="K781" t="s">
        <v>71</v>
      </c>
      <c r="L781" t="s">
        <v>33</v>
      </c>
      <c r="M781" t="s">
        <v>587</v>
      </c>
      <c r="O781" s="1">
        <f t="shared" si="20"/>
        <v>16.38</v>
      </c>
      <c r="P781" t="s">
        <v>652</v>
      </c>
      <c r="R781" t="s">
        <v>634</v>
      </c>
    </row>
    <row r="782" spans="1:18" hidden="1">
      <c r="A782">
        <v>15</v>
      </c>
      <c r="B782" t="s">
        <v>405</v>
      </c>
      <c r="C782" t="s">
        <v>483</v>
      </c>
      <c r="G782">
        <v>4</v>
      </c>
      <c r="J782" t="s">
        <v>22</v>
      </c>
      <c r="K782" t="s">
        <v>71</v>
      </c>
      <c r="L782" t="s">
        <v>33</v>
      </c>
      <c r="M782" t="s">
        <v>588</v>
      </c>
      <c r="O782" s="1">
        <f>5*0.5*1</f>
        <v>2.5</v>
      </c>
      <c r="P782" t="s">
        <v>653</v>
      </c>
      <c r="R782" t="s">
        <v>634</v>
      </c>
    </row>
    <row r="783" spans="1:18" hidden="1">
      <c r="A783">
        <v>15</v>
      </c>
      <c r="B783" t="s">
        <v>405</v>
      </c>
      <c r="C783" t="s">
        <v>483</v>
      </c>
      <c r="G783">
        <v>5</v>
      </c>
      <c r="J783" t="s">
        <v>22</v>
      </c>
      <c r="K783" t="s">
        <v>71</v>
      </c>
      <c r="L783" t="s">
        <v>33</v>
      </c>
      <c r="M783" t="s">
        <v>588</v>
      </c>
      <c r="O783" s="1">
        <f t="shared" ref="O783:O800" si="21">5*0.5*1</f>
        <v>2.5</v>
      </c>
      <c r="P783" t="s">
        <v>653</v>
      </c>
      <c r="R783" t="s">
        <v>634</v>
      </c>
    </row>
    <row r="784" spans="1:18" hidden="1">
      <c r="A784">
        <v>15</v>
      </c>
      <c r="B784" t="s">
        <v>405</v>
      </c>
      <c r="C784" t="s">
        <v>483</v>
      </c>
      <c r="G784">
        <v>6</v>
      </c>
      <c r="J784" t="s">
        <v>22</v>
      </c>
      <c r="K784" t="s">
        <v>71</v>
      </c>
      <c r="L784" t="s">
        <v>33</v>
      </c>
      <c r="M784" t="s">
        <v>588</v>
      </c>
      <c r="O784" s="1">
        <f t="shared" si="21"/>
        <v>2.5</v>
      </c>
      <c r="P784" t="s">
        <v>653</v>
      </c>
      <c r="R784" t="s">
        <v>634</v>
      </c>
    </row>
    <row r="785" spans="1:18" hidden="1">
      <c r="A785">
        <v>15</v>
      </c>
      <c r="B785" t="s">
        <v>405</v>
      </c>
      <c r="C785" t="s">
        <v>483</v>
      </c>
      <c r="G785">
        <v>7</v>
      </c>
      <c r="J785" t="s">
        <v>22</v>
      </c>
      <c r="K785" t="s">
        <v>71</v>
      </c>
      <c r="L785" t="s">
        <v>33</v>
      </c>
      <c r="M785" t="s">
        <v>588</v>
      </c>
      <c r="O785" s="1">
        <f t="shared" si="21"/>
        <v>2.5</v>
      </c>
      <c r="P785" t="s">
        <v>653</v>
      </c>
      <c r="R785" t="s">
        <v>634</v>
      </c>
    </row>
    <row r="786" spans="1:18" hidden="1">
      <c r="A786">
        <v>15</v>
      </c>
      <c r="B786" t="s">
        <v>405</v>
      </c>
      <c r="C786" t="s">
        <v>483</v>
      </c>
      <c r="G786">
        <v>8</v>
      </c>
      <c r="J786" t="s">
        <v>22</v>
      </c>
      <c r="K786" t="s">
        <v>71</v>
      </c>
      <c r="L786" t="s">
        <v>33</v>
      </c>
      <c r="M786" t="s">
        <v>588</v>
      </c>
      <c r="O786" s="1">
        <f t="shared" si="21"/>
        <v>2.5</v>
      </c>
      <c r="P786" t="s">
        <v>653</v>
      </c>
      <c r="R786" t="s">
        <v>634</v>
      </c>
    </row>
    <row r="787" spans="1:18" hidden="1">
      <c r="A787">
        <v>15</v>
      </c>
      <c r="B787" t="s">
        <v>405</v>
      </c>
      <c r="C787" t="s">
        <v>483</v>
      </c>
      <c r="G787">
        <v>9</v>
      </c>
      <c r="J787" t="s">
        <v>22</v>
      </c>
      <c r="K787" t="s">
        <v>71</v>
      </c>
      <c r="L787" t="s">
        <v>33</v>
      </c>
      <c r="M787" t="s">
        <v>588</v>
      </c>
      <c r="O787" s="1">
        <f t="shared" si="21"/>
        <v>2.5</v>
      </c>
      <c r="P787" t="s">
        <v>653</v>
      </c>
      <c r="R787" t="s">
        <v>634</v>
      </c>
    </row>
    <row r="788" spans="1:18" hidden="1">
      <c r="A788">
        <v>15</v>
      </c>
      <c r="B788" t="s">
        <v>405</v>
      </c>
      <c r="C788" t="s">
        <v>483</v>
      </c>
      <c r="G788">
        <v>10</v>
      </c>
      <c r="J788" t="s">
        <v>22</v>
      </c>
      <c r="K788" t="s">
        <v>71</v>
      </c>
      <c r="L788" t="s">
        <v>33</v>
      </c>
      <c r="M788" t="s">
        <v>588</v>
      </c>
      <c r="O788" s="1">
        <f t="shared" si="21"/>
        <v>2.5</v>
      </c>
      <c r="P788" t="s">
        <v>653</v>
      </c>
      <c r="R788" t="s">
        <v>634</v>
      </c>
    </row>
    <row r="789" spans="1:18" hidden="1">
      <c r="A789">
        <v>15</v>
      </c>
      <c r="B789" t="s">
        <v>405</v>
      </c>
      <c r="C789" t="s">
        <v>483</v>
      </c>
      <c r="G789">
        <v>11</v>
      </c>
      <c r="J789" t="s">
        <v>22</v>
      </c>
      <c r="K789" t="s">
        <v>71</v>
      </c>
      <c r="L789" t="s">
        <v>33</v>
      </c>
      <c r="M789" t="s">
        <v>588</v>
      </c>
      <c r="O789" s="1">
        <f t="shared" si="21"/>
        <v>2.5</v>
      </c>
      <c r="P789" t="s">
        <v>653</v>
      </c>
      <c r="R789" t="s">
        <v>634</v>
      </c>
    </row>
    <row r="790" spans="1:18" hidden="1">
      <c r="A790">
        <v>15</v>
      </c>
      <c r="B790" t="s">
        <v>405</v>
      </c>
      <c r="C790" t="s">
        <v>483</v>
      </c>
      <c r="G790">
        <v>12</v>
      </c>
      <c r="J790" t="s">
        <v>22</v>
      </c>
      <c r="K790" t="s">
        <v>71</v>
      </c>
      <c r="L790" t="s">
        <v>33</v>
      </c>
      <c r="M790" t="s">
        <v>588</v>
      </c>
      <c r="O790" s="1">
        <f t="shared" si="21"/>
        <v>2.5</v>
      </c>
      <c r="P790" t="s">
        <v>653</v>
      </c>
      <c r="R790" t="s">
        <v>634</v>
      </c>
    </row>
    <row r="791" spans="1:18" hidden="1">
      <c r="A791">
        <v>15</v>
      </c>
      <c r="B791" t="s">
        <v>405</v>
      </c>
      <c r="C791" t="s">
        <v>483</v>
      </c>
      <c r="G791">
        <v>13</v>
      </c>
      <c r="J791" t="s">
        <v>22</v>
      </c>
      <c r="K791" t="s">
        <v>71</v>
      </c>
      <c r="L791" t="s">
        <v>33</v>
      </c>
      <c r="M791" t="s">
        <v>588</v>
      </c>
      <c r="O791" s="1">
        <f t="shared" si="21"/>
        <v>2.5</v>
      </c>
      <c r="P791" t="s">
        <v>653</v>
      </c>
      <c r="R791" t="s">
        <v>634</v>
      </c>
    </row>
    <row r="792" spans="1:18" hidden="1">
      <c r="A792">
        <v>15</v>
      </c>
      <c r="B792" t="s">
        <v>405</v>
      </c>
      <c r="C792" t="s">
        <v>483</v>
      </c>
      <c r="G792">
        <v>14</v>
      </c>
      <c r="J792" t="s">
        <v>22</v>
      </c>
      <c r="K792" t="s">
        <v>71</v>
      </c>
      <c r="L792" t="s">
        <v>33</v>
      </c>
      <c r="M792" t="s">
        <v>588</v>
      </c>
      <c r="O792" s="1">
        <f t="shared" si="21"/>
        <v>2.5</v>
      </c>
      <c r="P792" t="s">
        <v>653</v>
      </c>
      <c r="R792" t="s">
        <v>634</v>
      </c>
    </row>
    <row r="793" spans="1:18" hidden="1">
      <c r="A793">
        <v>15</v>
      </c>
      <c r="B793" t="s">
        <v>405</v>
      </c>
      <c r="C793" t="s">
        <v>483</v>
      </c>
      <c r="G793">
        <v>15</v>
      </c>
      <c r="J793" t="s">
        <v>22</v>
      </c>
      <c r="K793" t="s">
        <v>71</v>
      </c>
      <c r="L793" t="s">
        <v>33</v>
      </c>
      <c r="M793" t="s">
        <v>588</v>
      </c>
      <c r="O793" s="1">
        <f t="shared" si="21"/>
        <v>2.5</v>
      </c>
      <c r="P793" t="s">
        <v>653</v>
      </c>
      <c r="R793" t="s">
        <v>634</v>
      </c>
    </row>
    <row r="794" spans="1:18" hidden="1">
      <c r="A794">
        <v>15</v>
      </c>
      <c r="B794" t="s">
        <v>405</v>
      </c>
      <c r="C794" t="s">
        <v>483</v>
      </c>
      <c r="G794">
        <v>16</v>
      </c>
      <c r="J794" t="s">
        <v>22</v>
      </c>
      <c r="K794" t="s">
        <v>71</v>
      </c>
      <c r="L794" t="s">
        <v>33</v>
      </c>
      <c r="M794" t="s">
        <v>588</v>
      </c>
      <c r="O794" s="1">
        <f t="shared" si="21"/>
        <v>2.5</v>
      </c>
      <c r="P794" t="s">
        <v>653</v>
      </c>
      <c r="R794" t="s">
        <v>634</v>
      </c>
    </row>
    <row r="795" spans="1:18" hidden="1">
      <c r="A795">
        <v>15</v>
      </c>
      <c r="B795" t="s">
        <v>405</v>
      </c>
      <c r="C795" t="s">
        <v>483</v>
      </c>
      <c r="G795">
        <v>17</v>
      </c>
      <c r="J795" t="s">
        <v>22</v>
      </c>
      <c r="K795" t="s">
        <v>71</v>
      </c>
      <c r="L795" t="s">
        <v>33</v>
      </c>
      <c r="M795" t="s">
        <v>588</v>
      </c>
      <c r="O795" s="1">
        <f t="shared" si="21"/>
        <v>2.5</v>
      </c>
      <c r="P795" t="s">
        <v>653</v>
      </c>
      <c r="R795" t="s">
        <v>634</v>
      </c>
    </row>
    <row r="796" spans="1:18" hidden="1">
      <c r="A796">
        <v>15</v>
      </c>
      <c r="B796" t="s">
        <v>405</v>
      </c>
      <c r="C796" t="s">
        <v>483</v>
      </c>
      <c r="G796">
        <v>18</v>
      </c>
      <c r="J796" t="s">
        <v>22</v>
      </c>
      <c r="K796" t="s">
        <v>71</v>
      </c>
      <c r="L796" t="s">
        <v>33</v>
      </c>
      <c r="M796" t="s">
        <v>588</v>
      </c>
      <c r="O796" s="1">
        <f t="shared" si="21"/>
        <v>2.5</v>
      </c>
      <c r="P796" t="s">
        <v>653</v>
      </c>
      <c r="R796" t="s">
        <v>634</v>
      </c>
    </row>
    <row r="797" spans="1:18" hidden="1">
      <c r="A797">
        <v>15</v>
      </c>
      <c r="B797" t="s">
        <v>405</v>
      </c>
      <c r="C797" t="s">
        <v>483</v>
      </c>
      <c r="G797">
        <v>19</v>
      </c>
      <c r="J797" t="s">
        <v>22</v>
      </c>
      <c r="K797" t="s">
        <v>71</v>
      </c>
      <c r="L797" t="s">
        <v>33</v>
      </c>
      <c r="M797" t="s">
        <v>588</v>
      </c>
      <c r="O797" s="1">
        <f t="shared" si="21"/>
        <v>2.5</v>
      </c>
      <c r="P797" t="s">
        <v>653</v>
      </c>
      <c r="R797" t="s">
        <v>634</v>
      </c>
    </row>
    <row r="798" spans="1:18" hidden="1">
      <c r="A798">
        <v>15</v>
      </c>
      <c r="B798" t="s">
        <v>405</v>
      </c>
      <c r="C798" t="s">
        <v>483</v>
      </c>
      <c r="G798">
        <v>20</v>
      </c>
      <c r="J798" t="s">
        <v>22</v>
      </c>
      <c r="K798" t="s">
        <v>71</v>
      </c>
      <c r="L798" t="s">
        <v>33</v>
      </c>
      <c r="M798" t="s">
        <v>588</v>
      </c>
      <c r="O798" s="1">
        <f t="shared" si="21"/>
        <v>2.5</v>
      </c>
      <c r="P798" t="s">
        <v>653</v>
      </c>
      <c r="R798" t="s">
        <v>634</v>
      </c>
    </row>
    <row r="799" spans="1:18" hidden="1">
      <c r="A799">
        <v>15</v>
      </c>
      <c r="B799" t="s">
        <v>405</v>
      </c>
      <c r="C799" t="s">
        <v>483</v>
      </c>
      <c r="G799">
        <v>21</v>
      </c>
      <c r="J799" t="s">
        <v>22</v>
      </c>
      <c r="K799" t="s">
        <v>71</v>
      </c>
      <c r="L799" t="s">
        <v>33</v>
      </c>
      <c r="M799" t="s">
        <v>588</v>
      </c>
      <c r="O799" s="1">
        <f t="shared" si="21"/>
        <v>2.5</v>
      </c>
      <c r="P799" t="s">
        <v>653</v>
      </c>
      <c r="R799" t="s">
        <v>634</v>
      </c>
    </row>
    <row r="800" spans="1:18" hidden="1">
      <c r="A800">
        <v>15</v>
      </c>
      <c r="B800" t="s">
        <v>405</v>
      </c>
      <c r="C800" t="s">
        <v>483</v>
      </c>
      <c r="G800">
        <v>22</v>
      </c>
      <c r="J800" t="s">
        <v>22</v>
      </c>
      <c r="K800" t="s">
        <v>71</v>
      </c>
      <c r="L800" t="s">
        <v>33</v>
      </c>
      <c r="M800" t="s">
        <v>588</v>
      </c>
      <c r="O800" s="1">
        <f t="shared" si="21"/>
        <v>2.5</v>
      </c>
      <c r="P800" t="s">
        <v>653</v>
      </c>
      <c r="R800" t="s">
        <v>634</v>
      </c>
    </row>
    <row r="801" spans="1:18" hidden="1">
      <c r="A801">
        <v>15</v>
      </c>
      <c r="B801" t="s">
        <v>405</v>
      </c>
      <c r="C801" t="s">
        <v>483</v>
      </c>
      <c r="G801">
        <v>4</v>
      </c>
      <c r="J801" t="s">
        <v>22</v>
      </c>
      <c r="K801" t="s">
        <v>71</v>
      </c>
      <c r="L801" t="s">
        <v>33</v>
      </c>
      <c r="M801" t="s">
        <v>589</v>
      </c>
      <c r="O801" s="1">
        <f>(4/128)*20*1</f>
        <v>0.625</v>
      </c>
      <c r="P801" t="s">
        <v>654</v>
      </c>
      <c r="R801" t="s">
        <v>634</v>
      </c>
    </row>
    <row r="802" spans="1:18" hidden="1">
      <c r="A802">
        <v>15</v>
      </c>
      <c r="B802" t="s">
        <v>405</v>
      </c>
      <c r="C802" t="s">
        <v>483</v>
      </c>
      <c r="G802">
        <v>5</v>
      </c>
      <c r="J802" t="s">
        <v>22</v>
      </c>
      <c r="K802" t="s">
        <v>71</v>
      </c>
      <c r="L802" t="s">
        <v>33</v>
      </c>
      <c r="M802" t="s">
        <v>589</v>
      </c>
      <c r="O802" s="1">
        <f t="shared" ref="O802:O819" si="22">(4/128)*20*1</f>
        <v>0.625</v>
      </c>
      <c r="P802" t="s">
        <v>654</v>
      </c>
      <c r="R802" t="s">
        <v>634</v>
      </c>
    </row>
    <row r="803" spans="1:18" hidden="1">
      <c r="A803">
        <v>15</v>
      </c>
      <c r="B803" t="s">
        <v>405</v>
      </c>
      <c r="C803" t="s">
        <v>483</v>
      </c>
      <c r="G803">
        <v>6</v>
      </c>
      <c r="J803" t="s">
        <v>22</v>
      </c>
      <c r="K803" t="s">
        <v>71</v>
      </c>
      <c r="L803" t="s">
        <v>33</v>
      </c>
      <c r="M803" t="s">
        <v>589</v>
      </c>
      <c r="O803" s="1">
        <f t="shared" si="22"/>
        <v>0.625</v>
      </c>
      <c r="P803" t="s">
        <v>654</v>
      </c>
      <c r="R803" t="s">
        <v>634</v>
      </c>
    </row>
    <row r="804" spans="1:18" hidden="1">
      <c r="A804">
        <v>15</v>
      </c>
      <c r="B804" t="s">
        <v>405</v>
      </c>
      <c r="C804" t="s">
        <v>483</v>
      </c>
      <c r="G804">
        <v>7</v>
      </c>
      <c r="J804" t="s">
        <v>22</v>
      </c>
      <c r="K804" t="s">
        <v>71</v>
      </c>
      <c r="L804" t="s">
        <v>33</v>
      </c>
      <c r="M804" t="s">
        <v>589</v>
      </c>
      <c r="O804" s="1">
        <f t="shared" si="22"/>
        <v>0.625</v>
      </c>
      <c r="P804" t="s">
        <v>654</v>
      </c>
      <c r="R804" t="s">
        <v>634</v>
      </c>
    </row>
    <row r="805" spans="1:18" hidden="1">
      <c r="A805">
        <v>15</v>
      </c>
      <c r="B805" t="s">
        <v>405</v>
      </c>
      <c r="C805" t="s">
        <v>483</v>
      </c>
      <c r="G805">
        <v>8</v>
      </c>
      <c r="J805" t="s">
        <v>22</v>
      </c>
      <c r="K805" t="s">
        <v>71</v>
      </c>
      <c r="L805" t="s">
        <v>33</v>
      </c>
      <c r="M805" t="s">
        <v>589</v>
      </c>
      <c r="O805" s="1">
        <f t="shared" si="22"/>
        <v>0.625</v>
      </c>
      <c r="P805" t="s">
        <v>654</v>
      </c>
      <c r="R805" t="s">
        <v>634</v>
      </c>
    </row>
    <row r="806" spans="1:18" hidden="1">
      <c r="A806">
        <v>15</v>
      </c>
      <c r="B806" t="s">
        <v>405</v>
      </c>
      <c r="C806" t="s">
        <v>483</v>
      </c>
      <c r="G806">
        <v>9</v>
      </c>
      <c r="J806" t="s">
        <v>22</v>
      </c>
      <c r="K806" t="s">
        <v>71</v>
      </c>
      <c r="L806" t="s">
        <v>33</v>
      </c>
      <c r="M806" t="s">
        <v>589</v>
      </c>
      <c r="O806" s="1">
        <f t="shared" si="22"/>
        <v>0.625</v>
      </c>
      <c r="P806" t="s">
        <v>654</v>
      </c>
      <c r="R806" t="s">
        <v>634</v>
      </c>
    </row>
    <row r="807" spans="1:18" hidden="1">
      <c r="A807">
        <v>15</v>
      </c>
      <c r="B807" t="s">
        <v>405</v>
      </c>
      <c r="C807" t="s">
        <v>483</v>
      </c>
      <c r="G807">
        <v>10</v>
      </c>
      <c r="J807" t="s">
        <v>22</v>
      </c>
      <c r="K807" t="s">
        <v>71</v>
      </c>
      <c r="L807" t="s">
        <v>33</v>
      </c>
      <c r="M807" t="s">
        <v>589</v>
      </c>
      <c r="O807" s="1">
        <f t="shared" si="22"/>
        <v>0.625</v>
      </c>
      <c r="P807" t="s">
        <v>654</v>
      </c>
      <c r="R807" t="s">
        <v>634</v>
      </c>
    </row>
    <row r="808" spans="1:18" hidden="1">
      <c r="A808">
        <v>15</v>
      </c>
      <c r="B808" t="s">
        <v>405</v>
      </c>
      <c r="C808" t="s">
        <v>483</v>
      </c>
      <c r="G808">
        <v>11</v>
      </c>
      <c r="J808" t="s">
        <v>22</v>
      </c>
      <c r="K808" t="s">
        <v>71</v>
      </c>
      <c r="L808" t="s">
        <v>33</v>
      </c>
      <c r="M808" t="s">
        <v>589</v>
      </c>
      <c r="O808" s="1">
        <f t="shared" si="22"/>
        <v>0.625</v>
      </c>
      <c r="P808" t="s">
        <v>654</v>
      </c>
      <c r="R808" t="s">
        <v>634</v>
      </c>
    </row>
    <row r="809" spans="1:18" hidden="1">
      <c r="A809">
        <v>15</v>
      </c>
      <c r="B809" t="s">
        <v>405</v>
      </c>
      <c r="C809" t="s">
        <v>483</v>
      </c>
      <c r="G809">
        <v>12</v>
      </c>
      <c r="J809" t="s">
        <v>22</v>
      </c>
      <c r="K809" t="s">
        <v>71</v>
      </c>
      <c r="L809" t="s">
        <v>33</v>
      </c>
      <c r="M809" t="s">
        <v>589</v>
      </c>
      <c r="O809" s="1">
        <f t="shared" si="22"/>
        <v>0.625</v>
      </c>
      <c r="P809" t="s">
        <v>654</v>
      </c>
      <c r="R809" t="s">
        <v>634</v>
      </c>
    </row>
    <row r="810" spans="1:18" hidden="1">
      <c r="A810">
        <v>15</v>
      </c>
      <c r="B810" t="s">
        <v>405</v>
      </c>
      <c r="C810" t="s">
        <v>483</v>
      </c>
      <c r="G810">
        <v>13</v>
      </c>
      <c r="J810" t="s">
        <v>22</v>
      </c>
      <c r="K810" t="s">
        <v>71</v>
      </c>
      <c r="L810" t="s">
        <v>33</v>
      </c>
      <c r="M810" t="s">
        <v>589</v>
      </c>
      <c r="O810" s="1">
        <f t="shared" si="22"/>
        <v>0.625</v>
      </c>
      <c r="P810" t="s">
        <v>654</v>
      </c>
      <c r="R810" t="s">
        <v>634</v>
      </c>
    </row>
    <row r="811" spans="1:18" hidden="1">
      <c r="A811">
        <v>15</v>
      </c>
      <c r="B811" t="s">
        <v>405</v>
      </c>
      <c r="C811" t="s">
        <v>483</v>
      </c>
      <c r="G811">
        <v>14</v>
      </c>
      <c r="J811" t="s">
        <v>22</v>
      </c>
      <c r="K811" t="s">
        <v>71</v>
      </c>
      <c r="L811" t="s">
        <v>33</v>
      </c>
      <c r="M811" t="s">
        <v>589</v>
      </c>
      <c r="O811" s="1">
        <f t="shared" si="22"/>
        <v>0.625</v>
      </c>
      <c r="P811" t="s">
        <v>654</v>
      </c>
      <c r="R811" t="s">
        <v>634</v>
      </c>
    </row>
    <row r="812" spans="1:18" hidden="1">
      <c r="A812">
        <v>15</v>
      </c>
      <c r="B812" t="s">
        <v>405</v>
      </c>
      <c r="C812" t="s">
        <v>483</v>
      </c>
      <c r="G812">
        <v>15</v>
      </c>
      <c r="J812" t="s">
        <v>22</v>
      </c>
      <c r="K812" t="s">
        <v>71</v>
      </c>
      <c r="L812" t="s">
        <v>33</v>
      </c>
      <c r="M812" t="s">
        <v>589</v>
      </c>
      <c r="O812" s="1">
        <f t="shared" si="22"/>
        <v>0.625</v>
      </c>
      <c r="P812" t="s">
        <v>654</v>
      </c>
      <c r="R812" t="s">
        <v>634</v>
      </c>
    </row>
    <row r="813" spans="1:18" hidden="1">
      <c r="A813">
        <v>15</v>
      </c>
      <c r="B813" t="s">
        <v>405</v>
      </c>
      <c r="C813" t="s">
        <v>483</v>
      </c>
      <c r="G813">
        <v>16</v>
      </c>
      <c r="J813" t="s">
        <v>22</v>
      </c>
      <c r="K813" t="s">
        <v>71</v>
      </c>
      <c r="L813" t="s">
        <v>33</v>
      </c>
      <c r="M813" t="s">
        <v>589</v>
      </c>
      <c r="O813" s="1">
        <f t="shared" si="22"/>
        <v>0.625</v>
      </c>
      <c r="P813" t="s">
        <v>654</v>
      </c>
      <c r="R813" t="s">
        <v>634</v>
      </c>
    </row>
    <row r="814" spans="1:18" hidden="1">
      <c r="A814">
        <v>15</v>
      </c>
      <c r="B814" t="s">
        <v>405</v>
      </c>
      <c r="C814" t="s">
        <v>483</v>
      </c>
      <c r="G814">
        <v>17</v>
      </c>
      <c r="J814" t="s">
        <v>22</v>
      </c>
      <c r="K814" t="s">
        <v>71</v>
      </c>
      <c r="L814" t="s">
        <v>33</v>
      </c>
      <c r="M814" t="s">
        <v>589</v>
      </c>
      <c r="O814" s="1">
        <f t="shared" si="22"/>
        <v>0.625</v>
      </c>
      <c r="P814" t="s">
        <v>654</v>
      </c>
      <c r="R814" t="s">
        <v>634</v>
      </c>
    </row>
    <row r="815" spans="1:18" hidden="1">
      <c r="A815">
        <v>15</v>
      </c>
      <c r="B815" t="s">
        <v>405</v>
      </c>
      <c r="C815" t="s">
        <v>483</v>
      </c>
      <c r="G815">
        <v>18</v>
      </c>
      <c r="J815" t="s">
        <v>22</v>
      </c>
      <c r="K815" t="s">
        <v>71</v>
      </c>
      <c r="L815" t="s">
        <v>33</v>
      </c>
      <c r="M815" t="s">
        <v>589</v>
      </c>
      <c r="O815" s="1">
        <f t="shared" si="22"/>
        <v>0.625</v>
      </c>
      <c r="P815" t="s">
        <v>654</v>
      </c>
      <c r="R815" t="s">
        <v>634</v>
      </c>
    </row>
    <row r="816" spans="1:18" hidden="1">
      <c r="A816">
        <v>15</v>
      </c>
      <c r="B816" t="s">
        <v>405</v>
      </c>
      <c r="C816" t="s">
        <v>483</v>
      </c>
      <c r="G816">
        <v>19</v>
      </c>
      <c r="J816" t="s">
        <v>22</v>
      </c>
      <c r="K816" t="s">
        <v>71</v>
      </c>
      <c r="L816" t="s">
        <v>33</v>
      </c>
      <c r="M816" t="s">
        <v>589</v>
      </c>
      <c r="O816" s="1">
        <f t="shared" si="22"/>
        <v>0.625</v>
      </c>
      <c r="P816" t="s">
        <v>654</v>
      </c>
      <c r="R816" t="s">
        <v>634</v>
      </c>
    </row>
    <row r="817" spans="1:18" hidden="1">
      <c r="A817">
        <v>15</v>
      </c>
      <c r="B817" t="s">
        <v>405</v>
      </c>
      <c r="C817" t="s">
        <v>483</v>
      </c>
      <c r="G817">
        <v>20</v>
      </c>
      <c r="J817" t="s">
        <v>22</v>
      </c>
      <c r="K817" t="s">
        <v>71</v>
      </c>
      <c r="L817" t="s">
        <v>33</v>
      </c>
      <c r="M817" t="s">
        <v>589</v>
      </c>
      <c r="O817" s="1">
        <f t="shared" si="22"/>
        <v>0.625</v>
      </c>
      <c r="P817" t="s">
        <v>654</v>
      </c>
      <c r="R817" t="s">
        <v>634</v>
      </c>
    </row>
    <row r="818" spans="1:18" hidden="1">
      <c r="A818">
        <v>15</v>
      </c>
      <c r="B818" t="s">
        <v>405</v>
      </c>
      <c r="C818" t="s">
        <v>483</v>
      </c>
      <c r="G818">
        <v>21</v>
      </c>
      <c r="J818" t="s">
        <v>22</v>
      </c>
      <c r="K818" t="s">
        <v>71</v>
      </c>
      <c r="L818" t="s">
        <v>33</v>
      </c>
      <c r="M818" t="s">
        <v>589</v>
      </c>
      <c r="O818" s="1">
        <f t="shared" si="22"/>
        <v>0.625</v>
      </c>
      <c r="P818" t="s">
        <v>654</v>
      </c>
      <c r="R818" t="s">
        <v>634</v>
      </c>
    </row>
    <row r="819" spans="1:18" hidden="1">
      <c r="A819">
        <v>15</v>
      </c>
      <c r="B819" t="s">
        <v>405</v>
      </c>
      <c r="C819" t="s">
        <v>483</v>
      </c>
      <c r="G819">
        <v>22</v>
      </c>
      <c r="J819" t="s">
        <v>22</v>
      </c>
      <c r="K819" t="s">
        <v>71</v>
      </c>
      <c r="L819" t="s">
        <v>33</v>
      </c>
      <c r="M819" t="s">
        <v>589</v>
      </c>
      <c r="O819" s="1">
        <f t="shared" si="22"/>
        <v>0.625</v>
      </c>
      <c r="P819" t="s">
        <v>654</v>
      </c>
      <c r="R819" t="s">
        <v>634</v>
      </c>
    </row>
    <row r="820" spans="1:18">
      <c r="A820">
        <v>15</v>
      </c>
      <c r="B820" t="s">
        <v>405</v>
      </c>
      <c r="C820" t="s">
        <v>483</v>
      </c>
      <c r="G820">
        <v>4</v>
      </c>
      <c r="H820" s="263"/>
      <c r="J820" t="s">
        <v>22</v>
      </c>
      <c r="K820" t="s">
        <v>30</v>
      </c>
      <c r="L820" t="s">
        <v>33</v>
      </c>
      <c r="M820" t="s">
        <v>590</v>
      </c>
      <c r="N820" s="263">
        <v>0.6</v>
      </c>
      <c r="O820" s="1">
        <f>0.6*20*1</f>
        <v>12</v>
      </c>
      <c r="P820" t="s">
        <v>651</v>
      </c>
      <c r="R820" t="s">
        <v>634</v>
      </c>
    </row>
    <row r="821" spans="1:18">
      <c r="A821">
        <v>15</v>
      </c>
      <c r="B821" t="s">
        <v>405</v>
      </c>
      <c r="C821" t="s">
        <v>483</v>
      </c>
      <c r="G821">
        <v>5</v>
      </c>
      <c r="H821" s="263"/>
      <c r="J821" t="s">
        <v>22</v>
      </c>
      <c r="K821" t="s">
        <v>30</v>
      </c>
      <c r="L821" t="s">
        <v>33</v>
      </c>
      <c r="M821" t="s">
        <v>590</v>
      </c>
      <c r="N821" s="263">
        <v>0.6</v>
      </c>
      <c r="O821" s="1">
        <f t="shared" ref="O821:O838" si="23">0.6*20*1</f>
        <v>12</v>
      </c>
      <c r="P821" t="s">
        <v>651</v>
      </c>
      <c r="R821" t="s">
        <v>634</v>
      </c>
    </row>
    <row r="822" spans="1:18">
      <c r="A822">
        <v>15</v>
      </c>
      <c r="B822" t="s">
        <v>405</v>
      </c>
      <c r="C822" t="s">
        <v>483</v>
      </c>
      <c r="G822">
        <v>6</v>
      </c>
      <c r="H822" s="263"/>
      <c r="J822" t="s">
        <v>22</v>
      </c>
      <c r="K822" t="s">
        <v>30</v>
      </c>
      <c r="L822" t="s">
        <v>33</v>
      </c>
      <c r="M822" t="s">
        <v>590</v>
      </c>
      <c r="N822" s="263">
        <v>0.6</v>
      </c>
      <c r="O822" s="1">
        <f t="shared" si="23"/>
        <v>12</v>
      </c>
      <c r="P822" t="s">
        <v>651</v>
      </c>
      <c r="R822" t="s">
        <v>634</v>
      </c>
    </row>
    <row r="823" spans="1:18">
      <c r="A823">
        <v>15</v>
      </c>
      <c r="B823" t="s">
        <v>405</v>
      </c>
      <c r="C823" t="s">
        <v>483</v>
      </c>
      <c r="G823">
        <v>7</v>
      </c>
      <c r="H823" s="263"/>
      <c r="J823" t="s">
        <v>22</v>
      </c>
      <c r="K823" t="s">
        <v>30</v>
      </c>
      <c r="L823" t="s">
        <v>33</v>
      </c>
      <c r="M823" t="s">
        <v>590</v>
      </c>
      <c r="N823" s="263">
        <v>0.6</v>
      </c>
      <c r="O823" s="1">
        <f t="shared" si="23"/>
        <v>12</v>
      </c>
      <c r="P823" t="s">
        <v>651</v>
      </c>
      <c r="R823" t="s">
        <v>634</v>
      </c>
    </row>
    <row r="824" spans="1:18">
      <c r="A824">
        <v>15</v>
      </c>
      <c r="B824" t="s">
        <v>405</v>
      </c>
      <c r="C824" t="s">
        <v>483</v>
      </c>
      <c r="G824">
        <v>8</v>
      </c>
      <c r="H824" s="263"/>
      <c r="J824" t="s">
        <v>22</v>
      </c>
      <c r="K824" t="s">
        <v>30</v>
      </c>
      <c r="L824" t="s">
        <v>33</v>
      </c>
      <c r="M824" t="s">
        <v>590</v>
      </c>
      <c r="N824" s="263">
        <v>0.6</v>
      </c>
      <c r="O824" s="1">
        <f t="shared" si="23"/>
        <v>12</v>
      </c>
      <c r="P824" t="s">
        <v>651</v>
      </c>
      <c r="R824" t="s">
        <v>634</v>
      </c>
    </row>
    <row r="825" spans="1:18">
      <c r="A825">
        <v>15</v>
      </c>
      <c r="B825" t="s">
        <v>405</v>
      </c>
      <c r="C825" t="s">
        <v>483</v>
      </c>
      <c r="G825">
        <v>9</v>
      </c>
      <c r="H825" s="263"/>
      <c r="J825" t="s">
        <v>22</v>
      </c>
      <c r="K825" t="s">
        <v>30</v>
      </c>
      <c r="L825" t="s">
        <v>33</v>
      </c>
      <c r="M825" t="s">
        <v>590</v>
      </c>
      <c r="N825" s="263">
        <v>0.6</v>
      </c>
      <c r="O825" s="1">
        <f t="shared" si="23"/>
        <v>12</v>
      </c>
      <c r="P825" t="s">
        <v>651</v>
      </c>
      <c r="R825" t="s">
        <v>634</v>
      </c>
    </row>
    <row r="826" spans="1:18">
      <c r="A826">
        <v>15</v>
      </c>
      <c r="B826" t="s">
        <v>405</v>
      </c>
      <c r="C826" t="s">
        <v>483</v>
      </c>
      <c r="G826">
        <v>10</v>
      </c>
      <c r="H826" s="263"/>
      <c r="J826" t="s">
        <v>22</v>
      </c>
      <c r="K826" t="s">
        <v>30</v>
      </c>
      <c r="L826" t="s">
        <v>33</v>
      </c>
      <c r="M826" t="s">
        <v>590</v>
      </c>
      <c r="N826" s="263">
        <v>0.6</v>
      </c>
      <c r="O826" s="1">
        <f t="shared" si="23"/>
        <v>12</v>
      </c>
      <c r="P826" t="s">
        <v>651</v>
      </c>
      <c r="R826" t="s">
        <v>634</v>
      </c>
    </row>
    <row r="827" spans="1:18">
      <c r="A827">
        <v>15</v>
      </c>
      <c r="B827" t="s">
        <v>405</v>
      </c>
      <c r="C827" t="s">
        <v>483</v>
      </c>
      <c r="G827">
        <v>11</v>
      </c>
      <c r="H827" s="263"/>
      <c r="J827" t="s">
        <v>22</v>
      </c>
      <c r="K827" t="s">
        <v>30</v>
      </c>
      <c r="L827" t="s">
        <v>33</v>
      </c>
      <c r="M827" t="s">
        <v>590</v>
      </c>
      <c r="N827" s="263">
        <v>0.6</v>
      </c>
      <c r="O827" s="1">
        <f t="shared" si="23"/>
        <v>12</v>
      </c>
      <c r="P827" t="s">
        <v>651</v>
      </c>
      <c r="R827" t="s">
        <v>634</v>
      </c>
    </row>
    <row r="828" spans="1:18">
      <c r="A828">
        <v>15</v>
      </c>
      <c r="B828" t="s">
        <v>405</v>
      </c>
      <c r="C828" t="s">
        <v>483</v>
      </c>
      <c r="G828">
        <v>12</v>
      </c>
      <c r="H828" s="263"/>
      <c r="J828" t="s">
        <v>22</v>
      </c>
      <c r="K828" t="s">
        <v>30</v>
      </c>
      <c r="L828" t="s">
        <v>33</v>
      </c>
      <c r="M828" t="s">
        <v>590</v>
      </c>
      <c r="N828" s="263">
        <v>0.6</v>
      </c>
      <c r="O828" s="1">
        <f t="shared" si="23"/>
        <v>12</v>
      </c>
      <c r="P828" t="s">
        <v>651</v>
      </c>
      <c r="R828" t="s">
        <v>634</v>
      </c>
    </row>
    <row r="829" spans="1:18">
      <c r="A829">
        <v>15</v>
      </c>
      <c r="B829" t="s">
        <v>405</v>
      </c>
      <c r="C829" t="s">
        <v>483</v>
      </c>
      <c r="G829">
        <v>13</v>
      </c>
      <c r="H829" s="263"/>
      <c r="J829" t="s">
        <v>22</v>
      </c>
      <c r="K829" t="s">
        <v>30</v>
      </c>
      <c r="L829" t="s">
        <v>33</v>
      </c>
      <c r="M829" t="s">
        <v>590</v>
      </c>
      <c r="N829" s="263">
        <v>0.6</v>
      </c>
      <c r="O829" s="1">
        <f t="shared" si="23"/>
        <v>12</v>
      </c>
      <c r="P829" t="s">
        <v>651</v>
      </c>
      <c r="R829" t="s">
        <v>634</v>
      </c>
    </row>
    <row r="830" spans="1:18">
      <c r="A830">
        <v>15</v>
      </c>
      <c r="B830" t="s">
        <v>405</v>
      </c>
      <c r="C830" t="s">
        <v>483</v>
      </c>
      <c r="G830">
        <v>14</v>
      </c>
      <c r="H830" s="263"/>
      <c r="J830" t="s">
        <v>22</v>
      </c>
      <c r="K830" t="s">
        <v>30</v>
      </c>
      <c r="L830" t="s">
        <v>33</v>
      </c>
      <c r="M830" t="s">
        <v>590</v>
      </c>
      <c r="N830" s="263">
        <v>0.6</v>
      </c>
      <c r="O830" s="1">
        <f t="shared" si="23"/>
        <v>12</v>
      </c>
      <c r="P830" t="s">
        <v>651</v>
      </c>
      <c r="R830" t="s">
        <v>634</v>
      </c>
    </row>
    <row r="831" spans="1:18">
      <c r="A831">
        <v>15</v>
      </c>
      <c r="B831" t="s">
        <v>405</v>
      </c>
      <c r="C831" t="s">
        <v>483</v>
      </c>
      <c r="G831">
        <v>15</v>
      </c>
      <c r="H831" s="263"/>
      <c r="J831" t="s">
        <v>22</v>
      </c>
      <c r="K831" t="s">
        <v>30</v>
      </c>
      <c r="L831" t="s">
        <v>33</v>
      </c>
      <c r="M831" t="s">
        <v>590</v>
      </c>
      <c r="N831" s="263">
        <v>0.6</v>
      </c>
      <c r="O831" s="1">
        <f t="shared" si="23"/>
        <v>12</v>
      </c>
      <c r="P831" t="s">
        <v>651</v>
      </c>
      <c r="R831" t="s">
        <v>634</v>
      </c>
    </row>
    <row r="832" spans="1:18">
      <c r="A832">
        <v>15</v>
      </c>
      <c r="B832" t="s">
        <v>405</v>
      </c>
      <c r="C832" t="s">
        <v>483</v>
      </c>
      <c r="G832">
        <v>16</v>
      </c>
      <c r="H832" s="263"/>
      <c r="J832" t="s">
        <v>22</v>
      </c>
      <c r="K832" t="s">
        <v>30</v>
      </c>
      <c r="L832" t="s">
        <v>33</v>
      </c>
      <c r="M832" t="s">
        <v>590</v>
      </c>
      <c r="N832" s="263">
        <v>0.6</v>
      </c>
      <c r="O832" s="1">
        <f t="shared" si="23"/>
        <v>12</v>
      </c>
      <c r="P832" t="s">
        <v>651</v>
      </c>
      <c r="R832" t="s">
        <v>634</v>
      </c>
    </row>
    <row r="833" spans="1:18">
      <c r="A833">
        <v>15</v>
      </c>
      <c r="B833" t="s">
        <v>405</v>
      </c>
      <c r="C833" t="s">
        <v>483</v>
      </c>
      <c r="G833">
        <v>17</v>
      </c>
      <c r="H833" s="263"/>
      <c r="J833" t="s">
        <v>22</v>
      </c>
      <c r="K833" t="s">
        <v>30</v>
      </c>
      <c r="L833" t="s">
        <v>33</v>
      </c>
      <c r="M833" t="s">
        <v>590</v>
      </c>
      <c r="N833" s="263">
        <v>0.6</v>
      </c>
      <c r="O833" s="1">
        <f t="shared" si="23"/>
        <v>12</v>
      </c>
      <c r="P833" t="s">
        <v>651</v>
      </c>
      <c r="R833" t="s">
        <v>634</v>
      </c>
    </row>
    <row r="834" spans="1:18">
      <c r="A834">
        <v>15</v>
      </c>
      <c r="B834" t="s">
        <v>405</v>
      </c>
      <c r="C834" t="s">
        <v>483</v>
      </c>
      <c r="G834">
        <v>18</v>
      </c>
      <c r="H834" s="263"/>
      <c r="J834" t="s">
        <v>22</v>
      </c>
      <c r="K834" t="s">
        <v>30</v>
      </c>
      <c r="L834" t="s">
        <v>33</v>
      </c>
      <c r="M834" t="s">
        <v>590</v>
      </c>
      <c r="N834" s="263">
        <v>0.6</v>
      </c>
      <c r="O834" s="1">
        <f t="shared" si="23"/>
        <v>12</v>
      </c>
      <c r="P834" t="s">
        <v>651</v>
      </c>
      <c r="R834" t="s">
        <v>634</v>
      </c>
    </row>
    <row r="835" spans="1:18">
      <c r="A835">
        <v>15</v>
      </c>
      <c r="B835" t="s">
        <v>405</v>
      </c>
      <c r="C835" t="s">
        <v>483</v>
      </c>
      <c r="G835">
        <v>19</v>
      </c>
      <c r="H835" s="263"/>
      <c r="J835" t="s">
        <v>22</v>
      </c>
      <c r="K835" t="s">
        <v>30</v>
      </c>
      <c r="L835" t="s">
        <v>33</v>
      </c>
      <c r="M835" t="s">
        <v>590</v>
      </c>
      <c r="N835" s="263">
        <v>0.6</v>
      </c>
      <c r="O835" s="1">
        <f t="shared" si="23"/>
        <v>12</v>
      </c>
      <c r="P835" t="s">
        <v>651</v>
      </c>
      <c r="R835" t="s">
        <v>634</v>
      </c>
    </row>
    <row r="836" spans="1:18">
      <c r="A836">
        <v>15</v>
      </c>
      <c r="B836" t="s">
        <v>405</v>
      </c>
      <c r="C836" t="s">
        <v>483</v>
      </c>
      <c r="G836">
        <v>20</v>
      </c>
      <c r="H836" s="263"/>
      <c r="J836" t="s">
        <v>22</v>
      </c>
      <c r="K836" t="s">
        <v>30</v>
      </c>
      <c r="L836" t="s">
        <v>33</v>
      </c>
      <c r="M836" t="s">
        <v>590</v>
      </c>
      <c r="N836" s="263">
        <v>0.6</v>
      </c>
      <c r="O836" s="1">
        <f t="shared" si="23"/>
        <v>12</v>
      </c>
      <c r="P836" t="s">
        <v>651</v>
      </c>
      <c r="R836" t="s">
        <v>634</v>
      </c>
    </row>
    <row r="837" spans="1:18">
      <c r="A837">
        <v>15</v>
      </c>
      <c r="B837" t="s">
        <v>405</v>
      </c>
      <c r="C837" t="s">
        <v>483</v>
      </c>
      <c r="G837">
        <v>21</v>
      </c>
      <c r="H837" s="263"/>
      <c r="J837" t="s">
        <v>22</v>
      </c>
      <c r="K837" t="s">
        <v>30</v>
      </c>
      <c r="L837" t="s">
        <v>33</v>
      </c>
      <c r="M837" t="s">
        <v>590</v>
      </c>
      <c r="N837" s="263">
        <v>0.6</v>
      </c>
      <c r="O837" s="1">
        <f t="shared" si="23"/>
        <v>12</v>
      </c>
      <c r="P837" t="s">
        <v>651</v>
      </c>
      <c r="R837" t="s">
        <v>634</v>
      </c>
    </row>
    <row r="838" spans="1:18">
      <c r="A838">
        <v>15</v>
      </c>
      <c r="B838" t="s">
        <v>405</v>
      </c>
      <c r="C838" t="s">
        <v>483</v>
      </c>
      <c r="G838">
        <v>22</v>
      </c>
      <c r="H838" s="263"/>
      <c r="J838" t="s">
        <v>22</v>
      </c>
      <c r="K838" t="s">
        <v>30</v>
      </c>
      <c r="L838" t="s">
        <v>33</v>
      </c>
      <c r="M838" t="s">
        <v>590</v>
      </c>
      <c r="N838" s="263">
        <v>0.6</v>
      </c>
      <c r="O838" s="1">
        <f t="shared" si="23"/>
        <v>12</v>
      </c>
      <c r="P838" t="s">
        <v>651</v>
      </c>
      <c r="R838" t="s">
        <v>634</v>
      </c>
    </row>
    <row r="839" spans="1:18" hidden="1">
      <c r="A839">
        <v>15</v>
      </c>
      <c r="B839" t="s">
        <v>405</v>
      </c>
      <c r="C839" t="s">
        <v>483</v>
      </c>
      <c r="G839">
        <v>4</v>
      </c>
      <c r="J839" t="s">
        <v>22</v>
      </c>
      <c r="K839" t="s">
        <v>408</v>
      </c>
      <c r="L839" t="s">
        <v>33</v>
      </c>
      <c r="M839" t="s">
        <v>591</v>
      </c>
      <c r="O839" s="1">
        <v>13.97</v>
      </c>
      <c r="P839" t="s">
        <v>903</v>
      </c>
      <c r="R839" t="s">
        <v>634</v>
      </c>
    </row>
    <row r="840" spans="1:18" hidden="1">
      <c r="A840">
        <v>15</v>
      </c>
      <c r="B840" t="s">
        <v>405</v>
      </c>
      <c r="C840" t="s">
        <v>483</v>
      </c>
      <c r="G840">
        <v>5</v>
      </c>
      <c r="J840" t="s">
        <v>22</v>
      </c>
      <c r="K840" t="s">
        <v>408</v>
      </c>
      <c r="L840" t="s">
        <v>33</v>
      </c>
      <c r="M840" t="s">
        <v>591</v>
      </c>
      <c r="O840" s="1">
        <v>13.97</v>
      </c>
      <c r="P840" t="s">
        <v>903</v>
      </c>
      <c r="R840" t="s">
        <v>634</v>
      </c>
    </row>
    <row r="841" spans="1:18" hidden="1">
      <c r="A841">
        <v>15</v>
      </c>
      <c r="B841" t="s">
        <v>405</v>
      </c>
      <c r="C841" t="s">
        <v>483</v>
      </c>
      <c r="G841">
        <v>6</v>
      </c>
      <c r="J841" t="s">
        <v>22</v>
      </c>
      <c r="K841" t="s">
        <v>408</v>
      </c>
      <c r="L841" t="s">
        <v>33</v>
      </c>
      <c r="M841" t="s">
        <v>591</v>
      </c>
      <c r="O841" s="1">
        <v>13.97</v>
      </c>
      <c r="P841" t="s">
        <v>903</v>
      </c>
      <c r="R841" t="s">
        <v>634</v>
      </c>
    </row>
    <row r="842" spans="1:18" hidden="1">
      <c r="A842">
        <v>15</v>
      </c>
      <c r="B842" t="s">
        <v>405</v>
      </c>
      <c r="C842" t="s">
        <v>483</v>
      </c>
      <c r="G842">
        <v>7</v>
      </c>
      <c r="J842" t="s">
        <v>22</v>
      </c>
      <c r="K842" t="s">
        <v>408</v>
      </c>
      <c r="L842" t="s">
        <v>33</v>
      </c>
      <c r="M842" t="s">
        <v>591</v>
      </c>
      <c r="O842" s="1">
        <v>13.97</v>
      </c>
      <c r="P842" t="s">
        <v>903</v>
      </c>
      <c r="R842" t="s">
        <v>634</v>
      </c>
    </row>
    <row r="843" spans="1:18" hidden="1">
      <c r="A843">
        <v>15</v>
      </c>
      <c r="B843" t="s">
        <v>405</v>
      </c>
      <c r="C843" t="s">
        <v>483</v>
      </c>
      <c r="G843">
        <v>8</v>
      </c>
      <c r="J843" t="s">
        <v>22</v>
      </c>
      <c r="K843" t="s">
        <v>408</v>
      </c>
      <c r="L843" t="s">
        <v>33</v>
      </c>
      <c r="M843" t="s">
        <v>591</v>
      </c>
      <c r="O843" s="1">
        <v>13.97</v>
      </c>
      <c r="P843" t="s">
        <v>903</v>
      </c>
      <c r="R843" t="s">
        <v>634</v>
      </c>
    </row>
    <row r="844" spans="1:18" hidden="1">
      <c r="A844">
        <v>15</v>
      </c>
      <c r="B844" t="s">
        <v>405</v>
      </c>
      <c r="C844" t="s">
        <v>483</v>
      </c>
      <c r="G844">
        <v>9</v>
      </c>
      <c r="J844" t="s">
        <v>22</v>
      </c>
      <c r="K844" t="s">
        <v>408</v>
      </c>
      <c r="L844" t="s">
        <v>33</v>
      </c>
      <c r="M844" t="s">
        <v>591</v>
      </c>
      <c r="O844" s="1">
        <v>13.97</v>
      </c>
      <c r="P844" t="s">
        <v>903</v>
      </c>
      <c r="R844" t="s">
        <v>634</v>
      </c>
    </row>
    <row r="845" spans="1:18" hidden="1">
      <c r="A845">
        <v>15</v>
      </c>
      <c r="B845" t="s">
        <v>405</v>
      </c>
      <c r="C845" t="s">
        <v>483</v>
      </c>
      <c r="G845">
        <v>10</v>
      </c>
      <c r="J845" t="s">
        <v>22</v>
      </c>
      <c r="K845" t="s">
        <v>408</v>
      </c>
      <c r="L845" t="s">
        <v>33</v>
      </c>
      <c r="M845" t="s">
        <v>591</v>
      </c>
      <c r="O845" s="1">
        <v>13.97</v>
      </c>
      <c r="P845" t="s">
        <v>903</v>
      </c>
      <c r="R845" t="s">
        <v>634</v>
      </c>
    </row>
    <row r="846" spans="1:18" hidden="1">
      <c r="A846">
        <v>15</v>
      </c>
      <c r="B846" t="s">
        <v>405</v>
      </c>
      <c r="C846" t="s">
        <v>483</v>
      </c>
      <c r="G846">
        <v>11</v>
      </c>
      <c r="J846" t="s">
        <v>22</v>
      </c>
      <c r="K846" t="s">
        <v>408</v>
      </c>
      <c r="L846" t="s">
        <v>33</v>
      </c>
      <c r="M846" t="s">
        <v>591</v>
      </c>
      <c r="O846" s="1">
        <v>13.97</v>
      </c>
      <c r="P846" t="s">
        <v>903</v>
      </c>
      <c r="R846" t="s">
        <v>634</v>
      </c>
    </row>
    <row r="847" spans="1:18" hidden="1">
      <c r="A847">
        <v>15</v>
      </c>
      <c r="B847" t="s">
        <v>405</v>
      </c>
      <c r="C847" t="s">
        <v>483</v>
      </c>
      <c r="G847">
        <v>12</v>
      </c>
      <c r="J847" t="s">
        <v>22</v>
      </c>
      <c r="K847" t="s">
        <v>408</v>
      </c>
      <c r="L847" t="s">
        <v>33</v>
      </c>
      <c r="M847" t="s">
        <v>591</v>
      </c>
      <c r="O847" s="1">
        <v>13.97</v>
      </c>
      <c r="P847" t="s">
        <v>903</v>
      </c>
      <c r="R847" t="s">
        <v>634</v>
      </c>
    </row>
    <row r="848" spans="1:18" hidden="1">
      <c r="A848">
        <v>15</v>
      </c>
      <c r="B848" t="s">
        <v>405</v>
      </c>
      <c r="C848" t="s">
        <v>483</v>
      </c>
      <c r="G848">
        <v>13</v>
      </c>
      <c r="J848" t="s">
        <v>22</v>
      </c>
      <c r="K848" t="s">
        <v>408</v>
      </c>
      <c r="L848" t="s">
        <v>33</v>
      </c>
      <c r="M848" t="s">
        <v>591</v>
      </c>
      <c r="O848" s="1">
        <v>13.97</v>
      </c>
      <c r="P848" t="s">
        <v>903</v>
      </c>
      <c r="R848" t="s">
        <v>634</v>
      </c>
    </row>
    <row r="849" spans="1:18" hidden="1">
      <c r="A849">
        <v>15</v>
      </c>
      <c r="B849" t="s">
        <v>405</v>
      </c>
      <c r="C849" t="s">
        <v>483</v>
      </c>
      <c r="G849">
        <v>14</v>
      </c>
      <c r="J849" t="s">
        <v>22</v>
      </c>
      <c r="K849" t="s">
        <v>408</v>
      </c>
      <c r="L849" t="s">
        <v>33</v>
      </c>
      <c r="M849" t="s">
        <v>591</v>
      </c>
      <c r="O849" s="1">
        <v>13.97</v>
      </c>
      <c r="P849" t="s">
        <v>903</v>
      </c>
      <c r="R849" t="s">
        <v>634</v>
      </c>
    </row>
    <row r="850" spans="1:18" hidden="1">
      <c r="A850">
        <v>15</v>
      </c>
      <c r="B850" t="s">
        <v>405</v>
      </c>
      <c r="C850" t="s">
        <v>483</v>
      </c>
      <c r="G850">
        <v>15</v>
      </c>
      <c r="J850" t="s">
        <v>22</v>
      </c>
      <c r="K850" t="s">
        <v>408</v>
      </c>
      <c r="L850" t="s">
        <v>33</v>
      </c>
      <c r="M850" t="s">
        <v>591</v>
      </c>
      <c r="O850" s="1">
        <v>13.97</v>
      </c>
      <c r="P850" t="s">
        <v>903</v>
      </c>
      <c r="R850" t="s">
        <v>634</v>
      </c>
    </row>
    <row r="851" spans="1:18" hidden="1">
      <c r="A851">
        <v>15</v>
      </c>
      <c r="B851" t="s">
        <v>405</v>
      </c>
      <c r="C851" t="s">
        <v>483</v>
      </c>
      <c r="G851">
        <v>16</v>
      </c>
      <c r="J851" t="s">
        <v>22</v>
      </c>
      <c r="K851" t="s">
        <v>408</v>
      </c>
      <c r="L851" t="s">
        <v>33</v>
      </c>
      <c r="M851" t="s">
        <v>591</v>
      </c>
      <c r="O851" s="1">
        <v>13.97</v>
      </c>
      <c r="P851" t="s">
        <v>903</v>
      </c>
      <c r="R851" t="s">
        <v>634</v>
      </c>
    </row>
    <row r="852" spans="1:18" hidden="1">
      <c r="A852">
        <v>15</v>
      </c>
      <c r="B852" t="s">
        <v>405</v>
      </c>
      <c r="C852" t="s">
        <v>483</v>
      </c>
      <c r="G852">
        <v>17</v>
      </c>
      <c r="J852" t="s">
        <v>22</v>
      </c>
      <c r="K852" t="s">
        <v>408</v>
      </c>
      <c r="L852" t="s">
        <v>33</v>
      </c>
      <c r="M852" t="s">
        <v>591</v>
      </c>
      <c r="O852" s="1">
        <v>13.97</v>
      </c>
      <c r="P852" t="s">
        <v>903</v>
      </c>
      <c r="R852" t="s">
        <v>634</v>
      </c>
    </row>
    <row r="853" spans="1:18" hidden="1">
      <c r="A853">
        <v>15</v>
      </c>
      <c r="B853" t="s">
        <v>405</v>
      </c>
      <c r="C853" t="s">
        <v>483</v>
      </c>
      <c r="G853">
        <v>18</v>
      </c>
      <c r="J853" t="s">
        <v>22</v>
      </c>
      <c r="K853" t="s">
        <v>408</v>
      </c>
      <c r="L853" t="s">
        <v>33</v>
      </c>
      <c r="M853" t="s">
        <v>591</v>
      </c>
      <c r="O853" s="1">
        <v>13.97</v>
      </c>
      <c r="P853" t="s">
        <v>903</v>
      </c>
      <c r="R853" t="s">
        <v>634</v>
      </c>
    </row>
    <row r="854" spans="1:18" hidden="1">
      <c r="A854">
        <v>15</v>
      </c>
      <c r="B854" t="s">
        <v>405</v>
      </c>
      <c r="C854" t="s">
        <v>483</v>
      </c>
      <c r="G854">
        <v>19</v>
      </c>
      <c r="J854" t="s">
        <v>22</v>
      </c>
      <c r="K854" t="s">
        <v>408</v>
      </c>
      <c r="L854" t="s">
        <v>33</v>
      </c>
      <c r="M854" t="s">
        <v>591</v>
      </c>
      <c r="O854" s="1">
        <v>13.97</v>
      </c>
      <c r="P854" t="s">
        <v>903</v>
      </c>
      <c r="R854" t="s">
        <v>634</v>
      </c>
    </row>
    <row r="855" spans="1:18" hidden="1">
      <c r="A855">
        <v>15</v>
      </c>
      <c r="B855" t="s">
        <v>405</v>
      </c>
      <c r="C855" t="s">
        <v>483</v>
      </c>
      <c r="G855">
        <v>20</v>
      </c>
      <c r="J855" t="s">
        <v>22</v>
      </c>
      <c r="K855" t="s">
        <v>408</v>
      </c>
      <c r="L855" t="s">
        <v>33</v>
      </c>
      <c r="M855" t="s">
        <v>591</v>
      </c>
      <c r="O855" s="1">
        <v>13.97</v>
      </c>
      <c r="P855" t="s">
        <v>903</v>
      </c>
      <c r="R855" t="s">
        <v>634</v>
      </c>
    </row>
    <row r="856" spans="1:18" hidden="1">
      <c r="A856">
        <v>15</v>
      </c>
      <c r="B856" t="s">
        <v>405</v>
      </c>
      <c r="C856" t="s">
        <v>483</v>
      </c>
      <c r="G856">
        <v>21</v>
      </c>
      <c r="J856" t="s">
        <v>22</v>
      </c>
      <c r="K856" t="s">
        <v>408</v>
      </c>
      <c r="L856" t="s">
        <v>33</v>
      </c>
      <c r="M856" t="s">
        <v>591</v>
      </c>
      <c r="O856" s="1">
        <v>13.97</v>
      </c>
      <c r="P856" t="s">
        <v>903</v>
      </c>
      <c r="R856" t="s">
        <v>634</v>
      </c>
    </row>
    <row r="857" spans="1:18" hidden="1">
      <c r="A857">
        <v>15</v>
      </c>
      <c r="B857" t="s">
        <v>405</v>
      </c>
      <c r="C857" t="s">
        <v>483</v>
      </c>
      <c r="G857">
        <v>22</v>
      </c>
      <c r="J857" t="s">
        <v>22</v>
      </c>
      <c r="K857" t="s">
        <v>408</v>
      </c>
      <c r="L857" t="s">
        <v>33</v>
      </c>
      <c r="M857" t="s">
        <v>591</v>
      </c>
      <c r="O857" s="1">
        <v>13.97</v>
      </c>
      <c r="P857" t="s">
        <v>903</v>
      </c>
      <c r="R857" t="s">
        <v>634</v>
      </c>
    </row>
    <row r="858" spans="1:18" hidden="1">
      <c r="A858">
        <v>15</v>
      </c>
      <c r="B858" t="s">
        <v>405</v>
      </c>
      <c r="C858" t="s">
        <v>483</v>
      </c>
      <c r="G858">
        <v>4</v>
      </c>
      <c r="J858" t="s">
        <v>22</v>
      </c>
      <c r="K858" t="s">
        <v>71</v>
      </c>
      <c r="L858" t="s">
        <v>33</v>
      </c>
      <c r="M858" t="s">
        <v>592</v>
      </c>
      <c r="O858" s="1">
        <f>10*1.88*1</f>
        <v>18.799999999999997</v>
      </c>
      <c r="P858" t="s">
        <v>655</v>
      </c>
      <c r="R858" t="s">
        <v>634</v>
      </c>
    </row>
    <row r="859" spans="1:18" hidden="1">
      <c r="A859">
        <v>15</v>
      </c>
      <c r="B859" t="s">
        <v>405</v>
      </c>
      <c r="C859" t="s">
        <v>483</v>
      </c>
      <c r="G859">
        <v>5</v>
      </c>
      <c r="J859" t="s">
        <v>22</v>
      </c>
      <c r="K859" t="s">
        <v>71</v>
      </c>
      <c r="L859" t="s">
        <v>33</v>
      </c>
      <c r="M859" t="s">
        <v>592</v>
      </c>
      <c r="O859" s="1">
        <f t="shared" ref="O859:O876" si="24">10*1.88*1</f>
        <v>18.799999999999997</v>
      </c>
      <c r="P859" t="s">
        <v>655</v>
      </c>
      <c r="R859" t="s">
        <v>634</v>
      </c>
    </row>
    <row r="860" spans="1:18" hidden="1">
      <c r="A860">
        <v>15</v>
      </c>
      <c r="B860" t="s">
        <v>405</v>
      </c>
      <c r="C860" t="s">
        <v>483</v>
      </c>
      <c r="G860">
        <v>6</v>
      </c>
      <c r="J860" t="s">
        <v>22</v>
      </c>
      <c r="K860" t="s">
        <v>71</v>
      </c>
      <c r="L860" t="s">
        <v>33</v>
      </c>
      <c r="M860" t="s">
        <v>592</v>
      </c>
      <c r="O860" s="1">
        <f t="shared" si="24"/>
        <v>18.799999999999997</v>
      </c>
      <c r="P860" t="s">
        <v>655</v>
      </c>
      <c r="R860" t="s">
        <v>634</v>
      </c>
    </row>
    <row r="861" spans="1:18" hidden="1">
      <c r="A861">
        <v>15</v>
      </c>
      <c r="B861" t="s">
        <v>405</v>
      </c>
      <c r="C861" t="s">
        <v>483</v>
      </c>
      <c r="G861">
        <v>7</v>
      </c>
      <c r="J861" t="s">
        <v>22</v>
      </c>
      <c r="K861" t="s">
        <v>71</v>
      </c>
      <c r="L861" t="s">
        <v>33</v>
      </c>
      <c r="M861" t="s">
        <v>592</v>
      </c>
      <c r="O861" s="1">
        <f t="shared" si="24"/>
        <v>18.799999999999997</v>
      </c>
      <c r="P861" t="s">
        <v>655</v>
      </c>
      <c r="R861" t="s">
        <v>634</v>
      </c>
    </row>
    <row r="862" spans="1:18" hidden="1">
      <c r="A862">
        <v>15</v>
      </c>
      <c r="B862" t="s">
        <v>405</v>
      </c>
      <c r="C862" t="s">
        <v>483</v>
      </c>
      <c r="G862">
        <v>8</v>
      </c>
      <c r="J862" t="s">
        <v>22</v>
      </c>
      <c r="K862" t="s">
        <v>71</v>
      </c>
      <c r="L862" t="s">
        <v>33</v>
      </c>
      <c r="M862" t="s">
        <v>592</v>
      </c>
      <c r="O862" s="1">
        <f t="shared" si="24"/>
        <v>18.799999999999997</v>
      </c>
      <c r="P862" t="s">
        <v>655</v>
      </c>
      <c r="R862" t="s">
        <v>634</v>
      </c>
    </row>
    <row r="863" spans="1:18" hidden="1">
      <c r="A863">
        <v>15</v>
      </c>
      <c r="B863" t="s">
        <v>405</v>
      </c>
      <c r="C863" t="s">
        <v>483</v>
      </c>
      <c r="G863">
        <v>9</v>
      </c>
      <c r="J863" t="s">
        <v>22</v>
      </c>
      <c r="K863" t="s">
        <v>71</v>
      </c>
      <c r="L863" t="s">
        <v>33</v>
      </c>
      <c r="M863" t="s">
        <v>592</v>
      </c>
      <c r="O863" s="1">
        <f t="shared" si="24"/>
        <v>18.799999999999997</v>
      </c>
      <c r="P863" t="s">
        <v>655</v>
      </c>
      <c r="R863" t="s">
        <v>634</v>
      </c>
    </row>
    <row r="864" spans="1:18" hidden="1">
      <c r="A864">
        <v>15</v>
      </c>
      <c r="B864" t="s">
        <v>405</v>
      </c>
      <c r="C864" t="s">
        <v>483</v>
      </c>
      <c r="G864">
        <v>10</v>
      </c>
      <c r="J864" t="s">
        <v>22</v>
      </c>
      <c r="K864" t="s">
        <v>71</v>
      </c>
      <c r="L864" t="s">
        <v>33</v>
      </c>
      <c r="M864" t="s">
        <v>592</v>
      </c>
      <c r="O864" s="1">
        <f t="shared" si="24"/>
        <v>18.799999999999997</v>
      </c>
      <c r="P864" t="s">
        <v>655</v>
      </c>
      <c r="R864" t="s">
        <v>634</v>
      </c>
    </row>
    <row r="865" spans="1:18" hidden="1">
      <c r="A865">
        <v>15</v>
      </c>
      <c r="B865" t="s">
        <v>405</v>
      </c>
      <c r="C865" t="s">
        <v>483</v>
      </c>
      <c r="G865">
        <v>11</v>
      </c>
      <c r="J865" t="s">
        <v>22</v>
      </c>
      <c r="K865" t="s">
        <v>71</v>
      </c>
      <c r="L865" t="s">
        <v>33</v>
      </c>
      <c r="M865" t="s">
        <v>592</v>
      </c>
      <c r="O865" s="1">
        <f t="shared" si="24"/>
        <v>18.799999999999997</v>
      </c>
      <c r="P865" t="s">
        <v>655</v>
      </c>
      <c r="R865" t="s">
        <v>634</v>
      </c>
    </row>
    <row r="866" spans="1:18" hidden="1">
      <c r="A866">
        <v>15</v>
      </c>
      <c r="B866" t="s">
        <v>405</v>
      </c>
      <c r="C866" t="s">
        <v>483</v>
      </c>
      <c r="G866">
        <v>12</v>
      </c>
      <c r="J866" t="s">
        <v>22</v>
      </c>
      <c r="K866" t="s">
        <v>71</v>
      </c>
      <c r="L866" t="s">
        <v>33</v>
      </c>
      <c r="M866" t="s">
        <v>592</v>
      </c>
      <c r="O866" s="1">
        <f t="shared" si="24"/>
        <v>18.799999999999997</v>
      </c>
      <c r="P866" t="s">
        <v>655</v>
      </c>
      <c r="R866" t="s">
        <v>634</v>
      </c>
    </row>
    <row r="867" spans="1:18" hidden="1">
      <c r="A867">
        <v>15</v>
      </c>
      <c r="B867" t="s">
        <v>405</v>
      </c>
      <c r="C867" t="s">
        <v>483</v>
      </c>
      <c r="G867">
        <v>13</v>
      </c>
      <c r="J867" t="s">
        <v>22</v>
      </c>
      <c r="K867" t="s">
        <v>71</v>
      </c>
      <c r="L867" t="s">
        <v>33</v>
      </c>
      <c r="M867" t="s">
        <v>592</v>
      </c>
      <c r="O867" s="1">
        <f t="shared" si="24"/>
        <v>18.799999999999997</v>
      </c>
      <c r="P867" t="s">
        <v>655</v>
      </c>
      <c r="R867" t="s">
        <v>634</v>
      </c>
    </row>
    <row r="868" spans="1:18" hidden="1">
      <c r="A868">
        <v>15</v>
      </c>
      <c r="B868" t="s">
        <v>405</v>
      </c>
      <c r="C868" t="s">
        <v>483</v>
      </c>
      <c r="G868">
        <v>14</v>
      </c>
      <c r="J868" t="s">
        <v>22</v>
      </c>
      <c r="K868" t="s">
        <v>71</v>
      </c>
      <c r="L868" t="s">
        <v>33</v>
      </c>
      <c r="M868" t="s">
        <v>592</v>
      </c>
      <c r="O868" s="1">
        <f t="shared" si="24"/>
        <v>18.799999999999997</v>
      </c>
      <c r="P868" t="s">
        <v>655</v>
      </c>
      <c r="R868" t="s">
        <v>634</v>
      </c>
    </row>
    <row r="869" spans="1:18" hidden="1">
      <c r="A869">
        <v>15</v>
      </c>
      <c r="B869" t="s">
        <v>405</v>
      </c>
      <c r="C869" t="s">
        <v>483</v>
      </c>
      <c r="G869">
        <v>15</v>
      </c>
      <c r="J869" t="s">
        <v>22</v>
      </c>
      <c r="K869" t="s">
        <v>71</v>
      </c>
      <c r="L869" t="s">
        <v>33</v>
      </c>
      <c r="M869" t="s">
        <v>592</v>
      </c>
      <c r="O869" s="1">
        <f t="shared" si="24"/>
        <v>18.799999999999997</v>
      </c>
      <c r="P869" t="s">
        <v>655</v>
      </c>
      <c r="R869" t="s">
        <v>634</v>
      </c>
    </row>
    <row r="870" spans="1:18" hidden="1">
      <c r="A870">
        <v>15</v>
      </c>
      <c r="B870" t="s">
        <v>405</v>
      </c>
      <c r="C870" t="s">
        <v>483</v>
      </c>
      <c r="G870">
        <v>16</v>
      </c>
      <c r="J870" t="s">
        <v>22</v>
      </c>
      <c r="K870" t="s">
        <v>71</v>
      </c>
      <c r="L870" t="s">
        <v>33</v>
      </c>
      <c r="M870" t="s">
        <v>592</v>
      </c>
      <c r="O870" s="1">
        <f t="shared" si="24"/>
        <v>18.799999999999997</v>
      </c>
      <c r="P870" t="s">
        <v>655</v>
      </c>
      <c r="R870" t="s">
        <v>634</v>
      </c>
    </row>
    <row r="871" spans="1:18" hidden="1">
      <c r="A871">
        <v>15</v>
      </c>
      <c r="B871" t="s">
        <v>405</v>
      </c>
      <c r="C871" t="s">
        <v>483</v>
      </c>
      <c r="G871">
        <v>17</v>
      </c>
      <c r="J871" t="s">
        <v>22</v>
      </c>
      <c r="K871" t="s">
        <v>71</v>
      </c>
      <c r="L871" t="s">
        <v>33</v>
      </c>
      <c r="M871" t="s">
        <v>592</v>
      </c>
      <c r="O871" s="1">
        <f t="shared" si="24"/>
        <v>18.799999999999997</v>
      </c>
      <c r="P871" t="s">
        <v>655</v>
      </c>
      <c r="R871" t="s">
        <v>634</v>
      </c>
    </row>
    <row r="872" spans="1:18" hidden="1">
      <c r="A872">
        <v>15</v>
      </c>
      <c r="B872" t="s">
        <v>405</v>
      </c>
      <c r="C872" t="s">
        <v>483</v>
      </c>
      <c r="G872">
        <v>18</v>
      </c>
      <c r="J872" t="s">
        <v>22</v>
      </c>
      <c r="K872" t="s">
        <v>71</v>
      </c>
      <c r="L872" t="s">
        <v>33</v>
      </c>
      <c r="M872" t="s">
        <v>592</v>
      </c>
      <c r="O872" s="1">
        <f t="shared" si="24"/>
        <v>18.799999999999997</v>
      </c>
      <c r="P872" t="s">
        <v>655</v>
      </c>
      <c r="R872" t="s">
        <v>634</v>
      </c>
    </row>
    <row r="873" spans="1:18" hidden="1">
      <c r="A873">
        <v>15</v>
      </c>
      <c r="B873" t="s">
        <v>405</v>
      </c>
      <c r="C873" t="s">
        <v>483</v>
      </c>
      <c r="G873">
        <v>19</v>
      </c>
      <c r="J873" t="s">
        <v>22</v>
      </c>
      <c r="K873" t="s">
        <v>71</v>
      </c>
      <c r="L873" t="s">
        <v>33</v>
      </c>
      <c r="M873" t="s">
        <v>592</v>
      </c>
      <c r="O873" s="1">
        <f t="shared" si="24"/>
        <v>18.799999999999997</v>
      </c>
      <c r="P873" t="s">
        <v>655</v>
      </c>
      <c r="R873" t="s">
        <v>634</v>
      </c>
    </row>
    <row r="874" spans="1:18" hidden="1">
      <c r="A874">
        <v>15</v>
      </c>
      <c r="B874" t="s">
        <v>405</v>
      </c>
      <c r="C874" t="s">
        <v>483</v>
      </c>
      <c r="G874">
        <v>20</v>
      </c>
      <c r="J874" t="s">
        <v>22</v>
      </c>
      <c r="K874" t="s">
        <v>71</v>
      </c>
      <c r="L874" t="s">
        <v>33</v>
      </c>
      <c r="M874" t="s">
        <v>592</v>
      </c>
      <c r="O874" s="1">
        <f t="shared" si="24"/>
        <v>18.799999999999997</v>
      </c>
      <c r="P874" t="s">
        <v>655</v>
      </c>
      <c r="R874" t="s">
        <v>634</v>
      </c>
    </row>
    <row r="875" spans="1:18" hidden="1">
      <c r="A875">
        <v>15</v>
      </c>
      <c r="B875" t="s">
        <v>405</v>
      </c>
      <c r="C875" t="s">
        <v>483</v>
      </c>
      <c r="G875">
        <v>21</v>
      </c>
      <c r="J875" t="s">
        <v>22</v>
      </c>
      <c r="K875" t="s">
        <v>71</v>
      </c>
      <c r="L875" t="s">
        <v>33</v>
      </c>
      <c r="M875" t="s">
        <v>592</v>
      </c>
      <c r="O875" s="1">
        <f t="shared" si="24"/>
        <v>18.799999999999997</v>
      </c>
      <c r="P875" t="s">
        <v>655</v>
      </c>
      <c r="R875" t="s">
        <v>634</v>
      </c>
    </row>
    <row r="876" spans="1:18" hidden="1">
      <c r="A876">
        <v>15</v>
      </c>
      <c r="B876" t="s">
        <v>405</v>
      </c>
      <c r="C876" t="s">
        <v>483</v>
      </c>
      <c r="G876">
        <v>22</v>
      </c>
      <c r="J876" t="s">
        <v>22</v>
      </c>
      <c r="K876" t="s">
        <v>71</v>
      </c>
      <c r="L876" t="s">
        <v>33</v>
      </c>
      <c r="M876" t="s">
        <v>592</v>
      </c>
      <c r="O876" s="1">
        <f t="shared" si="24"/>
        <v>18.799999999999997</v>
      </c>
      <c r="P876" t="s">
        <v>655</v>
      </c>
      <c r="R876" t="s">
        <v>634</v>
      </c>
    </row>
    <row r="877" spans="1:18" hidden="1">
      <c r="A877">
        <v>15</v>
      </c>
      <c r="B877" t="s">
        <v>405</v>
      </c>
      <c r="C877" t="s">
        <v>483</v>
      </c>
      <c r="G877">
        <v>4</v>
      </c>
      <c r="J877" t="s">
        <v>22</v>
      </c>
      <c r="K877" t="s">
        <v>71</v>
      </c>
      <c r="L877" t="s">
        <v>33</v>
      </c>
      <c r="M877" t="s">
        <v>593</v>
      </c>
      <c r="O877" s="1">
        <f>4*4.05*1</f>
        <v>16.2</v>
      </c>
      <c r="P877" t="s">
        <v>656</v>
      </c>
      <c r="R877" t="s">
        <v>634</v>
      </c>
    </row>
    <row r="878" spans="1:18" hidden="1">
      <c r="A878">
        <v>15</v>
      </c>
      <c r="B878" t="s">
        <v>405</v>
      </c>
      <c r="C878" t="s">
        <v>483</v>
      </c>
      <c r="G878">
        <v>5</v>
      </c>
      <c r="J878" t="s">
        <v>22</v>
      </c>
      <c r="K878" t="s">
        <v>71</v>
      </c>
      <c r="L878" t="s">
        <v>33</v>
      </c>
      <c r="M878" t="s">
        <v>593</v>
      </c>
      <c r="O878" s="1">
        <f t="shared" ref="O878:O895" si="25">4*4.05*1</f>
        <v>16.2</v>
      </c>
      <c r="P878" t="s">
        <v>656</v>
      </c>
      <c r="R878" t="s">
        <v>634</v>
      </c>
    </row>
    <row r="879" spans="1:18" hidden="1">
      <c r="A879">
        <v>15</v>
      </c>
      <c r="B879" t="s">
        <v>405</v>
      </c>
      <c r="C879" t="s">
        <v>483</v>
      </c>
      <c r="G879">
        <v>6</v>
      </c>
      <c r="J879" t="s">
        <v>22</v>
      </c>
      <c r="K879" t="s">
        <v>71</v>
      </c>
      <c r="L879" t="s">
        <v>33</v>
      </c>
      <c r="M879" t="s">
        <v>593</v>
      </c>
      <c r="O879" s="1">
        <f t="shared" si="25"/>
        <v>16.2</v>
      </c>
      <c r="P879" t="s">
        <v>656</v>
      </c>
      <c r="R879" t="s">
        <v>634</v>
      </c>
    </row>
    <row r="880" spans="1:18" hidden="1">
      <c r="A880">
        <v>15</v>
      </c>
      <c r="B880" t="s">
        <v>405</v>
      </c>
      <c r="C880" t="s">
        <v>483</v>
      </c>
      <c r="G880">
        <v>7</v>
      </c>
      <c r="J880" t="s">
        <v>22</v>
      </c>
      <c r="K880" t="s">
        <v>71</v>
      </c>
      <c r="L880" t="s">
        <v>33</v>
      </c>
      <c r="M880" t="s">
        <v>593</v>
      </c>
      <c r="O880" s="1">
        <f t="shared" si="25"/>
        <v>16.2</v>
      </c>
      <c r="P880" t="s">
        <v>656</v>
      </c>
      <c r="R880" t="s">
        <v>634</v>
      </c>
    </row>
    <row r="881" spans="1:18" hidden="1">
      <c r="A881">
        <v>15</v>
      </c>
      <c r="B881" t="s">
        <v>405</v>
      </c>
      <c r="C881" t="s">
        <v>483</v>
      </c>
      <c r="G881">
        <v>8</v>
      </c>
      <c r="J881" t="s">
        <v>22</v>
      </c>
      <c r="K881" t="s">
        <v>71</v>
      </c>
      <c r="L881" t="s">
        <v>33</v>
      </c>
      <c r="M881" t="s">
        <v>593</v>
      </c>
      <c r="O881" s="1">
        <f t="shared" si="25"/>
        <v>16.2</v>
      </c>
      <c r="P881" t="s">
        <v>656</v>
      </c>
      <c r="R881" t="s">
        <v>634</v>
      </c>
    </row>
    <row r="882" spans="1:18" hidden="1">
      <c r="A882">
        <v>15</v>
      </c>
      <c r="B882" t="s">
        <v>405</v>
      </c>
      <c r="C882" t="s">
        <v>483</v>
      </c>
      <c r="G882">
        <v>9</v>
      </c>
      <c r="J882" t="s">
        <v>22</v>
      </c>
      <c r="K882" t="s">
        <v>71</v>
      </c>
      <c r="L882" t="s">
        <v>33</v>
      </c>
      <c r="M882" t="s">
        <v>593</v>
      </c>
      <c r="O882" s="1">
        <f t="shared" si="25"/>
        <v>16.2</v>
      </c>
      <c r="P882" t="s">
        <v>656</v>
      </c>
      <c r="R882" t="s">
        <v>634</v>
      </c>
    </row>
    <row r="883" spans="1:18" hidden="1">
      <c r="A883">
        <v>15</v>
      </c>
      <c r="B883" t="s">
        <v>405</v>
      </c>
      <c r="C883" t="s">
        <v>483</v>
      </c>
      <c r="G883">
        <v>10</v>
      </c>
      <c r="J883" t="s">
        <v>22</v>
      </c>
      <c r="K883" t="s">
        <v>71</v>
      </c>
      <c r="L883" t="s">
        <v>33</v>
      </c>
      <c r="M883" t="s">
        <v>593</v>
      </c>
      <c r="O883" s="1">
        <f t="shared" si="25"/>
        <v>16.2</v>
      </c>
      <c r="P883" t="s">
        <v>656</v>
      </c>
      <c r="R883" t="s">
        <v>634</v>
      </c>
    </row>
    <row r="884" spans="1:18" hidden="1">
      <c r="A884">
        <v>15</v>
      </c>
      <c r="B884" t="s">
        <v>405</v>
      </c>
      <c r="C884" t="s">
        <v>483</v>
      </c>
      <c r="G884">
        <v>11</v>
      </c>
      <c r="J884" t="s">
        <v>22</v>
      </c>
      <c r="K884" t="s">
        <v>71</v>
      </c>
      <c r="L884" t="s">
        <v>33</v>
      </c>
      <c r="M884" t="s">
        <v>593</v>
      </c>
      <c r="O884" s="1">
        <f t="shared" si="25"/>
        <v>16.2</v>
      </c>
      <c r="P884" t="s">
        <v>656</v>
      </c>
      <c r="R884" t="s">
        <v>634</v>
      </c>
    </row>
    <row r="885" spans="1:18" hidden="1">
      <c r="A885">
        <v>15</v>
      </c>
      <c r="B885" t="s">
        <v>405</v>
      </c>
      <c r="C885" t="s">
        <v>483</v>
      </c>
      <c r="G885">
        <v>12</v>
      </c>
      <c r="J885" t="s">
        <v>22</v>
      </c>
      <c r="K885" t="s">
        <v>71</v>
      </c>
      <c r="L885" t="s">
        <v>33</v>
      </c>
      <c r="M885" t="s">
        <v>593</v>
      </c>
      <c r="O885" s="1">
        <f t="shared" si="25"/>
        <v>16.2</v>
      </c>
      <c r="P885" t="s">
        <v>656</v>
      </c>
      <c r="R885" t="s">
        <v>634</v>
      </c>
    </row>
    <row r="886" spans="1:18" hidden="1">
      <c r="A886">
        <v>15</v>
      </c>
      <c r="B886" t="s">
        <v>405</v>
      </c>
      <c r="C886" t="s">
        <v>483</v>
      </c>
      <c r="G886">
        <v>13</v>
      </c>
      <c r="J886" t="s">
        <v>22</v>
      </c>
      <c r="K886" t="s">
        <v>71</v>
      </c>
      <c r="L886" t="s">
        <v>33</v>
      </c>
      <c r="M886" t="s">
        <v>593</v>
      </c>
      <c r="O886" s="1">
        <f t="shared" si="25"/>
        <v>16.2</v>
      </c>
      <c r="P886" t="s">
        <v>656</v>
      </c>
      <c r="R886" t="s">
        <v>634</v>
      </c>
    </row>
    <row r="887" spans="1:18" hidden="1">
      <c r="A887">
        <v>15</v>
      </c>
      <c r="B887" t="s">
        <v>405</v>
      </c>
      <c r="C887" t="s">
        <v>483</v>
      </c>
      <c r="G887">
        <v>14</v>
      </c>
      <c r="J887" t="s">
        <v>22</v>
      </c>
      <c r="K887" t="s">
        <v>71</v>
      </c>
      <c r="L887" t="s">
        <v>33</v>
      </c>
      <c r="M887" t="s">
        <v>593</v>
      </c>
      <c r="O887" s="1">
        <f t="shared" si="25"/>
        <v>16.2</v>
      </c>
      <c r="P887" t="s">
        <v>656</v>
      </c>
      <c r="R887" t="s">
        <v>634</v>
      </c>
    </row>
    <row r="888" spans="1:18" hidden="1">
      <c r="A888">
        <v>15</v>
      </c>
      <c r="B888" t="s">
        <v>405</v>
      </c>
      <c r="C888" t="s">
        <v>483</v>
      </c>
      <c r="G888">
        <v>15</v>
      </c>
      <c r="J888" t="s">
        <v>22</v>
      </c>
      <c r="K888" t="s">
        <v>71</v>
      </c>
      <c r="L888" t="s">
        <v>33</v>
      </c>
      <c r="M888" t="s">
        <v>593</v>
      </c>
      <c r="O888" s="1">
        <f t="shared" si="25"/>
        <v>16.2</v>
      </c>
      <c r="P888" t="s">
        <v>656</v>
      </c>
      <c r="R888" t="s">
        <v>634</v>
      </c>
    </row>
    <row r="889" spans="1:18" hidden="1">
      <c r="A889">
        <v>15</v>
      </c>
      <c r="B889" t="s">
        <v>405</v>
      </c>
      <c r="C889" t="s">
        <v>483</v>
      </c>
      <c r="G889">
        <v>16</v>
      </c>
      <c r="J889" t="s">
        <v>22</v>
      </c>
      <c r="K889" t="s">
        <v>71</v>
      </c>
      <c r="L889" t="s">
        <v>33</v>
      </c>
      <c r="M889" t="s">
        <v>593</v>
      </c>
      <c r="O889" s="1">
        <f t="shared" si="25"/>
        <v>16.2</v>
      </c>
      <c r="P889" t="s">
        <v>656</v>
      </c>
      <c r="R889" t="s">
        <v>634</v>
      </c>
    </row>
    <row r="890" spans="1:18" hidden="1">
      <c r="A890">
        <v>15</v>
      </c>
      <c r="B890" t="s">
        <v>405</v>
      </c>
      <c r="C890" t="s">
        <v>483</v>
      </c>
      <c r="G890">
        <v>17</v>
      </c>
      <c r="J890" t="s">
        <v>22</v>
      </c>
      <c r="K890" t="s">
        <v>71</v>
      </c>
      <c r="L890" t="s">
        <v>33</v>
      </c>
      <c r="M890" t="s">
        <v>593</v>
      </c>
      <c r="O890" s="1">
        <f t="shared" si="25"/>
        <v>16.2</v>
      </c>
      <c r="P890" t="s">
        <v>656</v>
      </c>
      <c r="R890" t="s">
        <v>634</v>
      </c>
    </row>
    <row r="891" spans="1:18" hidden="1">
      <c r="A891">
        <v>15</v>
      </c>
      <c r="B891" t="s">
        <v>405</v>
      </c>
      <c r="C891" t="s">
        <v>483</v>
      </c>
      <c r="G891">
        <v>18</v>
      </c>
      <c r="J891" t="s">
        <v>22</v>
      </c>
      <c r="K891" t="s">
        <v>71</v>
      </c>
      <c r="L891" t="s">
        <v>33</v>
      </c>
      <c r="M891" t="s">
        <v>593</v>
      </c>
      <c r="O891" s="1">
        <f t="shared" si="25"/>
        <v>16.2</v>
      </c>
      <c r="P891" t="s">
        <v>656</v>
      </c>
      <c r="R891" t="s">
        <v>634</v>
      </c>
    </row>
    <row r="892" spans="1:18" hidden="1">
      <c r="A892">
        <v>15</v>
      </c>
      <c r="B892" t="s">
        <v>405</v>
      </c>
      <c r="C892" t="s">
        <v>483</v>
      </c>
      <c r="G892">
        <v>19</v>
      </c>
      <c r="J892" t="s">
        <v>22</v>
      </c>
      <c r="K892" t="s">
        <v>71</v>
      </c>
      <c r="L892" t="s">
        <v>33</v>
      </c>
      <c r="M892" t="s">
        <v>593</v>
      </c>
      <c r="O892" s="1">
        <f t="shared" si="25"/>
        <v>16.2</v>
      </c>
      <c r="P892" t="s">
        <v>656</v>
      </c>
      <c r="R892" t="s">
        <v>634</v>
      </c>
    </row>
    <row r="893" spans="1:18" hidden="1">
      <c r="A893">
        <v>15</v>
      </c>
      <c r="B893" t="s">
        <v>405</v>
      </c>
      <c r="C893" t="s">
        <v>483</v>
      </c>
      <c r="G893">
        <v>20</v>
      </c>
      <c r="J893" t="s">
        <v>22</v>
      </c>
      <c r="K893" t="s">
        <v>71</v>
      </c>
      <c r="L893" t="s">
        <v>33</v>
      </c>
      <c r="M893" t="s">
        <v>593</v>
      </c>
      <c r="O893" s="1">
        <f t="shared" si="25"/>
        <v>16.2</v>
      </c>
      <c r="P893" t="s">
        <v>656</v>
      </c>
      <c r="R893" t="s">
        <v>634</v>
      </c>
    </row>
    <row r="894" spans="1:18" hidden="1">
      <c r="A894">
        <v>15</v>
      </c>
      <c r="B894" t="s">
        <v>405</v>
      </c>
      <c r="C894" t="s">
        <v>483</v>
      </c>
      <c r="G894">
        <v>21</v>
      </c>
      <c r="J894" t="s">
        <v>22</v>
      </c>
      <c r="K894" t="s">
        <v>71</v>
      </c>
      <c r="L894" t="s">
        <v>33</v>
      </c>
      <c r="M894" t="s">
        <v>593</v>
      </c>
      <c r="O894" s="1">
        <f t="shared" si="25"/>
        <v>16.2</v>
      </c>
      <c r="P894" t="s">
        <v>656</v>
      </c>
      <c r="R894" t="s">
        <v>634</v>
      </c>
    </row>
    <row r="895" spans="1:18" hidden="1">
      <c r="A895">
        <v>15</v>
      </c>
      <c r="B895" t="s">
        <v>405</v>
      </c>
      <c r="C895" t="s">
        <v>483</v>
      </c>
      <c r="G895">
        <v>22</v>
      </c>
      <c r="J895" t="s">
        <v>22</v>
      </c>
      <c r="K895" t="s">
        <v>71</v>
      </c>
      <c r="L895" t="s">
        <v>33</v>
      </c>
      <c r="M895" t="s">
        <v>593</v>
      </c>
      <c r="O895" s="1">
        <f t="shared" si="25"/>
        <v>16.2</v>
      </c>
      <c r="P895" t="s">
        <v>656</v>
      </c>
      <c r="R895" t="s">
        <v>634</v>
      </c>
    </row>
    <row r="896" spans="1:18">
      <c r="A896">
        <v>15</v>
      </c>
      <c r="B896" t="s">
        <v>405</v>
      </c>
      <c r="C896" t="s">
        <v>483</v>
      </c>
      <c r="G896">
        <v>4</v>
      </c>
      <c r="H896" s="263"/>
      <c r="J896" t="s">
        <v>22</v>
      </c>
      <c r="K896" t="s">
        <v>30</v>
      </c>
      <c r="L896" t="s">
        <v>33</v>
      </c>
      <c r="M896" t="s">
        <v>594</v>
      </c>
      <c r="N896" s="263">
        <v>0.6</v>
      </c>
      <c r="O896" s="1">
        <f>0.6*20*1</f>
        <v>12</v>
      </c>
      <c r="P896" t="s">
        <v>651</v>
      </c>
      <c r="R896" t="s">
        <v>634</v>
      </c>
    </row>
    <row r="897" spans="1:18">
      <c r="A897">
        <v>15</v>
      </c>
      <c r="B897" t="s">
        <v>405</v>
      </c>
      <c r="C897" t="s">
        <v>483</v>
      </c>
      <c r="G897">
        <v>5</v>
      </c>
      <c r="H897" s="263"/>
      <c r="J897" t="s">
        <v>22</v>
      </c>
      <c r="K897" t="s">
        <v>30</v>
      </c>
      <c r="L897" t="s">
        <v>33</v>
      </c>
      <c r="M897" t="s">
        <v>594</v>
      </c>
      <c r="N897" s="263">
        <v>0.6</v>
      </c>
      <c r="O897" s="1">
        <f t="shared" ref="O897:O914" si="26">0.6*20*1</f>
        <v>12</v>
      </c>
      <c r="P897" t="s">
        <v>651</v>
      </c>
      <c r="R897" t="s">
        <v>634</v>
      </c>
    </row>
    <row r="898" spans="1:18">
      <c r="A898">
        <v>15</v>
      </c>
      <c r="B898" t="s">
        <v>405</v>
      </c>
      <c r="C898" t="s">
        <v>483</v>
      </c>
      <c r="G898">
        <v>6</v>
      </c>
      <c r="H898" s="263"/>
      <c r="J898" t="s">
        <v>22</v>
      </c>
      <c r="K898" t="s">
        <v>30</v>
      </c>
      <c r="L898" t="s">
        <v>33</v>
      </c>
      <c r="M898" t="s">
        <v>594</v>
      </c>
      <c r="N898" s="263">
        <v>0.6</v>
      </c>
      <c r="O898" s="1">
        <f t="shared" si="26"/>
        <v>12</v>
      </c>
      <c r="P898" t="s">
        <v>651</v>
      </c>
      <c r="R898" t="s">
        <v>634</v>
      </c>
    </row>
    <row r="899" spans="1:18">
      <c r="A899">
        <v>15</v>
      </c>
      <c r="B899" t="s">
        <v>405</v>
      </c>
      <c r="C899" t="s">
        <v>483</v>
      </c>
      <c r="G899">
        <v>7</v>
      </c>
      <c r="H899" s="263"/>
      <c r="J899" t="s">
        <v>22</v>
      </c>
      <c r="K899" t="s">
        <v>30</v>
      </c>
      <c r="L899" t="s">
        <v>33</v>
      </c>
      <c r="M899" t="s">
        <v>594</v>
      </c>
      <c r="N899" s="263">
        <v>0.6</v>
      </c>
      <c r="O899" s="1">
        <f t="shared" si="26"/>
        <v>12</v>
      </c>
      <c r="P899" t="s">
        <v>651</v>
      </c>
      <c r="R899" t="s">
        <v>634</v>
      </c>
    </row>
    <row r="900" spans="1:18">
      <c r="A900">
        <v>15</v>
      </c>
      <c r="B900" t="s">
        <v>405</v>
      </c>
      <c r="C900" t="s">
        <v>483</v>
      </c>
      <c r="G900">
        <v>8</v>
      </c>
      <c r="H900" s="263"/>
      <c r="J900" t="s">
        <v>22</v>
      </c>
      <c r="K900" t="s">
        <v>30</v>
      </c>
      <c r="L900" t="s">
        <v>33</v>
      </c>
      <c r="M900" t="s">
        <v>594</v>
      </c>
      <c r="N900" s="263">
        <v>0.6</v>
      </c>
      <c r="O900" s="1">
        <f t="shared" si="26"/>
        <v>12</v>
      </c>
      <c r="P900" t="s">
        <v>651</v>
      </c>
      <c r="R900" t="s">
        <v>634</v>
      </c>
    </row>
    <row r="901" spans="1:18">
      <c r="A901">
        <v>15</v>
      </c>
      <c r="B901" t="s">
        <v>405</v>
      </c>
      <c r="C901" t="s">
        <v>483</v>
      </c>
      <c r="G901">
        <v>9</v>
      </c>
      <c r="H901" s="263"/>
      <c r="J901" t="s">
        <v>22</v>
      </c>
      <c r="K901" t="s">
        <v>30</v>
      </c>
      <c r="L901" t="s">
        <v>33</v>
      </c>
      <c r="M901" t="s">
        <v>594</v>
      </c>
      <c r="N901" s="263">
        <v>0.6</v>
      </c>
      <c r="O901" s="1">
        <f t="shared" si="26"/>
        <v>12</v>
      </c>
      <c r="P901" t="s">
        <v>651</v>
      </c>
      <c r="R901" t="s">
        <v>634</v>
      </c>
    </row>
    <row r="902" spans="1:18">
      <c r="A902">
        <v>15</v>
      </c>
      <c r="B902" t="s">
        <v>405</v>
      </c>
      <c r="C902" t="s">
        <v>483</v>
      </c>
      <c r="G902">
        <v>10</v>
      </c>
      <c r="H902" s="263"/>
      <c r="J902" t="s">
        <v>22</v>
      </c>
      <c r="K902" t="s">
        <v>30</v>
      </c>
      <c r="L902" t="s">
        <v>33</v>
      </c>
      <c r="M902" t="s">
        <v>594</v>
      </c>
      <c r="N902" s="263">
        <v>0.6</v>
      </c>
      <c r="O902" s="1">
        <f t="shared" si="26"/>
        <v>12</v>
      </c>
      <c r="P902" t="s">
        <v>651</v>
      </c>
      <c r="R902" t="s">
        <v>634</v>
      </c>
    </row>
    <row r="903" spans="1:18">
      <c r="A903">
        <v>15</v>
      </c>
      <c r="B903" t="s">
        <v>405</v>
      </c>
      <c r="C903" t="s">
        <v>483</v>
      </c>
      <c r="G903">
        <v>11</v>
      </c>
      <c r="H903" s="263"/>
      <c r="J903" t="s">
        <v>22</v>
      </c>
      <c r="K903" t="s">
        <v>30</v>
      </c>
      <c r="L903" t="s">
        <v>33</v>
      </c>
      <c r="M903" t="s">
        <v>594</v>
      </c>
      <c r="N903" s="263">
        <v>0.6</v>
      </c>
      <c r="O903" s="1">
        <f t="shared" si="26"/>
        <v>12</v>
      </c>
      <c r="P903" t="s">
        <v>651</v>
      </c>
      <c r="R903" t="s">
        <v>634</v>
      </c>
    </row>
    <row r="904" spans="1:18">
      <c r="A904">
        <v>15</v>
      </c>
      <c r="B904" t="s">
        <v>405</v>
      </c>
      <c r="C904" t="s">
        <v>483</v>
      </c>
      <c r="G904">
        <v>12</v>
      </c>
      <c r="H904" s="263"/>
      <c r="J904" t="s">
        <v>22</v>
      </c>
      <c r="K904" t="s">
        <v>30</v>
      </c>
      <c r="L904" t="s">
        <v>33</v>
      </c>
      <c r="M904" t="s">
        <v>594</v>
      </c>
      <c r="N904" s="263">
        <v>0.6</v>
      </c>
      <c r="O904" s="1">
        <f t="shared" si="26"/>
        <v>12</v>
      </c>
      <c r="P904" t="s">
        <v>651</v>
      </c>
      <c r="R904" t="s">
        <v>634</v>
      </c>
    </row>
    <row r="905" spans="1:18">
      <c r="A905">
        <v>15</v>
      </c>
      <c r="B905" t="s">
        <v>405</v>
      </c>
      <c r="C905" t="s">
        <v>483</v>
      </c>
      <c r="G905">
        <v>13</v>
      </c>
      <c r="H905" s="263"/>
      <c r="J905" t="s">
        <v>22</v>
      </c>
      <c r="K905" t="s">
        <v>30</v>
      </c>
      <c r="L905" t="s">
        <v>33</v>
      </c>
      <c r="M905" t="s">
        <v>594</v>
      </c>
      <c r="N905" s="263">
        <v>0.6</v>
      </c>
      <c r="O905" s="1">
        <f t="shared" si="26"/>
        <v>12</v>
      </c>
      <c r="P905" t="s">
        <v>651</v>
      </c>
      <c r="R905" t="s">
        <v>634</v>
      </c>
    </row>
    <row r="906" spans="1:18">
      <c r="A906">
        <v>15</v>
      </c>
      <c r="B906" t="s">
        <v>405</v>
      </c>
      <c r="C906" t="s">
        <v>483</v>
      </c>
      <c r="G906">
        <v>14</v>
      </c>
      <c r="H906" s="263"/>
      <c r="J906" t="s">
        <v>22</v>
      </c>
      <c r="K906" t="s">
        <v>30</v>
      </c>
      <c r="L906" t="s">
        <v>33</v>
      </c>
      <c r="M906" t="s">
        <v>594</v>
      </c>
      <c r="N906" s="263">
        <v>0.6</v>
      </c>
      <c r="O906" s="1">
        <f t="shared" si="26"/>
        <v>12</v>
      </c>
      <c r="P906" t="s">
        <v>651</v>
      </c>
      <c r="R906" t="s">
        <v>634</v>
      </c>
    </row>
    <row r="907" spans="1:18">
      <c r="A907">
        <v>15</v>
      </c>
      <c r="B907" t="s">
        <v>405</v>
      </c>
      <c r="C907" t="s">
        <v>483</v>
      </c>
      <c r="G907">
        <v>15</v>
      </c>
      <c r="H907" s="263"/>
      <c r="J907" t="s">
        <v>22</v>
      </c>
      <c r="K907" t="s">
        <v>30</v>
      </c>
      <c r="L907" t="s">
        <v>33</v>
      </c>
      <c r="M907" t="s">
        <v>594</v>
      </c>
      <c r="N907" s="263">
        <v>0.6</v>
      </c>
      <c r="O907" s="1">
        <f t="shared" si="26"/>
        <v>12</v>
      </c>
      <c r="P907" t="s">
        <v>651</v>
      </c>
      <c r="R907" t="s">
        <v>634</v>
      </c>
    </row>
    <row r="908" spans="1:18">
      <c r="A908">
        <v>15</v>
      </c>
      <c r="B908" t="s">
        <v>405</v>
      </c>
      <c r="C908" t="s">
        <v>483</v>
      </c>
      <c r="G908">
        <v>16</v>
      </c>
      <c r="H908" s="263"/>
      <c r="J908" t="s">
        <v>22</v>
      </c>
      <c r="K908" t="s">
        <v>30</v>
      </c>
      <c r="L908" t="s">
        <v>33</v>
      </c>
      <c r="M908" t="s">
        <v>594</v>
      </c>
      <c r="N908" s="263">
        <v>0.6</v>
      </c>
      <c r="O908" s="1">
        <f t="shared" si="26"/>
        <v>12</v>
      </c>
      <c r="P908" t="s">
        <v>651</v>
      </c>
      <c r="R908" t="s">
        <v>634</v>
      </c>
    </row>
    <row r="909" spans="1:18">
      <c r="A909">
        <v>15</v>
      </c>
      <c r="B909" t="s">
        <v>405</v>
      </c>
      <c r="C909" t="s">
        <v>483</v>
      </c>
      <c r="G909">
        <v>17</v>
      </c>
      <c r="H909" s="263"/>
      <c r="J909" t="s">
        <v>22</v>
      </c>
      <c r="K909" t="s">
        <v>30</v>
      </c>
      <c r="L909" t="s">
        <v>33</v>
      </c>
      <c r="M909" t="s">
        <v>594</v>
      </c>
      <c r="N909" s="263">
        <v>0.6</v>
      </c>
      <c r="O909" s="1">
        <f t="shared" si="26"/>
        <v>12</v>
      </c>
      <c r="P909" t="s">
        <v>651</v>
      </c>
      <c r="R909" t="s">
        <v>634</v>
      </c>
    </row>
    <row r="910" spans="1:18">
      <c r="A910">
        <v>15</v>
      </c>
      <c r="B910" t="s">
        <v>405</v>
      </c>
      <c r="C910" t="s">
        <v>483</v>
      </c>
      <c r="G910">
        <v>18</v>
      </c>
      <c r="H910" s="263"/>
      <c r="J910" t="s">
        <v>22</v>
      </c>
      <c r="K910" t="s">
        <v>30</v>
      </c>
      <c r="L910" t="s">
        <v>33</v>
      </c>
      <c r="M910" t="s">
        <v>594</v>
      </c>
      <c r="N910" s="263">
        <v>0.6</v>
      </c>
      <c r="O910" s="1">
        <f t="shared" si="26"/>
        <v>12</v>
      </c>
      <c r="P910" t="s">
        <v>651</v>
      </c>
      <c r="R910" t="s">
        <v>634</v>
      </c>
    </row>
    <row r="911" spans="1:18">
      <c r="A911">
        <v>15</v>
      </c>
      <c r="B911" t="s">
        <v>405</v>
      </c>
      <c r="C911" t="s">
        <v>483</v>
      </c>
      <c r="G911">
        <v>19</v>
      </c>
      <c r="H911" s="263"/>
      <c r="J911" t="s">
        <v>22</v>
      </c>
      <c r="K911" t="s">
        <v>30</v>
      </c>
      <c r="L911" t="s">
        <v>33</v>
      </c>
      <c r="M911" t="s">
        <v>594</v>
      </c>
      <c r="N911" s="263">
        <v>0.6</v>
      </c>
      <c r="O911" s="1">
        <f t="shared" si="26"/>
        <v>12</v>
      </c>
      <c r="P911" t="s">
        <v>651</v>
      </c>
      <c r="R911" t="s">
        <v>634</v>
      </c>
    </row>
    <row r="912" spans="1:18">
      <c r="A912">
        <v>15</v>
      </c>
      <c r="B912" t="s">
        <v>405</v>
      </c>
      <c r="C912" t="s">
        <v>483</v>
      </c>
      <c r="G912">
        <v>20</v>
      </c>
      <c r="H912" s="263"/>
      <c r="J912" t="s">
        <v>22</v>
      </c>
      <c r="K912" t="s">
        <v>30</v>
      </c>
      <c r="L912" t="s">
        <v>33</v>
      </c>
      <c r="M912" t="s">
        <v>594</v>
      </c>
      <c r="N912" s="263">
        <v>0.6</v>
      </c>
      <c r="O912" s="1">
        <f t="shared" si="26"/>
        <v>12</v>
      </c>
      <c r="P912" t="s">
        <v>651</v>
      </c>
      <c r="R912" t="s">
        <v>634</v>
      </c>
    </row>
    <row r="913" spans="1:18">
      <c r="A913">
        <v>15</v>
      </c>
      <c r="B913" t="s">
        <v>405</v>
      </c>
      <c r="C913" t="s">
        <v>483</v>
      </c>
      <c r="G913">
        <v>21</v>
      </c>
      <c r="H913" s="263"/>
      <c r="J913" t="s">
        <v>22</v>
      </c>
      <c r="K913" t="s">
        <v>30</v>
      </c>
      <c r="L913" t="s">
        <v>33</v>
      </c>
      <c r="M913" t="s">
        <v>594</v>
      </c>
      <c r="N913" s="263">
        <v>0.6</v>
      </c>
      <c r="O913" s="1">
        <f t="shared" si="26"/>
        <v>12</v>
      </c>
      <c r="P913" t="s">
        <v>651</v>
      </c>
      <c r="R913" t="s">
        <v>634</v>
      </c>
    </row>
    <row r="914" spans="1:18">
      <c r="A914">
        <v>15</v>
      </c>
      <c r="B914" t="s">
        <v>405</v>
      </c>
      <c r="C914" t="s">
        <v>483</v>
      </c>
      <c r="G914">
        <v>22</v>
      </c>
      <c r="H914" s="263"/>
      <c r="J914" t="s">
        <v>22</v>
      </c>
      <c r="K914" t="s">
        <v>30</v>
      </c>
      <c r="L914" t="s">
        <v>33</v>
      </c>
      <c r="M914" t="s">
        <v>594</v>
      </c>
      <c r="N914" s="263">
        <v>0.6</v>
      </c>
      <c r="O914" s="1">
        <f t="shared" si="26"/>
        <v>12</v>
      </c>
      <c r="P914" t="s">
        <v>651</v>
      </c>
      <c r="R914" t="s">
        <v>634</v>
      </c>
    </row>
    <row r="915" spans="1:18" hidden="1">
      <c r="A915">
        <v>15</v>
      </c>
      <c r="B915" t="s">
        <v>405</v>
      </c>
      <c r="C915" t="s">
        <v>483</v>
      </c>
      <c r="G915">
        <v>4</v>
      </c>
      <c r="J915" t="s">
        <v>22</v>
      </c>
      <c r="K915" t="s">
        <v>408</v>
      </c>
      <c r="L915" t="s">
        <v>33</v>
      </c>
      <c r="M915" t="s">
        <v>595</v>
      </c>
      <c r="O915" s="1">
        <v>13.97</v>
      </c>
      <c r="P915" t="s">
        <v>903</v>
      </c>
      <c r="R915" t="s">
        <v>634</v>
      </c>
    </row>
    <row r="916" spans="1:18" hidden="1">
      <c r="A916">
        <v>15</v>
      </c>
      <c r="B916" t="s">
        <v>405</v>
      </c>
      <c r="C916" t="s">
        <v>483</v>
      </c>
      <c r="G916">
        <v>5</v>
      </c>
      <c r="J916" t="s">
        <v>22</v>
      </c>
      <c r="K916" t="s">
        <v>408</v>
      </c>
      <c r="L916" t="s">
        <v>33</v>
      </c>
      <c r="M916" t="s">
        <v>595</v>
      </c>
      <c r="O916" s="1">
        <v>13.97</v>
      </c>
      <c r="P916" t="s">
        <v>903</v>
      </c>
      <c r="R916" t="s">
        <v>634</v>
      </c>
    </row>
    <row r="917" spans="1:18" hidden="1">
      <c r="A917">
        <v>15</v>
      </c>
      <c r="B917" t="s">
        <v>405</v>
      </c>
      <c r="C917" t="s">
        <v>483</v>
      </c>
      <c r="G917">
        <v>6</v>
      </c>
      <c r="J917" t="s">
        <v>22</v>
      </c>
      <c r="K917" t="s">
        <v>408</v>
      </c>
      <c r="L917" t="s">
        <v>33</v>
      </c>
      <c r="M917" t="s">
        <v>595</v>
      </c>
      <c r="O917" s="1">
        <v>13.97</v>
      </c>
      <c r="P917" t="s">
        <v>903</v>
      </c>
      <c r="R917" t="s">
        <v>634</v>
      </c>
    </row>
    <row r="918" spans="1:18" hidden="1">
      <c r="A918">
        <v>15</v>
      </c>
      <c r="B918" t="s">
        <v>405</v>
      </c>
      <c r="C918" t="s">
        <v>483</v>
      </c>
      <c r="G918">
        <v>7</v>
      </c>
      <c r="J918" t="s">
        <v>22</v>
      </c>
      <c r="K918" t="s">
        <v>408</v>
      </c>
      <c r="L918" t="s">
        <v>33</v>
      </c>
      <c r="M918" t="s">
        <v>595</v>
      </c>
      <c r="O918" s="1">
        <v>13.97</v>
      </c>
      <c r="P918" t="s">
        <v>903</v>
      </c>
      <c r="R918" t="s">
        <v>634</v>
      </c>
    </row>
    <row r="919" spans="1:18" hidden="1">
      <c r="A919">
        <v>15</v>
      </c>
      <c r="B919" t="s">
        <v>405</v>
      </c>
      <c r="C919" t="s">
        <v>483</v>
      </c>
      <c r="G919">
        <v>8</v>
      </c>
      <c r="J919" t="s">
        <v>22</v>
      </c>
      <c r="K919" t="s">
        <v>408</v>
      </c>
      <c r="L919" t="s">
        <v>33</v>
      </c>
      <c r="M919" t="s">
        <v>595</v>
      </c>
      <c r="O919" s="1">
        <v>13.97</v>
      </c>
      <c r="P919" t="s">
        <v>903</v>
      </c>
      <c r="R919" t="s">
        <v>634</v>
      </c>
    </row>
    <row r="920" spans="1:18" hidden="1">
      <c r="A920">
        <v>15</v>
      </c>
      <c r="B920" t="s">
        <v>405</v>
      </c>
      <c r="C920" t="s">
        <v>483</v>
      </c>
      <c r="G920">
        <v>9</v>
      </c>
      <c r="J920" t="s">
        <v>22</v>
      </c>
      <c r="K920" t="s">
        <v>408</v>
      </c>
      <c r="L920" t="s">
        <v>33</v>
      </c>
      <c r="M920" t="s">
        <v>595</v>
      </c>
      <c r="O920" s="1">
        <v>13.97</v>
      </c>
      <c r="P920" t="s">
        <v>903</v>
      </c>
      <c r="R920" t="s">
        <v>634</v>
      </c>
    </row>
    <row r="921" spans="1:18" hidden="1">
      <c r="A921">
        <v>15</v>
      </c>
      <c r="B921" t="s">
        <v>405</v>
      </c>
      <c r="C921" t="s">
        <v>483</v>
      </c>
      <c r="G921">
        <v>10</v>
      </c>
      <c r="J921" t="s">
        <v>22</v>
      </c>
      <c r="K921" t="s">
        <v>408</v>
      </c>
      <c r="L921" t="s">
        <v>33</v>
      </c>
      <c r="M921" t="s">
        <v>595</v>
      </c>
      <c r="O921" s="1">
        <v>13.97</v>
      </c>
      <c r="P921" t="s">
        <v>903</v>
      </c>
      <c r="R921" t="s">
        <v>634</v>
      </c>
    </row>
    <row r="922" spans="1:18" hidden="1">
      <c r="A922">
        <v>15</v>
      </c>
      <c r="B922" t="s">
        <v>405</v>
      </c>
      <c r="C922" t="s">
        <v>483</v>
      </c>
      <c r="G922">
        <v>11</v>
      </c>
      <c r="J922" t="s">
        <v>22</v>
      </c>
      <c r="K922" t="s">
        <v>408</v>
      </c>
      <c r="L922" t="s">
        <v>33</v>
      </c>
      <c r="M922" t="s">
        <v>595</v>
      </c>
      <c r="O922" s="1">
        <v>13.97</v>
      </c>
      <c r="P922" t="s">
        <v>903</v>
      </c>
      <c r="R922" t="s">
        <v>634</v>
      </c>
    </row>
    <row r="923" spans="1:18" hidden="1">
      <c r="A923">
        <v>15</v>
      </c>
      <c r="B923" t="s">
        <v>405</v>
      </c>
      <c r="C923" t="s">
        <v>483</v>
      </c>
      <c r="G923">
        <v>12</v>
      </c>
      <c r="J923" t="s">
        <v>22</v>
      </c>
      <c r="K923" t="s">
        <v>408</v>
      </c>
      <c r="L923" t="s">
        <v>33</v>
      </c>
      <c r="M923" t="s">
        <v>595</v>
      </c>
      <c r="O923" s="1">
        <v>13.97</v>
      </c>
      <c r="P923" t="s">
        <v>903</v>
      </c>
      <c r="R923" t="s">
        <v>634</v>
      </c>
    </row>
    <row r="924" spans="1:18" hidden="1">
      <c r="A924">
        <v>15</v>
      </c>
      <c r="B924" t="s">
        <v>405</v>
      </c>
      <c r="C924" t="s">
        <v>483</v>
      </c>
      <c r="G924">
        <v>13</v>
      </c>
      <c r="J924" t="s">
        <v>22</v>
      </c>
      <c r="K924" t="s">
        <v>408</v>
      </c>
      <c r="L924" t="s">
        <v>33</v>
      </c>
      <c r="M924" t="s">
        <v>595</v>
      </c>
      <c r="O924" s="1">
        <v>13.97</v>
      </c>
      <c r="P924" t="s">
        <v>903</v>
      </c>
      <c r="R924" t="s">
        <v>634</v>
      </c>
    </row>
    <row r="925" spans="1:18" hidden="1">
      <c r="A925">
        <v>15</v>
      </c>
      <c r="B925" t="s">
        <v>405</v>
      </c>
      <c r="C925" t="s">
        <v>483</v>
      </c>
      <c r="G925">
        <v>14</v>
      </c>
      <c r="J925" t="s">
        <v>22</v>
      </c>
      <c r="K925" t="s">
        <v>408</v>
      </c>
      <c r="L925" t="s">
        <v>33</v>
      </c>
      <c r="M925" t="s">
        <v>595</v>
      </c>
      <c r="O925" s="1">
        <v>13.97</v>
      </c>
      <c r="P925" t="s">
        <v>903</v>
      </c>
      <c r="R925" t="s">
        <v>634</v>
      </c>
    </row>
    <row r="926" spans="1:18" hidden="1">
      <c r="A926">
        <v>15</v>
      </c>
      <c r="B926" t="s">
        <v>405</v>
      </c>
      <c r="C926" t="s">
        <v>483</v>
      </c>
      <c r="G926">
        <v>15</v>
      </c>
      <c r="J926" t="s">
        <v>22</v>
      </c>
      <c r="K926" t="s">
        <v>408</v>
      </c>
      <c r="L926" t="s">
        <v>33</v>
      </c>
      <c r="M926" t="s">
        <v>595</v>
      </c>
      <c r="O926" s="1">
        <v>13.97</v>
      </c>
      <c r="P926" t="s">
        <v>903</v>
      </c>
      <c r="R926" t="s">
        <v>634</v>
      </c>
    </row>
    <row r="927" spans="1:18" hidden="1">
      <c r="A927">
        <v>15</v>
      </c>
      <c r="B927" t="s">
        <v>405</v>
      </c>
      <c r="C927" t="s">
        <v>483</v>
      </c>
      <c r="G927">
        <v>16</v>
      </c>
      <c r="J927" t="s">
        <v>22</v>
      </c>
      <c r="K927" t="s">
        <v>408</v>
      </c>
      <c r="L927" t="s">
        <v>33</v>
      </c>
      <c r="M927" t="s">
        <v>595</v>
      </c>
      <c r="O927" s="1">
        <v>13.97</v>
      </c>
      <c r="P927" t="s">
        <v>903</v>
      </c>
      <c r="R927" t="s">
        <v>634</v>
      </c>
    </row>
    <row r="928" spans="1:18" hidden="1">
      <c r="A928">
        <v>15</v>
      </c>
      <c r="B928" t="s">
        <v>405</v>
      </c>
      <c r="C928" t="s">
        <v>483</v>
      </c>
      <c r="G928">
        <v>17</v>
      </c>
      <c r="J928" t="s">
        <v>22</v>
      </c>
      <c r="K928" t="s">
        <v>408</v>
      </c>
      <c r="L928" t="s">
        <v>33</v>
      </c>
      <c r="M928" t="s">
        <v>595</v>
      </c>
      <c r="O928" s="1">
        <v>13.97</v>
      </c>
      <c r="P928" t="s">
        <v>903</v>
      </c>
      <c r="R928" t="s">
        <v>634</v>
      </c>
    </row>
    <row r="929" spans="1:18" hidden="1">
      <c r="A929">
        <v>15</v>
      </c>
      <c r="B929" t="s">
        <v>405</v>
      </c>
      <c r="C929" t="s">
        <v>483</v>
      </c>
      <c r="G929">
        <v>18</v>
      </c>
      <c r="J929" t="s">
        <v>22</v>
      </c>
      <c r="K929" t="s">
        <v>408</v>
      </c>
      <c r="L929" t="s">
        <v>33</v>
      </c>
      <c r="M929" t="s">
        <v>595</v>
      </c>
      <c r="O929" s="1">
        <v>13.97</v>
      </c>
      <c r="P929" t="s">
        <v>903</v>
      </c>
      <c r="R929" t="s">
        <v>634</v>
      </c>
    </row>
    <row r="930" spans="1:18" hidden="1">
      <c r="A930">
        <v>15</v>
      </c>
      <c r="B930" t="s">
        <v>405</v>
      </c>
      <c r="C930" t="s">
        <v>483</v>
      </c>
      <c r="G930">
        <v>19</v>
      </c>
      <c r="J930" t="s">
        <v>22</v>
      </c>
      <c r="K930" t="s">
        <v>408</v>
      </c>
      <c r="L930" t="s">
        <v>33</v>
      </c>
      <c r="M930" t="s">
        <v>595</v>
      </c>
      <c r="O930" s="1">
        <v>13.97</v>
      </c>
      <c r="P930" t="s">
        <v>903</v>
      </c>
      <c r="R930" t="s">
        <v>634</v>
      </c>
    </row>
    <row r="931" spans="1:18" hidden="1">
      <c r="A931">
        <v>15</v>
      </c>
      <c r="B931" t="s">
        <v>405</v>
      </c>
      <c r="C931" t="s">
        <v>483</v>
      </c>
      <c r="G931">
        <v>20</v>
      </c>
      <c r="J931" t="s">
        <v>22</v>
      </c>
      <c r="K931" t="s">
        <v>408</v>
      </c>
      <c r="L931" t="s">
        <v>33</v>
      </c>
      <c r="M931" t="s">
        <v>595</v>
      </c>
      <c r="O931" s="1">
        <v>13.97</v>
      </c>
      <c r="P931" t="s">
        <v>903</v>
      </c>
      <c r="R931" t="s">
        <v>634</v>
      </c>
    </row>
    <row r="932" spans="1:18" hidden="1">
      <c r="A932">
        <v>15</v>
      </c>
      <c r="B932" t="s">
        <v>405</v>
      </c>
      <c r="C932" t="s">
        <v>483</v>
      </c>
      <c r="G932">
        <v>21</v>
      </c>
      <c r="J932" t="s">
        <v>22</v>
      </c>
      <c r="K932" t="s">
        <v>408</v>
      </c>
      <c r="L932" t="s">
        <v>33</v>
      </c>
      <c r="M932" t="s">
        <v>595</v>
      </c>
      <c r="O932" s="1">
        <v>13.97</v>
      </c>
      <c r="P932" t="s">
        <v>903</v>
      </c>
      <c r="R932" t="s">
        <v>634</v>
      </c>
    </row>
    <row r="933" spans="1:18" hidden="1">
      <c r="A933">
        <v>15</v>
      </c>
      <c r="B933" t="s">
        <v>405</v>
      </c>
      <c r="C933" t="s">
        <v>483</v>
      </c>
      <c r="G933">
        <v>22</v>
      </c>
      <c r="J933" t="s">
        <v>22</v>
      </c>
      <c r="K933" t="s">
        <v>408</v>
      </c>
      <c r="L933" t="s">
        <v>33</v>
      </c>
      <c r="M933" t="s">
        <v>595</v>
      </c>
      <c r="O933" s="1">
        <v>13.97</v>
      </c>
      <c r="P933" t="s">
        <v>903</v>
      </c>
      <c r="R933" t="s">
        <v>634</v>
      </c>
    </row>
    <row r="934" spans="1:18" hidden="1">
      <c r="A934">
        <v>15</v>
      </c>
      <c r="B934" t="s">
        <v>405</v>
      </c>
      <c r="C934" t="s">
        <v>483</v>
      </c>
      <c r="G934">
        <v>4</v>
      </c>
      <c r="J934" t="s">
        <v>22</v>
      </c>
      <c r="K934" t="s">
        <v>71</v>
      </c>
      <c r="L934" t="s">
        <v>33</v>
      </c>
      <c r="M934" t="s">
        <v>596</v>
      </c>
      <c r="O934" s="1">
        <f>10*3.25*1</f>
        <v>32.5</v>
      </c>
      <c r="P934" t="s">
        <v>908</v>
      </c>
      <c r="R934" t="s">
        <v>634</v>
      </c>
    </row>
    <row r="935" spans="1:18" hidden="1">
      <c r="A935">
        <v>15</v>
      </c>
      <c r="B935" t="s">
        <v>405</v>
      </c>
      <c r="C935" t="s">
        <v>483</v>
      </c>
      <c r="G935">
        <v>5</v>
      </c>
      <c r="J935" t="s">
        <v>22</v>
      </c>
      <c r="K935" t="s">
        <v>71</v>
      </c>
      <c r="L935" t="s">
        <v>33</v>
      </c>
      <c r="M935" t="s">
        <v>596</v>
      </c>
      <c r="O935" s="1">
        <f t="shared" ref="O935:O952" si="27">10*3.25*1</f>
        <v>32.5</v>
      </c>
      <c r="P935" t="s">
        <v>908</v>
      </c>
      <c r="R935" t="s">
        <v>634</v>
      </c>
    </row>
    <row r="936" spans="1:18" hidden="1">
      <c r="A936">
        <v>15</v>
      </c>
      <c r="B936" t="s">
        <v>405</v>
      </c>
      <c r="C936" t="s">
        <v>483</v>
      </c>
      <c r="G936">
        <v>6</v>
      </c>
      <c r="J936" t="s">
        <v>22</v>
      </c>
      <c r="K936" t="s">
        <v>71</v>
      </c>
      <c r="L936" t="s">
        <v>33</v>
      </c>
      <c r="M936" t="s">
        <v>596</v>
      </c>
      <c r="O936" s="1">
        <f t="shared" si="27"/>
        <v>32.5</v>
      </c>
      <c r="P936" t="s">
        <v>908</v>
      </c>
      <c r="R936" t="s">
        <v>634</v>
      </c>
    </row>
    <row r="937" spans="1:18" hidden="1">
      <c r="A937">
        <v>15</v>
      </c>
      <c r="B937" t="s">
        <v>405</v>
      </c>
      <c r="C937" t="s">
        <v>483</v>
      </c>
      <c r="G937">
        <v>7</v>
      </c>
      <c r="J937" t="s">
        <v>22</v>
      </c>
      <c r="K937" t="s">
        <v>71</v>
      </c>
      <c r="L937" t="s">
        <v>33</v>
      </c>
      <c r="M937" t="s">
        <v>596</v>
      </c>
      <c r="O937" s="1">
        <f t="shared" si="27"/>
        <v>32.5</v>
      </c>
      <c r="P937" t="s">
        <v>908</v>
      </c>
      <c r="R937" t="s">
        <v>634</v>
      </c>
    </row>
    <row r="938" spans="1:18" hidden="1">
      <c r="A938">
        <v>15</v>
      </c>
      <c r="B938" t="s">
        <v>405</v>
      </c>
      <c r="C938" t="s">
        <v>483</v>
      </c>
      <c r="G938">
        <v>8</v>
      </c>
      <c r="J938" t="s">
        <v>22</v>
      </c>
      <c r="K938" t="s">
        <v>71</v>
      </c>
      <c r="L938" t="s">
        <v>33</v>
      </c>
      <c r="M938" t="s">
        <v>596</v>
      </c>
      <c r="O938" s="1">
        <f t="shared" si="27"/>
        <v>32.5</v>
      </c>
      <c r="P938" t="s">
        <v>908</v>
      </c>
      <c r="R938" t="s">
        <v>634</v>
      </c>
    </row>
    <row r="939" spans="1:18" hidden="1">
      <c r="A939">
        <v>15</v>
      </c>
      <c r="B939" t="s">
        <v>405</v>
      </c>
      <c r="C939" t="s">
        <v>483</v>
      </c>
      <c r="G939">
        <v>9</v>
      </c>
      <c r="J939" t="s">
        <v>22</v>
      </c>
      <c r="K939" t="s">
        <v>71</v>
      </c>
      <c r="L939" t="s">
        <v>33</v>
      </c>
      <c r="M939" t="s">
        <v>596</v>
      </c>
      <c r="O939" s="1">
        <f t="shared" si="27"/>
        <v>32.5</v>
      </c>
      <c r="P939" t="s">
        <v>908</v>
      </c>
      <c r="R939" t="s">
        <v>634</v>
      </c>
    </row>
    <row r="940" spans="1:18" hidden="1">
      <c r="A940">
        <v>15</v>
      </c>
      <c r="B940" t="s">
        <v>405</v>
      </c>
      <c r="C940" t="s">
        <v>483</v>
      </c>
      <c r="G940">
        <v>10</v>
      </c>
      <c r="J940" t="s">
        <v>22</v>
      </c>
      <c r="K940" t="s">
        <v>71</v>
      </c>
      <c r="L940" t="s">
        <v>33</v>
      </c>
      <c r="M940" t="s">
        <v>596</v>
      </c>
      <c r="O940" s="1">
        <f t="shared" si="27"/>
        <v>32.5</v>
      </c>
      <c r="P940" t="s">
        <v>908</v>
      </c>
      <c r="R940" t="s">
        <v>634</v>
      </c>
    </row>
    <row r="941" spans="1:18" hidden="1">
      <c r="A941">
        <v>15</v>
      </c>
      <c r="B941" t="s">
        <v>405</v>
      </c>
      <c r="C941" t="s">
        <v>483</v>
      </c>
      <c r="G941">
        <v>11</v>
      </c>
      <c r="J941" t="s">
        <v>22</v>
      </c>
      <c r="K941" t="s">
        <v>71</v>
      </c>
      <c r="L941" t="s">
        <v>33</v>
      </c>
      <c r="M941" t="s">
        <v>596</v>
      </c>
      <c r="O941" s="1">
        <f t="shared" si="27"/>
        <v>32.5</v>
      </c>
      <c r="P941" t="s">
        <v>908</v>
      </c>
      <c r="R941" t="s">
        <v>634</v>
      </c>
    </row>
    <row r="942" spans="1:18" hidden="1">
      <c r="A942">
        <v>15</v>
      </c>
      <c r="B942" t="s">
        <v>405</v>
      </c>
      <c r="C942" t="s">
        <v>483</v>
      </c>
      <c r="G942">
        <v>12</v>
      </c>
      <c r="J942" t="s">
        <v>22</v>
      </c>
      <c r="K942" t="s">
        <v>71</v>
      </c>
      <c r="L942" t="s">
        <v>33</v>
      </c>
      <c r="M942" t="s">
        <v>596</v>
      </c>
      <c r="O942" s="1">
        <f t="shared" si="27"/>
        <v>32.5</v>
      </c>
      <c r="P942" t="s">
        <v>908</v>
      </c>
      <c r="R942" t="s">
        <v>634</v>
      </c>
    </row>
    <row r="943" spans="1:18" hidden="1">
      <c r="A943">
        <v>15</v>
      </c>
      <c r="B943" t="s">
        <v>405</v>
      </c>
      <c r="C943" t="s">
        <v>483</v>
      </c>
      <c r="G943">
        <v>13</v>
      </c>
      <c r="J943" t="s">
        <v>22</v>
      </c>
      <c r="K943" t="s">
        <v>71</v>
      </c>
      <c r="L943" t="s">
        <v>33</v>
      </c>
      <c r="M943" t="s">
        <v>596</v>
      </c>
      <c r="O943" s="1">
        <f t="shared" si="27"/>
        <v>32.5</v>
      </c>
      <c r="P943" t="s">
        <v>908</v>
      </c>
      <c r="R943" t="s">
        <v>634</v>
      </c>
    </row>
    <row r="944" spans="1:18" hidden="1">
      <c r="A944">
        <v>15</v>
      </c>
      <c r="B944" t="s">
        <v>405</v>
      </c>
      <c r="C944" t="s">
        <v>483</v>
      </c>
      <c r="G944">
        <v>14</v>
      </c>
      <c r="J944" t="s">
        <v>22</v>
      </c>
      <c r="K944" t="s">
        <v>71</v>
      </c>
      <c r="L944" t="s">
        <v>33</v>
      </c>
      <c r="M944" t="s">
        <v>596</v>
      </c>
      <c r="O944" s="1">
        <f t="shared" si="27"/>
        <v>32.5</v>
      </c>
      <c r="P944" t="s">
        <v>908</v>
      </c>
      <c r="R944" t="s">
        <v>634</v>
      </c>
    </row>
    <row r="945" spans="1:18" hidden="1">
      <c r="A945">
        <v>15</v>
      </c>
      <c r="B945" t="s">
        <v>405</v>
      </c>
      <c r="C945" t="s">
        <v>483</v>
      </c>
      <c r="G945">
        <v>15</v>
      </c>
      <c r="J945" t="s">
        <v>22</v>
      </c>
      <c r="K945" t="s">
        <v>71</v>
      </c>
      <c r="L945" t="s">
        <v>33</v>
      </c>
      <c r="M945" t="s">
        <v>596</v>
      </c>
      <c r="O945" s="1">
        <f t="shared" si="27"/>
        <v>32.5</v>
      </c>
      <c r="P945" t="s">
        <v>908</v>
      </c>
      <c r="R945" t="s">
        <v>634</v>
      </c>
    </row>
    <row r="946" spans="1:18" hidden="1">
      <c r="A946">
        <v>15</v>
      </c>
      <c r="B946" t="s">
        <v>405</v>
      </c>
      <c r="C946" t="s">
        <v>483</v>
      </c>
      <c r="G946">
        <v>16</v>
      </c>
      <c r="J946" t="s">
        <v>22</v>
      </c>
      <c r="K946" t="s">
        <v>71</v>
      </c>
      <c r="L946" t="s">
        <v>33</v>
      </c>
      <c r="M946" t="s">
        <v>596</v>
      </c>
      <c r="O946" s="1">
        <f t="shared" si="27"/>
        <v>32.5</v>
      </c>
      <c r="P946" t="s">
        <v>908</v>
      </c>
      <c r="R946" t="s">
        <v>634</v>
      </c>
    </row>
    <row r="947" spans="1:18" hidden="1">
      <c r="A947">
        <v>15</v>
      </c>
      <c r="B947" t="s">
        <v>405</v>
      </c>
      <c r="C947" t="s">
        <v>483</v>
      </c>
      <c r="G947">
        <v>17</v>
      </c>
      <c r="J947" t="s">
        <v>22</v>
      </c>
      <c r="K947" t="s">
        <v>71</v>
      </c>
      <c r="L947" t="s">
        <v>33</v>
      </c>
      <c r="M947" t="s">
        <v>596</v>
      </c>
      <c r="O947" s="1">
        <f t="shared" si="27"/>
        <v>32.5</v>
      </c>
      <c r="P947" t="s">
        <v>908</v>
      </c>
      <c r="R947" t="s">
        <v>634</v>
      </c>
    </row>
    <row r="948" spans="1:18" hidden="1">
      <c r="A948">
        <v>15</v>
      </c>
      <c r="B948" t="s">
        <v>405</v>
      </c>
      <c r="C948" t="s">
        <v>483</v>
      </c>
      <c r="G948">
        <v>18</v>
      </c>
      <c r="J948" t="s">
        <v>22</v>
      </c>
      <c r="K948" t="s">
        <v>71</v>
      </c>
      <c r="L948" t="s">
        <v>33</v>
      </c>
      <c r="M948" t="s">
        <v>596</v>
      </c>
      <c r="O948" s="1">
        <f t="shared" si="27"/>
        <v>32.5</v>
      </c>
      <c r="P948" t="s">
        <v>908</v>
      </c>
      <c r="R948" t="s">
        <v>634</v>
      </c>
    </row>
    <row r="949" spans="1:18" hidden="1">
      <c r="A949">
        <v>15</v>
      </c>
      <c r="B949" t="s">
        <v>405</v>
      </c>
      <c r="C949" t="s">
        <v>483</v>
      </c>
      <c r="G949">
        <v>19</v>
      </c>
      <c r="J949" t="s">
        <v>22</v>
      </c>
      <c r="K949" t="s">
        <v>71</v>
      </c>
      <c r="L949" t="s">
        <v>33</v>
      </c>
      <c r="M949" t="s">
        <v>596</v>
      </c>
      <c r="O949" s="1">
        <f t="shared" si="27"/>
        <v>32.5</v>
      </c>
      <c r="P949" t="s">
        <v>908</v>
      </c>
      <c r="R949" t="s">
        <v>634</v>
      </c>
    </row>
    <row r="950" spans="1:18" hidden="1">
      <c r="A950">
        <v>15</v>
      </c>
      <c r="B950" t="s">
        <v>405</v>
      </c>
      <c r="C950" t="s">
        <v>483</v>
      </c>
      <c r="G950">
        <v>20</v>
      </c>
      <c r="J950" t="s">
        <v>22</v>
      </c>
      <c r="K950" t="s">
        <v>71</v>
      </c>
      <c r="L950" t="s">
        <v>33</v>
      </c>
      <c r="M950" t="s">
        <v>596</v>
      </c>
      <c r="O950" s="1">
        <f t="shared" si="27"/>
        <v>32.5</v>
      </c>
      <c r="P950" t="s">
        <v>908</v>
      </c>
      <c r="R950" t="s">
        <v>634</v>
      </c>
    </row>
    <row r="951" spans="1:18" hidden="1">
      <c r="A951">
        <v>15</v>
      </c>
      <c r="B951" t="s">
        <v>405</v>
      </c>
      <c r="C951" t="s">
        <v>483</v>
      </c>
      <c r="G951">
        <v>21</v>
      </c>
      <c r="J951" t="s">
        <v>22</v>
      </c>
      <c r="K951" t="s">
        <v>71</v>
      </c>
      <c r="L951" t="s">
        <v>33</v>
      </c>
      <c r="M951" t="s">
        <v>596</v>
      </c>
      <c r="O951" s="1">
        <f t="shared" si="27"/>
        <v>32.5</v>
      </c>
      <c r="P951" t="s">
        <v>908</v>
      </c>
      <c r="R951" t="s">
        <v>634</v>
      </c>
    </row>
    <row r="952" spans="1:18" hidden="1">
      <c r="A952">
        <v>15</v>
      </c>
      <c r="B952" t="s">
        <v>405</v>
      </c>
      <c r="C952" t="s">
        <v>483</v>
      </c>
      <c r="G952">
        <v>22</v>
      </c>
      <c r="J952" t="s">
        <v>22</v>
      </c>
      <c r="K952" t="s">
        <v>71</v>
      </c>
      <c r="L952" t="s">
        <v>33</v>
      </c>
      <c r="M952" t="s">
        <v>596</v>
      </c>
      <c r="O952" s="1">
        <f t="shared" si="27"/>
        <v>32.5</v>
      </c>
      <c r="P952" t="s">
        <v>908</v>
      </c>
      <c r="R952" t="s">
        <v>634</v>
      </c>
    </row>
    <row r="953" spans="1:18" hidden="1">
      <c r="A953">
        <v>15</v>
      </c>
      <c r="B953" t="s">
        <v>405</v>
      </c>
      <c r="C953" t="s">
        <v>483</v>
      </c>
      <c r="G953">
        <v>4</v>
      </c>
      <c r="J953" t="s">
        <v>22</v>
      </c>
      <c r="K953" t="s">
        <v>71</v>
      </c>
      <c r="L953" t="s">
        <v>33</v>
      </c>
      <c r="M953" t="s">
        <v>597</v>
      </c>
      <c r="O953" s="1">
        <f>5*0.5*1</f>
        <v>2.5</v>
      </c>
      <c r="P953" t="s">
        <v>653</v>
      </c>
      <c r="R953" t="s">
        <v>634</v>
      </c>
    </row>
    <row r="954" spans="1:18" hidden="1">
      <c r="A954">
        <v>15</v>
      </c>
      <c r="B954" t="s">
        <v>405</v>
      </c>
      <c r="C954" t="s">
        <v>483</v>
      </c>
      <c r="G954">
        <v>5</v>
      </c>
      <c r="J954" t="s">
        <v>22</v>
      </c>
      <c r="K954" t="s">
        <v>71</v>
      </c>
      <c r="L954" t="s">
        <v>33</v>
      </c>
      <c r="M954" t="s">
        <v>597</v>
      </c>
      <c r="O954" s="1">
        <f t="shared" ref="O954:O971" si="28">5*0.5*1</f>
        <v>2.5</v>
      </c>
      <c r="P954" t="s">
        <v>653</v>
      </c>
      <c r="R954" t="s">
        <v>634</v>
      </c>
    </row>
    <row r="955" spans="1:18" hidden="1">
      <c r="A955">
        <v>15</v>
      </c>
      <c r="B955" t="s">
        <v>405</v>
      </c>
      <c r="C955" t="s">
        <v>483</v>
      </c>
      <c r="G955">
        <v>6</v>
      </c>
      <c r="J955" t="s">
        <v>22</v>
      </c>
      <c r="K955" t="s">
        <v>71</v>
      </c>
      <c r="L955" t="s">
        <v>33</v>
      </c>
      <c r="M955" t="s">
        <v>597</v>
      </c>
      <c r="O955" s="1">
        <f t="shared" si="28"/>
        <v>2.5</v>
      </c>
      <c r="P955" t="s">
        <v>653</v>
      </c>
      <c r="R955" t="s">
        <v>634</v>
      </c>
    </row>
    <row r="956" spans="1:18" hidden="1">
      <c r="A956">
        <v>15</v>
      </c>
      <c r="B956" t="s">
        <v>405</v>
      </c>
      <c r="C956" t="s">
        <v>483</v>
      </c>
      <c r="G956">
        <v>7</v>
      </c>
      <c r="J956" t="s">
        <v>22</v>
      </c>
      <c r="K956" t="s">
        <v>71</v>
      </c>
      <c r="L956" t="s">
        <v>33</v>
      </c>
      <c r="M956" t="s">
        <v>597</v>
      </c>
      <c r="O956" s="1">
        <f t="shared" si="28"/>
        <v>2.5</v>
      </c>
      <c r="P956" t="s">
        <v>653</v>
      </c>
      <c r="R956" t="s">
        <v>634</v>
      </c>
    </row>
    <row r="957" spans="1:18" hidden="1">
      <c r="A957">
        <v>15</v>
      </c>
      <c r="B957" t="s">
        <v>405</v>
      </c>
      <c r="C957" t="s">
        <v>483</v>
      </c>
      <c r="G957">
        <v>8</v>
      </c>
      <c r="J957" t="s">
        <v>22</v>
      </c>
      <c r="K957" t="s">
        <v>71</v>
      </c>
      <c r="L957" t="s">
        <v>33</v>
      </c>
      <c r="M957" t="s">
        <v>597</v>
      </c>
      <c r="O957" s="1">
        <f t="shared" si="28"/>
        <v>2.5</v>
      </c>
      <c r="P957" t="s">
        <v>653</v>
      </c>
      <c r="R957" t="s">
        <v>634</v>
      </c>
    </row>
    <row r="958" spans="1:18" hidden="1">
      <c r="A958">
        <v>15</v>
      </c>
      <c r="B958" t="s">
        <v>405</v>
      </c>
      <c r="C958" t="s">
        <v>483</v>
      </c>
      <c r="G958">
        <v>9</v>
      </c>
      <c r="J958" t="s">
        <v>22</v>
      </c>
      <c r="K958" t="s">
        <v>71</v>
      </c>
      <c r="L958" t="s">
        <v>33</v>
      </c>
      <c r="M958" t="s">
        <v>597</v>
      </c>
      <c r="O958" s="1">
        <f t="shared" si="28"/>
        <v>2.5</v>
      </c>
      <c r="P958" t="s">
        <v>653</v>
      </c>
      <c r="R958" t="s">
        <v>634</v>
      </c>
    </row>
    <row r="959" spans="1:18" hidden="1">
      <c r="A959">
        <v>15</v>
      </c>
      <c r="B959" t="s">
        <v>405</v>
      </c>
      <c r="C959" t="s">
        <v>483</v>
      </c>
      <c r="G959">
        <v>10</v>
      </c>
      <c r="J959" t="s">
        <v>22</v>
      </c>
      <c r="K959" t="s">
        <v>71</v>
      </c>
      <c r="L959" t="s">
        <v>33</v>
      </c>
      <c r="M959" t="s">
        <v>597</v>
      </c>
      <c r="O959" s="1">
        <f t="shared" si="28"/>
        <v>2.5</v>
      </c>
      <c r="P959" t="s">
        <v>653</v>
      </c>
      <c r="R959" t="s">
        <v>634</v>
      </c>
    </row>
    <row r="960" spans="1:18" hidden="1">
      <c r="A960">
        <v>15</v>
      </c>
      <c r="B960" t="s">
        <v>405</v>
      </c>
      <c r="C960" t="s">
        <v>483</v>
      </c>
      <c r="G960">
        <v>11</v>
      </c>
      <c r="J960" t="s">
        <v>22</v>
      </c>
      <c r="K960" t="s">
        <v>71</v>
      </c>
      <c r="L960" t="s">
        <v>33</v>
      </c>
      <c r="M960" t="s">
        <v>597</v>
      </c>
      <c r="O960" s="1">
        <f t="shared" si="28"/>
        <v>2.5</v>
      </c>
      <c r="P960" t="s">
        <v>653</v>
      </c>
      <c r="R960" t="s">
        <v>634</v>
      </c>
    </row>
    <row r="961" spans="1:18" hidden="1">
      <c r="A961">
        <v>15</v>
      </c>
      <c r="B961" t="s">
        <v>405</v>
      </c>
      <c r="C961" t="s">
        <v>483</v>
      </c>
      <c r="G961">
        <v>12</v>
      </c>
      <c r="J961" t="s">
        <v>22</v>
      </c>
      <c r="K961" t="s">
        <v>71</v>
      </c>
      <c r="L961" t="s">
        <v>33</v>
      </c>
      <c r="M961" t="s">
        <v>597</v>
      </c>
      <c r="O961" s="1">
        <f t="shared" si="28"/>
        <v>2.5</v>
      </c>
      <c r="P961" t="s">
        <v>653</v>
      </c>
      <c r="R961" t="s">
        <v>634</v>
      </c>
    </row>
    <row r="962" spans="1:18" hidden="1">
      <c r="A962">
        <v>15</v>
      </c>
      <c r="B962" t="s">
        <v>405</v>
      </c>
      <c r="C962" t="s">
        <v>483</v>
      </c>
      <c r="G962">
        <v>13</v>
      </c>
      <c r="J962" t="s">
        <v>22</v>
      </c>
      <c r="K962" t="s">
        <v>71</v>
      </c>
      <c r="L962" t="s">
        <v>33</v>
      </c>
      <c r="M962" t="s">
        <v>597</v>
      </c>
      <c r="O962" s="1">
        <f t="shared" si="28"/>
        <v>2.5</v>
      </c>
      <c r="P962" t="s">
        <v>653</v>
      </c>
      <c r="R962" t="s">
        <v>634</v>
      </c>
    </row>
    <row r="963" spans="1:18" hidden="1">
      <c r="A963">
        <v>15</v>
      </c>
      <c r="B963" t="s">
        <v>405</v>
      </c>
      <c r="C963" t="s">
        <v>483</v>
      </c>
      <c r="G963">
        <v>14</v>
      </c>
      <c r="J963" t="s">
        <v>22</v>
      </c>
      <c r="K963" t="s">
        <v>71</v>
      </c>
      <c r="L963" t="s">
        <v>33</v>
      </c>
      <c r="M963" t="s">
        <v>597</v>
      </c>
      <c r="O963" s="1">
        <f t="shared" si="28"/>
        <v>2.5</v>
      </c>
      <c r="P963" t="s">
        <v>653</v>
      </c>
      <c r="R963" t="s">
        <v>634</v>
      </c>
    </row>
    <row r="964" spans="1:18" hidden="1">
      <c r="A964">
        <v>15</v>
      </c>
      <c r="B964" t="s">
        <v>405</v>
      </c>
      <c r="C964" t="s">
        <v>483</v>
      </c>
      <c r="G964">
        <v>15</v>
      </c>
      <c r="J964" t="s">
        <v>22</v>
      </c>
      <c r="K964" t="s">
        <v>71</v>
      </c>
      <c r="L964" t="s">
        <v>33</v>
      </c>
      <c r="M964" t="s">
        <v>597</v>
      </c>
      <c r="O964" s="1">
        <f t="shared" si="28"/>
        <v>2.5</v>
      </c>
      <c r="P964" t="s">
        <v>653</v>
      </c>
      <c r="R964" t="s">
        <v>634</v>
      </c>
    </row>
    <row r="965" spans="1:18" hidden="1">
      <c r="A965">
        <v>15</v>
      </c>
      <c r="B965" t="s">
        <v>405</v>
      </c>
      <c r="C965" t="s">
        <v>483</v>
      </c>
      <c r="G965">
        <v>16</v>
      </c>
      <c r="J965" t="s">
        <v>22</v>
      </c>
      <c r="K965" t="s">
        <v>71</v>
      </c>
      <c r="L965" t="s">
        <v>33</v>
      </c>
      <c r="M965" t="s">
        <v>597</v>
      </c>
      <c r="O965" s="1">
        <f t="shared" si="28"/>
        <v>2.5</v>
      </c>
      <c r="P965" t="s">
        <v>653</v>
      </c>
      <c r="R965" t="s">
        <v>634</v>
      </c>
    </row>
    <row r="966" spans="1:18" hidden="1">
      <c r="A966">
        <v>15</v>
      </c>
      <c r="B966" t="s">
        <v>405</v>
      </c>
      <c r="C966" t="s">
        <v>483</v>
      </c>
      <c r="G966">
        <v>17</v>
      </c>
      <c r="J966" t="s">
        <v>22</v>
      </c>
      <c r="K966" t="s">
        <v>71</v>
      </c>
      <c r="L966" t="s">
        <v>33</v>
      </c>
      <c r="M966" t="s">
        <v>597</v>
      </c>
      <c r="O966" s="1">
        <f t="shared" si="28"/>
        <v>2.5</v>
      </c>
      <c r="P966" t="s">
        <v>653</v>
      </c>
      <c r="R966" t="s">
        <v>634</v>
      </c>
    </row>
    <row r="967" spans="1:18" hidden="1">
      <c r="A967">
        <v>15</v>
      </c>
      <c r="B967" t="s">
        <v>405</v>
      </c>
      <c r="C967" t="s">
        <v>483</v>
      </c>
      <c r="G967">
        <v>18</v>
      </c>
      <c r="J967" t="s">
        <v>22</v>
      </c>
      <c r="K967" t="s">
        <v>71</v>
      </c>
      <c r="L967" t="s">
        <v>33</v>
      </c>
      <c r="M967" t="s">
        <v>597</v>
      </c>
      <c r="O967" s="1">
        <f t="shared" si="28"/>
        <v>2.5</v>
      </c>
      <c r="P967" t="s">
        <v>653</v>
      </c>
      <c r="R967" t="s">
        <v>634</v>
      </c>
    </row>
    <row r="968" spans="1:18" hidden="1">
      <c r="A968">
        <v>15</v>
      </c>
      <c r="B968" t="s">
        <v>405</v>
      </c>
      <c r="C968" t="s">
        <v>483</v>
      </c>
      <c r="G968">
        <v>19</v>
      </c>
      <c r="J968" t="s">
        <v>22</v>
      </c>
      <c r="K968" t="s">
        <v>71</v>
      </c>
      <c r="L968" t="s">
        <v>33</v>
      </c>
      <c r="M968" t="s">
        <v>597</v>
      </c>
      <c r="O968" s="1">
        <f t="shared" si="28"/>
        <v>2.5</v>
      </c>
      <c r="P968" t="s">
        <v>653</v>
      </c>
      <c r="R968" t="s">
        <v>634</v>
      </c>
    </row>
    <row r="969" spans="1:18" hidden="1">
      <c r="A969">
        <v>15</v>
      </c>
      <c r="B969" t="s">
        <v>405</v>
      </c>
      <c r="C969" t="s">
        <v>483</v>
      </c>
      <c r="G969">
        <v>20</v>
      </c>
      <c r="J969" t="s">
        <v>22</v>
      </c>
      <c r="K969" t="s">
        <v>71</v>
      </c>
      <c r="L969" t="s">
        <v>33</v>
      </c>
      <c r="M969" t="s">
        <v>597</v>
      </c>
      <c r="O969" s="1">
        <f t="shared" si="28"/>
        <v>2.5</v>
      </c>
      <c r="P969" t="s">
        <v>653</v>
      </c>
      <c r="R969" t="s">
        <v>634</v>
      </c>
    </row>
    <row r="970" spans="1:18" hidden="1">
      <c r="A970">
        <v>15</v>
      </c>
      <c r="B970" t="s">
        <v>405</v>
      </c>
      <c r="C970" t="s">
        <v>483</v>
      </c>
      <c r="G970">
        <v>21</v>
      </c>
      <c r="J970" t="s">
        <v>22</v>
      </c>
      <c r="K970" t="s">
        <v>71</v>
      </c>
      <c r="L970" t="s">
        <v>33</v>
      </c>
      <c r="M970" t="s">
        <v>597</v>
      </c>
      <c r="O970" s="1">
        <f t="shared" si="28"/>
        <v>2.5</v>
      </c>
      <c r="P970" t="s">
        <v>653</v>
      </c>
      <c r="R970" t="s">
        <v>634</v>
      </c>
    </row>
    <row r="971" spans="1:18" hidden="1">
      <c r="A971">
        <v>15</v>
      </c>
      <c r="B971" t="s">
        <v>405</v>
      </c>
      <c r="C971" t="s">
        <v>483</v>
      </c>
      <c r="G971">
        <v>22</v>
      </c>
      <c r="J971" t="s">
        <v>22</v>
      </c>
      <c r="K971" t="s">
        <v>71</v>
      </c>
      <c r="L971" t="s">
        <v>33</v>
      </c>
      <c r="M971" t="s">
        <v>597</v>
      </c>
      <c r="O971" s="1">
        <f t="shared" si="28"/>
        <v>2.5</v>
      </c>
      <c r="P971" t="s">
        <v>653</v>
      </c>
      <c r="R971" t="s">
        <v>634</v>
      </c>
    </row>
    <row r="972" spans="1:18">
      <c r="A972">
        <v>15</v>
      </c>
      <c r="B972" t="s">
        <v>405</v>
      </c>
      <c r="C972" t="s">
        <v>483</v>
      </c>
      <c r="G972">
        <v>4</v>
      </c>
      <c r="H972" s="263"/>
      <c r="J972" t="s">
        <v>22</v>
      </c>
      <c r="K972" t="s">
        <v>30</v>
      </c>
      <c r="L972" t="s">
        <v>33</v>
      </c>
      <c r="M972" t="s">
        <v>598</v>
      </c>
      <c r="N972" s="263">
        <v>0.6</v>
      </c>
      <c r="O972" s="1">
        <f>0.6*20*1</f>
        <v>12</v>
      </c>
      <c r="P972" t="s">
        <v>651</v>
      </c>
      <c r="R972" t="s">
        <v>634</v>
      </c>
    </row>
    <row r="973" spans="1:18">
      <c r="A973">
        <v>15</v>
      </c>
      <c r="B973" t="s">
        <v>405</v>
      </c>
      <c r="C973" t="s">
        <v>483</v>
      </c>
      <c r="G973">
        <v>5</v>
      </c>
      <c r="H973" s="263"/>
      <c r="J973" t="s">
        <v>22</v>
      </c>
      <c r="K973" t="s">
        <v>30</v>
      </c>
      <c r="L973" t="s">
        <v>33</v>
      </c>
      <c r="M973" t="s">
        <v>598</v>
      </c>
      <c r="N973" s="263">
        <v>0.6</v>
      </c>
      <c r="O973" s="1">
        <f t="shared" ref="O973:O990" si="29">0.6*20*1</f>
        <v>12</v>
      </c>
      <c r="P973" t="s">
        <v>651</v>
      </c>
      <c r="R973" t="s">
        <v>634</v>
      </c>
    </row>
    <row r="974" spans="1:18">
      <c r="A974">
        <v>15</v>
      </c>
      <c r="B974" t="s">
        <v>405</v>
      </c>
      <c r="C974" t="s">
        <v>483</v>
      </c>
      <c r="G974">
        <v>6</v>
      </c>
      <c r="H974" s="263"/>
      <c r="J974" t="s">
        <v>22</v>
      </c>
      <c r="K974" t="s">
        <v>30</v>
      </c>
      <c r="L974" t="s">
        <v>33</v>
      </c>
      <c r="M974" t="s">
        <v>598</v>
      </c>
      <c r="N974" s="263">
        <v>0.6</v>
      </c>
      <c r="O974" s="1">
        <f t="shared" si="29"/>
        <v>12</v>
      </c>
      <c r="P974" t="s">
        <v>651</v>
      </c>
      <c r="R974" t="s">
        <v>634</v>
      </c>
    </row>
    <row r="975" spans="1:18">
      <c r="A975">
        <v>15</v>
      </c>
      <c r="B975" t="s">
        <v>405</v>
      </c>
      <c r="C975" t="s">
        <v>483</v>
      </c>
      <c r="G975">
        <v>7</v>
      </c>
      <c r="H975" s="263"/>
      <c r="J975" t="s">
        <v>22</v>
      </c>
      <c r="K975" t="s">
        <v>30</v>
      </c>
      <c r="L975" t="s">
        <v>33</v>
      </c>
      <c r="M975" t="s">
        <v>598</v>
      </c>
      <c r="N975" s="263">
        <v>0.6</v>
      </c>
      <c r="O975" s="1">
        <f t="shared" si="29"/>
        <v>12</v>
      </c>
      <c r="P975" t="s">
        <v>651</v>
      </c>
      <c r="R975" t="s">
        <v>634</v>
      </c>
    </row>
    <row r="976" spans="1:18">
      <c r="A976">
        <v>15</v>
      </c>
      <c r="B976" t="s">
        <v>405</v>
      </c>
      <c r="C976" t="s">
        <v>483</v>
      </c>
      <c r="G976">
        <v>8</v>
      </c>
      <c r="H976" s="263"/>
      <c r="J976" t="s">
        <v>22</v>
      </c>
      <c r="K976" t="s">
        <v>30</v>
      </c>
      <c r="L976" t="s">
        <v>33</v>
      </c>
      <c r="M976" t="s">
        <v>598</v>
      </c>
      <c r="N976" s="263">
        <v>0.6</v>
      </c>
      <c r="O976" s="1">
        <f t="shared" si="29"/>
        <v>12</v>
      </c>
      <c r="P976" t="s">
        <v>651</v>
      </c>
      <c r="R976" t="s">
        <v>634</v>
      </c>
    </row>
    <row r="977" spans="1:18">
      <c r="A977">
        <v>15</v>
      </c>
      <c r="B977" t="s">
        <v>405</v>
      </c>
      <c r="C977" t="s">
        <v>483</v>
      </c>
      <c r="G977">
        <v>9</v>
      </c>
      <c r="H977" s="263"/>
      <c r="J977" t="s">
        <v>22</v>
      </c>
      <c r="K977" t="s">
        <v>30</v>
      </c>
      <c r="L977" t="s">
        <v>33</v>
      </c>
      <c r="M977" t="s">
        <v>598</v>
      </c>
      <c r="N977" s="263">
        <v>0.6</v>
      </c>
      <c r="O977" s="1">
        <f t="shared" si="29"/>
        <v>12</v>
      </c>
      <c r="P977" t="s">
        <v>651</v>
      </c>
      <c r="R977" t="s">
        <v>634</v>
      </c>
    </row>
    <row r="978" spans="1:18">
      <c r="A978">
        <v>15</v>
      </c>
      <c r="B978" t="s">
        <v>405</v>
      </c>
      <c r="C978" t="s">
        <v>483</v>
      </c>
      <c r="G978">
        <v>10</v>
      </c>
      <c r="H978" s="263"/>
      <c r="J978" t="s">
        <v>22</v>
      </c>
      <c r="K978" t="s">
        <v>30</v>
      </c>
      <c r="L978" t="s">
        <v>33</v>
      </c>
      <c r="M978" t="s">
        <v>598</v>
      </c>
      <c r="N978" s="263">
        <v>0.6</v>
      </c>
      <c r="O978" s="1">
        <f t="shared" si="29"/>
        <v>12</v>
      </c>
      <c r="P978" t="s">
        <v>651</v>
      </c>
      <c r="R978" t="s">
        <v>634</v>
      </c>
    </row>
    <row r="979" spans="1:18">
      <c r="A979">
        <v>15</v>
      </c>
      <c r="B979" t="s">
        <v>405</v>
      </c>
      <c r="C979" t="s">
        <v>483</v>
      </c>
      <c r="G979">
        <v>11</v>
      </c>
      <c r="H979" s="263"/>
      <c r="J979" t="s">
        <v>22</v>
      </c>
      <c r="K979" t="s">
        <v>30</v>
      </c>
      <c r="L979" t="s">
        <v>33</v>
      </c>
      <c r="M979" t="s">
        <v>598</v>
      </c>
      <c r="N979" s="263">
        <v>0.6</v>
      </c>
      <c r="O979" s="1">
        <f t="shared" si="29"/>
        <v>12</v>
      </c>
      <c r="P979" t="s">
        <v>651</v>
      </c>
      <c r="R979" t="s">
        <v>634</v>
      </c>
    </row>
    <row r="980" spans="1:18">
      <c r="A980">
        <v>15</v>
      </c>
      <c r="B980" t="s">
        <v>405</v>
      </c>
      <c r="C980" t="s">
        <v>483</v>
      </c>
      <c r="G980">
        <v>12</v>
      </c>
      <c r="H980" s="263"/>
      <c r="J980" t="s">
        <v>22</v>
      </c>
      <c r="K980" t="s">
        <v>30</v>
      </c>
      <c r="L980" t="s">
        <v>33</v>
      </c>
      <c r="M980" t="s">
        <v>598</v>
      </c>
      <c r="N980" s="263">
        <v>0.6</v>
      </c>
      <c r="O980" s="1">
        <f t="shared" si="29"/>
        <v>12</v>
      </c>
      <c r="P980" t="s">
        <v>651</v>
      </c>
      <c r="R980" t="s">
        <v>634</v>
      </c>
    </row>
    <row r="981" spans="1:18">
      <c r="A981">
        <v>15</v>
      </c>
      <c r="B981" t="s">
        <v>405</v>
      </c>
      <c r="C981" t="s">
        <v>483</v>
      </c>
      <c r="G981">
        <v>13</v>
      </c>
      <c r="H981" s="263"/>
      <c r="J981" t="s">
        <v>22</v>
      </c>
      <c r="K981" t="s">
        <v>30</v>
      </c>
      <c r="L981" t="s">
        <v>33</v>
      </c>
      <c r="M981" t="s">
        <v>598</v>
      </c>
      <c r="N981" s="263">
        <v>0.6</v>
      </c>
      <c r="O981" s="1">
        <f t="shared" si="29"/>
        <v>12</v>
      </c>
      <c r="P981" t="s">
        <v>651</v>
      </c>
      <c r="R981" t="s">
        <v>634</v>
      </c>
    </row>
    <row r="982" spans="1:18">
      <c r="A982">
        <v>15</v>
      </c>
      <c r="B982" t="s">
        <v>405</v>
      </c>
      <c r="C982" t="s">
        <v>483</v>
      </c>
      <c r="G982">
        <v>14</v>
      </c>
      <c r="H982" s="263"/>
      <c r="J982" t="s">
        <v>22</v>
      </c>
      <c r="K982" t="s">
        <v>30</v>
      </c>
      <c r="L982" t="s">
        <v>33</v>
      </c>
      <c r="M982" t="s">
        <v>598</v>
      </c>
      <c r="N982" s="263">
        <v>0.6</v>
      </c>
      <c r="O982" s="1">
        <f t="shared" si="29"/>
        <v>12</v>
      </c>
      <c r="P982" t="s">
        <v>651</v>
      </c>
      <c r="R982" t="s">
        <v>634</v>
      </c>
    </row>
    <row r="983" spans="1:18">
      <c r="A983">
        <v>15</v>
      </c>
      <c r="B983" t="s">
        <v>405</v>
      </c>
      <c r="C983" t="s">
        <v>483</v>
      </c>
      <c r="G983">
        <v>15</v>
      </c>
      <c r="H983" s="263"/>
      <c r="J983" t="s">
        <v>22</v>
      </c>
      <c r="K983" t="s">
        <v>30</v>
      </c>
      <c r="L983" t="s">
        <v>33</v>
      </c>
      <c r="M983" t="s">
        <v>598</v>
      </c>
      <c r="N983" s="263">
        <v>0.6</v>
      </c>
      <c r="O983" s="1">
        <f t="shared" si="29"/>
        <v>12</v>
      </c>
      <c r="P983" t="s">
        <v>651</v>
      </c>
      <c r="R983" t="s">
        <v>634</v>
      </c>
    </row>
    <row r="984" spans="1:18">
      <c r="A984">
        <v>15</v>
      </c>
      <c r="B984" t="s">
        <v>405</v>
      </c>
      <c r="C984" t="s">
        <v>483</v>
      </c>
      <c r="G984">
        <v>16</v>
      </c>
      <c r="H984" s="263"/>
      <c r="J984" t="s">
        <v>22</v>
      </c>
      <c r="K984" t="s">
        <v>30</v>
      </c>
      <c r="L984" t="s">
        <v>33</v>
      </c>
      <c r="M984" t="s">
        <v>598</v>
      </c>
      <c r="N984" s="263">
        <v>0.6</v>
      </c>
      <c r="O984" s="1">
        <f t="shared" si="29"/>
        <v>12</v>
      </c>
      <c r="P984" t="s">
        <v>651</v>
      </c>
      <c r="R984" t="s">
        <v>634</v>
      </c>
    </row>
    <row r="985" spans="1:18">
      <c r="A985">
        <v>15</v>
      </c>
      <c r="B985" t="s">
        <v>405</v>
      </c>
      <c r="C985" t="s">
        <v>483</v>
      </c>
      <c r="G985">
        <v>17</v>
      </c>
      <c r="H985" s="263"/>
      <c r="J985" t="s">
        <v>22</v>
      </c>
      <c r="K985" t="s">
        <v>30</v>
      </c>
      <c r="L985" t="s">
        <v>33</v>
      </c>
      <c r="M985" t="s">
        <v>598</v>
      </c>
      <c r="N985" s="263">
        <v>0.6</v>
      </c>
      <c r="O985" s="1">
        <f t="shared" si="29"/>
        <v>12</v>
      </c>
      <c r="P985" t="s">
        <v>651</v>
      </c>
      <c r="R985" t="s">
        <v>634</v>
      </c>
    </row>
    <row r="986" spans="1:18">
      <c r="A986">
        <v>15</v>
      </c>
      <c r="B986" t="s">
        <v>405</v>
      </c>
      <c r="C986" t="s">
        <v>483</v>
      </c>
      <c r="G986">
        <v>18</v>
      </c>
      <c r="H986" s="263"/>
      <c r="J986" t="s">
        <v>22</v>
      </c>
      <c r="K986" t="s">
        <v>30</v>
      </c>
      <c r="L986" t="s">
        <v>33</v>
      </c>
      <c r="M986" t="s">
        <v>598</v>
      </c>
      <c r="N986" s="263">
        <v>0.6</v>
      </c>
      <c r="O986" s="1">
        <f t="shared" si="29"/>
        <v>12</v>
      </c>
      <c r="P986" t="s">
        <v>651</v>
      </c>
      <c r="R986" t="s">
        <v>634</v>
      </c>
    </row>
    <row r="987" spans="1:18">
      <c r="A987">
        <v>15</v>
      </c>
      <c r="B987" t="s">
        <v>405</v>
      </c>
      <c r="C987" t="s">
        <v>483</v>
      </c>
      <c r="G987">
        <v>19</v>
      </c>
      <c r="H987" s="263"/>
      <c r="J987" t="s">
        <v>22</v>
      </c>
      <c r="K987" t="s">
        <v>30</v>
      </c>
      <c r="L987" t="s">
        <v>33</v>
      </c>
      <c r="M987" t="s">
        <v>598</v>
      </c>
      <c r="N987" s="263">
        <v>0.6</v>
      </c>
      <c r="O987" s="1">
        <f t="shared" si="29"/>
        <v>12</v>
      </c>
      <c r="P987" t="s">
        <v>651</v>
      </c>
      <c r="R987" t="s">
        <v>634</v>
      </c>
    </row>
    <row r="988" spans="1:18">
      <c r="A988">
        <v>15</v>
      </c>
      <c r="B988" t="s">
        <v>405</v>
      </c>
      <c r="C988" t="s">
        <v>483</v>
      </c>
      <c r="G988">
        <v>20</v>
      </c>
      <c r="H988" s="263"/>
      <c r="J988" t="s">
        <v>22</v>
      </c>
      <c r="K988" t="s">
        <v>30</v>
      </c>
      <c r="L988" t="s">
        <v>33</v>
      </c>
      <c r="M988" t="s">
        <v>598</v>
      </c>
      <c r="N988" s="263">
        <v>0.6</v>
      </c>
      <c r="O988" s="1">
        <f t="shared" si="29"/>
        <v>12</v>
      </c>
      <c r="P988" t="s">
        <v>651</v>
      </c>
      <c r="R988" t="s">
        <v>634</v>
      </c>
    </row>
    <row r="989" spans="1:18">
      <c r="A989">
        <v>15</v>
      </c>
      <c r="B989" t="s">
        <v>405</v>
      </c>
      <c r="C989" t="s">
        <v>483</v>
      </c>
      <c r="G989">
        <v>21</v>
      </c>
      <c r="H989" s="263"/>
      <c r="J989" t="s">
        <v>22</v>
      </c>
      <c r="K989" t="s">
        <v>30</v>
      </c>
      <c r="L989" t="s">
        <v>33</v>
      </c>
      <c r="M989" t="s">
        <v>598</v>
      </c>
      <c r="N989" s="263">
        <v>0.6</v>
      </c>
      <c r="O989" s="1">
        <f t="shared" si="29"/>
        <v>12</v>
      </c>
      <c r="P989" t="s">
        <v>651</v>
      </c>
      <c r="R989" t="s">
        <v>634</v>
      </c>
    </row>
    <row r="990" spans="1:18">
      <c r="A990">
        <v>15</v>
      </c>
      <c r="B990" t="s">
        <v>405</v>
      </c>
      <c r="C990" t="s">
        <v>483</v>
      </c>
      <c r="G990">
        <v>22</v>
      </c>
      <c r="H990" s="263"/>
      <c r="J990" t="s">
        <v>22</v>
      </c>
      <c r="K990" t="s">
        <v>30</v>
      </c>
      <c r="L990" t="s">
        <v>33</v>
      </c>
      <c r="M990" t="s">
        <v>598</v>
      </c>
      <c r="N990" s="263">
        <v>0.6</v>
      </c>
      <c r="O990" s="1">
        <f t="shared" si="29"/>
        <v>12</v>
      </c>
      <c r="P990" t="s">
        <v>651</v>
      </c>
      <c r="R990" t="s">
        <v>634</v>
      </c>
    </row>
    <row r="991" spans="1:18" hidden="1">
      <c r="A991">
        <v>15</v>
      </c>
      <c r="B991" t="s">
        <v>405</v>
      </c>
      <c r="C991" t="s">
        <v>483</v>
      </c>
      <c r="G991">
        <v>4</v>
      </c>
      <c r="J991" t="s">
        <v>22</v>
      </c>
      <c r="K991" t="s">
        <v>408</v>
      </c>
      <c r="L991" t="s">
        <v>33</v>
      </c>
      <c r="M991" t="s">
        <v>599</v>
      </c>
      <c r="O991" s="1">
        <v>13.97</v>
      </c>
      <c r="P991" t="s">
        <v>903</v>
      </c>
      <c r="R991" t="s">
        <v>634</v>
      </c>
    </row>
    <row r="992" spans="1:18" hidden="1">
      <c r="A992">
        <v>15</v>
      </c>
      <c r="B992" t="s">
        <v>405</v>
      </c>
      <c r="C992" t="s">
        <v>483</v>
      </c>
      <c r="G992">
        <v>5</v>
      </c>
      <c r="J992" t="s">
        <v>22</v>
      </c>
      <c r="K992" t="s">
        <v>408</v>
      </c>
      <c r="L992" t="s">
        <v>33</v>
      </c>
      <c r="M992" t="s">
        <v>599</v>
      </c>
      <c r="O992" s="1">
        <v>13.97</v>
      </c>
      <c r="P992" t="s">
        <v>903</v>
      </c>
      <c r="R992" t="s">
        <v>634</v>
      </c>
    </row>
    <row r="993" spans="1:18" hidden="1">
      <c r="A993">
        <v>15</v>
      </c>
      <c r="B993" t="s">
        <v>405</v>
      </c>
      <c r="C993" t="s">
        <v>483</v>
      </c>
      <c r="G993">
        <v>6</v>
      </c>
      <c r="J993" t="s">
        <v>22</v>
      </c>
      <c r="K993" t="s">
        <v>408</v>
      </c>
      <c r="L993" t="s">
        <v>33</v>
      </c>
      <c r="M993" t="s">
        <v>599</v>
      </c>
      <c r="O993" s="1">
        <v>13.97</v>
      </c>
      <c r="P993" t="s">
        <v>903</v>
      </c>
      <c r="R993" t="s">
        <v>634</v>
      </c>
    </row>
    <row r="994" spans="1:18" hidden="1">
      <c r="A994">
        <v>15</v>
      </c>
      <c r="B994" t="s">
        <v>405</v>
      </c>
      <c r="C994" t="s">
        <v>483</v>
      </c>
      <c r="G994">
        <v>7</v>
      </c>
      <c r="J994" t="s">
        <v>22</v>
      </c>
      <c r="K994" t="s">
        <v>408</v>
      </c>
      <c r="L994" t="s">
        <v>33</v>
      </c>
      <c r="M994" t="s">
        <v>599</v>
      </c>
      <c r="O994" s="1">
        <v>13.97</v>
      </c>
      <c r="P994" t="s">
        <v>903</v>
      </c>
      <c r="R994" t="s">
        <v>634</v>
      </c>
    </row>
    <row r="995" spans="1:18" hidden="1">
      <c r="A995">
        <v>15</v>
      </c>
      <c r="B995" t="s">
        <v>405</v>
      </c>
      <c r="C995" t="s">
        <v>483</v>
      </c>
      <c r="G995">
        <v>8</v>
      </c>
      <c r="J995" t="s">
        <v>22</v>
      </c>
      <c r="K995" t="s">
        <v>408</v>
      </c>
      <c r="L995" t="s">
        <v>33</v>
      </c>
      <c r="M995" t="s">
        <v>599</v>
      </c>
      <c r="O995" s="1">
        <v>13.97</v>
      </c>
      <c r="P995" t="s">
        <v>903</v>
      </c>
      <c r="R995" t="s">
        <v>634</v>
      </c>
    </row>
    <row r="996" spans="1:18" hidden="1">
      <c r="A996">
        <v>15</v>
      </c>
      <c r="B996" t="s">
        <v>405</v>
      </c>
      <c r="C996" t="s">
        <v>483</v>
      </c>
      <c r="G996">
        <v>9</v>
      </c>
      <c r="J996" t="s">
        <v>22</v>
      </c>
      <c r="K996" t="s">
        <v>408</v>
      </c>
      <c r="L996" t="s">
        <v>33</v>
      </c>
      <c r="M996" t="s">
        <v>599</v>
      </c>
      <c r="O996" s="1">
        <v>13.97</v>
      </c>
      <c r="P996" t="s">
        <v>903</v>
      </c>
      <c r="R996" t="s">
        <v>634</v>
      </c>
    </row>
    <row r="997" spans="1:18" hidden="1">
      <c r="A997">
        <v>15</v>
      </c>
      <c r="B997" t="s">
        <v>405</v>
      </c>
      <c r="C997" t="s">
        <v>483</v>
      </c>
      <c r="G997">
        <v>10</v>
      </c>
      <c r="J997" t="s">
        <v>22</v>
      </c>
      <c r="K997" t="s">
        <v>408</v>
      </c>
      <c r="L997" t="s">
        <v>33</v>
      </c>
      <c r="M997" t="s">
        <v>599</v>
      </c>
      <c r="O997" s="1">
        <v>13.97</v>
      </c>
      <c r="P997" t="s">
        <v>903</v>
      </c>
      <c r="R997" t="s">
        <v>634</v>
      </c>
    </row>
    <row r="998" spans="1:18" hidden="1">
      <c r="A998">
        <v>15</v>
      </c>
      <c r="B998" t="s">
        <v>405</v>
      </c>
      <c r="C998" t="s">
        <v>483</v>
      </c>
      <c r="G998">
        <v>11</v>
      </c>
      <c r="J998" t="s">
        <v>22</v>
      </c>
      <c r="K998" t="s">
        <v>408</v>
      </c>
      <c r="L998" t="s">
        <v>33</v>
      </c>
      <c r="M998" t="s">
        <v>599</v>
      </c>
      <c r="O998" s="1">
        <v>13.97</v>
      </c>
      <c r="P998" t="s">
        <v>903</v>
      </c>
      <c r="R998" t="s">
        <v>634</v>
      </c>
    </row>
    <row r="999" spans="1:18" hidden="1">
      <c r="A999">
        <v>15</v>
      </c>
      <c r="B999" t="s">
        <v>405</v>
      </c>
      <c r="C999" t="s">
        <v>483</v>
      </c>
      <c r="G999">
        <v>12</v>
      </c>
      <c r="J999" t="s">
        <v>22</v>
      </c>
      <c r="K999" t="s">
        <v>408</v>
      </c>
      <c r="L999" t="s">
        <v>33</v>
      </c>
      <c r="M999" t="s">
        <v>599</v>
      </c>
      <c r="O999" s="1">
        <v>13.97</v>
      </c>
      <c r="P999" t="s">
        <v>903</v>
      </c>
      <c r="R999" t="s">
        <v>634</v>
      </c>
    </row>
    <row r="1000" spans="1:18" hidden="1">
      <c r="A1000">
        <v>15</v>
      </c>
      <c r="B1000" t="s">
        <v>405</v>
      </c>
      <c r="C1000" t="s">
        <v>483</v>
      </c>
      <c r="G1000">
        <v>13</v>
      </c>
      <c r="J1000" t="s">
        <v>22</v>
      </c>
      <c r="K1000" t="s">
        <v>408</v>
      </c>
      <c r="L1000" t="s">
        <v>33</v>
      </c>
      <c r="M1000" t="s">
        <v>599</v>
      </c>
      <c r="O1000" s="1">
        <v>13.97</v>
      </c>
      <c r="P1000" t="s">
        <v>903</v>
      </c>
      <c r="R1000" t="s">
        <v>634</v>
      </c>
    </row>
    <row r="1001" spans="1:18" hidden="1">
      <c r="A1001">
        <v>15</v>
      </c>
      <c r="B1001" t="s">
        <v>405</v>
      </c>
      <c r="C1001" t="s">
        <v>483</v>
      </c>
      <c r="G1001">
        <v>14</v>
      </c>
      <c r="J1001" t="s">
        <v>22</v>
      </c>
      <c r="K1001" t="s">
        <v>408</v>
      </c>
      <c r="L1001" t="s">
        <v>33</v>
      </c>
      <c r="M1001" t="s">
        <v>599</v>
      </c>
      <c r="O1001" s="1">
        <v>13.97</v>
      </c>
      <c r="P1001" t="s">
        <v>903</v>
      </c>
      <c r="R1001" t="s">
        <v>634</v>
      </c>
    </row>
    <row r="1002" spans="1:18" hidden="1">
      <c r="A1002">
        <v>15</v>
      </c>
      <c r="B1002" t="s">
        <v>405</v>
      </c>
      <c r="C1002" t="s">
        <v>483</v>
      </c>
      <c r="G1002">
        <v>15</v>
      </c>
      <c r="J1002" t="s">
        <v>22</v>
      </c>
      <c r="K1002" t="s">
        <v>408</v>
      </c>
      <c r="L1002" t="s">
        <v>33</v>
      </c>
      <c r="M1002" t="s">
        <v>599</v>
      </c>
      <c r="O1002" s="1">
        <v>13.97</v>
      </c>
      <c r="P1002" t="s">
        <v>903</v>
      </c>
      <c r="R1002" t="s">
        <v>634</v>
      </c>
    </row>
    <row r="1003" spans="1:18" hidden="1">
      <c r="A1003">
        <v>15</v>
      </c>
      <c r="B1003" t="s">
        <v>405</v>
      </c>
      <c r="C1003" t="s">
        <v>483</v>
      </c>
      <c r="G1003">
        <v>16</v>
      </c>
      <c r="J1003" t="s">
        <v>22</v>
      </c>
      <c r="K1003" t="s">
        <v>408</v>
      </c>
      <c r="L1003" t="s">
        <v>33</v>
      </c>
      <c r="M1003" t="s">
        <v>599</v>
      </c>
      <c r="O1003" s="1">
        <v>13.97</v>
      </c>
      <c r="P1003" t="s">
        <v>903</v>
      </c>
      <c r="R1003" t="s">
        <v>634</v>
      </c>
    </row>
    <row r="1004" spans="1:18" hidden="1">
      <c r="A1004">
        <v>15</v>
      </c>
      <c r="B1004" t="s">
        <v>405</v>
      </c>
      <c r="C1004" t="s">
        <v>483</v>
      </c>
      <c r="G1004">
        <v>17</v>
      </c>
      <c r="J1004" t="s">
        <v>22</v>
      </c>
      <c r="K1004" t="s">
        <v>408</v>
      </c>
      <c r="L1004" t="s">
        <v>33</v>
      </c>
      <c r="M1004" t="s">
        <v>599</v>
      </c>
      <c r="O1004" s="1">
        <v>13.97</v>
      </c>
      <c r="P1004" t="s">
        <v>903</v>
      </c>
      <c r="R1004" t="s">
        <v>634</v>
      </c>
    </row>
    <row r="1005" spans="1:18" hidden="1">
      <c r="A1005">
        <v>15</v>
      </c>
      <c r="B1005" t="s">
        <v>405</v>
      </c>
      <c r="C1005" t="s">
        <v>483</v>
      </c>
      <c r="G1005">
        <v>18</v>
      </c>
      <c r="J1005" t="s">
        <v>22</v>
      </c>
      <c r="K1005" t="s">
        <v>408</v>
      </c>
      <c r="L1005" t="s">
        <v>33</v>
      </c>
      <c r="M1005" t="s">
        <v>599</v>
      </c>
      <c r="O1005" s="1">
        <v>13.97</v>
      </c>
      <c r="P1005" t="s">
        <v>903</v>
      </c>
      <c r="R1005" t="s">
        <v>634</v>
      </c>
    </row>
    <row r="1006" spans="1:18" hidden="1">
      <c r="A1006">
        <v>15</v>
      </c>
      <c r="B1006" t="s">
        <v>405</v>
      </c>
      <c r="C1006" t="s">
        <v>483</v>
      </c>
      <c r="G1006">
        <v>19</v>
      </c>
      <c r="J1006" t="s">
        <v>22</v>
      </c>
      <c r="K1006" t="s">
        <v>408</v>
      </c>
      <c r="L1006" t="s">
        <v>33</v>
      </c>
      <c r="M1006" t="s">
        <v>599</v>
      </c>
      <c r="O1006" s="1">
        <v>13.97</v>
      </c>
      <c r="P1006" t="s">
        <v>903</v>
      </c>
      <c r="R1006" t="s">
        <v>634</v>
      </c>
    </row>
    <row r="1007" spans="1:18" hidden="1">
      <c r="A1007">
        <v>15</v>
      </c>
      <c r="B1007" t="s">
        <v>405</v>
      </c>
      <c r="C1007" t="s">
        <v>483</v>
      </c>
      <c r="G1007">
        <v>20</v>
      </c>
      <c r="J1007" t="s">
        <v>22</v>
      </c>
      <c r="K1007" t="s">
        <v>408</v>
      </c>
      <c r="L1007" t="s">
        <v>33</v>
      </c>
      <c r="M1007" t="s">
        <v>599</v>
      </c>
      <c r="O1007" s="1">
        <v>13.97</v>
      </c>
      <c r="P1007" t="s">
        <v>903</v>
      </c>
      <c r="R1007" t="s">
        <v>634</v>
      </c>
    </row>
    <row r="1008" spans="1:18" hidden="1">
      <c r="A1008">
        <v>15</v>
      </c>
      <c r="B1008" t="s">
        <v>405</v>
      </c>
      <c r="C1008" t="s">
        <v>483</v>
      </c>
      <c r="G1008">
        <v>21</v>
      </c>
      <c r="J1008" t="s">
        <v>22</v>
      </c>
      <c r="K1008" t="s">
        <v>408</v>
      </c>
      <c r="L1008" t="s">
        <v>33</v>
      </c>
      <c r="M1008" t="s">
        <v>599</v>
      </c>
      <c r="O1008" s="1">
        <v>13.97</v>
      </c>
      <c r="P1008" t="s">
        <v>903</v>
      </c>
      <c r="R1008" t="s">
        <v>634</v>
      </c>
    </row>
    <row r="1009" spans="1:18" hidden="1">
      <c r="A1009">
        <v>15</v>
      </c>
      <c r="B1009" t="s">
        <v>405</v>
      </c>
      <c r="C1009" t="s">
        <v>483</v>
      </c>
      <c r="G1009">
        <v>22</v>
      </c>
      <c r="J1009" t="s">
        <v>22</v>
      </c>
      <c r="K1009" t="s">
        <v>408</v>
      </c>
      <c r="L1009" t="s">
        <v>33</v>
      </c>
      <c r="M1009" t="s">
        <v>599</v>
      </c>
      <c r="O1009" s="1">
        <v>13.97</v>
      </c>
      <c r="P1009" t="s">
        <v>903</v>
      </c>
      <c r="R1009" t="s">
        <v>634</v>
      </c>
    </row>
    <row r="1010" spans="1:18" hidden="1">
      <c r="A1010">
        <v>15</v>
      </c>
      <c r="B1010" t="s">
        <v>405</v>
      </c>
      <c r="C1010" t="s">
        <v>483</v>
      </c>
      <c r="G1010">
        <v>4</v>
      </c>
      <c r="J1010" t="s">
        <v>22</v>
      </c>
      <c r="K1010" t="s">
        <v>71</v>
      </c>
      <c r="L1010" t="s">
        <v>33</v>
      </c>
      <c r="M1010" t="s">
        <v>600</v>
      </c>
      <c r="O1010" s="1">
        <f>7*2.34*1</f>
        <v>16.38</v>
      </c>
      <c r="P1010" t="s">
        <v>652</v>
      </c>
      <c r="R1010" t="s">
        <v>634</v>
      </c>
    </row>
    <row r="1011" spans="1:18" hidden="1">
      <c r="A1011">
        <v>15</v>
      </c>
      <c r="B1011" t="s">
        <v>405</v>
      </c>
      <c r="C1011" t="s">
        <v>483</v>
      </c>
      <c r="G1011">
        <v>5</v>
      </c>
      <c r="J1011" t="s">
        <v>22</v>
      </c>
      <c r="K1011" t="s">
        <v>71</v>
      </c>
      <c r="L1011" t="s">
        <v>33</v>
      </c>
      <c r="M1011" t="s">
        <v>600</v>
      </c>
      <c r="O1011" s="1">
        <f t="shared" ref="O1011:O1028" si="30">7*2.34*1</f>
        <v>16.38</v>
      </c>
      <c r="P1011" t="s">
        <v>652</v>
      </c>
      <c r="R1011" t="s">
        <v>634</v>
      </c>
    </row>
    <row r="1012" spans="1:18" hidden="1">
      <c r="A1012">
        <v>15</v>
      </c>
      <c r="B1012" t="s">
        <v>405</v>
      </c>
      <c r="C1012" t="s">
        <v>483</v>
      </c>
      <c r="G1012">
        <v>6</v>
      </c>
      <c r="J1012" t="s">
        <v>22</v>
      </c>
      <c r="K1012" t="s">
        <v>71</v>
      </c>
      <c r="L1012" t="s">
        <v>33</v>
      </c>
      <c r="M1012" t="s">
        <v>600</v>
      </c>
      <c r="O1012" s="1">
        <f t="shared" si="30"/>
        <v>16.38</v>
      </c>
      <c r="P1012" t="s">
        <v>652</v>
      </c>
      <c r="R1012" t="s">
        <v>634</v>
      </c>
    </row>
    <row r="1013" spans="1:18" hidden="1">
      <c r="A1013">
        <v>15</v>
      </c>
      <c r="B1013" t="s">
        <v>405</v>
      </c>
      <c r="C1013" t="s">
        <v>483</v>
      </c>
      <c r="G1013">
        <v>7</v>
      </c>
      <c r="J1013" t="s">
        <v>22</v>
      </c>
      <c r="K1013" t="s">
        <v>71</v>
      </c>
      <c r="L1013" t="s">
        <v>33</v>
      </c>
      <c r="M1013" t="s">
        <v>600</v>
      </c>
      <c r="O1013" s="1">
        <f t="shared" si="30"/>
        <v>16.38</v>
      </c>
      <c r="P1013" t="s">
        <v>652</v>
      </c>
      <c r="R1013" t="s">
        <v>634</v>
      </c>
    </row>
    <row r="1014" spans="1:18" hidden="1">
      <c r="A1014">
        <v>15</v>
      </c>
      <c r="B1014" t="s">
        <v>405</v>
      </c>
      <c r="C1014" t="s">
        <v>483</v>
      </c>
      <c r="G1014">
        <v>8</v>
      </c>
      <c r="J1014" t="s">
        <v>22</v>
      </c>
      <c r="K1014" t="s">
        <v>71</v>
      </c>
      <c r="L1014" t="s">
        <v>33</v>
      </c>
      <c r="M1014" t="s">
        <v>600</v>
      </c>
      <c r="O1014" s="1">
        <f t="shared" si="30"/>
        <v>16.38</v>
      </c>
      <c r="P1014" t="s">
        <v>652</v>
      </c>
      <c r="R1014" t="s">
        <v>634</v>
      </c>
    </row>
    <row r="1015" spans="1:18" hidden="1">
      <c r="A1015">
        <v>15</v>
      </c>
      <c r="B1015" t="s">
        <v>405</v>
      </c>
      <c r="C1015" t="s">
        <v>483</v>
      </c>
      <c r="G1015">
        <v>9</v>
      </c>
      <c r="J1015" t="s">
        <v>22</v>
      </c>
      <c r="K1015" t="s">
        <v>71</v>
      </c>
      <c r="L1015" t="s">
        <v>33</v>
      </c>
      <c r="M1015" t="s">
        <v>600</v>
      </c>
      <c r="O1015" s="1">
        <f t="shared" si="30"/>
        <v>16.38</v>
      </c>
      <c r="P1015" t="s">
        <v>652</v>
      </c>
      <c r="R1015" t="s">
        <v>634</v>
      </c>
    </row>
    <row r="1016" spans="1:18" hidden="1">
      <c r="A1016">
        <v>15</v>
      </c>
      <c r="B1016" t="s">
        <v>405</v>
      </c>
      <c r="C1016" t="s">
        <v>483</v>
      </c>
      <c r="G1016">
        <v>10</v>
      </c>
      <c r="J1016" t="s">
        <v>22</v>
      </c>
      <c r="K1016" t="s">
        <v>71</v>
      </c>
      <c r="L1016" t="s">
        <v>33</v>
      </c>
      <c r="M1016" t="s">
        <v>600</v>
      </c>
      <c r="O1016" s="1">
        <f t="shared" si="30"/>
        <v>16.38</v>
      </c>
      <c r="P1016" t="s">
        <v>652</v>
      </c>
      <c r="R1016" t="s">
        <v>634</v>
      </c>
    </row>
    <row r="1017" spans="1:18" hidden="1">
      <c r="A1017">
        <v>15</v>
      </c>
      <c r="B1017" t="s">
        <v>405</v>
      </c>
      <c r="C1017" t="s">
        <v>483</v>
      </c>
      <c r="G1017">
        <v>11</v>
      </c>
      <c r="J1017" t="s">
        <v>22</v>
      </c>
      <c r="K1017" t="s">
        <v>71</v>
      </c>
      <c r="L1017" t="s">
        <v>33</v>
      </c>
      <c r="M1017" t="s">
        <v>600</v>
      </c>
      <c r="O1017" s="1">
        <f t="shared" si="30"/>
        <v>16.38</v>
      </c>
      <c r="P1017" t="s">
        <v>652</v>
      </c>
      <c r="R1017" t="s">
        <v>634</v>
      </c>
    </row>
    <row r="1018" spans="1:18" hidden="1">
      <c r="A1018">
        <v>15</v>
      </c>
      <c r="B1018" t="s">
        <v>405</v>
      </c>
      <c r="C1018" t="s">
        <v>483</v>
      </c>
      <c r="G1018">
        <v>12</v>
      </c>
      <c r="J1018" t="s">
        <v>22</v>
      </c>
      <c r="K1018" t="s">
        <v>71</v>
      </c>
      <c r="L1018" t="s">
        <v>33</v>
      </c>
      <c r="M1018" t="s">
        <v>600</v>
      </c>
      <c r="O1018" s="1">
        <f t="shared" si="30"/>
        <v>16.38</v>
      </c>
      <c r="P1018" t="s">
        <v>652</v>
      </c>
      <c r="R1018" t="s">
        <v>634</v>
      </c>
    </row>
    <row r="1019" spans="1:18" hidden="1">
      <c r="A1019">
        <v>15</v>
      </c>
      <c r="B1019" t="s">
        <v>405</v>
      </c>
      <c r="C1019" t="s">
        <v>483</v>
      </c>
      <c r="G1019">
        <v>13</v>
      </c>
      <c r="J1019" t="s">
        <v>22</v>
      </c>
      <c r="K1019" t="s">
        <v>71</v>
      </c>
      <c r="L1019" t="s">
        <v>33</v>
      </c>
      <c r="M1019" t="s">
        <v>600</v>
      </c>
      <c r="O1019" s="1">
        <f t="shared" si="30"/>
        <v>16.38</v>
      </c>
      <c r="P1019" t="s">
        <v>652</v>
      </c>
      <c r="R1019" t="s">
        <v>634</v>
      </c>
    </row>
    <row r="1020" spans="1:18" hidden="1">
      <c r="A1020">
        <v>15</v>
      </c>
      <c r="B1020" t="s">
        <v>405</v>
      </c>
      <c r="C1020" t="s">
        <v>483</v>
      </c>
      <c r="G1020">
        <v>14</v>
      </c>
      <c r="J1020" t="s">
        <v>22</v>
      </c>
      <c r="K1020" t="s">
        <v>71</v>
      </c>
      <c r="L1020" t="s">
        <v>33</v>
      </c>
      <c r="M1020" t="s">
        <v>600</v>
      </c>
      <c r="O1020" s="1">
        <f t="shared" si="30"/>
        <v>16.38</v>
      </c>
      <c r="P1020" t="s">
        <v>652</v>
      </c>
      <c r="R1020" t="s">
        <v>634</v>
      </c>
    </row>
    <row r="1021" spans="1:18" hidden="1">
      <c r="A1021">
        <v>15</v>
      </c>
      <c r="B1021" t="s">
        <v>405</v>
      </c>
      <c r="C1021" t="s">
        <v>483</v>
      </c>
      <c r="G1021">
        <v>15</v>
      </c>
      <c r="J1021" t="s">
        <v>22</v>
      </c>
      <c r="K1021" t="s">
        <v>71</v>
      </c>
      <c r="L1021" t="s">
        <v>33</v>
      </c>
      <c r="M1021" t="s">
        <v>600</v>
      </c>
      <c r="O1021" s="1">
        <f t="shared" si="30"/>
        <v>16.38</v>
      </c>
      <c r="P1021" t="s">
        <v>652</v>
      </c>
      <c r="R1021" t="s">
        <v>634</v>
      </c>
    </row>
    <row r="1022" spans="1:18" hidden="1">
      <c r="A1022">
        <v>15</v>
      </c>
      <c r="B1022" t="s">
        <v>405</v>
      </c>
      <c r="C1022" t="s">
        <v>483</v>
      </c>
      <c r="G1022">
        <v>16</v>
      </c>
      <c r="J1022" t="s">
        <v>22</v>
      </c>
      <c r="K1022" t="s">
        <v>71</v>
      </c>
      <c r="L1022" t="s">
        <v>33</v>
      </c>
      <c r="M1022" t="s">
        <v>600</v>
      </c>
      <c r="O1022" s="1">
        <f t="shared" si="30"/>
        <v>16.38</v>
      </c>
      <c r="P1022" t="s">
        <v>652</v>
      </c>
      <c r="R1022" t="s">
        <v>634</v>
      </c>
    </row>
    <row r="1023" spans="1:18" hidden="1">
      <c r="A1023">
        <v>15</v>
      </c>
      <c r="B1023" t="s">
        <v>405</v>
      </c>
      <c r="C1023" t="s">
        <v>483</v>
      </c>
      <c r="G1023">
        <v>17</v>
      </c>
      <c r="J1023" t="s">
        <v>22</v>
      </c>
      <c r="K1023" t="s">
        <v>71</v>
      </c>
      <c r="L1023" t="s">
        <v>33</v>
      </c>
      <c r="M1023" t="s">
        <v>600</v>
      </c>
      <c r="O1023" s="1">
        <f t="shared" si="30"/>
        <v>16.38</v>
      </c>
      <c r="P1023" t="s">
        <v>652</v>
      </c>
      <c r="R1023" t="s">
        <v>634</v>
      </c>
    </row>
    <row r="1024" spans="1:18" hidden="1">
      <c r="A1024">
        <v>15</v>
      </c>
      <c r="B1024" t="s">
        <v>405</v>
      </c>
      <c r="C1024" t="s">
        <v>483</v>
      </c>
      <c r="G1024">
        <v>18</v>
      </c>
      <c r="J1024" t="s">
        <v>22</v>
      </c>
      <c r="K1024" t="s">
        <v>71</v>
      </c>
      <c r="L1024" t="s">
        <v>33</v>
      </c>
      <c r="M1024" t="s">
        <v>600</v>
      </c>
      <c r="O1024" s="1">
        <f t="shared" si="30"/>
        <v>16.38</v>
      </c>
      <c r="P1024" t="s">
        <v>652</v>
      </c>
      <c r="R1024" t="s">
        <v>634</v>
      </c>
    </row>
    <row r="1025" spans="1:18" hidden="1">
      <c r="A1025">
        <v>15</v>
      </c>
      <c r="B1025" t="s">
        <v>405</v>
      </c>
      <c r="C1025" t="s">
        <v>483</v>
      </c>
      <c r="G1025">
        <v>19</v>
      </c>
      <c r="J1025" t="s">
        <v>22</v>
      </c>
      <c r="K1025" t="s">
        <v>71</v>
      </c>
      <c r="L1025" t="s">
        <v>33</v>
      </c>
      <c r="M1025" t="s">
        <v>600</v>
      </c>
      <c r="O1025" s="1">
        <f t="shared" si="30"/>
        <v>16.38</v>
      </c>
      <c r="P1025" t="s">
        <v>652</v>
      </c>
      <c r="R1025" t="s">
        <v>634</v>
      </c>
    </row>
    <row r="1026" spans="1:18" hidden="1">
      <c r="A1026">
        <v>15</v>
      </c>
      <c r="B1026" t="s">
        <v>405</v>
      </c>
      <c r="C1026" t="s">
        <v>483</v>
      </c>
      <c r="G1026">
        <v>20</v>
      </c>
      <c r="J1026" t="s">
        <v>22</v>
      </c>
      <c r="K1026" t="s">
        <v>71</v>
      </c>
      <c r="L1026" t="s">
        <v>33</v>
      </c>
      <c r="M1026" t="s">
        <v>600</v>
      </c>
      <c r="O1026" s="1">
        <f t="shared" si="30"/>
        <v>16.38</v>
      </c>
      <c r="P1026" t="s">
        <v>652</v>
      </c>
      <c r="R1026" t="s">
        <v>634</v>
      </c>
    </row>
    <row r="1027" spans="1:18" hidden="1">
      <c r="A1027">
        <v>15</v>
      </c>
      <c r="B1027" t="s">
        <v>405</v>
      </c>
      <c r="C1027" t="s">
        <v>483</v>
      </c>
      <c r="G1027">
        <v>21</v>
      </c>
      <c r="J1027" t="s">
        <v>22</v>
      </c>
      <c r="K1027" t="s">
        <v>71</v>
      </c>
      <c r="L1027" t="s">
        <v>33</v>
      </c>
      <c r="M1027" t="s">
        <v>600</v>
      </c>
      <c r="O1027" s="1">
        <f t="shared" si="30"/>
        <v>16.38</v>
      </c>
      <c r="P1027" t="s">
        <v>652</v>
      </c>
      <c r="R1027" t="s">
        <v>634</v>
      </c>
    </row>
    <row r="1028" spans="1:18" hidden="1">
      <c r="A1028">
        <v>15</v>
      </c>
      <c r="B1028" t="s">
        <v>405</v>
      </c>
      <c r="C1028" t="s">
        <v>483</v>
      </c>
      <c r="G1028">
        <v>22</v>
      </c>
      <c r="J1028" t="s">
        <v>22</v>
      </c>
      <c r="K1028" t="s">
        <v>71</v>
      </c>
      <c r="L1028" t="s">
        <v>33</v>
      </c>
      <c r="M1028" t="s">
        <v>600</v>
      </c>
      <c r="O1028" s="1">
        <f t="shared" si="30"/>
        <v>16.38</v>
      </c>
      <c r="P1028" t="s">
        <v>652</v>
      </c>
      <c r="R1028" t="s">
        <v>634</v>
      </c>
    </row>
    <row r="1029" spans="1:18" hidden="1">
      <c r="A1029">
        <v>15</v>
      </c>
      <c r="B1029" t="s">
        <v>405</v>
      </c>
      <c r="C1029" t="s">
        <v>483</v>
      </c>
      <c r="G1029">
        <v>4</v>
      </c>
      <c r="J1029" t="s">
        <v>22</v>
      </c>
      <c r="K1029" t="s">
        <v>71</v>
      </c>
      <c r="L1029" t="s">
        <v>33</v>
      </c>
      <c r="M1029" t="s">
        <v>601</v>
      </c>
      <c r="O1029" s="1">
        <f>(2/4)*45*1</f>
        <v>22.5</v>
      </c>
      <c r="P1029" t="s">
        <v>657</v>
      </c>
      <c r="R1029" t="s">
        <v>634</v>
      </c>
    </row>
    <row r="1030" spans="1:18" hidden="1">
      <c r="A1030">
        <v>15</v>
      </c>
      <c r="B1030" t="s">
        <v>405</v>
      </c>
      <c r="C1030" t="s">
        <v>483</v>
      </c>
      <c r="G1030">
        <v>5</v>
      </c>
      <c r="J1030" t="s">
        <v>22</v>
      </c>
      <c r="K1030" t="s">
        <v>71</v>
      </c>
      <c r="L1030" t="s">
        <v>33</v>
      </c>
      <c r="M1030" t="s">
        <v>601</v>
      </c>
      <c r="O1030" s="1">
        <f t="shared" ref="O1030:O1047" si="31">(2/4)*45*1</f>
        <v>22.5</v>
      </c>
      <c r="P1030" t="s">
        <v>657</v>
      </c>
      <c r="R1030" t="s">
        <v>634</v>
      </c>
    </row>
    <row r="1031" spans="1:18" hidden="1">
      <c r="A1031">
        <v>15</v>
      </c>
      <c r="B1031" t="s">
        <v>405</v>
      </c>
      <c r="C1031" t="s">
        <v>483</v>
      </c>
      <c r="G1031">
        <v>6</v>
      </c>
      <c r="J1031" t="s">
        <v>22</v>
      </c>
      <c r="K1031" t="s">
        <v>71</v>
      </c>
      <c r="L1031" t="s">
        <v>33</v>
      </c>
      <c r="M1031" t="s">
        <v>601</v>
      </c>
      <c r="O1031" s="1">
        <f t="shared" si="31"/>
        <v>22.5</v>
      </c>
      <c r="P1031" t="s">
        <v>657</v>
      </c>
      <c r="R1031" t="s">
        <v>634</v>
      </c>
    </row>
    <row r="1032" spans="1:18" hidden="1">
      <c r="A1032">
        <v>15</v>
      </c>
      <c r="B1032" t="s">
        <v>405</v>
      </c>
      <c r="C1032" t="s">
        <v>483</v>
      </c>
      <c r="G1032">
        <v>7</v>
      </c>
      <c r="J1032" t="s">
        <v>22</v>
      </c>
      <c r="K1032" t="s">
        <v>71</v>
      </c>
      <c r="L1032" t="s">
        <v>33</v>
      </c>
      <c r="M1032" t="s">
        <v>601</v>
      </c>
      <c r="O1032" s="1">
        <f t="shared" si="31"/>
        <v>22.5</v>
      </c>
      <c r="P1032" t="s">
        <v>657</v>
      </c>
      <c r="R1032" t="s">
        <v>634</v>
      </c>
    </row>
    <row r="1033" spans="1:18" hidden="1">
      <c r="A1033">
        <v>15</v>
      </c>
      <c r="B1033" t="s">
        <v>405</v>
      </c>
      <c r="C1033" t="s">
        <v>483</v>
      </c>
      <c r="G1033">
        <v>8</v>
      </c>
      <c r="J1033" t="s">
        <v>22</v>
      </c>
      <c r="K1033" t="s">
        <v>71</v>
      </c>
      <c r="L1033" t="s">
        <v>33</v>
      </c>
      <c r="M1033" t="s">
        <v>601</v>
      </c>
      <c r="O1033" s="1">
        <f t="shared" si="31"/>
        <v>22.5</v>
      </c>
      <c r="P1033" t="s">
        <v>657</v>
      </c>
      <c r="R1033" t="s">
        <v>634</v>
      </c>
    </row>
    <row r="1034" spans="1:18" hidden="1">
      <c r="A1034">
        <v>15</v>
      </c>
      <c r="B1034" t="s">
        <v>405</v>
      </c>
      <c r="C1034" t="s">
        <v>483</v>
      </c>
      <c r="G1034">
        <v>9</v>
      </c>
      <c r="J1034" t="s">
        <v>22</v>
      </c>
      <c r="K1034" t="s">
        <v>71</v>
      </c>
      <c r="L1034" t="s">
        <v>33</v>
      </c>
      <c r="M1034" t="s">
        <v>601</v>
      </c>
      <c r="O1034" s="1">
        <f t="shared" si="31"/>
        <v>22.5</v>
      </c>
      <c r="P1034" t="s">
        <v>657</v>
      </c>
      <c r="R1034" t="s">
        <v>634</v>
      </c>
    </row>
    <row r="1035" spans="1:18" hidden="1">
      <c r="A1035">
        <v>15</v>
      </c>
      <c r="B1035" t="s">
        <v>405</v>
      </c>
      <c r="C1035" t="s">
        <v>483</v>
      </c>
      <c r="G1035">
        <v>10</v>
      </c>
      <c r="J1035" t="s">
        <v>22</v>
      </c>
      <c r="K1035" t="s">
        <v>71</v>
      </c>
      <c r="L1035" t="s">
        <v>33</v>
      </c>
      <c r="M1035" t="s">
        <v>601</v>
      </c>
      <c r="O1035" s="1">
        <f t="shared" si="31"/>
        <v>22.5</v>
      </c>
      <c r="P1035" t="s">
        <v>657</v>
      </c>
      <c r="R1035" t="s">
        <v>634</v>
      </c>
    </row>
    <row r="1036" spans="1:18" hidden="1">
      <c r="A1036">
        <v>15</v>
      </c>
      <c r="B1036" t="s">
        <v>405</v>
      </c>
      <c r="C1036" t="s">
        <v>483</v>
      </c>
      <c r="G1036">
        <v>11</v>
      </c>
      <c r="J1036" t="s">
        <v>22</v>
      </c>
      <c r="K1036" t="s">
        <v>71</v>
      </c>
      <c r="L1036" t="s">
        <v>33</v>
      </c>
      <c r="M1036" t="s">
        <v>601</v>
      </c>
      <c r="O1036" s="1">
        <f t="shared" si="31"/>
        <v>22.5</v>
      </c>
      <c r="P1036" t="s">
        <v>657</v>
      </c>
      <c r="R1036" t="s">
        <v>634</v>
      </c>
    </row>
    <row r="1037" spans="1:18" hidden="1">
      <c r="A1037">
        <v>15</v>
      </c>
      <c r="B1037" t="s">
        <v>405</v>
      </c>
      <c r="C1037" t="s">
        <v>483</v>
      </c>
      <c r="G1037">
        <v>12</v>
      </c>
      <c r="J1037" t="s">
        <v>22</v>
      </c>
      <c r="K1037" t="s">
        <v>71</v>
      </c>
      <c r="L1037" t="s">
        <v>33</v>
      </c>
      <c r="M1037" t="s">
        <v>601</v>
      </c>
      <c r="O1037" s="1">
        <f t="shared" si="31"/>
        <v>22.5</v>
      </c>
      <c r="P1037" t="s">
        <v>657</v>
      </c>
      <c r="R1037" t="s">
        <v>634</v>
      </c>
    </row>
    <row r="1038" spans="1:18" hidden="1">
      <c r="A1038">
        <v>15</v>
      </c>
      <c r="B1038" t="s">
        <v>405</v>
      </c>
      <c r="C1038" t="s">
        <v>483</v>
      </c>
      <c r="G1038">
        <v>13</v>
      </c>
      <c r="J1038" t="s">
        <v>22</v>
      </c>
      <c r="K1038" t="s">
        <v>71</v>
      </c>
      <c r="L1038" t="s">
        <v>33</v>
      </c>
      <c r="M1038" t="s">
        <v>601</v>
      </c>
      <c r="O1038" s="1">
        <f t="shared" si="31"/>
        <v>22.5</v>
      </c>
      <c r="P1038" t="s">
        <v>657</v>
      </c>
      <c r="R1038" t="s">
        <v>634</v>
      </c>
    </row>
    <row r="1039" spans="1:18" hidden="1">
      <c r="A1039">
        <v>15</v>
      </c>
      <c r="B1039" t="s">
        <v>405</v>
      </c>
      <c r="C1039" t="s">
        <v>483</v>
      </c>
      <c r="G1039">
        <v>14</v>
      </c>
      <c r="J1039" t="s">
        <v>22</v>
      </c>
      <c r="K1039" t="s">
        <v>71</v>
      </c>
      <c r="L1039" t="s">
        <v>33</v>
      </c>
      <c r="M1039" t="s">
        <v>601</v>
      </c>
      <c r="O1039" s="1">
        <f t="shared" si="31"/>
        <v>22.5</v>
      </c>
      <c r="P1039" t="s">
        <v>657</v>
      </c>
      <c r="R1039" t="s">
        <v>634</v>
      </c>
    </row>
    <row r="1040" spans="1:18" hidden="1">
      <c r="A1040">
        <v>15</v>
      </c>
      <c r="B1040" t="s">
        <v>405</v>
      </c>
      <c r="C1040" t="s">
        <v>483</v>
      </c>
      <c r="G1040">
        <v>15</v>
      </c>
      <c r="J1040" t="s">
        <v>22</v>
      </c>
      <c r="K1040" t="s">
        <v>71</v>
      </c>
      <c r="L1040" t="s">
        <v>33</v>
      </c>
      <c r="M1040" t="s">
        <v>601</v>
      </c>
      <c r="O1040" s="1">
        <f t="shared" si="31"/>
        <v>22.5</v>
      </c>
      <c r="P1040" t="s">
        <v>657</v>
      </c>
      <c r="R1040" t="s">
        <v>634</v>
      </c>
    </row>
    <row r="1041" spans="1:18" hidden="1">
      <c r="A1041">
        <v>15</v>
      </c>
      <c r="B1041" t="s">
        <v>405</v>
      </c>
      <c r="C1041" t="s">
        <v>483</v>
      </c>
      <c r="G1041">
        <v>16</v>
      </c>
      <c r="J1041" t="s">
        <v>22</v>
      </c>
      <c r="K1041" t="s">
        <v>71</v>
      </c>
      <c r="L1041" t="s">
        <v>33</v>
      </c>
      <c r="M1041" t="s">
        <v>601</v>
      </c>
      <c r="O1041" s="1">
        <f t="shared" si="31"/>
        <v>22.5</v>
      </c>
      <c r="P1041" t="s">
        <v>657</v>
      </c>
      <c r="R1041" t="s">
        <v>634</v>
      </c>
    </row>
    <row r="1042" spans="1:18" hidden="1">
      <c r="A1042">
        <v>15</v>
      </c>
      <c r="B1042" t="s">
        <v>405</v>
      </c>
      <c r="C1042" t="s">
        <v>483</v>
      </c>
      <c r="G1042">
        <v>17</v>
      </c>
      <c r="J1042" t="s">
        <v>22</v>
      </c>
      <c r="K1042" t="s">
        <v>71</v>
      </c>
      <c r="L1042" t="s">
        <v>33</v>
      </c>
      <c r="M1042" t="s">
        <v>601</v>
      </c>
      <c r="O1042" s="1">
        <f t="shared" si="31"/>
        <v>22.5</v>
      </c>
      <c r="P1042" t="s">
        <v>657</v>
      </c>
      <c r="R1042" t="s">
        <v>634</v>
      </c>
    </row>
    <row r="1043" spans="1:18" hidden="1">
      <c r="A1043">
        <v>15</v>
      </c>
      <c r="B1043" t="s">
        <v>405</v>
      </c>
      <c r="C1043" t="s">
        <v>483</v>
      </c>
      <c r="G1043">
        <v>18</v>
      </c>
      <c r="J1043" t="s">
        <v>22</v>
      </c>
      <c r="K1043" t="s">
        <v>71</v>
      </c>
      <c r="L1043" t="s">
        <v>33</v>
      </c>
      <c r="M1043" t="s">
        <v>601</v>
      </c>
      <c r="O1043" s="1">
        <f t="shared" si="31"/>
        <v>22.5</v>
      </c>
      <c r="P1043" t="s">
        <v>657</v>
      </c>
      <c r="R1043" t="s">
        <v>634</v>
      </c>
    </row>
    <row r="1044" spans="1:18" hidden="1">
      <c r="A1044">
        <v>15</v>
      </c>
      <c r="B1044" t="s">
        <v>405</v>
      </c>
      <c r="C1044" t="s">
        <v>483</v>
      </c>
      <c r="G1044">
        <v>19</v>
      </c>
      <c r="J1044" t="s">
        <v>22</v>
      </c>
      <c r="K1044" t="s">
        <v>71</v>
      </c>
      <c r="L1044" t="s">
        <v>33</v>
      </c>
      <c r="M1044" t="s">
        <v>601</v>
      </c>
      <c r="O1044" s="1">
        <f t="shared" si="31"/>
        <v>22.5</v>
      </c>
      <c r="P1044" t="s">
        <v>657</v>
      </c>
      <c r="R1044" t="s">
        <v>634</v>
      </c>
    </row>
    <row r="1045" spans="1:18" hidden="1">
      <c r="A1045">
        <v>15</v>
      </c>
      <c r="B1045" t="s">
        <v>405</v>
      </c>
      <c r="C1045" t="s">
        <v>483</v>
      </c>
      <c r="G1045">
        <v>20</v>
      </c>
      <c r="J1045" t="s">
        <v>22</v>
      </c>
      <c r="K1045" t="s">
        <v>71</v>
      </c>
      <c r="L1045" t="s">
        <v>33</v>
      </c>
      <c r="M1045" t="s">
        <v>601</v>
      </c>
      <c r="O1045" s="1">
        <f t="shared" si="31"/>
        <v>22.5</v>
      </c>
      <c r="P1045" t="s">
        <v>657</v>
      </c>
      <c r="R1045" t="s">
        <v>634</v>
      </c>
    </row>
    <row r="1046" spans="1:18" hidden="1">
      <c r="A1046">
        <v>15</v>
      </c>
      <c r="B1046" t="s">
        <v>405</v>
      </c>
      <c r="C1046" t="s">
        <v>483</v>
      </c>
      <c r="G1046">
        <v>21</v>
      </c>
      <c r="J1046" t="s">
        <v>22</v>
      </c>
      <c r="K1046" t="s">
        <v>71</v>
      </c>
      <c r="L1046" t="s">
        <v>33</v>
      </c>
      <c r="M1046" t="s">
        <v>601</v>
      </c>
      <c r="O1046" s="1">
        <f t="shared" si="31"/>
        <v>22.5</v>
      </c>
      <c r="P1046" t="s">
        <v>657</v>
      </c>
      <c r="R1046" t="s">
        <v>634</v>
      </c>
    </row>
    <row r="1047" spans="1:18" hidden="1">
      <c r="A1047">
        <v>15</v>
      </c>
      <c r="B1047" t="s">
        <v>405</v>
      </c>
      <c r="C1047" t="s">
        <v>483</v>
      </c>
      <c r="G1047">
        <v>22</v>
      </c>
      <c r="J1047" t="s">
        <v>22</v>
      </c>
      <c r="K1047" t="s">
        <v>71</v>
      </c>
      <c r="L1047" t="s">
        <v>33</v>
      </c>
      <c r="M1047" t="s">
        <v>601</v>
      </c>
      <c r="O1047" s="1">
        <f t="shared" si="31"/>
        <v>22.5</v>
      </c>
      <c r="P1047" t="s">
        <v>657</v>
      </c>
      <c r="R1047" t="s">
        <v>634</v>
      </c>
    </row>
    <row r="1048" spans="1:18" hidden="1">
      <c r="A1048">
        <v>15</v>
      </c>
      <c r="B1048" t="s">
        <v>405</v>
      </c>
      <c r="C1048" t="s">
        <v>483</v>
      </c>
      <c r="G1048">
        <v>4</v>
      </c>
      <c r="J1048" t="s">
        <v>22</v>
      </c>
      <c r="K1048" t="s">
        <v>71</v>
      </c>
      <c r="L1048" t="s">
        <v>33</v>
      </c>
      <c r="M1048" t="s">
        <v>602</v>
      </c>
      <c r="O1048" s="1">
        <f>(4/128)*20*1</f>
        <v>0.625</v>
      </c>
      <c r="P1048" t="s">
        <v>654</v>
      </c>
      <c r="R1048" t="s">
        <v>634</v>
      </c>
    </row>
    <row r="1049" spans="1:18" hidden="1">
      <c r="A1049">
        <v>15</v>
      </c>
      <c r="B1049" t="s">
        <v>405</v>
      </c>
      <c r="C1049" t="s">
        <v>483</v>
      </c>
      <c r="G1049">
        <v>5</v>
      </c>
      <c r="J1049" t="s">
        <v>22</v>
      </c>
      <c r="K1049" t="s">
        <v>71</v>
      </c>
      <c r="L1049" t="s">
        <v>33</v>
      </c>
      <c r="M1049" t="s">
        <v>602</v>
      </c>
      <c r="O1049" s="1">
        <f t="shared" ref="O1049:O1065" si="32">(4/128)*20*1</f>
        <v>0.625</v>
      </c>
      <c r="P1049" t="s">
        <v>654</v>
      </c>
      <c r="R1049" t="s">
        <v>634</v>
      </c>
    </row>
    <row r="1050" spans="1:18" hidden="1">
      <c r="A1050">
        <v>15</v>
      </c>
      <c r="B1050" t="s">
        <v>405</v>
      </c>
      <c r="C1050" t="s">
        <v>483</v>
      </c>
      <c r="G1050">
        <v>6</v>
      </c>
      <c r="J1050" t="s">
        <v>22</v>
      </c>
      <c r="K1050" t="s">
        <v>71</v>
      </c>
      <c r="L1050" t="s">
        <v>33</v>
      </c>
      <c r="M1050" t="s">
        <v>602</v>
      </c>
      <c r="O1050" s="1">
        <f t="shared" si="32"/>
        <v>0.625</v>
      </c>
      <c r="P1050" t="s">
        <v>654</v>
      </c>
      <c r="R1050" t="s">
        <v>634</v>
      </c>
    </row>
    <row r="1051" spans="1:18" hidden="1">
      <c r="A1051">
        <v>15</v>
      </c>
      <c r="B1051" t="s">
        <v>405</v>
      </c>
      <c r="C1051" t="s">
        <v>483</v>
      </c>
      <c r="G1051">
        <v>7</v>
      </c>
      <c r="J1051" t="s">
        <v>22</v>
      </c>
      <c r="K1051" t="s">
        <v>71</v>
      </c>
      <c r="L1051" t="s">
        <v>33</v>
      </c>
      <c r="M1051" t="s">
        <v>602</v>
      </c>
      <c r="O1051" s="1">
        <f t="shared" si="32"/>
        <v>0.625</v>
      </c>
      <c r="P1051" t="s">
        <v>654</v>
      </c>
      <c r="R1051" t="s">
        <v>634</v>
      </c>
    </row>
    <row r="1052" spans="1:18" hidden="1">
      <c r="A1052">
        <v>15</v>
      </c>
      <c r="B1052" t="s">
        <v>405</v>
      </c>
      <c r="C1052" t="s">
        <v>483</v>
      </c>
      <c r="G1052">
        <v>8</v>
      </c>
      <c r="J1052" t="s">
        <v>22</v>
      </c>
      <c r="K1052" t="s">
        <v>71</v>
      </c>
      <c r="L1052" t="s">
        <v>33</v>
      </c>
      <c r="M1052" t="s">
        <v>602</v>
      </c>
      <c r="O1052" s="1">
        <f t="shared" si="32"/>
        <v>0.625</v>
      </c>
      <c r="P1052" t="s">
        <v>654</v>
      </c>
      <c r="R1052" t="s">
        <v>634</v>
      </c>
    </row>
    <row r="1053" spans="1:18" hidden="1">
      <c r="A1053">
        <v>15</v>
      </c>
      <c r="B1053" t="s">
        <v>405</v>
      </c>
      <c r="C1053" t="s">
        <v>483</v>
      </c>
      <c r="G1053">
        <v>9</v>
      </c>
      <c r="J1053" t="s">
        <v>22</v>
      </c>
      <c r="K1053" t="s">
        <v>71</v>
      </c>
      <c r="L1053" t="s">
        <v>33</v>
      </c>
      <c r="M1053" t="s">
        <v>602</v>
      </c>
      <c r="O1053" s="1">
        <f t="shared" si="32"/>
        <v>0.625</v>
      </c>
      <c r="P1053" t="s">
        <v>654</v>
      </c>
      <c r="R1053" t="s">
        <v>634</v>
      </c>
    </row>
    <row r="1054" spans="1:18" hidden="1">
      <c r="A1054">
        <v>15</v>
      </c>
      <c r="B1054" t="s">
        <v>405</v>
      </c>
      <c r="C1054" t="s">
        <v>483</v>
      </c>
      <c r="G1054">
        <v>10</v>
      </c>
      <c r="J1054" t="s">
        <v>22</v>
      </c>
      <c r="K1054" t="s">
        <v>71</v>
      </c>
      <c r="L1054" t="s">
        <v>33</v>
      </c>
      <c r="M1054" t="s">
        <v>602</v>
      </c>
      <c r="O1054" s="1">
        <f t="shared" si="32"/>
        <v>0.625</v>
      </c>
      <c r="P1054" t="s">
        <v>654</v>
      </c>
      <c r="R1054" t="s">
        <v>634</v>
      </c>
    </row>
    <row r="1055" spans="1:18" hidden="1">
      <c r="A1055">
        <v>15</v>
      </c>
      <c r="B1055" t="s">
        <v>405</v>
      </c>
      <c r="C1055" t="s">
        <v>483</v>
      </c>
      <c r="G1055">
        <v>11</v>
      </c>
      <c r="J1055" t="s">
        <v>22</v>
      </c>
      <c r="K1055" t="s">
        <v>71</v>
      </c>
      <c r="L1055" t="s">
        <v>33</v>
      </c>
      <c r="M1055" t="s">
        <v>602</v>
      </c>
      <c r="O1055" s="1">
        <f t="shared" si="32"/>
        <v>0.625</v>
      </c>
      <c r="P1055" t="s">
        <v>654</v>
      </c>
      <c r="R1055" t="s">
        <v>634</v>
      </c>
    </row>
    <row r="1056" spans="1:18" hidden="1">
      <c r="A1056">
        <v>15</v>
      </c>
      <c r="B1056" t="s">
        <v>405</v>
      </c>
      <c r="C1056" t="s">
        <v>483</v>
      </c>
      <c r="G1056">
        <v>12</v>
      </c>
      <c r="J1056" t="s">
        <v>22</v>
      </c>
      <c r="K1056" t="s">
        <v>71</v>
      </c>
      <c r="L1056" t="s">
        <v>33</v>
      </c>
      <c r="M1056" t="s">
        <v>602</v>
      </c>
      <c r="O1056" s="1">
        <f t="shared" si="32"/>
        <v>0.625</v>
      </c>
      <c r="P1056" t="s">
        <v>654</v>
      </c>
      <c r="R1056" t="s">
        <v>634</v>
      </c>
    </row>
    <row r="1057" spans="1:18" hidden="1">
      <c r="A1057">
        <v>15</v>
      </c>
      <c r="B1057" t="s">
        <v>405</v>
      </c>
      <c r="C1057" t="s">
        <v>483</v>
      </c>
      <c r="G1057">
        <v>13</v>
      </c>
      <c r="J1057" t="s">
        <v>22</v>
      </c>
      <c r="K1057" t="s">
        <v>71</v>
      </c>
      <c r="L1057" t="s">
        <v>33</v>
      </c>
      <c r="M1057" t="s">
        <v>602</v>
      </c>
      <c r="O1057" s="1">
        <f t="shared" si="32"/>
        <v>0.625</v>
      </c>
      <c r="P1057" t="s">
        <v>654</v>
      </c>
      <c r="R1057" t="s">
        <v>634</v>
      </c>
    </row>
    <row r="1058" spans="1:18" hidden="1">
      <c r="A1058">
        <v>15</v>
      </c>
      <c r="B1058" t="s">
        <v>405</v>
      </c>
      <c r="C1058" t="s">
        <v>483</v>
      </c>
      <c r="G1058">
        <v>14</v>
      </c>
      <c r="J1058" t="s">
        <v>22</v>
      </c>
      <c r="K1058" t="s">
        <v>71</v>
      </c>
      <c r="L1058" t="s">
        <v>33</v>
      </c>
      <c r="M1058" t="s">
        <v>602</v>
      </c>
      <c r="O1058" s="1">
        <f t="shared" si="32"/>
        <v>0.625</v>
      </c>
      <c r="P1058" t="s">
        <v>654</v>
      </c>
      <c r="R1058" t="s">
        <v>634</v>
      </c>
    </row>
    <row r="1059" spans="1:18" hidden="1">
      <c r="A1059">
        <v>15</v>
      </c>
      <c r="B1059" t="s">
        <v>405</v>
      </c>
      <c r="C1059" t="s">
        <v>483</v>
      </c>
      <c r="G1059">
        <v>15</v>
      </c>
      <c r="J1059" t="s">
        <v>22</v>
      </c>
      <c r="K1059" t="s">
        <v>71</v>
      </c>
      <c r="L1059" t="s">
        <v>33</v>
      </c>
      <c r="M1059" t="s">
        <v>602</v>
      </c>
      <c r="O1059" s="1">
        <f t="shared" si="32"/>
        <v>0.625</v>
      </c>
      <c r="P1059" t="s">
        <v>654</v>
      </c>
      <c r="R1059" t="s">
        <v>634</v>
      </c>
    </row>
    <row r="1060" spans="1:18" hidden="1">
      <c r="A1060">
        <v>15</v>
      </c>
      <c r="B1060" t="s">
        <v>405</v>
      </c>
      <c r="C1060" t="s">
        <v>483</v>
      </c>
      <c r="G1060">
        <v>16</v>
      </c>
      <c r="J1060" t="s">
        <v>22</v>
      </c>
      <c r="K1060" t="s">
        <v>71</v>
      </c>
      <c r="L1060" t="s">
        <v>33</v>
      </c>
      <c r="M1060" t="s">
        <v>602</v>
      </c>
      <c r="O1060" s="1">
        <f t="shared" si="32"/>
        <v>0.625</v>
      </c>
      <c r="P1060" t="s">
        <v>654</v>
      </c>
      <c r="R1060" t="s">
        <v>634</v>
      </c>
    </row>
    <row r="1061" spans="1:18" hidden="1">
      <c r="A1061">
        <v>15</v>
      </c>
      <c r="B1061" t="s">
        <v>405</v>
      </c>
      <c r="C1061" t="s">
        <v>483</v>
      </c>
      <c r="G1061">
        <v>17</v>
      </c>
      <c r="J1061" t="s">
        <v>22</v>
      </c>
      <c r="K1061" t="s">
        <v>71</v>
      </c>
      <c r="L1061" t="s">
        <v>33</v>
      </c>
      <c r="M1061" t="s">
        <v>602</v>
      </c>
      <c r="O1061" s="1">
        <f t="shared" si="32"/>
        <v>0.625</v>
      </c>
      <c r="P1061" t="s">
        <v>654</v>
      </c>
      <c r="R1061" t="s">
        <v>634</v>
      </c>
    </row>
    <row r="1062" spans="1:18" hidden="1">
      <c r="A1062">
        <v>15</v>
      </c>
      <c r="B1062" t="s">
        <v>405</v>
      </c>
      <c r="C1062" t="s">
        <v>483</v>
      </c>
      <c r="G1062">
        <v>18</v>
      </c>
      <c r="J1062" t="s">
        <v>22</v>
      </c>
      <c r="K1062" t="s">
        <v>71</v>
      </c>
      <c r="L1062" t="s">
        <v>33</v>
      </c>
      <c r="M1062" t="s">
        <v>602</v>
      </c>
      <c r="O1062" s="1">
        <f t="shared" si="32"/>
        <v>0.625</v>
      </c>
      <c r="P1062" t="s">
        <v>654</v>
      </c>
      <c r="R1062" t="s">
        <v>634</v>
      </c>
    </row>
    <row r="1063" spans="1:18" hidden="1">
      <c r="A1063">
        <v>15</v>
      </c>
      <c r="B1063" t="s">
        <v>405</v>
      </c>
      <c r="C1063" t="s">
        <v>483</v>
      </c>
      <c r="G1063">
        <v>19</v>
      </c>
      <c r="J1063" t="s">
        <v>22</v>
      </c>
      <c r="K1063" t="s">
        <v>71</v>
      </c>
      <c r="L1063" t="s">
        <v>33</v>
      </c>
      <c r="M1063" t="s">
        <v>602</v>
      </c>
      <c r="O1063" s="1">
        <f t="shared" si="32"/>
        <v>0.625</v>
      </c>
      <c r="P1063" t="s">
        <v>654</v>
      </c>
      <c r="R1063" t="s">
        <v>634</v>
      </c>
    </row>
    <row r="1064" spans="1:18" hidden="1">
      <c r="A1064">
        <v>15</v>
      </c>
      <c r="B1064" t="s">
        <v>405</v>
      </c>
      <c r="C1064" t="s">
        <v>483</v>
      </c>
      <c r="G1064">
        <v>20</v>
      </c>
      <c r="J1064" t="s">
        <v>22</v>
      </c>
      <c r="K1064" t="s">
        <v>71</v>
      </c>
      <c r="L1064" t="s">
        <v>33</v>
      </c>
      <c r="M1064" t="s">
        <v>602</v>
      </c>
      <c r="O1064" s="1">
        <f t="shared" si="32"/>
        <v>0.625</v>
      </c>
      <c r="P1064" t="s">
        <v>654</v>
      </c>
      <c r="R1064" t="s">
        <v>634</v>
      </c>
    </row>
    <row r="1065" spans="1:18" hidden="1">
      <c r="A1065">
        <v>15</v>
      </c>
      <c r="B1065" t="s">
        <v>405</v>
      </c>
      <c r="C1065" t="s">
        <v>483</v>
      </c>
      <c r="G1065">
        <v>21</v>
      </c>
      <c r="J1065" t="s">
        <v>22</v>
      </c>
      <c r="K1065" t="s">
        <v>71</v>
      </c>
      <c r="L1065" t="s">
        <v>33</v>
      </c>
      <c r="M1065" t="s">
        <v>602</v>
      </c>
      <c r="O1065" s="1">
        <f t="shared" si="32"/>
        <v>0.625</v>
      </c>
      <c r="P1065" t="s">
        <v>654</v>
      </c>
      <c r="R1065" t="s">
        <v>634</v>
      </c>
    </row>
    <row r="1066" spans="1:18" hidden="1">
      <c r="A1066">
        <v>15</v>
      </c>
      <c r="B1066" t="s">
        <v>405</v>
      </c>
      <c r="C1066" t="s">
        <v>483</v>
      </c>
      <c r="G1066">
        <v>22</v>
      </c>
      <c r="J1066" t="s">
        <v>22</v>
      </c>
      <c r="K1066" t="s">
        <v>71</v>
      </c>
      <c r="L1066" t="s">
        <v>33</v>
      </c>
      <c r="M1066" t="s">
        <v>602</v>
      </c>
      <c r="O1066" s="1">
        <f>(4/128)*20*1</f>
        <v>0.625</v>
      </c>
      <c r="P1066" t="s">
        <v>654</v>
      </c>
      <c r="R1066" t="s">
        <v>634</v>
      </c>
    </row>
    <row r="1067" spans="1:18">
      <c r="A1067">
        <v>15</v>
      </c>
      <c r="B1067" t="s">
        <v>405</v>
      </c>
      <c r="C1067" t="s">
        <v>483</v>
      </c>
      <c r="G1067">
        <v>4</v>
      </c>
      <c r="H1067" s="263"/>
      <c r="J1067" t="s">
        <v>22</v>
      </c>
      <c r="K1067" t="s">
        <v>30</v>
      </c>
      <c r="L1067" t="s">
        <v>33</v>
      </c>
      <c r="M1067" t="s">
        <v>603</v>
      </c>
      <c r="N1067" s="263">
        <v>0.6</v>
      </c>
      <c r="O1067" s="1">
        <f>0.6*20*1</f>
        <v>12</v>
      </c>
      <c r="P1067" t="s">
        <v>651</v>
      </c>
      <c r="R1067" t="s">
        <v>634</v>
      </c>
    </row>
    <row r="1068" spans="1:18">
      <c r="A1068">
        <v>15</v>
      </c>
      <c r="B1068" t="s">
        <v>405</v>
      </c>
      <c r="C1068" t="s">
        <v>483</v>
      </c>
      <c r="G1068">
        <v>5</v>
      </c>
      <c r="H1068" s="263"/>
      <c r="J1068" t="s">
        <v>22</v>
      </c>
      <c r="K1068" t="s">
        <v>30</v>
      </c>
      <c r="L1068" t="s">
        <v>33</v>
      </c>
      <c r="M1068" t="s">
        <v>603</v>
      </c>
      <c r="N1068" s="263">
        <v>0.6</v>
      </c>
      <c r="O1068" s="1">
        <f t="shared" ref="O1068:O1085" si="33">0.6*20*1</f>
        <v>12</v>
      </c>
      <c r="P1068" t="s">
        <v>651</v>
      </c>
      <c r="R1068" t="s">
        <v>634</v>
      </c>
    </row>
    <row r="1069" spans="1:18">
      <c r="A1069">
        <v>15</v>
      </c>
      <c r="B1069" t="s">
        <v>405</v>
      </c>
      <c r="C1069" t="s">
        <v>483</v>
      </c>
      <c r="G1069">
        <v>6</v>
      </c>
      <c r="H1069" s="263"/>
      <c r="J1069" t="s">
        <v>22</v>
      </c>
      <c r="K1069" t="s">
        <v>30</v>
      </c>
      <c r="L1069" t="s">
        <v>33</v>
      </c>
      <c r="M1069" t="s">
        <v>603</v>
      </c>
      <c r="N1069" s="263">
        <v>0.6</v>
      </c>
      <c r="O1069" s="1">
        <f t="shared" si="33"/>
        <v>12</v>
      </c>
      <c r="P1069" t="s">
        <v>651</v>
      </c>
      <c r="R1069" t="s">
        <v>634</v>
      </c>
    </row>
    <row r="1070" spans="1:18">
      <c r="A1070">
        <v>15</v>
      </c>
      <c r="B1070" t="s">
        <v>405</v>
      </c>
      <c r="C1070" t="s">
        <v>483</v>
      </c>
      <c r="G1070">
        <v>7</v>
      </c>
      <c r="H1070" s="263"/>
      <c r="J1070" t="s">
        <v>22</v>
      </c>
      <c r="K1070" t="s">
        <v>30</v>
      </c>
      <c r="L1070" t="s">
        <v>33</v>
      </c>
      <c r="M1070" t="s">
        <v>603</v>
      </c>
      <c r="N1070" s="263">
        <v>0.6</v>
      </c>
      <c r="O1070" s="1">
        <f t="shared" si="33"/>
        <v>12</v>
      </c>
      <c r="P1070" t="s">
        <v>651</v>
      </c>
      <c r="R1070" t="s">
        <v>634</v>
      </c>
    </row>
    <row r="1071" spans="1:18">
      <c r="A1071">
        <v>15</v>
      </c>
      <c r="B1071" t="s">
        <v>405</v>
      </c>
      <c r="C1071" t="s">
        <v>483</v>
      </c>
      <c r="G1071">
        <v>8</v>
      </c>
      <c r="H1071" s="263"/>
      <c r="J1071" t="s">
        <v>22</v>
      </c>
      <c r="K1071" t="s">
        <v>30</v>
      </c>
      <c r="L1071" t="s">
        <v>33</v>
      </c>
      <c r="M1071" t="s">
        <v>603</v>
      </c>
      <c r="N1071" s="263">
        <v>0.6</v>
      </c>
      <c r="O1071" s="1">
        <f t="shared" si="33"/>
        <v>12</v>
      </c>
      <c r="P1071" t="s">
        <v>651</v>
      </c>
      <c r="R1071" t="s">
        <v>634</v>
      </c>
    </row>
    <row r="1072" spans="1:18">
      <c r="A1072">
        <v>15</v>
      </c>
      <c r="B1072" t="s">
        <v>405</v>
      </c>
      <c r="C1072" t="s">
        <v>483</v>
      </c>
      <c r="G1072">
        <v>9</v>
      </c>
      <c r="H1072" s="263"/>
      <c r="J1072" t="s">
        <v>22</v>
      </c>
      <c r="K1072" t="s">
        <v>30</v>
      </c>
      <c r="L1072" t="s">
        <v>33</v>
      </c>
      <c r="M1072" t="s">
        <v>603</v>
      </c>
      <c r="N1072" s="263">
        <v>0.6</v>
      </c>
      <c r="O1072" s="1">
        <f t="shared" si="33"/>
        <v>12</v>
      </c>
      <c r="P1072" t="s">
        <v>651</v>
      </c>
      <c r="R1072" t="s">
        <v>634</v>
      </c>
    </row>
    <row r="1073" spans="1:18">
      <c r="A1073">
        <v>15</v>
      </c>
      <c r="B1073" t="s">
        <v>405</v>
      </c>
      <c r="C1073" t="s">
        <v>483</v>
      </c>
      <c r="G1073">
        <v>10</v>
      </c>
      <c r="H1073" s="263"/>
      <c r="J1073" t="s">
        <v>22</v>
      </c>
      <c r="K1073" t="s">
        <v>30</v>
      </c>
      <c r="L1073" t="s">
        <v>33</v>
      </c>
      <c r="M1073" t="s">
        <v>603</v>
      </c>
      <c r="N1073" s="263">
        <v>0.6</v>
      </c>
      <c r="O1073" s="1">
        <f t="shared" si="33"/>
        <v>12</v>
      </c>
      <c r="P1073" t="s">
        <v>651</v>
      </c>
      <c r="R1073" t="s">
        <v>634</v>
      </c>
    </row>
    <row r="1074" spans="1:18">
      <c r="A1074">
        <v>15</v>
      </c>
      <c r="B1074" t="s">
        <v>405</v>
      </c>
      <c r="C1074" t="s">
        <v>483</v>
      </c>
      <c r="G1074">
        <v>11</v>
      </c>
      <c r="H1074" s="263"/>
      <c r="J1074" t="s">
        <v>22</v>
      </c>
      <c r="K1074" t="s">
        <v>30</v>
      </c>
      <c r="L1074" t="s">
        <v>33</v>
      </c>
      <c r="M1074" t="s">
        <v>603</v>
      </c>
      <c r="N1074" s="263">
        <v>0.6</v>
      </c>
      <c r="O1074" s="1">
        <f t="shared" si="33"/>
        <v>12</v>
      </c>
      <c r="P1074" t="s">
        <v>651</v>
      </c>
      <c r="R1074" t="s">
        <v>634</v>
      </c>
    </row>
    <row r="1075" spans="1:18">
      <c r="A1075">
        <v>15</v>
      </c>
      <c r="B1075" t="s">
        <v>405</v>
      </c>
      <c r="C1075" t="s">
        <v>483</v>
      </c>
      <c r="G1075">
        <v>12</v>
      </c>
      <c r="H1075" s="263"/>
      <c r="J1075" t="s">
        <v>22</v>
      </c>
      <c r="K1075" t="s">
        <v>30</v>
      </c>
      <c r="L1075" t="s">
        <v>33</v>
      </c>
      <c r="M1075" t="s">
        <v>603</v>
      </c>
      <c r="N1075" s="263">
        <v>0.6</v>
      </c>
      <c r="O1075" s="1">
        <f t="shared" si="33"/>
        <v>12</v>
      </c>
      <c r="P1075" t="s">
        <v>651</v>
      </c>
      <c r="R1075" t="s">
        <v>634</v>
      </c>
    </row>
    <row r="1076" spans="1:18">
      <c r="A1076">
        <v>15</v>
      </c>
      <c r="B1076" t="s">
        <v>405</v>
      </c>
      <c r="C1076" t="s">
        <v>483</v>
      </c>
      <c r="G1076">
        <v>13</v>
      </c>
      <c r="H1076" s="263"/>
      <c r="J1076" t="s">
        <v>22</v>
      </c>
      <c r="K1076" t="s">
        <v>30</v>
      </c>
      <c r="L1076" t="s">
        <v>33</v>
      </c>
      <c r="M1076" t="s">
        <v>603</v>
      </c>
      <c r="N1076" s="263">
        <v>0.6</v>
      </c>
      <c r="O1076" s="1">
        <f t="shared" si="33"/>
        <v>12</v>
      </c>
      <c r="P1076" t="s">
        <v>651</v>
      </c>
      <c r="R1076" t="s">
        <v>634</v>
      </c>
    </row>
    <row r="1077" spans="1:18">
      <c r="A1077">
        <v>15</v>
      </c>
      <c r="B1077" t="s">
        <v>405</v>
      </c>
      <c r="C1077" t="s">
        <v>483</v>
      </c>
      <c r="G1077">
        <v>14</v>
      </c>
      <c r="H1077" s="263"/>
      <c r="J1077" t="s">
        <v>22</v>
      </c>
      <c r="K1077" t="s">
        <v>30</v>
      </c>
      <c r="L1077" t="s">
        <v>33</v>
      </c>
      <c r="M1077" t="s">
        <v>603</v>
      </c>
      <c r="N1077" s="263">
        <v>0.6</v>
      </c>
      <c r="O1077" s="1">
        <f t="shared" si="33"/>
        <v>12</v>
      </c>
      <c r="P1077" t="s">
        <v>651</v>
      </c>
      <c r="R1077" t="s">
        <v>634</v>
      </c>
    </row>
    <row r="1078" spans="1:18">
      <c r="A1078">
        <v>15</v>
      </c>
      <c r="B1078" t="s">
        <v>405</v>
      </c>
      <c r="C1078" t="s">
        <v>483</v>
      </c>
      <c r="G1078">
        <v>15</v>
      </c>
      <c r="H1078" s="263"/>
      <c r="J1078" t="s">
        <v>22</v>
      </c>
      <c r="K1078" t="s">
        <v>30</v>
      </c>
      <c r="L1078" t="s">
        <v>33</v>
      </c>
      <c r="M1078" t="s">
        <v>603</v>
      </c>
      <c r="N1078" s="263">
        <v>0.6</v>
      </c>
      <c r="O1078" s="1">
        <f t="shared" si="33"/>
        <v>12</v>
      </c>
      <c r="P1078" t="s">
        <v>651</v>
      </c>
      <c r="R1078" t="s">
        <v>634</v>
      </c>
    </row>
    <row r="1079" spans="1:18">
      <c r="A1079">
        <v>15</v>
      </c>
      <c r="B1079" t="s">
        <v>405</v>
      </c>
      <c r="C1079" t="s">
        <v>483</v>
      </c>
      <c r="G1079">
        <v>16</v>
      </c>
      <c r="H1079" s="263"/>
      <c r="J1079" t="s">
        <v>22</v>
      </c>
      <c r="K1079" t="s">
        <v>30</v>
      </c>
      <c r="L1079" t="s">
        <v>33</v>
      </c>
      <c r="M1079" t="s">
        <v>603</v>
      </c>
      <c r="N1079" s="263">
        <v>0.6</v>
      </c>
      <c r="O1079" s="1">
        <f t="shared" si="33"/>
        <v>12</v>
      </c>
      <c r="P1079" t="s">
        <v>651</v>
      </c>
      <c r="R1079" t="s">
        <v>634</v>
      </c>
    </row>
    <row r="1080" spans="1:18">
      <c r="A1080">
        <v>15</v>
      </c>
      <c r="B1080" t="s">
        <v>405</v>
      </c>
      <c r="C1080" t="s">
        <v>483</v>
      </c>
      <c r="G1080">
        <v>17</v>
      </c>
      <c r="H1080" s="263"/>
      <c r="J1080" t="s">
        <v>22</v>
      </c>
      <c r="K1080" t="s">
        <v>30</v>
      </c>
      <c r="L1080" t="s">
        <v>33</v>
      </c>
      <c r="M1080" t="s">
        <v>603</v>
      </c>
      <c r="N1080" s="263">
        <v>0.6</v>
      </c>
      <c r="O1080" s="1">
        <f t="shared" si="33"/>
        <v>12</v>
      </c>
      <c r="P1080" t="s">
        <v>651</v>
      </c>
      <c r="R1080" t="s">
        <v>634</v>
      </c>
    </row>
    <row r="1081" spans="1:18">
      <c r="A1081">
        <v>15</v>
      </c>
      <c r="B1081" t="s">
        <v>405</v>
      </c>
      <c r="C1081" t="s">
        <v>483</v>
      </c>
      <c r="G1081">
        <v>18</v>
      </c>
      <c r="H1081" s="263"/>
      <c r="J1081" t="s">
        <v>22</v>
      </c>
      <c r="K1081" t="s">
        <v>30</v>
      </c>
      <c r="L1081" t="s">
        <v>33</v>
      </c>
      <c r="M1081" t="s">
        <v>603</v>
      </c>
      <c r="N1081" s="263">
        <v>0.6</v>
      </c>
      <c r="O1081" s="1">
        <f t="shared" si="33"/>
        <v>12</v>
      </c>
      <c r="P1081" t="s">
        <v>651</v>
      </c>
      <c r="R1081" t="s">
        <v>634</v>
      </c>
    </row>
    <row r="1082" spans="1:18">
      <c r="A1082">
        <v>15</v>
      </c>
      <c r="B1082" t="s">
        <v>405</v>
      </c>
      <c r="C1082" t="s">
        <v>483</v>
      </c>
      <c r="G1082">
        <v>19</v>
      </c>
      <c r="H1082" s="263"/>
      <c r="J1082" t="s">
        <v>22</v>
      </c>
      <c r="K1082" t="s">
        <v>30</v>
      </c>
      <c r="L1082" t="s">
        <v>33</v>
      </c>
      <c r="M1082" t="s">
        <v>603</v>
      </c>
      <c r="N1082" s="263">
        <v>0.6</v>
      </c>
      <c r="O1082" s="1">
        <f t="shared" si="33"/>
        <v>12</v>
      </c>
      <c r="P1082" t="s">
        <v>651</v>
      </c>
      <c r="R1082" t="s">
        <v>634</v>
      </c>
    </row>
    <row r="1083" spans="1:18">
      <c r="A1083">
        <v>15</v>
      </c>
      <c r="B1083" t="s">
        <v>405</v>
      </c>
      <c r="C1083" t="s">
        <v>483</v>
      </c>
      <c r="G1083">
        <v>20</v>
      </c>
      <c r="H1083" s="263"/>
      <c r="J1083" t="s">
        <v>22</v>
      </c>
      <c r="K1083" t="s">
        <v>30</v>
      </c>
      <c r="L1083" t="s">
        <v>33</v>
      </c>
      <c r="M1083" t="s">
        <v>603</v>
      </c>
      <c r="N1083" s="263">
        <v>0.6</v>
      </c>
      <c r="O1083" s="1">
        <f t="shared" si="33"/>
        <v>12</v>
      </c>
      <c r="P1083" t="s">
        <v>651</v>
      </c>
      <c r="R1083" t="s">
        <v>634</v>
      </c>
    </row>
    <row r="1084" spans="1:18">
      <c r="A1084">
        <v>15</v>
      </c>
      <c r="B1084" t="s">
        <v>405</v>
      </c>
      <c r="C1084" t="s">
        <v>483</v>
      </c>
      <c r="G1084">
        <v>21</v>
      </c>
      <c r="H1084" s="263"/>
      <c r="J1084" t="s">
        <v>22</v>
      </c>
      <c r="K1084" t="s">
        <v>30</v>
      </c>
      <c r="L1084" t="s">
        <v>33</v>
      </c>
      <c r="M1084" t="s">
        <v>603</v>
      </c>
      <c r="N1084" s="263">
        <v>0.6</v>
      </c>
      <c r="O1084" s="1">
        <f t="shared" si="33"/>
        <v>12</v>
      </c>
      <c r="P1084" t="s">
        <v>651</v>
      </c>
      <c r="R1084" t="s">
        <v>634</v>
      </c>
    </row>
    <row r="1085" spans="1:18">
      <c r="A1085">
        <v>15</v>
      </c>
      <c r="B1085" t="s">
        <v>405</v>
      </c>
      <c r="C1085" t="s">
        <v>483</v>
      </c>
      <c r="G1085">
        <v>22</v>
      </c>
      <c r="H1085" s="263"/>
      <c r="J1085" t="s">
        <v>22</v>
      </c>
      <c r="K1085" t="s">
        <v>30</v>
      </c>
      <c r="L1085" t="s">
        <v>33</v>
      </c>
      <c r="M1085" t="s">
        <v>603</v>
      </c>
      <c r="N1085" s="263">
        <v>0.6</v>
      </c>
      <c r="O1085" s="1">
        <f t="shared" si="33"/>
        <v>12</v>
      </c>
      <c r="P1085" t="s">
        <v>651</v>
      </c>
      <c r="R1085" t="s">
        <v>634</v>
      </c>
    </row>
    <row r="1086" spans="1:18" hidden="1">
      <c r="A1086">
        <v>15</v>
      </c>
      <c r="B1086" t="s">
        <v>405</v>
      </c>
      <c r="C1086" t="s">
        <v>483</v>
      </c>
      <c r="G1086">
        <v>4</v>
      </c>
      <c r="J1086" t="s">
        <v>22</v>
      </c>
      <c r="K1086" t="s">
        <v>408</v>
      </c>
      <c r="L1086" t="s">
        <v>33</v>
      </c>
      <c r="M1086" t="s">
        <v>604</v>
      </c>
      <c r="O1086" s="1">
        <v>13.97</v>
      </c>
      <c r="P1086" t="s">
        <v>903</v>
      </c>
      <c r="R1086" t="s">
        <v>634</v>
      </c>
    </row>
    <row r="1087" spans="1:18" hidden="1">
      <c r="A1087">
        <v>15</v>
      </c>
      <c r="B1087" t="s">
        <v>405</v>
      </c>
      <c r="C1087" t="s">
        <v>483</v>
      </c>
      <c r="G1087">
        <v>5</v>
      </c>
      <c r="J1087" t="s">
        <v>22</v>
      </c>
      <c r="K1087" t="s">
        <v>408</v>
      </c>
      <c r="L1087" t="s">
        <v>33</v>
      </c>
      <c r="M1087" t="s">
        <v>604</v>
      </c>
      <c r="O1087" s="1">
        <v>13.97</v>
      </c>
      <c r="P1087" t="s">
        <v>903</v>
      </c>
      <c r="R1087" t="s">
        <v>634</v>
      </c>
    </row>
    <row r="1088" spans="1:18" hidden="1">
      <c r="A1088">
        <v>15</v>
      </c>
      <c r="B1088" t="s">
        <v>405</v>
      </c>
      <c r="C1088" t="s">
        <v>483</v>
      </c>
      <c r="G1088">
        <v>6</v>
      </c>
      <c r="J1088" t="s">
        <v>22</v>
      </c>
      <c r="K1088" t="s">
        <v>408</v>
      </c>
      <c r="L1088" t="s">
        <v>33</v>
      </c>
      <c r="M1088" t="s">
        <v>604</v>
      </c>
      <c r="O1088" s="1">
        <v>13.97</v>
      </c>
      <c r="P1088" t="s">
        <v>903</v>
      </c>
      <c r="R1088" t="s">
        <v>634</v>
      </c>
    </row>
    <row r="1089" spans="1:18" hidden="1">
      <c r="A1089">
        <v>15</v>
      </c>
      <c r="B1089" t="s">
        <v>405</v>
      </c>
      <c r="C1089" t="s">
        <v>483</v>
      </c>
      <c r="G1089">
        <v>7</v>
      </c>
      <c r="J1089" t="s">
        <v>22</v>
      </c>
      <c r="K1089" t="s">
        <v>408</v>
      </c>
      <c r="L1089" t="s">
        <v>33</v>
      </c>
      <c r="M1089" t="s">
        <v>604</v>
      </c>
      <c r="O1089" s="1">
        <v>13.97</v>
      </c>
      <c r="P1089" t="s">
        <v>903</v>
      </c>
      <c r="R1089" t="s">
        <v>634</v>
      </c>
    </row>
    <row r="1090" spans="1:18" hidden="1">
      <c r="A1090">
        <v>15</v>
      </c>
      <c r="B1090" t="s">
        <v>405</v>
      </c>
      <c r="C1090" t="s">
        <v>483</v>
      </c>
      <c r="G1090">
        <v>8</v>
      </c>
      <c r="J1090" t="s">
        <v>22</v>
      </c>
      <c r="K1090" t="s">
        <v>408</v>
      </c>
      <c r="L1090" t="s">
        <v>33</v>
      </c>
      <c r="M1090" t="s">
        <v>604</v>
      </c>
      <c r="O1090" s="1">
        <v>13.97</v>
      </c>
      <c r="P1090" t="s">
        <v>903</v>
      </c>
      <c r="R1090" t="s">
        <v>634</v>
      </c>
    </row>
    <row r="1091" spans="1:18" hidden="1">
      <c r="A1091">
        <v>15</v>
      </c>
      <c r="B1091" t="s">
        <v>405</v>
      </c>
      <c r="C1091" t="s">
        <v>483</v>
      </c>
      <c r="G1091">
        <v>9</v>
      </c>
      <c r="J1091" t="s">
        <v>22</v>
      </c>
      <c r="K1091" t="s">
        <v>408</v>
      </c>
      <c r="L1091" t="s">
        <v>33</v>
      </c>
      <c r="M1091" t="s">
        <v>604</v>
      </c>
      <c r="O1091" s="1">
        <v>13.97</v>
      </c>
      <c r="P1091" t="s">
        <v>903</v>
      </c>
      <c r="R1091" t="s">
        <v>634</v>
      </c>
    </row>
    <row r="1092" spans="1:18" hidden="1">
      <c r="A1092">
        <v>15</v>
      </c>
      <c r="B1092" t="s">
        <v>405</v>
      </c>
      <c r="C1092" t="s">
        <v>483</v>
      </c>
      <c r="G1092">
        <v>10</v>
      </c>
      <c r="J1092" t="s">
        <v>22</v>
      </c>
      <c r="K1092" t="s">
        <v>408</v>
      </c>
      <c r="L1092" t="s">
        <v>33</v>
      </c>
      <c r="M1092" t="s">
        <v>604</v>
      </c>
      <c r="O1092" s="1">
        <v>13.97</v>
      </c>
      <c r="P1092" t="s">
        <v>903</v>
      </c>
      <c r="R1092" t="s">
        <v>634</v>
      </c>
    </row>
    <row r="1093" spans="1:18" hidden="1">
      <c r="A1093">
        <v>15</v>
      </c>
      <c r="B1093" t="s">
        <v>405</v>
      </c>
      <c r="C1093" t="s">
        <v>483</v>
      </c>
      <c r="G1093">
        <v>11</v>
      </c>
      <c r="J1093" t="s">
        <v>22</v>
      </c>
      <c r="K1093" t="s">
        <v>408</v>
      </c>
      <c r="L1093" t="s">
        <v>33</v>
      </c>
      <c r="M1093" t="s">
        <v>604</v>
      </c>
      <c r="O1093" s="1">
        <v>13.97</v>
      </c>
      <c r="P1093" t="s">
        <v>903</v>
      </c>
      <c r="R1093" t="s">
        <v>634</v>
      </c>
    </row>
    <row r="1094" spans="1:18" hidden="1">
      <c r="A1094">
        <v>15</v>
      </c>
      <c r="B1094" t="s">
        <v>405</v>
      </c>
      <c r="C1094" t="s">
        <v>483</v>
      </c>
      <c r="G1094">
        <v>12</v>
      </c>
      <c r="J1094" t="s">
        <v>22</v>
      </c>
      <c r="K1094" t="s">
        <v>408</v>
      </c>
      <c r="L1094" t="s">
        <v>33</v>
      </c>
      <c r="M1094" t="s">
        <v>604</v>
      </c>
      <c r="O1094" s="1">
        <v>13.97</v>
      </c>
      <c r="P1094" t="s">
        <v>903</v>
      </c>
      <c r="R1094" t="s">
        <v>634</v>
      </c>
    </row>
    <row r="1095" spans="1:18" hidden="1">
      <c r="A1095">
        <v>15</v>
      </c>
      <c r="B1095" t="s">
        <v>405</v>
      </c>
      <c r="C1095" t="s">
        <v>483</v>
      </c>
      <c r="G1095">
        <v>13</v>
      </c>
      <c r="J1095" t="s">
        <v>22</v>
      </c>
      <c r="K1095" t="s">
        <v>408</v>
      </c>
      <c r="L1095" t="s">
        <v>33</v>
      </c>
      <c r="M1095" t="s">
        <v>604</v>
      </c>
      <c r="O1095" s="1">
        <v>13.97</v>
      </c>
      <c r="P1095" t="s">
        <v>903</v>
      </c>
      <c r="R1095" t="s">
        <v>634</v>
      </c>
    </row>
    <row r="1096" spans="1:18" hidden="1">
      <c r="A1096">
        <v>15</v>
      </c>
      <c r="B1096" t="s">
        <v>405</v>
      </c>
      <c r="C1096" t="s">
        <v>483</v>
      </c>
      <c r="G1096">
        <v>14</v>
      </c>
      <c r="J1096" t="s">
        <v>22</v>
      </c>
      <c r="K1096" t="s">
        <v>408</v>
      </c>
      <c r="L1096" t="s">
        <v>33</v>
      </c>
      <c r="M1096" t="s">
        <v>604</v>
      </c>
      <c r="O1096" s="1">
        <v>13.97</v>
      </c>
      <c r="P1096" t="s">
        <v>903</v>
      </c>
      <c r="R1096" t="s">
        <v>634</v>
      </c>
    </row>
    <row r="1097" spans="1:18" hidden="1">
      <c r="A1097">
        <v>15</v>
      </c>
      <c r="B1097" t="s">
        <v>405</v>
      </c>
      <c r="C1097" t="s">
        <v>483</v>
      </c>
      <c r="G1097">
        <v>15</v>
      </c>
      <c r="J1097" t="s">
        <v>22</v>
      </c>
      <c r="K1097" t="s">
        <v>408</v>
      </c>
      <c r="L1097" t="s">
        <v>33</v>
      </c>
      <c r="M1097" t="s">
        <v>604</v>
      </c>
      <c r="O1097" s="1">
        <v>13.97</v>
      </c>
      <c r="P1097" t="s">
        <v>903</v>
      </c>
      <c r="R1097" t="s">
        <v>634</v>
      </c>
    </row>
    <row r="1098" spans="1:18" hidden="1">
      <c r="A1098">
        <v>15</v>
      </c>
      <c r="B1098" t="s">
        <v>405</v>
      </c>
      <c r="C1098" t="s">
        <v>483</v>
      </c>
      <c r="G1098">
        <v>16</v>
      </c>
      <c r="J1098" t="s">
        <v>22</v>
      </c>
      <c r="K1098" t="s">
        <v>408</v>
      </c>
      <c r="L1098" t="s">
        <v>33</v>
      </c>
      <c r="M1098" t="s">
        <v>604</v>
      </c>
      <c r="O1098" s="1">
        <v>13.97</v>
      </c>
      <c r="P1098" t="s">
        <v>903</v>
      </c>
      <c r="R1098" t="s">
        <v>634</v>
      </c>
    </row>
    <row r="1099" spans="1:18" hidden="1">
      <c r="A1099">
        <v>15</v>
      </c>
      <c r="B1099" t="s">
        <v>405</v>
      </c>
      <c r="C1099" t="s">
        <v>483</v>
      </c>
      <c r="G1099">
        <v>17</v>
      </c>
      <c r="J1099" t="s">
        <v>22</v>
      </c>
      <c r="K1099" t="s">
        <v>408</v>
      </c>
      <c r="L1099" t="s">
        <v>33</v>
      </c>
      <c r="M1099" t="s">
        <v>604</v>
      </c>
      <c r="O1099" s="1">
        <v>13.97</v>
      </c>
      <c r="P1099" t="s">
        <v>903</v>
      </c>
      <c r="R1099" t="s">
        <v>634</v>
      </c>
    </row>
    <row r="1100" spans="1:18" hidden="1">
      <c r="A1100">
        <v>15</v>
      </c>
      <c r="B1100" t="s">
        <v>405</v>
      </c>
      <c r="C1100" t="s">
        <v>483</v>
      </c>
      <c r="G1100">
        <v>18</v>
      </c>
      <c r="J1100" t="s">
        <v>22</v>
      </c>
      <c r="K1100" t="s">
        <v>408</v>
      </c>
      <c r="L1100" t="s">
        <v>33</v>
      </c>
      <c r="M1100" t="s">
        <v>604</v>
      </c>
      <c r="O1100" s="1">
        <v>13.97</v>
      </c>
      <c r="P1100" t="s">
        <v>903</v>
      </c>
      <c r="R1100" t="s">
        <v>634</v>
      </c>
    </row>
    <row r="1101" spans="1:18" hidden="1">
      <c r="A1101">
        <v>15</v>
      </c>
      <c r="B1101" t="s">
        <v>405</v>
      </c>
      <c r="C1101" t="s">
        <v>483</v>
      </c>
      <c r="G1101">
        <v>19</v>
      </c>
      <c r="J1101" t="s">
        <v>22</v>
      </c>
      <c r="K1101" t="s">
        <v>408</v>
      </c>
      <c r="L1101" t="s">
        <v>33</v>
      </c>
      <c r="M1101" t="s">
        <v>604</v>
      </c>
      <c r="O1101" s="1">
        <v>13.97</v>
      </c>
      <c r="P1101" t="s">
        <v>903</v>
      </c>
      <c r="R1101" t="s">
        <v>634</v>
      </c>
    </row>
    <row r="1102" spans="1:18" hidden="1">
      <c r="A1102">
        <v>15</v>
      </c>
      <c r="B1102" t="s">
        <v>405</v>
      </c>
      <c r="C1102" t="s">
        <v>483</v>
      </c>
      <c r="G1102">
        <v>20</v>
      </c>
      <c r="J1102" t="s">
        <v>22</v>
      </c>
      <c r="K1102" t="s">
        <v>408</v>
      </c>
      <c r="L1102" t="s">
        <v>33</v>
      </c>
      <c r="M1102" t="s">
        <v>604</v>
      </c>
      <c r="O1102" s="1">
        <v>13.97</v>
      </c>
      <c r="P1102" t="s">
        <v>903</v>
      </c>
      <c r="R1102" t="s">
        <v>634</v>
      </c>
    </row>
    <row r="1103" spans="1:18" hidden="1">
      <c r="A1103">
        <v>15</v>
      </c>
      <c r="B1103" t="s">
        <v>405</v>
      </c>
      <c r="C1103" t="s">
        <v>483</v>
      </c>
      <c r="G1103">
        <v>21</v>
      </c>
      <c r="J1103" t="s">
        <v>22</v>
      </c>
      <c r="K1103" t="s">
        <v>408</v>
      </c>
      <c r="L1103" t="s">
        <v>33</v>
      </c>
      <c r="M1103" t="s">
        <v>604</v>
      </c>
      <c r="O1103" s="1">
        <v>13.97</v>
      </c>
      <c r="P1103" t="s">
        <v>903</v>
      </c>
      <c r="R1103" t="s">
        <v>634</v>
      </c>
    </row>
    <row r="1104" spans="1:18" hidden="1">
      <c r="A1104">
        <v>15</v>
      </c>
      <c r="B1104" t="s">
        <v>405</v>
      </c>
      <c r="C1104" t="s">
        <v>483</v>
      </c>
      <c r="G1104">
        <v>22</v>
      </c>
      <c r="J1104" t="s">
        <v>22</v>
      </c>
      <c r="K1104" t="s">
        <v>408</v>
      </c>
      <c r="L1104" t="s">
        <v>33</v>
      </c>
      <c r="M1104" t="s">
        <v>604</v>
      </c>
      <c r="O1104" s="1">
        <v>13.97</v>
      </c>
      <c r="P1104" t="s">
        <v>903</v>
      </c>
      <c r="R1104" t="s">
        <v>634</v>
      </c>
    </row>
    <row r="1105" spans="1:18" hidden="1">
      <c r="A1105">
        <v>15</v>
      </c>
      <c r="B1105" t="s">
        <v>405</v>
      </c>
      <c r="C1105" t="s">
        <v>483</v>
      </c>
      <c r="G1105">
        <v>4</v>
      </c>
      <c r="J1105" t="s">
        <v>22</v>
      </c>
      <c r="K1105" t="s">
        <v>71</v>
      </c>
      <c r="L1105" t="s">
        <v>33</v>
      </c>
      <c r="M1105" t="s">
        <v>605</v>
      </c>
      <c r="O1105" s="1">
        <f>12.5*3.25*1</f>
        <v>40.625</v>
      </c>
      <c r="P1105" t="s">
        <v>907</v>
      </c>
      <c r="R1105" t="s">
        <v>634</v>
      </c>
    </row>
    <row r="1106" spans="1:18" hidden="1">
      <c r="A1106">
        <v>15</v>
      </c>
      <c r="B1106" t="s">
        <v>405</v>
      </c>
      <c r="C1106" t="s">
        <v>483</v>
      </c>
      <c r="G1106">
        <v>5</v>
      </c>
      <c r="J1106" t="s">
        <v>22</v>
      </c>
      <c r="K1106" t="s">
        <v>71</v>
      </c>
      <c r="L1106" t="s">
        <v>33</v>
      </c>
      <c r="M1106" t="s">
        <v>605</v>
      </c>
      <c r="O1106" s="1">
        <f t="shared" ref="O1106:O1123" si="34">12.5*3.25*1</f>
        <v>40.625</v>
      </c>
      <c r="P1106" t="s">
        <v>907</v>
      </c>
      <c r="R1106" t="s">
        <v>634</v>
      </c>
    </row>
    <row r="1107" spans="1:18" hidden="1">
      <c r="A1107">
        <v>15</v>
      </c>
      <c r="B1107" t="s">
        <v>405</v>
      </c>
      <c r="C1107" t="s">
        <v>483</v>
      </c>
      <c r="G1107">
        <v>6</v>
      </c>
      <c r="J1107" t="s">
        <v>22</v>
      </c>
      <c r="K1107" t="s">
        <v>71</v>
      </c>
      <c r="L1107" t="s">
        <v>33</v>
      </c>
      <c r="M1107" t="s">
        <v>605</v>
      </c>
      <c r="O1107" s="1">
        <f t="shared" si="34"/>
        <v>40.625</v>
      </c>
      <c r="P1107" t="s">
        <v>907</v>
      </c>
      <c r="R1107" t="s">
        <v>634</v>
      </c>
    </row>
    <row r="1108" spans="1:18" hidden="1">
      <c r="A1108">
        <v>15</v>
      </c>
      <c r="B1108" t="s">
        <v>405</v>
      </c>
      <c r="C1108" t="s">
        <v>483</v>
      </c>
      <c r="G1108">
        <v>7</v>
      </c>
      <c r="J1108" t="s">
        <v>22</v>
      </c>
      <c r="K1108" t="s">
        <v>71</v>
      </c>
      <c r="L1108" t="s">
        <v>33</v>
      </c>
      <c r="M1108" t="s">
        <v>605</v>
      </c>
      <c r="O1108" s="1">
        <f t="shared" si="34"/>
        <v>40.625</v>
      </c>
      <c r="P1108" t="s">
        <v>907</v>
      </c>
      <c r="R1108" t="s">
        <v>634</v>
      </c>
    </row>
    <row r="1109" spans="1:18" hidden="1">
      <c r="A1109">
        <v>15</v>
      </c>
      <c r="B1109" t="s">
        <v>405</v>
      </c>
      <c r="C1109" t="s">
        <v>483</v>
      </c>
      <c r="G1109">
        <v>8</v>
      </c>
      <c r="J1109" t="s">
        <v>22</v>
      </c>
      <c r="K1109" t="s">
        <v>71</v>
      </c>
      <c r="L1109" t="s">
        <v>33</v>
      </c>
      <c r="M1109" t="s">
        <v>605</v>
      </c>
      <c r="O1109" s="1">
        <f t="shared" si="34"/>
        <v>40.625</v>
      </c>
      <c r="P1109" t="s">
        <v>907</v>
      </c>
      <c r="R1109" t="s">
        <v>634</v>
      </c>
    </row>
    <row r="1110" spans="1:18" hidden="1">
      <c r="A1110">
        <v>15</v>
      </c>
      <c r="B1110" t="s">
        <v>405</v>
      </c>
      <c r="C1110" t="s">
        <v>483</v>
      </c>
      <c r="G1110">
        <v>9</v>
      </c>
      <c r="J1110" t="s">
        <v>22</v>
      </c>
      <c r="K1110" t="s">
        <v>71</v>
      </c>
      <c r="L1110" t="s">
        <v>33</v>
      </c>
      <c r="M1110" t="s">
        <v>605</v>
      </c>
      <c r="O1110" s="1">
        <f t="shared" si="34"/>
        <v>40.625</v>
      </c>
      <c r="P1110" t="s">
        <v>907</v>
      </c>
      <c r="R1110" t="s">
        <v>634</v>
      </c>
    </row>
    <row r="1111" spans="1:18" hidden="1">
      <c r="A1111">
        <v>15</v>
      </c>
      <c r="B1111" t="s">
        <v>405</v>
      </c>
      <c r="C1111" t="s">
        <v>483</v>
      </c>
      <c r="G1111">
        <v>10</v>
      </c>
      <c r="J1111" t="s">
        <v>22</v>
      </c>
      <c r="K1111" t="s">
        <v>71</v>
      </c>
      <c r="L1111" t="s">
        <v>33</v>
      </c>
      <c r="M1111" t="s">
        <v>605</v>
      </c>
      <c r="O1111" s="1">
        <f t="shared" si="34"/>
        <v>40.625</v>
      </c>
      <c r="P1111" t="s">
        <v>907</v>
      </c>
      <c r="R1111" t="s">
        <v>634</v>
      </c>
    </row>
    <row r="1112" spans="1:18" hidden="1">
      <c r="A1112">
        <v>15</v>
      </c>
      <c r="B1112" t="s">
        <v>405</v>
      </c>
      <c r="C1112" t="s">
        <v>483</v>
      </c>
      <c r="G1112">
        <v>11</v>
      </c>
      <c r="J1112" t="s">
        <v>22</v>
      </c>
      <c r="K1112" t="s">
        <v>71</v>
      </c>
      <c r="L1112" t="s">
        <v>33</v>
      </c>
      <c r="M1112" t="s">
        <v>605</v>
      </c>
      <c r="O1112" s="1">
        <f t="shared" si="34"/>
        <v>40.625</v>
      </c>
      <c r="P1112" t="s">
        <v>907</v>
      </c>
      <c r="R1112" t="s">
        <v>634</v>
      </c>
    </row>
    <row r="1113" spans="1:18" hidden="1">
      <c r="A1113">
        <v>15</v>
      </c>
      <c r="B1113" t="s">
        <v>405</v>
      </c>
      <c r="C1113" t="s">
        <v>483</v>
      </c>
      <c r="G1113">
        <v>12</v>
      </c>
      <c r="J1113" t="s">
        <v>22</v>
      </c>
      <c r="K1113" t="s">
        <v>71</v>
      </c>
      <c r="L1113" t="s">
        <v>33</v>
      </c>
      <c r="M1113" t="s">
        <v>605</v>
      </c>
      <c r="O1113" s="1">
        <f t="shared" si="34"/>
        <v>40.625</v>
      </c>
      <c r="P1113" t="s">
        <v>907</v>
      </c>
      <c r="R1113" t="s">
        <v>634</v>
      </c>
    </row>
    <row r="1114" spans="1:18" hidden="1">
      <c r="A1114">
        <v>15</v>
      </c>
      <c r="B1114" t="s">
        <v>405</v>
      </c>
      <c r="C1114" t="s">
        <v>483</v>
      </c>
      <c r="G1114">
        <v>13</v>
      </c>
      <c r="J1114" t="s">
        <v>22</v>
      </c>
      <c r="K1114" t="s">
        <v>71</v>
      </c>
      <c r="L1114" t="s">
        <v>33</v>
      </c>
      <c r="M1114" t="s">
        <v>605</v>
      </c>
      <c r="O1114" s="1">
        <f t="shared" si="34"/>
        <v>40.625</v>
      </c>
      <c r="P1114" t="s">
        <v>907</v>
      </c>
      <c r="R1114" t="s">
        <v>634</v>
      </c>
    </row>
    <row r="1115" spans="1:18" hidden="1">
      <c r="A1115">
        <v>15</v>
      </c>
      <c r="B1115" t="s">
        <v>405</v>
      </c>
      <c r="C1115" t="s">
        <v>483</v>
      </c>
      <c r="G1115">
        <v>14</v>
      </c>
      <c r="J1115" t="s">
        <v>22</v>
      </c>
      <c r="K1115" t="s">
        <v>71</v>
      </c>
      <c r="L1115" t="s">
        <v>33</v>
      </c>
      <c r="M1115" t="s">
        <v>605</v>
      </c>
      <c r="O1115" s="1">
        <f t="shared" si="34"/>
        <v>40.625</v>
      </c>
      <c r="P1115" t="s">
        <v>907</v>
      </c>
      <c r="R1115" t="s">
        <v>634</v>
      </c>
    </row>
    <row r="1116" spans="1:18" hidden="1">
      <c r="A1116">
        <v>15</v>
      </c>
      <c r="B1116" t="s">
        <v>405</v>
      </c>
      <c r="C1116" t="s">
        <v>483</v>
      </c>
      <c r="G1116">
        <v>15</v>
      </c>
      <c r="J1116" t="s">
        <v>22</v>
      </c>
      <c r="K1116" t="s">
        <v>71</v>
      </c>
      <c r="L1116" t="s">
        <v>33</v>
      </c>
      <c r="M1116" t="s">
        <v>605</v>
      </c>
      <c r="O1116" s="1">
        <f t="shared" si="34"/>
        <v>40.625</v>
      </c>
      <c r="P1116" t="s">
        <v>907</v>
      </c>
      <c r="R1116" t="s">
        <v>634</v>
      </c>
    </row>
    <row r="1117" spans="1:18" hidden="1">
      <c r="A1117">
        <v>15</v>
      </c>
      <c r="B1117" t="s">
        <v>405</v>
      </c>
      <c r="C1117" t="s">
        <v>483</v>
      </c>
      <c r="G1117">
        <v>16</v>
      </c>
      <c r="J1117" t="s">
        <v>22</v>
      </c>
      <c r="K1117" t="s">
        <v>71</v>
      </c>
      <c r="L1117" t="s">
        <v>33</v>
      </c>
      <c r="M1117" t="s">
        <v>605</v>
      </c>
      <c r="O1117" s="1">
        <f t="shared" si="34"/>
        <v>40.625</v>
      </c>
      <c r="P1117" t="s">
        <v>907</v>
      </c>
      <c r="R1117" t="s">
        <v>634</v>
      </c>
    </row>
    <row r="1118" spans="1:18" hidden="1">
      <c r="A1118">
        <v>15</v>
      </c>
      <c r="B1118" t="s">
        <v>405</v>
      </c>
      <c r="C1118" t="s">
        <v>483</v>
      </c>
      <c r="G1118">
        <v>17</v>
      </c>
      <c r="J1118" t="s">
        <v>22</v>
      </c>
      <c r="K1118" t="s">
        <v>71</v>
      </c>
      <c r="L1118" t="s">
        <v>33</v>
      </c>
      <c r="M1118" t="s">
        <v>605</v>
      </c>
      <c r="O1118" s="1">
        <f t="shared" si="34"/>
        <v>40.625</v>
      </c>
      <c r="P1118" t="s">
        <v>907</v>
      </c>
      <c r="R1118" t="s">
        <v>634</v>
      </c>
    </row>
    <row r="1119" spans="1:18" hidden="1">
      <c r="A1119">
        <v>15</v>
      </c>
      <c r="B1119" t="s">
        <v>405</v>
      </c>
      <c r="C1119" t="s">
        <v>483</v>
      </c>
      <c r="G1119">
        <v>18</v>
      </c>
      <c r="J1119" t="s">
        <v>22</v>
      </c>
      <c r="K1119" t="s">
        <v>71</v>
      </c>
      <c r="L1119" t="s">
        <v>33</v>
      </c>
      <c r="M1119" t="s">
        <v>605</v>
      </c>
      <c r="O1119" s="1">
        <f t="shared" si="34"/>
        <v>40.625</v>
      </c>
      <c r="P1119" t="s">
        <v>907</v>
      </c>
      <c r="R1119" t="s">
        <v>634</v>
      </c>
    </row>
    <row r="1120" spans="1:18" hidden="1">
      <c r="A1120">
        <v>15</v>
      </c>
      <c r="B1120" t="s">
        <v>405</v>
      </c>
      <c r="C1120" t="s">
        <v>483</v>
      </c>
      <c r="G1120">
        <v>19</v>
      </c>
      <c r="J1120" t="s">
        <v>22</v>
      </c>
      <c r="K1120" t="s">
        <v>71</v>
      </c>
      <c r="L1120" t="s">
        <v>33</v>
      </c>
      <c r="M1120" t="s">
        <v>605</v>
      </c>
      <c r="O1120" s="1">
        <f t="shared" si="34"/>
        <v>40.625</v>
      </c>
      <c r="P1120" t="s">
        <v>907</v>
      </c>
      <c r="R1120" t="s">
        <v>634</v>
      </c>
    </row>
    <row r="1121" spans="1:18" hidden="1">
      <c r="A1121">
        <v>15</v>
      </c>
      <c r="B1121" t="s">
        <v>405</v>
      </c>
      <c r="C1121" t="s">
        <v>483</v>
      </c>
      <c r="G1121">
        <v>20</v>
      </c>
      <c r="J1121" t="s">
        <v>22</v>
      </c>
      <c r="K1121" t="s">
        <v>71</v>
      </c>
      <c r="L1121" t="s">
        <v>33</v>
      </c>
      <c r="M1121" t="s">
        <v>605</v>
      </c>
      <c r="O1121" s="1">
        <f t="shared" si="34"/>
        <v>40.625</v>
      </c>
      <c r="P1121" t="s">
        <v>907</v>
      </c>
      <c r="R1121" t="s">
        <v>634</v>
      </c>
    </row>
    <row r="1122" spans="1:18" hidden="1">
      <c r="A1122">
        <v>15</v>
      </c>
      <c r="B1122" t="s">
        <v>405</v>
      </c>
      <c r="C1122" t="s">
        <v>483</v>
      </c>
      <c r="G1122">
        <v>21</v>
      </c>
      <c r="J1122" t="s">
        <v>22</v>
      </c>
      <c r="K1122" t="s">
        <v>71</v>
      </c>
      <c r="L1122" t="s">
        <v>33</v>
      </c>
      <c r="M1122" t="s">
        <v>605</v>
      </c>
      <c r="O1122" s="1">
        <f t="shared" si="34"/>
        <v>40.625</v>
      </c>
      <c r="P1122" t="s">
        <v>907</v>
      </c>
      <c r="R1122" t="s">
        <v>634</v>
      </c>
    </row>
    <row r="1123" spans="1:18" hidden="1">
      <c r="A1123">
        <v>15</v>
      </c>
      <c r="B1123" t="s">
        <v>405</v>
      </c>
      <c r="C1123" t="s">
        <v>483</v>
      </c>
      <c r="G1123">
        <v>22</v>
      </c>
      <c r="J1123" t="s">
        <v>22</v>
      </c>
      <c r="K1123" t="s">
        <v>71</v>
      </c>
      <c r="L1123" t="s">
        <v>33</v>
      </c>
      <c r="M1123" t="s">
        <v>605</v>
      </c>
      <c r="O1123" s="1">
        <f t="shared" si="34"/>
        <v>40.625</v>
      </c>
      <c r="P1123" t="s">
        <v>907</v>
      </c>
      <c r="R1123" t="s">
        <v>634</v>
      </c>
    </row>
    <row r="1124" spans="1:18" hidden="1">
      <c r="A1124">
        <v>15</v>
      </c>
      <c r="B1124" t="s">
        <v>405</v>
      </c>
      <c r="C1124" t="s">
        <v>483</v>
      </c>
      <c r="G1124">
        <v>4</v>
      </c>
      <c r="J1124" t="s">
        <v>22</v>
      </c>
      <c r="K1124" t="s">
        <v>71</v>
      </c>
      <c r="L1124" t="s">
        <v>33</v>
      </c>
      <c r="M1124" t="s">
        <v>606</v>
      </c>
      <c r="O1124" s="1">
        <f>5*0.5*1</f>
        <v>2.5</v>
      </c>
      <c r="P1124" t="s">
        <v>653</v>
      </c>
      <c r="R1124" t="s">
        <v>634</v>
      </c>
    </row>
    <row r="1125" spans="1:18" hidden="1">
      <c r="A1125">
        <v>15</v>
      </c>
      <c r="B1125" t="s">
        <v>405</v>
      </c>
      <c r="C1125" t="s">
        <v>483</v>
      </c>
      <c r="G1125">
        <v>5</v>
      </c>
      <c r="J1125" t="s">
        <v>22</v>
      </c>
      <c r="K1125" t="s">
        <v>71</v>
      </c>
      <c r="L1125" t="s">
        <v>33</v>
      </c>
      <c r="M1125" t="s">
        <v>606</v>
      </c>
      <c r="O1125" s="1">
        <f t="shared" ref="O1125:O1142" si="35">5*0.5*1</f>
        <v>2.5</v>
      </c>
      <c r="P1125" t="s">
        <v>653</v>
      </c>
      <c r="R1125" t="s">
        <v>634</v>
      </c>
    </row>
    <row r="1126" spans="1:18" hidden="1">
      <c r="A1126">
        <v>15</v>
      </c>
      <c r="B1126" t="s">
        <v>405</v>
      </c>
      <c r="C1126" t="s">
        <v>483</v>
      </c>
      <c r="G1126">
        <v>6</v>
      </c>
      <c r="J1126" t="s">
        <v>22</v>
      </c>
      <c r="K1126" t="s">
        <v>71</v>
      </c>
      <c r="L1126" t="s">
        <v>33</v>
      </c>
      <c r="M1126" t="s">
        <v>606</v>
      </c>
      <c r="O1126" s="1">
        <f t="shared" si="35"/>
        <v>2.5</v>
      </c>
      <c r="P1126" t="s">
        <v>653</v>
      </c>
      <c r="R1126" t="s">
        <v>634</v>
      </c>
    </row>
    <row r="1127" spans="1:18" hidden="1">
      <c r="A1127">
        <v>15</v>
      </c>
      <c r="B1127" t="s">
        <v>405</v>
      </c>
      <c r="C1127" t="s">
        <v>483</v>
      </c>
      <c r="G1127">
        <v>7</v>
      </c>
      <c r="J1127" t="s">
        <v>22</v>
      </c>
      <c r="K1127" t="s">
        <v>71</v>
      </c>
      <c r="L1127" t="s">
        <v>33</v>
      </c>
      <c r="M1127" t="s">
        <v>606</v>
      </c>
      <c r="O1127" s="1">
        <f t="shared" si="35"/>
        <v>2.5</v>
      </c>
      <c r="P1127" t="s">
        <v>653</v>
      </c>
      <c r="R1127" t="s">
        <v>634</v>
      </c>
    </row>
    <row r="1128" spans="1:18" hidden="1">
      <c r="A1128">
        <v>15</v>
      </c>
      <c r="B1128" t="s">
        <v>405</v>
      </c>
      <c r="C1128" t="s">
        <v>483</v>
      </c>
      <c r="G1128">
        <v>8</v>
      </c>
      <c r="J1128" t="s">
        <v>22</v>
      </c>
      <c r="K1128" t="s">
        <v>71</v>
      </c>
      <c r="L1128" t="s">
        <v>33</v>
      </c>
      <c r="M1128" t="s">
        <v>606</v>
      </c>
      <c r="O1128" s="1">
        <f t="shared" si="35"/>
        <v>2.5</v>
      </c>
      <c r="P1128" t="s">
        <v>653</v>
      </c>
      <c r="R1128" t="s">
        <v>634</v>
      </c>
    </row>
    <row r="1129" spans="1:18" hidden="1">
      <c r="A1129">
        <v>15</v>
      </c>
      <c r="B1129" t="s">
        <v>405</v>
      </c>
      <c r="C1129" t="s">
        <v>483</v>
      </c>
      <c r="G1129">
        <v>9</v>
      </c>
      <c r="J1129" t="s">
        <v>22</v>
      </c>
      <c r="K1129" t="s">
        <v>71</v>
      </c>
      <c r="L1129" t="s">
        <v>33</v>
      </c>
      <c r="M1129" t="s">
        <v>606</v>
      </c>
      <c r="O1129" s="1">
        <f t="shared" si="35"/>
        <v>2.5</v>
      </c>
      <c r="P1129" t="s">
        <v>653</v>
      </c>
      <c r="R1129" t="s">
        <v>634</v>
      </c>
    </row>
    <row r="1130" spans="1:18" hidden="1">
      <c r="A1130">
        <v>15</v>
      </c>
      <c r="B1130" t="s">
        <v>405</v>
      </c>
      <c r="C1130" t="s">
        <v>483</v>
      </c>
      <c r="G1130">
        <v>10</v>
      </c>
      <c r="J1130" t="s">
        <v>22</v>
      </c>
      <c r="K1130" t="s">
        <v>71</v>
      </c>
      <c r="L1130" t="s">
        <v>33</v>
      </c>
      <c r="M1130" t="s">
        <v>606</v>
      </c>
      <c r="O1130" s="1">
        <f t="shared" si="35"/>
        <v>2.5</v>
      </c>
      <c r="P1130" t="s">
        <v>653</v>
      </c>
      <c r="R1130" t="s">
        <v>634</v>
      </c>
    </row>
    <row r="1131" spans="1:18" hidden="1">
      <c r="A1131">
        <v>15</v>
      </c>
      <c r="B1131" t="s">
        <v>405</v>
      </c>
      <c r="C1131" t="s">
        <v>483</v>
      </c>
      <c r="G1131">
        <v>11</v>
      </c>
      <c r="J1131" t="s">
        <v>22</v>
      </c>
      <c r="K1131" t="s">
        <v>71</v>
      </c>
      <c r="L1131" t="s">
        <v>33</v>
      </c>
      <c r="M1131" t="s">
        <v>606</v>
      </c>
      <c r="O1131" s="1">
        <f t="shared" si="35"/>
        <v>2.5</v>
      </c>
      <c r="P1131" t="s">
        <v>653</v>
      </c>
      <c r="R1131" t="s">
        <v>634</v>
      </c>
    </row>
    <row r="1132" spans="1:18" hidden="1">
      <c r="A1132">
        <v>15</v>
      </c>
      <c r="B1132" t="s">
        <v>405</v>
      </c>
      <c r="C1132" t="s">
        <v>483</v>
      </c>
      <c r="G1132">
        <v>12</v>
      </c>
      <c r="J1132" t="s">
        <v>22</v>
      </c>
      <c r="K1132" t="s">
        <v>71</v>
      </c>
      <c r="L1132" t="s">
        <v>33</v>
      </c>
      <c r="M1132" t="s">
        <v>606</v>
      </c>
      <c r="O1132" s="1">
        <f t="shared" si="35"/>
        <v>2.5</v>
      </c>
      <c r="P1132" t="s">
        <v>653</v>
      </c>
      <c r="R1132" t="s">
        <v>634</v>
      </c>
    </row>
    <row r="1133" spans="1:18" hidden="1">
      <c r="A1133">
        <v>15</v>
      </c>
      <c r="B1133" t="s">
        <v>405</v>
      </c>
      <c r="C1133" t="s">
        <v>483</v>
      </c>
      <c r="G1133">
        <v>13</v>
      </c>
      <c r="J1133" t="s">
        <v>22</v>
      </c>
      <c r="K1133" t="s">
        <v>71</v>
      </c>
      <c r="L1133" t="s">
        <v>33</v>
      </c>
      <c r="M1133" t="s">
        <v>606</v>
      </c>
      <c r="O1133" s="1">
        <f t="shared" si="35"/>
        <v>2.5</v>
      </c>
      <c r="P1133" t="s">
        <v>653</v>
      </c>
      <c r="R1133" t="s">
        <v>634</v>
      </c>
    </row>
    <row r="1134" spans="1:18" hidden="1">
      <c r="A1134">
        <v>15</v>
      </c>
      <c r="B1134" t="s">
        <v>405</v>
      </c>
      <c r="C1134" t="s">
        <v>483</v>
      </c>
      <c r="G1134">
        <v>14</v>
      </c>
      <c r="J1134" t="s">
        <v>22</v>
      </c>
      <c r="K1134" t="s">
        <v>71</v>
      </c>
      <c r="L1134" t="s">
        <v>33</v>
      </c>
      <c r="M1134" t="s">
        <v>606</v>
      </c>
      <c r="O1134" s="1">
        <f t="shared" si="35"/>
        <v>2.5</v>
      </c>
      <c r="P1134" t="s">
        <v>653</v>
      </c>
      <c r="R1134" t="s">
        <v>634</v>
      </c>
    </row>
    <row r="1135" spans="1:18" hidden="1">
      <c r="A1135">
        <v>15</v>
      </c>
      <c r="B1135" t="s">
        <v>405</v>
      </c>
      <c r="C1135" t="s">
        <v>483</v>
      </c>
      <c r="G1135">
        <v>15</v>
      </c>
      <c r="J1135" t="s">
        <v>22</v>
      </c>
      <c r="K1135" t="s">
        <v>71</v>
      </c>
      <c r="L1135" t="s">
        <v>33</v>
      </c>
      <c r="M1135" t="s">
        <v>606</v>
      </c>
      <c r="O1135" s="1">
        <f t="shared" si="35"/>
        <v>2.5</v>
      </c>
      <c r="P1135" t="s">
        <v>653</v>
      </c>
      <c r="R1135" t="s">
        <v>634</v>
      </c>
    </row>
    <row r="1136" spans="1:18" hidden="1">
      <c r="A1136">
        <v>15</v>
      </c>
      <c r="B1136" t="s">
        <v>405</v>
      </c>
      <c r="C1136" t="s">
        <v>483</v>
      </c>
      <c r="G1136">
        <v>16</v>
      </c>
      <c r="J1136" t="s">
        <v>22</v>
      </c>
      <c r="K1136" t="s">
        <v>71</v>
      </c>
      <c r="L1136" t="s">
        <v>33</v>
      </c>
      <c r="M1136" t="s">
        <v>606</v>
      </c>
      <c r="O1136" s="1">
        <f t="shared" si="35"/>
        <v>2.5</v>
      </c>
      <c r="P1136" t="s">
        <v>653</v>
      </c>
      <c r="R1136" t="s">
        <v>634</v>
      </c>
    </row>
    <row r="1137" spans="1:18" hidden="1">
      <c r="A1137">
        <v>15</v>
      </c>
      <c r="B1137" t="s">
        <v>405</v>
      </c>
      <c r="C1137" t="s">
        <v>483</v>
      </c>
      <c r="G1137">
        <v>17</v>
      </c>
      <c r="J1137" t="s">
        <v>22</v>
      </c>
      <c r="K1137" t="s">
        <v>71</v>
      </c>
      <c r="L1137" t="s">
        <v>33</v>
      </c>
      <c r="M1137" t="s">
        <v>606</v>
      </c>
      <c r="O1137" s="1">
        <f t="shared" si="35"/>
        <v>2.5</v>
      </c>
      <c r="P1137" t="s">
        <v>653</v>
      </c>
      <c r="R1137" t="s">
        <v>634</v>
      </c>
    </row>
    <row r="1138" spans="1:18" hidden="1">
      <c r="A1138">
        <v>15</v>
      </c>
      <c r="B1138" t="s">
        <v>405</v>
      </c>
      <c r="C1138" t="s">
        <v>483</v>
      </c>
      <c r="G1138">
        <v>18</v>
      </c>
      <c r="J1138" t="s">
        <v>22</v>
      </c>
      <c r="K1138" t="s">
        <v>71</v>
      </c>
      <c r="L1138" t="s">
        <v>33</v>
      </c>
      <c r="M1138" t="s">
        <v>606</v>
      </c>
      <c r="O1138" s="1">
        <f t="shared" si="35"/>
        <v>2.5</v>
      </c>
      <c r="P1138" t="s">
        <v>653</v>
      </c>
      <c r="R1138" t="s">
        <v>634</v>
      </c>
    </row>
    <row r="1139" spans="1:18" hidden="1">
      <c r="A1139">
        <v>15</v>
      </c>
      <c r="B1139" t="s">
        <v>405</v>
      </c>
      <c r="C1139" t="s">
        <v>483</v>
      </c>
      <c r="G1139">
        <v>19</v>
      </c>
      <c r="J1139" t="s">
        <v>22</v>
      </c>
      <c r="K1139" t="s">
        <v>71</v>
      </c>
      <c r="L1139" t="s">
        <v>33</v>
      </c>
      <c r="M1139" t="s">
        <v>606</v>
      </c>
      <c r="O1139" s="1">
        <f t="shared" si="35"/>
        <v>2.5</v>
      </c>
      <c r="P1139" t="s">
        <v>653</v>
      </c>
      <c r="R1139" t="s">
        <v>634</v>
      </c>
    </row>
    <row r="1140" spans="1:18" hidden="1">
      <c r="A1140">
        <v>15</v>
      </c>
      <c r="B1140" t="s">
        <v>405</v>
      </c>
      <c r="C1140" t="s">
        <v>483</v>
      </c>
      <c r="G1140">
        <v>20</v>
      </c>
      <c r="J1140" t="s">
        <v>22</v>
      </c>
      <c r="K1140" t="s">
        <v>71</v>
      </c>
      <c r="L1140" t="s">
        <v>33</v>
      </c>
      <c r="M1140" t="s">
        <v>606</v>
      </c>
      <c r="O1140" s="1">
        <f t="shared" si="35"/>
        <v>2.5</v>
      </c>
      <c r="P1140" t="s">
        <v>653</v>
      </c>
      <c r="R1140" t="s">
        <v>634</v>
      </c>
    </row>
    <row r="1141" spans="1:18" hidden="1">
      <c r="A1141">
        <v>15</v>
      </c>
      <c r="B1141" t="s">
        <v>405</v>
      </c>
      <c r="C1141" t="s">
        <v>483</v>
      </c>
      <c r="G1141">
        <v>21</v>
      </c>
      <c r="J1141" t="s">
        <v>22</v>
      </c>
      <c r="K1141" t="s">
        <v>71</v>
      </c>
      <c r="L1141" t="s">
        <v>33</v>
      </c>
      <c r="M1141" t="s">
        <v>606</v>
      </c>
      <c r="O1141" s="1">
        <f t="shared" si="35"/>
        <v>2.5</v>
      </c>
      <c r="P1141" t="s">
        <v>653</v>
      </c>
      <c r="R1141" t="s">
        <v>634</v>
      </c>
    </row>
    <row r="1142" spans="1:18" hidden="1">
      <c r="A1142">
        <v>15</v>
      </c>
      <c r="B1142" t="s">
        <v>405</v>
      </c>
      <c r="C1142" t="s">
        <v>483</v>
      </c>
      <c r="G1142">
        <v>22</v>
      </c>
      <c r="J1142" t="s">
        <v>22</v>
      </c>
      <c r="K1142" t="s">
        <v>71</v>
      </c>
      <c r="L1142" t="s">
        <v>33</v>
      </c>
      <c r="M1142" t="s">
        <v>606</v>
      </c>
      <c r="O1142" s="1">
        <f t="shared" si="35"/>
        <v>2.5</v>
      </c>
      <c r="P1142" t="s">
        <v>653</v>
      </c>
      <c r="R1142" t="s">
        <v>634</v>
      </c>
    </row>
    <row r="1143" spans="1:18" hidden="1">
      <c r="A1143">
        <v>15</v>
      </c>
      <c r="B1143" t="s">
        <v>405</v>
      </c>
      <c r="C1143" t="s">
        <v>483</v>
      </c>
      <c r="G1143">
        <v>4</v>
      </c>
      <c r="J1143" t="s">
        <v>22</v>
      </c>
      <c r="K1143" t="s">
        <v>71</v>
      </c>
      <c r="L1143" t="s">
        <v>33</v>
      </c>
      <c r="M1143" t="s">
        <v>607</v>
      </c>
      <c r="O1143" s="1">
        <f>2.5*3.16*1</f>
        <v>7.9</v>
      </c>
      <c r="P1143" t="s">
        <v>658</v>
      </c>
      <c r="R1143" t="s">
        <v>634</v>
      </c>
    </row>
    <row r="1144" spans="1:18" hidden="1">
      <c r="A1144">
        <v>15</v>
      </c>
      <c r="B1144" t="s">
        <v>405</v>
      </c>
      <c r="C1144" t="s">
        <v>483</v>
      </c>
      <c r="G1144">
        <v>5</v>
      </c>
      <c r="J1144" t="s">
        <v>22</v>
      </c>
      <c r="K1144" t="s">
        <v>71</v>
      </c>
      <c r="L1144" t="s">
        <v>33</v>
      </c>
      <c r="M1144" t="s">
        <v>607</v>
      </c>
      <c r="O1144" s="1">
        <f t="shared" ref="O1144:O1161" si="36">2.5*3.16*1</f>
        <v>7.9</v>
      </c>
      <c r="P1144" t="s">
        <v>658</v>
      </c>
      <c r="R1144" t="s">
        <v>634</v>
      </c>
    </row>
    <row r="1145" spans="1:18" hidden="1">
      <c r="A1145">
        <v>15</v>
      </c>
      <c r="B1145" t="s">
        <v>405</v>
      </c>
      <c r="C1145" t="s">
        <v>483</v>
      </c>
      <c r="G1145">
        <v>6</v>
      </c>
      <c r="J1145" t="s">
        <v>22</v>
      </c>
      <c r="K1145" t="s">
        <v>71</v>
      </c>
      <c r="L1145" t="s">
        <v>33</v>
      </c>
      <c r="M1145" t="s">
        <v>607</v>
      </c>
      <c r="O1145" s="1">
        <f t="shared" si="36"/>
        <v>7.9</v>
      </c>
      <c r="P1145" t="s">
        <v>658</v>
      </c>
      <c r="R1145" t="s">
        <v>634</v>
      </c>
    </row>
    <row r="1146" spans="1:18" hidden="1">
      <c r="A1146">
        <v>15</v>
      </c>
      <c r="B1146" t="s">
        <v>405</v>
      </c>
      <c r="C1146" t="s">
        <v>483</v>
      </c>
      <c r="G1146">
        <v>7</v>
      </c>
      <c r="J1146" t="s">
        <v>22</v>
      </c>
      <c r="K1146" t="s">
        <v>71</v>
      </c>
      <c r="L1146" t="s">
        <v>33</v>
      </c>
      <c r="M1146" t="s">
        <v>607</v>
      </c>
      <c r="O1146" s="1">
        <f t="shared" si="36"/>
        <v>7.9</v>
      </c>
      <c r="P1146" t="s">
        <v>658</v>
      </c>
      <c r="R1146" t="s">
        <v>634</v>
      </c>
    </row>
    <row r="1147" spans="1:18" hidden="1">
      <c r="A1147">
        <v>15</v>
      </c>
      <c r="B1147" t="s">
        <v>405</v>
      </c>
      <c r="C1147" t="s">
        <v>483</v>
      </c>
      <c r="G1147">
        <v>8</v>
      </c>
      <c r="J1147" t="s">
        <v>22</v>
      </c>
      <c r="K1147" t="s">
        <v>71</v>
      </c>
      <c r="L1147" t="s">
        <v>33</v>
      </c>
      <c r="M1147" t="s">
        <v>607</v>
      </c>
      <c r="O1147" s="1">
        <f t="shared" si="36"/>
        <v>7.9</v>
      </c>
      <c r="P1147" t="s">
        <v>658</v>
      </c>
      <c r="R1147" t="s">
        <v>634</v>
      </c>
    </row>
    <row r="1148" spans="1:18" hidden="1">
      <c r="A1148">
        <v>15</v>
      </c>
      <c r="B1148" t="s">
        <v>405</v>
      </c>
      <c r="C1148" t="s">
        <v>483</v>
      </c>
      <c r="G1148">
        <v>9</v>
      </c>
      <c r="J1148" t="s">
        <v>22</v>
      </c>
      <c r="K1148" t="s">
        <v>71</v>
      </c>
      <c r="L1148" t="s">
        <v>33</v>
      </c>
      <c r="M1148" t="s">
        <v>607</v>
      </c>
      <c r="O1148" s="1">
        <f t="shared" si="36"/>
        <v>7.9</v>
      </c>
      <c r="P1148" t="s">
        <v>658</v>
      </c>
      <c r="R1148" t="s">
        <v>634</v>
      </c>
    </row>
    <row r="1149" spans="1:18" hidden="1">
      <c r="A1149">
        <v>15</v>
      </c>
      <c r="B1149" t="s">
        <v>405</v>
      </c>
      <c r="C1149" t="s">
        <v>483</v>
      </c>
      <c r="G1149">
        <v>10</v>
      </c>
      <c r="J1149" t="s">
        <v>22</v>
      </c>
      <c r="K1149" t="s">
        <v>71</v>
      </c>
      <c r="L1149" t="s">
        <v>33</v>
      </c>
      <c r="M1149" t="s">
        <v>607</v>
      </c>
      <c r="O1149" s="1">
        <f t="shared" si="36"/>
        <v>7.9</v>
      </c>
      <c r="P1149" t="s">
        <v>658</v>
      </c>
      <c r="R1149" t="s">
        <v>634</v>
      </c>
    </row>
    <row r="1150" spans="1:18" hidden="1">
      <c r="A1150">
        <v>15</v>
      </c>
      <c r="B1150" t="s">
        <v>405</v>
      </c>
      <c r="C1150" t="s">
        <v>483</v>
      </c>
      <c r="G1150">
        <v>11</v>
      </c>
      <c r="J1150" t="s">
        <v>22</v>
      </c>
      <c r="K1150" t="s">
        <v>71</v>
      </c>
      <c r="L1150" t="s">
        <v>33</v>
      </c>
      <c r="M1150" t="s">
        <v>607</v>
      </c>
      <c r="O1150" s="1">
        <f t="shared" si="36"/>
        <v>7.9</v>
      </c>
      <c r="P1150" t="s">
        <v>658</v>
      </c>
      <c r="R1150" t="s">
        <v>634</v>
      </c>
    </row>
    <row r="1151" spans="1:18" hidden="1">
      <c r="A1151">
        <v>15</v>
      </c>
      <c r="B1151" t="s">
        <v>405</v>
      </c>
      <c r="C1151" t="s">
        <v>483</v>
      </c>
      <c r="G1151">
        <v>12</v>
      </c>
      <c r="J1151" t="s">
        <v>22</v>
      </c>
      <c r="K1151" t="s">
        <v>71</v>
      </c>
      <c r="L1151" t="s">
        <v>33</v>
      </c>
      <c r="M1151" t="s">
        <v>607</v>
      </c>
      <c r="O1151" s="1">
        <f t="shared" si="36"/>
        <v>7.9</v>
      </c>
      <c r="P1151" t="s">
        <v>658</v>
      </c>
      <c r="R1151" t="s">
        <v>634</v>
      </c>
    </row>
    <row r="1152" spans="1:18" hidden="1">
      <c r="A1152">
        <v>15</v>
      </c>
      <c r="B1152" t="s">
        <v>405</v>
      </c>
      <c r="C1152" t="s">
        <v>483</v>
      </c>
      <c r="G1152">
        <v>13</v>
      </c>
      <c r="J1152" t="s">
        <v>22</v>
      </c>
      <c r="K1152" t="s">
        <v>71</v>
      </c>
      <c r="L1152" t="s">
        <v>33</v>
      </c>
      <c r="M1152" t="s">
        <v>607</v>
      </c>
      <c r="O1152" s="1">
        <f t="shared" si="36"/>
        <v>7.9</v>
      </c>
      <c r="P1152" t="s">
        <v>658</v>
      </c>
      <c r="R1152" t="s">
        <v>634</v>
      </c>
    </row>
    <row r="1153" spans="1:18" hidden="1">
      <c r="A1153">
        <v>15</v>
      </c>
      <c r="B1153" t="s">
        <v>405</v>
      </c>
      <c r="C1153" t="s">
        <v>483</v>
      </c>
      <c r="G1153">
        <v>14</v>
      </c>
      <c r="J1153" t="s">
        <v>22</v>
      </c>
      <c r="K1153" t="s">
        <v>71</v>
      </c>
      <c r="L1153" t="s">
        <v>33</v>
      </c>
      <c r="M1153" t="s">
        <v>607</v>
      </c>
      <c r="O1153" s="1">
        <f t="shared" si="36"/>
        <v>7.9</v>
      </c>
      <c r="P1153" t="s">
        <v>658</v>
      </c>
      <c r="R1153" t="s">
        <v>634</v>
      </c>
    </row>
    <row r="1154" spans="1:18" hidden="1">
      <c r="A1154">
        <v>15</v>
      </c>
      <c r="B1154" t="s">
        <v>405</v>
      </c>
      <c r="C1154" t="s">
        <v>483</v>
      </c>
      <c r="G1154">
        <v>15</v>
      </c>
      <c r="J1154" t="s">
        <v>22</v>
      </c>
      <c r="K1154" t="s">
        <v>71</v>
      </c>
      <c r="L1154" t="s">
        <v>33</v>
      </c>
      <c r="M1154" t="s">
        <v>607</v>
      </c>
      <c r="O1154" s="1">
        <f t="shared" si="36"/>
        <v>7.9</v>
      </c>
      <c r="P1154" t="s">
        <v>658</v>
      </c>
      <c r="R1154" t="s">
        <v>634</v>
      </c>
    </row>
    <row r="1155" spans="1:18" hidden="1">
      <c r="A1155">
        <v>15</v>
      </c>
      <c r="B1155" t="s">
        <v>405</v>
      </c>
      <c r="C1155" t="s">
        <v>483</v>
      </c>
      <c r="G1155">
        <v>16</v>
      </c>
      <c r="J1155" t="s">
        <v>22</v>
      </c>
      <c r="K1155" t="s">
        <v>71</v>
      </c>
      <c r="L1155" t="s">
        <v>33</v>
      </c>
      <c r="M1155" t="s">
        <v>607</v>
      </c>
      <c r="O1155" s="1">
        <f t="shared" si="36"/>
        <v>7.9</v>
      </c>
      <c r="P1155" t="s">
        <v>658</v>
      </c>
      <c r="R1155" t="s">
        <v>634</v>
      </c>
    </row>
    <row r="1156" spans="1:18" hidden="1">
      <c r="A1156">
        <v>15</v>
      </c>
      <c r="B1156" t="s">
        <v>405</v>
      </c>
      <c r="C1156" t="s">
        <v>483</v>
      </c>
      <c r="G1156">
        <v>17</v>
      </c>
      <c r="J1156" t="s">
        <v>22</v>
      </c>
      <c r="K1156" t="s">
        <v>71</v>
      </c>
      <c r="L1156" t="s">
        <v>33</v>
      </c>
      <c r="M1156" t="s">
        <v>607</v>
      </c>
      <c r="O1156" s="1">
        <f t="shared" si="36"/>
        <v>7.9</v>
      </c>
      <c r="P1156" t="s">
        <v>658</v>
      </c>
      <c r="R1156" t="s">
        <v>634</v>
      </c>
    </row>
    <row r="1157" spans="1:18" hidden="1">
      <c r="A1157">
        <v>15</v>
      </c>
      <c r="B1157" t="s">
        <v>405</v>
      </c>
      <c r="C1157" t="s">
        <v>483</v>
      </c>
      <c r="G1157">
        <v>18</v>
      </c>
      <c r="J1157" t="s">
        <v>22</v>
      </c>
      <c r="K1157" t="s">
        <v>71</v>
      </c>
      <c r="L1157" t="s">
        <v>33</v>
      </c>
      <c r="M1157" t="s">
        <v>607</v>
      </c>
      <c r="O1157" s="1">
        <f t="shared" si="36"/>
        <v>7.9</v>
      </c>
      <c r="P1157" t="s">
        <v>658</v>
      </c>
      <c r="R1157" t="s">
        <v>634</v>
      </c>
    </row>
    <row r="1158" spans="1:18" hidden="1">
      <c r="A1158">
        <v>15</v>
      </c>
      <c r="B1158" t="s">
        <v>405</v>
      </c>
      <c r="C1158" t="s">
        <v>483</v>
      </c>
      <c r="G1158">
        <v>19</v>
      </c>
      <c r="J1158" t="s">
        <v>22</v>
      </c>
      <c r="K1158" t="s">
        <v>71</v>
      </c>
      <c r="L1158" t="s">
        <v>33</v>
      </c>
      <c r="M1158" t="s">
        <v>607</v>
      </c>
      <c r="O1158" s="1">
        <f t="shared" si="36"/>
        <v>7.9</v>
      </c>
      <c r="P1158" t="s">
        <v>658</v>
      </c>
      <c r="R1158" t="s">
        <v>634</v>
      </c>
    </row>
    <row r="1159" spans="1:18" hidden="1">
      <c r="A1159">
        <v>15</v>
      </c>
      <c r="B1159" t="s">
        <v>405</v>
      </c>
      <c r="C1159" t="s">
        <v>483</v>
      </c>
      <c r="G1159">
        <v>20</v>
      </c>
      <c r="J1159" t="s">
        <v>22</v>
      </c>
      <c r="K1159" t="s">
        <v>71</v>
      </c>
      <c r="L1159" t="s">
        <v>33</v>
      </c>
      <c r="M1159" t="s">
        <v>607</v>
      </c>
      <c r="O1159" s="1">
        <f t="shared" si="36"/>
        <v>7.9</v>
      </c>
      <c r="P1159" t="s">
        <v>658</v>
      </c>
      <c r="R1159" t="s">
        <v>634</v>
      </c>
    </row>
    <row r="1160" spans="1:18" hidden="1">
      <c r="A1160">
        <v>15</v>
      </c>
      <c r="B1160" t="s">
        <v>405</v>
      </c>
      <c r="C1160" t="s">
        <v>483</v>
      </c>
      <c r="G1160">
        <v>21</v>
      </c>
      <c r="J1160" t="s">
        <v>22</v>
      </c>
      <c r="K1160" t="s">
        <v>71</v>
      </c>
      <c r="L1160" t="s">
        <v>33</v>
      </c>
      <c r="M1160" t="s">
        <v>607</v>
      </c>
      <c r="O1160" s="1">
        <f t="shared" si="36"/>
        <v>7.9</v>
      </c>
      <c r="P1160" t="s">
        <v>658</v>
      </c>
      <c r="R1160" t="s">
        <v>634</v>
      </c>
    </row>
    <row r="1161" spans="1:18" hidden="1">
      <c r="A1161">
        <v>15</v>
      </c>
      <c r="B1161" t="s">
        <v>405</v>
      </c>
      <c r="C1161" t="s">
        <v>483</v>
      </c>
      <c r="G1161">
        <v>22</v>
      </c>
      <c r="J1161" t="s">
        <v>22</v>
      </c>
      <c r="K1161" t="s">
        <v>71</v>
      </c>
      <c r="L1161" t="s">
        <v>33</v>
      </c>
      <c r="M1161" t="s">
        <v>607</v>
      </c>
      <c r="O1161" s="1">
        <f t="shared" si="36"/>
        <v>7.9</v>
      </c>
      <c r="P1161" t="s">
        <v>658</v>
      </c>
      <c r="R1161" t="s">
        <v>634</v>
      </c>
    </row>
    <row r="1162" spans="1:18">
      <c r="A1162">
        <v>15</v>
      </c>
      <c r="B1162" t="s">
        <v>405</v>
      </c>
      <c r="C1162" t="s">
        <v>483</v>
      </c>
      <c r="G1162">
        <v>4</v>
      </c>
      <c r="H1162" s="263"/>
      <c r="J1162" t="s">
        <v>22</v>
      </c>
      <c r="K1162" t="s">
        <v>30</v>
      </c>
      <c r="L1162" t="s">
        <v>33</v>
      </c>
      <c r="M1162" t="s">
        <v>608</v>
      </c>
      <c r="N1162" s="263">
        <v>0.6</v>
      </c>
      <c r="O1162" s="1">
        <f>0.6*20*1</f>
        <v>12</v>
      </c>
      <c r="P1162" t="s">
        <v>651</v>
      </c>
      <c r="R1162" t="s">
        <v>634</v>
      </c>
    </row>
    <row r="1163" spans="1:18">
      <c r="A1163">
        <v>15</v>
      </c>
      <c r="B1163" t="s">
        <v>405</v>
      </c>
      <c r="C1163" t="s">
        <v>483</v>
      </c>
      <c r="G1163">
        <v>5</v>
      </c>
      <c r="H1163" s="263"/>
      <c r="J1163" t="s">
        <v>22</v>
      </c>
      <c r="K1163" t="s">
        <v>30</v>
      </c>
      <c r="L1163" t="s">
        <v>33</v>
      </c>
      <c r="M1163" t="s">
        <v>608</v>
      </c>
      <c r="N1163" s="263">
        <v>0.6</v>
      </c>
      <c r="O1163" s="1">
        <f t="shared" ref="O1163:O1180" si="37">0.6*20*1</f>
        <v>12</v>
      </c>
      <c r="P1163" t="s">
        <v>651</v>
      </c>
      <c r="R1163" t="s">
        <v>634</v>
      </c>
    </row>
    <row r="1164" spans="1:18">
      <c r="A1164">
        <v>15</v>
      </c>
      <c r="B1164" t="s">
        <v>405</v>
      </c>
      <c r="C1164" t="s">
        <v>483</v>
      </c>
      <c r="G1164">
        <v>6</v>
      </c>
      <c r="H1164" s="263"/>
      <c r="J1164" t="s">
        <v>22</v>
      </c>
      <c r="K1164" t="s">
        <v>30</v>
      </c>
      <c r="L1164" t="s">
        <v>33</v>
      </c>
      <c r="M1164" t="s">
        <v>608</v>
      </c>
      <c r="N1164" s="263">
        <v>0.6</v>
      </c>
      <c r="O1164" s="1">
        <f t="shared" si="37"/>
        <v>12</v>
      </c>
      <c r="P1164" t="s">
        <v>651</v>
      </c>
      <c r="R1164" t="s">
        <v>634</v>
      </c>
    </row>
    <row r="1165" spans="1:18">
      <c r="A1165">
        <v>15</v>
      </c>
      <c r="B1165" t="s">
        <v>405</v>
      </c>
      <c r="C1165" t="s">
        <v>483</v>
      </c>
      <c r="G1165">
        <v>7</v>
      </c>
      <c r="H1165" s="263"/>
      <c r="J1165" t="s">
        <v>22</v>
      </c>
      <c r="K1165" t="s">
        <v>30</v>
      </c>
      <c r="L1165" t="s">
        <v>33</v>
      </c>
      <c r="M1165" t="s">
        <v>608</v>
      </c>
      <c r="N1165" s="263">
        <v>0.6</v>
      </c>
      <c r="O1165" s="1">
        <f t="shared" si="37"/>
        <v>12</v>
      </c>
      <c r="P1165" t="s">
        <v>651</v>
      </c>
      <c r="R1165" t="s">
        <v>634</v>
      </c>
    </row>
    <row r="1166" spans="1:18">
      <c r="A1166">
        <v>15</v>
      </c>
      <c r="B1166" t="s">
        <v>405</v>
      </c>
      <c r="C1166" t="s">
        <v>483</v>
      </c>
      <c r="G1166">
        <v>8</v>
      </c>
      <c r="H1166" s="263"/>
      <c r="J1166" t="s">
        <v>22</v>
      </c>
      <c r="K1166" t="s">
        <v>30</v>
      </c>
      <c r="L1166" t="s">
        <v>33</v>
      </c>
      <c r="M1166" t="s">
        <v>608</v>
      </c>
      <c r="N1166" s="263">
        <v>0.6</v>
      </c>
      <c r="O1166" s="1">
        <f t="shared" si="37"/>
        <v>12</v>
      </c>
      <c r="P1166" t="s">
        <v>651</v>
      </c>
      <c r="R1166" t="s">
        <v>634</v>
      </c>
    </row>
    <row r="1167" spans="1:18">
      <c r="A1167">
        <v>15</v>
      </c>
      <c r="B1167" t="s">
        <v>405</v>
      </c>
      <c r="C1167" t="s">
        <v>483</v>
      </c>
      <c r="G1167">
        <v>9</v>
      </c>
      <c r="H1167" s="263"/>
      <c r="J1167" t="s">
        <v>22</v>
      </c>
      <c r="K1167" t="s">
        <v>30</v>
      </c>
      <c r="L1167" t="s">
        <v>33</v>
      </c>
      <c r="M1167" t="s">
        <v>608</v>
      </c>
      <c r="N1167" s="263">
        <v>0.6</v>
      </c>
      <c r="O1167" s="1">
        <f t="shared" si="37"/>
        <v>12</v>
      </c>
      <c r="P1167" t="s">
        <v>651</v>
      </c>
      <c r="R1167" t="s">
        <v>634</v>
      </c>
    </row>
    <row r="1168" spans="1:18">
      <c r="A1168">
        <v>15</v>
      </c>
      <c r="B1168" t="s">
        <v>405</v>
      </c>
      <c r="C1168" t="s">
        <v>483</v>
      </c>
      <c r="G1168">
        <v>10</v>
      </c>
      <c r="H1168" s="263"/>
      <c r="J1168" t="s">
        <v>22</v>
      </c>
      <c r="K1168" t="s">
        <v>30</v>
      </c>
      <c r="L1168" t="s">
        <v>33</v>
      </c>
      <c r="M1168" t="s">
        <v>608</v>
      </c>
      <c r="N1168" s="263">
        <v>0.6</v>
      </c>
      <c r="O1168" s="1">
        <f t="shared" si="37"/>
        <v>12</v>
      </c>
      <c r="P1168" t="s">
        <v>651</v>
      </c>
      <c r="R1168" t="s">
        <v>634</v>
      </c>
    </row>
    <row r="1169" spans="1:18">
      <c r="A1169">
        <v>15</v>
      </c>
      <c r="B1169" t="s">
        <v>405</v>
      </c>
      <c r="C1169" t="s">
        <v>483</v>
      </c>
      <c r="G1169">
        <v>11</v>
      </c>
      <c r="H1169" s="263"/>
      <c r="J1169" t="s">
        <v>22</v>
      </c>
      <c r="K1169" t="s">
        <v>30</v>
      </c>
      <c r="L1169" t="s">
        <v>33</v>
      </c>
      <c r="M1169" t="s">
        <v>608</v>
      </c>
      <c r="N1169" s="263">
        <v>0.6</v>
      </c>
      <c r="O1169" s="1">
        <f t="shared" si="37"/>
        <v>12</v>
      </c>
      <c r="P1169" t="s">
        <v>651</v>
      </c>
      <c r="R1169" t="s">
        <v>634</v>
      </c>
    </row>
    <row r="1170" spans="1:18">
      <c r="A1170">
        <v>15</v>
      </c>
      <c r="B1170" t="s">
        <v>405</v>
      </c>
      <c r="C1170" t="s">
        <v>483</v>
      </c>
      <c r="G1170">
        <v>12</v>
      </c>
      <c r="H1170" s="263"/>
      <c r="J1170" t="s">
        <v>22</v>
      </c>
      <c r="K1170" t="s">
        <v>30</v>
      </c>
      <c r="L1170" t="s">
        <v>33</v>
      </c>
      <c r="M1170" t="s">
        <v>608</v>
      </c>
      <c r="N1170" s="263">
        <v>0.6</v>
      </c>
      <c r="O1170" s="1">
        <f t="shared" si="37"/>
        <v>12</v>
      </c>
      <c r="P1170" t="s">
        <v>651</v>
      </c>
      <c r="R1170" t="s">
        <v>634</v>
      </c>
    </row>
    <row r="1171" spans="1:18">
      <c r="A1171">
        <v>15</v>
      </c>
      <c r="B1171" t="s">
        <v>405</v>
      </c>
      <c r="C1171" t="s">
        <v>483</v>
      </c>
      <c r="G1171">
        <v>13</v>
      </c>
      <c r="H1171" s="263"/>
      <c r="J1171" t="s">
        <v>22</v>
      </c>
      <c r="K1171" t="s">
        <v>30</v>
      </c>
      <c r="L1171" t="s">
        <v>33</v>
      </c>
      <c r="M1171" t="s">
        <v>608</v>
      </c>
      <c r="N1171" s="263">
        <v>0.6</v>
      </c>
      <c r="O1171" s="1">
        <f t="shared" si="37"/>
        <v>12</v>
      </c>
      <c r="P1171" t="s">
        <v>651</v>
      </c>
      <c r="R1171" t="s">
        <v>634</v>
      </c>
    </row>
    <row r="1172" spans="1:18">
      <c r="A1172">
        <v>15</v>
      </c>
      <c r="B1172" t="s">
        <v>405</v>
      </c>
      <c r="C1172" t="s">
        <v>483</v>
      </c>
      <c r="G1172">
        <v>14</v>
      </c>
      <c r="H1172" s="263"/>
      <c r="J1172" t="s">
        <v>22</v>
      </c>
      <c r="K1172" t="s">
        <v>30</v>
      </c>
      <c r="L1172" t="s">
        <v>33</v>
      </c>
      <c r="M1172" t="s">
        <v>608</v>
      </c>
      <c r="N1172" s="263">
        <v>0.6</v>
      </c>
      <c r="O1172" s="1">
        <f t="shared" si="37"/>
        <v>12</v>
      </c>
      <c r="P1172" t="s">
        <v>651</v>
      </c>
      <c r="R1172" t="s">
        <v>634</v>
      </c>
    </row>
    <row r="1173" spans="1:18">
      <c r="A1173">
        <v>15</v>
      </c>
      <c r="B1173" t="s">
        <v>405</v>
      </c>
      <c r="C1173" t="s">
        <v>483</v>
      </c>
      <c r="G1173">
        <v>15</v>
      </c>
      <c r="H1173" s="263"/>
      <c r="J1173" t="s">
        <v>22</v>
      </c>
      <c r="K1173" t="s">
        <v>30</v>
      </c>
      <c r="L1173" t="s">
        <v>33</v>
      </c>
      <c r="M1173" t="s">
        <v>608</v>
      </c>
      <c r="N1173" s="263">
        <v>0.6</v>
      </c>
      <c r="O1173" s="1">
        <f t="shared" si="37"/>
        <v>12</v>
      </c>
      <c r="P1173" t="s">
        <v>651</v>
      </c>
      <c r="R1173" t="s">
        <v>634</v>
      </c>
    </row>
    <row r="1174" spans="1:18">
      <c r="A1174">
        <v>15</v>
      </c>
      <c r="B1174" t="s">
        <v>405</v>
      </c>
      <c r="C1174" t="s">
        <v>483</v>
      </c>
      <c r="G1174">
        <v>16</v>
      </c>
      <c r="H1174" s="263"/>
      <c r="J1174" t="s">
        <v>22</v>
      </c>
      <c r="K1174" t="s">
        <v>30</v>
      </c>
      <c r="L1174" t="s">
        <v>33</v>
      </c>
      <c r="M1174" t="s">
        <v>608</v>
      </c>
      <c r="N1174" s="263">
        <v>0.6</v>
      </c>
      <c r="O1174" s="1">
        <f t="shared" si="37"/>
        <v>12</v>
      </c>
      <c r="P1174" t="s">
        <v>651</v>
      </c>
      <c r="R1174" t="s">
        <v>634</v>
      </c>
    </row>
    <row r="1175" spans="1:18">
      <c r="A1175">
        <v>15</v>
      </c>
      <c r="B1175" t="s">
        <v>405</v>
      </c>
      <c r="C1175" t="s">
        <v>483</v>
      </c>
      <c r="G1175">
        <v>17</v>
      </c>
      <c r="H1175" s="263"/>
      <c r="J1175" t="s">
        <v>22</v>
      </c>
      <c r="K1175" t="s">
        <v>30</v>
      </c>
      <c r="L1175" t="s">
        <v>33</v>
      </c>
      <c r="M1175" t="s">
        <v>608</v>
      </c>
      <c r="N1175" s="263">
        <v>0.6</v>
      </c>
      <c r="O1175" s="1">
        <f t="shared" si="37"/>
        <v>12</v>
      </c>
      <c r="P1175" t="s">
        <v>651</v>
      </c>
      <c r="R1175" t="s">
        <v>634</v>
      </c>
    </row>
    <row r="1176" spans="1:18">
      <c r="A1176">
        <v>15</v>
      </c>
      <c r="B1176" t="s">
        <v>405</v>
      </c>
      <c r="C1176" t="s">
        <v>483</v>
      </c>
      <c r="G1176">
        <v>18</v>
      </c>
      <c r="H1176" s="263"/>
      <c r="J1176" t="s">
        <v>22</v>
      </c>
      <c r="K1176" t="s">
        <v>30</v>
      </c>
      <c r="L1176" t="s">
        <v>33</v>
      </c>
      <c r="M1176" t="s">
        <v>608</v>
      </c>
      <c r="N1176" s="263">
        <v>0.6</v>
      </c>
      <c r="O1176" s="1">
        <f t="shared" si="37"/>
        <v>12</v>
      </c>
      <c r="P1176" t="s">
        <v>651</v>
      </c>
      <c r="R1176" t="s">
        <v>634</v>
      </c>
    </row>
    <row r="1177" spans="1:18">
      <c r="A1177">
        <v>15</v>
      </c>
      <c r="B1177" t="s">
        <v>405</v>
      </c>
      <c r="C1177" t="s">
        <v>483</v>
      </c>
      <c r="G1177">
        <v>19</v>
      </c>
      <c r="H1177" s="263"/>
      <c r="J1177" t="s">
        <v>22</v>
      </c>
      <c r="K1177" t="s">
        <v>30</v>
      </c>
      <c r="L1177" t="s">
        <v>33</v>
      </c>
      <c r="M1177" t="s">
        <v>608</v>
      </c>
      <c r="N1177" s="263">
        <v>0.6</v>
      </c>
      <c r="O1177" s="1">
        <f t="shared" si="37"/>
        <v>12</v>
      </c>
      <c r="P1177" t="s">
        <v>651</v>
      </c>
      <c r="R1177" t="s">
        <v>634</v>
      </c>
    </row>
    <row r="1178" spans="1:18">
      <c r="A1178">
        <v>15</v>
      </c>
      <c r="B1178" t="s">
        <v>405</v>
      </c>
      <c r="C1178" t="s">
        <v>483</v>
      </c>
      <c r="G1178">
        <v>20</v>
      </c>
      <c r="H1178" s="263"/>
      <c r="J1178" t="s">
        <v>22</v>
      </c>
      <c r="K1178" t="s">
        <v>30</v>
      </c>
      <c r="L1178" t="s">
        <v>33</v>
      </c>
      <c r="M1178" t="s">
        <v>608</v>
      </c>
      <c r="N1178" s="263">
        <v>0.6</v>
      </c>
      <c r="O1178" s="1">
        <f t="shared" si="37"/>
        <v>12</v>
      </c>
      <c r="P1178" t="s">
        <v>651</v>
      </c>
      <c r="R1178" t="s">
        <v>634</v>
      </c>
    </row>
    <row r="1179" spans="1:18">
      <c r="A1179">
        <v>15</v>
      </c>
      <c r="B1179" t="s">
        <v>405</v>
      </c>
      <c r="C1179" t="s">
        <v>483</v>
      </c>
      <c r="G1179">
        <v>21</v>
      </c>
      <c r="H1179" s="263"/>
      <c r="J1179" t="s">
        <v>22</v>
      </c>
      <c r="K1179" t="s">
        <v>30</v>
      </c>
      <c r="L1179" t="s">
        <v>33</v>
      </c>
      <c r="M1179" t="s">
        <v>608</v>
      </c>
      <c r="N1179" s="263">
        <v>0.6</v>
      </c>
      <c r="O1179" s="1">
        <f t="shared" si="37"/>
        <v>12</v>
      </c>
      <c r="P1179" t="s">
        <v>651</v>
      </c>
      <c r="R1179" t="s">
        <v>634</v>
      </c>
    </row>
    <row r="1180" spans="1:18">
      <c r="A1180">
        <v>15</v>
      </c>
      <c r="B1180" t="s">
        <v>405</v>
      </c>
      <c r="C1180" t="s">
        <v>483</v>
      </c>
      <c r="G1180">
        <v>22</v>
      </c>
      <c r="H1180" s="263"/>
      <c r="J1180" t="s">
        <v>22</v>
      </c>
      <c r="K1180" t="s">
        <v>30</v>
      </c>
      <c r="L1180" t="s">
        <v>33</v>
      </c>
      <c r="M1180" t="s">
        <v>608</v>
      </c>
      <c r="N1180" s="263">
        <v>0.6</v>
      </c>
      <c r="O1180" s="1">
        <f t="shared" si="37"/>
        <v>12</v>
      </c>
      <c r="P1180" t="s">
        <v>651</v>
      </c>
      <c r="R1180" t="s">
        <v>634</v>
      </c>
    </row>
    <row r="1181" spans="1:18" hidden="1">
      <c r="A1181">
        <v>15</v>
      </c>
      <c r="B1181" t="s">
        <v>405</v>
      </c>
      <c r="C1181" t="s">
        <v>483</v>
      </c>
      <c r="G1181">
        <v>4</v>
      </c>
      <c r="J1181" t="s">
        <v>22</v>
      </c>
      <c r="K1181" t="s">
        <v>408</v>
      </c>
      <c r="L1181" t="s">
        <v>33</v>
      </c>
      <c r="M1181" t="s">
        <v>609</v>
      </c>
      <c r="O1181" s="1">
        <v>13.97</v>
      </c>
      <c r="P1181" t="s">
        <v>906</v>
      </c>
      <c r="R1181" t="s">
        <v>634</v>
      </c>
    </row>
    <row r="1182" spans="1:18" hidden="1">
      <c r="A1182">
        <v>15</v>
      </c>
      <c r="B1182" t="s">
        <v>405</v>
      </c>
      <c r="C1182" t="s">
        <v>483</v>
      </c>
      <c r="G1182">
        <v>5</v>
      </c>
      <c r="J1182" t="s">
        <v>22</v>
      </c>
      <c r="K1182" t="s">
        <v>408</v>
      </c>
      <c r="L1182" t="s">
        <v>33</v>
      </c>
      <c r="M1182" t="s">
        <v>609</v>
      </c>
      <c r="O1182" s="1">
        <v>13.97</v>
      </c>
      <c r="P1182" t="s">
        <v>906</v>
      </c>
      <c r="R1182" t="s">
        <v>634</v>
      </c>
    </row>
    <row r="1183" spans="1:18" hidden="1">
      <c r="A1183">
        <v>15</v>
      </c>
      <c r="B1183" t="s">
        <v>405</v>
      </c>
      <c r="C1183" t="s">
        <v>483</v>
      </c>
      <c r="G1183">
        <v>6</v>
      </c>
      <c r="J1183" t="s">
        <v>22</v>
      </c>
      <c r="K1183" t="s">
        <v>408</v>
      </c>
      <c r="L1183" t="s">
        <v>33</v>
      </c>
      <c r="M1183" t="s">
        <v>609</v>
      </c>
      <c r="O1183" s="1">
        <v>13.97</v>
      </c>
      <c r="P1183" t="s">
        <v>906</v>
      </c>
      <c r="R1183" t="s">
        <v>634</v>
      </c>
    </row>
    <row r="1184" spans="1:18" hidden="1">
      <c r="A1184">
        <v>15</v>
      </c>
      <c r="B1184" t="s">
        <v>405</v>
      </c>
      <c r="C1184" t="s">
        <v>483</v>
      </c>
      <c r="G1184">
        <v>7</v>
      </c>
      <c r="J1184" t="s">
        <v>22</v>
      </c>
      <c r="K1184" t="s">
        <v>408</v>
      </c>
      <c r="L1184" t="s">
        <v>33</v>
      </c>
      <c r="M1184" t="s">
        <v>609</v>
      </c>
      <c r="O1184" s="1">
        <v>13.97</v>
      </c>
      <c r="P1184" t="s">
        <v>906</v>
      </c>
      <c r="R1184" t="s">
        <v>634</v>
      </c>
    </row>
    <row r="1185" spans="1:18" hidden="1">
      <c r="A1185">
        <v>15</v>
      </c>
      <c r="B1185" t="s">
        <v>405</v>
      </c>
      <c r="C1185" t="s">
        <v>483</v>
      </c>
      <c r="G1185">
        <v>8</v>
      </c>
      <c r="J1185" t="s">
        <v>22</v>
      </c>
      <c r="K1185" t="s">
        <v>408</v>
      </c>
      <c r="L1185" t="s">
        <v>33</v>
      </c>
      <c r="M1185" t="s">
        <v>609</v>
      </c>
      <c r="O1185" s="1">
        <v>13.97</v>
      </c>
      <c r="P1185" t="s">
        <v>906</v>
      </c>
      <c r="R1185" t="s">
        <v>634</v>
      </c>
    </row>
    <row r="1186" spans="1:18" hidden="1">
      <c r="A1186">
        <v>15</v>
      </c>
      <c r="B1186" t="s">
        <v>405</v>
      </c>
      <c r="C1186" t="s">
        <v>483</v>
      </c>
      <c r="G1186">
        <v>9</v>
      </c>
      <c r="J1186" t="s">
        <v>22</v>
      </c>
      <c r="K1186" t="s">
        <v>408</v>
      </c>
      <c r="L1186" t="s">
        <v>33</v>
      </c>
      <c r="M1186" t="s">
        <v>609</v>
      </c>
      <c r="O1186" s="1">
        <v>13.97</v>
      </c>
      <c r="P1186" t="s">
        <v>906</v>
      </c>
      <c r="R1186" t="s">
        <v>634</v>
      </c>
    </row>
    <row r="1187" spans="1:18" hidden="1">
      <c r="A1187">
        <v>15</v>
      </c>
      <c r="B1187" t="s">
        <v>405</v>
      </c>
      <c r="C1187" t="s">
        <v>483</v>
      </c>
      <c r="G1187">
        <v>10</v>
      </c>
      <c r="J1187" t="s">
        <v>22</v>
      </c>
      <c r="K1187" t="s">
        <v>408</v>
      </c>
      <c r="L1187" t="s">
        <v>33</v>
      </c>
      <c r="M1187" t="s">
        <v>609</v>
      </c>
      <c r="O1187" s="1">
        <v>13.97</v>
      </c>
      <c r="P1187" t="s">
        <v>906</v>
      </c>
      <c r="R1187" t="s">
        <v>634</v>
      </c>
    </row>
    <row r="1188" spans="1:18" hidden="1">
      <c r="A1188">
        <v>15</v>
      </c>
      <c r="B1188" t="s">
        <v>405</v>
      </c>
      <c r="C1188" t="s">
        <v>483</v>
      </c>
      <c r="G1188">
        <v>11</v>
      </c>
      <c r="J1188" t="s">
        <v>22</v>
      </c>
      <c r="K1188" t="s">
        <v>408</v>
      </c>
      <c r="L1188" t="s">
        <v>33</v>
      </c>
      <c r="M1188" t="s">
        <v>609</v>
      </c>
      <c r="O1188" s="1">
        <v>13.97</v>
      </c>
      <c r="P1188" t="s">
        <v>906</v>
      </c>
      <c r="R1188" t="s">
        <v>634</v>
      </c>
    </row>
    <row r="1189" spans="1:18" hidden="1">
      <c r="A1189">
        <v>15</v>
      </c>
      <c r="B1189" t="s">
        <v>405</v>
      </c>
      <c r="C1189" t="s">
        <v>483</v>
      </c>
      <c r="G1189">
        <v>12</v>
      </c>
      <c r="J1189" t="s">
        <v>22</v>
      </c>
      <c r="K1189" t="s">
        <v>408</v>
      </c>
      <c r="L1189" t="s">
        <v>33</v>
      </c>
      <c r="M1189" t="s">
        <v>609</v>
      </c>
      <c r="O1189" s="1">
        <v>13.97</v>
      </c>
      <c r="P1189" t="s">
        <v>906</v>
      </c>
      <c r="R1189" t="s">
        <v>634</v>
      </c>
    </row>
    <row r="1190" spans="1:18" hidden="1">
      <c r="A1190">
        <v>15</v>
      </c>
      <c r="B1190" t="s">
        <v>405</v>
      </c>
      <c r="C1190" t="s">
        <v>483</v>
      </c>
      <c r="G1190">
        <v>13</v>
      </c>
      <c r="J1190" t="s">
        <v>22</v>
      </c>
      <c r="K1190" t="s">
        <v>408</v>
      </c>
      <c r="L1190" t="s">
        <v>33</v>
      </c>
      <c r="M1190" t="s">
        <v>609</v>
      </c>
      <c r="O1190" s="1">
        <v>13.97</v>
      </c>
      <c r="P1190" t="s">
        <v>906</v>
      </c>
      <c r="R1190" t="s">
        <v>634</v>
      </c>
    </row>
    <row r="1191" spans="1:18" hidden="1">
      <c r="A1191">
        <v>15</v>
      </c>
      <c r="B1191" t="s">
        <v>405</v>
      </c>
      <c r="C1191" t="s">
        <v>483</v>
      </c>
      <c r="G1191">
        <v>14</v>
      </c>
      <c r="J1191" t="s">
        <v>22</v>
      </c>
      <c r="K1191" t="s">
        <v>408</v>
      </c>
      <c r="L1191" t="s">
        <v>33</v>
      </c>
      <c r="M1191" t="s">
        <v>609</v>
      </c>
      <c r="O1191" s="1">
        <v>13.97</v>
      </c>
      <c r="P1191" t="s">
        <v>906</v>
      </c>
      <c r="R1191" t="s">
        <v>634</v>
      </c>
    </row>
    <row r="1192" spans="1:18" hidden="1">
      <c r="A1192">
        <v>15</v>
      </c>
      <c r="B1192" t="s">
        <v>405</v>
      </c>
      <c r="C1192" t="s">
        <v>483</v>
      </c>
      <c r="G1192">
        <v>15</v>
      </c>
      <c r="J1192" t="s">
        <v>22</v>
      </c>
      <c r="K1192" t="s">
        <v>408</v>
      </c>
      <c r="L1192" t="s">
        <v>33</v>
      </c>
      <c r="M1192" t="s">
        <v>609</v>
      </c>
      <c r="O1192" s="1">
        <v>13.97</v>
      </c>
      <c r="P1192" t="s">
        <v>906</v>
      </c>
      <c r="R1192" t="s">
        <v>634</v>
      </c>
    </row>
    <row r="1193" spans="1:18" hidden="1">
      <c r="A1193">
        <v>15</v>
      </c>
      <c r="B1193" t="s">
        <v>405</v>
      </c>
      <c r="C1193" t="s">
        <v>483</v>
      </c>
      <c r="G1193">
        <v>16</v>
      </c>
      <c r="J1193" t="s">
        <v>22</v>
      </c>
      <c r="K1193" t="s">
        <v>408</v>
      </c>
      <c r="L1193" t="s">
        <v>33</v>
      </c>
      <c r="M1193" t="s">
        <v>609</v>
      </c>
      <c r="O1193" s="1">
        <v>13.97</v>
      </c>
      <c r="P1193" t="s">
        <v>906</v>
      </c>
      <c r="R1193" t="s">
        <v>634</v>
      </c>
    </row>
    <row r="1194" spans="1:18" hidden="1">
      <c r="A1194">
        <v>15</v>
      </c>
      <c r="B1194" t="s">
        <v>405</v>
      </c>
      <c r="C1194" t="s">
        <v>483</v>
      </c>
      <c r="G1194">
        <v>17</v>
      </c>
      <c r="J1194" t="s">
        <v>22</v>
      </c>
      <c r="K1194" t="s">
        <v>408</v>
      </c>
      <c r="L1194" t="s">
        <v>33</v>
      </c>
      <c r="M1194" t="s">
        <v>609</v>
      </c>
      <c r="O1194" s="1">
        <v>13.97</v>
      </c>
      <c r="P1194" t="s">
        <v>906</v>
      </c>
      <c r="R1194" t="s">
        <v>634</v>
      </c>
    </row>
    <row r="1195" spans="1:18" hidden="1">
      <c r="A1195">
        <v>15</v>
      </c>
      <c r="B1195" t="s">
        <v>405</v>
      </c>
      <c r="C1195" t="s">
        <v>483</v>
      </c>
      <c r="G1195">
        <v>18</v>
      </c>
      <c r="J1195" t="s">
        <v>22</v>
      </c>
      <c r="K1195" t="s">
        <v>408</v>
      </c>
      <c r="L1195" t="s">
        <v>33</v>
      </c>
      <c r="M1195" t="s">
        <v>609</v>
      </c>
      <c r="O1195" s="1">
        <v>13.97</v>
      </c>
      <c r="P1195" t="s">
        <v>906</v>
      </c>
      <c r="R1195" t="s">
        <v>634</v>
      </c>
    </row>
    <row r="1196" spans="1:18" hidden="1">
      <c r="A1196">
        <v>15</v>
      </c>
      <c r="B1196" t="s">
        <v>405</v>
      </c>
      <c r="C1196" t="s">
        <v>483</v>
      </c>
      <c r="G1196">
        <v>19</v>
      </c>
      <c r="J1196" t="s">
        <v>22</v>
      </c>
      <c r="K1196" t="s">
        <v>408</v>
      </c>
      <c r="L1196" t="s">
        <v>33</v>
      </c>
      <c r="M1196" t="s">
        <v>609</v>
      </c>
      <c r="O1196" s="1">
        <v>13.97</v>
      </c>
      <c r="P1196" t="s">
        <v>906</v>
      </c>
      <c r="R1196" t="s">
        <v>634</v>
      </c>
    </row>
    <row r="1197" spans="1:18" hidden="1">
      <c r="A1197">
        <v>15</v>
      </c>
      <c r="B1197" t="s">
        <v>405</v>
      </c>
      <c r="C1197" t="s">
        <v>483</v>
      </c>
      <c r="G1197">
        <v>20</v>
      </c>
      <c r="J1197" t="s">
        <v>22</v>
      </c>
      <c r="K1197" t="s">
        <v>408</v>
      </c>
      <c r="L1197" t="s">
        <v>33</v>
      </c>
      <c r="M1197" t="s">
        <v>609</v>
      </c>
      <c r="O1197" s="1">
        <v>13.97</v>
      </c>
      <c r="P1197" t="s">
        <v>906</v>
      </c>
      <c r="R1197" t="s">
        <v>634</v>
      </c>
    </row>
    <row r="1198" spans="1:18" hidden="1">
      <c r="A1198">
        <v>15</v>
      </c>
      <c r="B1198" t="s">
        <v>405</v>
      </c>
      <c r="C1198" t="s">
        <v>483</v>
      </c>
      <c r="G1198">
        <v>21</v>
      </c>
      <c r="J1198" t="s">
        <v>22</v>
      </c>
      <c r="K1198" t="s">
        <v>408</v>
      </c>
      <c r="L1198" t="s">
        <v>33</v>
      </c>
      <c r="M1198" t="s">
        <v>609</v>
      </c>
      <c r="O1198" s="1">
        <v>13.97</v>
      </c>
      <c r="P1198" t="s">
        <v>906</v>
      </c>
      <c r="R1198" t="s">
        <v>634</v>
      </c>
    </row>
    <row r="1199" spans="1:18" hidden="1">
      <c r="A1199">
        <v>15</v>
      </c>
      <c r="B1199" t="s">
        <v>405</v>
      </c>
      <c r="C1199" t="s">
        <v>483</v>
      </c>
      <c r="G1199">
        <v>22</v>
      </c>
      <c r="J1199" t="s">
        <v>22</v>
      </c>
      <c r="K1199" t="s">
        <v>408</v>
      </c>
      <c r="L1199" t="s">
        <v>33</v>
      </c>
      <c r="M1199" t="s">
        <v>609</v>
      </c>
      <c r="O1199" s="1">
        <v>13.97</v>
      </c>
      <c r="P1199" t="s">
        <v>906</v>
      </c>
      <c r="R1199" t="s">
        <v>634</v>
      </c>
    </row>
    <row r="1200" spans="1:18" hidden="1">
      <c r="A1200">
        <v>15</v>
      </c>
      <c r="B1200" t="s">
        <v>405</v>
      </c>
      <c r="C1200" t="s">
        <v>483</v>
      </c>
      <c r="G1200">
        <v>4</v>
      </c>
      <c r="J1200" t="s">
        <v>22</v>
      </c>
      <c r="K1200" t="s">
        <v>71</v>
      </c>
      <c r="L1200" t="s">
        <v>33</v>
      </c>
      <c r="M1200" t="s">
        <v>610</v>
      </c>
      <c r="O1200" s="1">
        <f>8*0.5*2</f>
        <v>8</v>
      </c>
      <c r="P1200" t="s">
        <v>659</v>
      </c>
      <c r="R1200" t="s">
        <v>634</v>
      </c>
    </row>
    <row r="1201" spans="1:18" hidden="1">
      <c r="A1201">
        <v>15</v>
      </c>
      <c r="B1201" t="s">
        <v>405</v>
      </c>
      <c r="C1201" t="s">
        <v>483</v>
      </c>
      <c r="G1201">
        <v>5</v>
      </c>
      <c r="J1201" t="s">
        <v>22</v>
      </c>
      <c r="K1201" t="s">
        <v>71</v>
      </c>
      <c r="L1201" t="s">
        <v>33</v>
      </c>
      <c r="M1201" t="s">
        <v>610</v>
      </c>
      <c r="O1201" s="1">
        <f t="shared" ref="O1201:O1218" si="38">8*0.5*2</f>
        <v>8</v>
      </c>
      <c r="P1201" t="s">
        <v>659</v>
      </c>
      <c r="R1201" t="s">
        <v>634</v>
      </c>
    </row>
    <row r="1202" spans="1:18" hidden="1">
      <c r="A1202">
        <v>15</v>
      </c>
      <c r="B1202" t="s">
        <v>405</v>
      </c>
      <c r="C1202" t="s">
        <v>483</v>
      </c>
      <c r="G1202">
        <v>6</v>
      </c>
      <c r="J1202" t="s">
        <v>22</v>
      </c>
      <c r="K1202" t="s">
        <v>71</v>
      </c>
      <c r="L1202" t="s">
        <v>33</v>
      </c>
      <c r="M1202" t="s">
        <v>610</v>
      </c>
      <c r="O1202" s="1">
        <f t="shared" si="38"/>
        <v>8</v>
      </c>
      <c r="P1202" t="s">
        <v>659</v>
      </c>
      <c r="R1202" t="s">
        <v>634</v>
      </c>
    </row>
    <row r="1203" spans="1:18" hidden="1">
      <c r="A1203">
        <v>15</v>
      </c>
      <c r="B1203" t="s">
        <v>405</v>
      </c>
      <c r="C1203" t="s">
        <v>483</v>
      </c>
      <c r="G1203">
        <v>7</v>
      </c>
      <c r="J1203" t="s">
        <v>22</v>
      </c>
      <c r="K1203" t="s">
        <v>71</v>
      </c>
      <c r="L1203" t="s">
        <v>33</v>
      </c>
      <c r="M1203" t="s">
        <v>610</v>
      </c>
      <c r="O1203" s="1">
        <f t="shared" si="38"/>
        <v>8</v>
      </c>
      <c r="P1203" t="s">
        <v>659</v>
      </c>
      <c r="R1203" t="s">
        <v>634</v>
      </c>
    </row>
    <row r="1204" spans="1:18" hidden="1">
      <c r="A1204">
        <v>15</v>
      </c>
      <c r="B1204" t="s">
        <v>405</v>
      </c>
      <c r="C1204" t="s">
        <v>483</v>
      </c>
      <c r="G1204">
        <v>8</v>
      </c>
      <c r="J1204" t="s">
        <v>22</v>
      </c>
      <c r="K1204" t="s">
        <v>71</v>
      </c>
      <c r="L1204" t="s">
        <v>33</v>
      </c>
      <c r="M1204" t="s">
        <v>610</v>
      </c>
      <c r="O1204" s="1">
        <f t="shared" si="38"/>
        <v>8</v>
      </c>
      <c r="P1204" t="s">
        <v>659</v>
      </c>
      <c r="R1204" t="s">
        <v>634</v>
      </c>
    </row>
    <row r="1205" spans="1:18" hidden="1">
      <c r="A1205">
        <v>15</v>
      </c>
      <c r="B1205" t="s">
        <v>405</v>
      </c>
      <c r="C1205" t="s">
        <v>483</v>
      </c>
      <c r="G1205">
        <v>9</v>
      </c>
      <c r="J1205" t="s">
        <v>22</v>
      </c>
      <c r="K1205" t="s">
        <v>71</v>
      </c>
      <c r="L1205" t="s">
        <v>33</v>
      </c>
      <c r="M1205" t="s">
        <v>610</v>
      </c>
      <c r="O1205" s="1">
        <f t="shared" si="38"/>
        <v>8</v>
      </c>
      <c r="P1205" t="s">
        <v>659</v>
      </c>
      <c r="R1205" t="s">
        <v>634</v>
      </c>
    </row>
    <row r="1206" spans="1:18" hidden="1">
      <c r="A1206">
        <v>15</v>
      </c>
      <c r="B1206" t="s">
        <v>405</v>
      </c>
      <c r="C1206" t="s">
        <v>483</v>
      </c>
      <c r="G1206">
        <v>10</v>
      </c>
      <c r="J1206" t="s">
        <v>22</v>
      </c>
      <c r="K1206" t="s">
        <v>71</v>
      </c>
      <c r="L1206" t="s">
        <v>33</v>
      </c>
      <c r="M1206" t="s">
        <v>610</v>
      </c>
      <c r="O1206" s="1">
        <f t="shared" si="38"/>
        <v>8</v>
      </c>
      <c r="P1206" t="s">
        <v>659</v>
      </c>
      <c r="R1206" t="s">
        <v>634</v>
      </c>
    </row>
    <row r="1207" spans="1:18" hidden="1">
      <c r="A1207">
        <v>15</v>
      </c>
      <c r="B1207" t="s">
        <v>405</v>
      </c>
      <c r="C1207" t="s">
        <v>483</v>
      </c>
      <c r="G1207">
        <v>11</v>
      </c>
      <c r="J1207" t="s">
        <v>22</v>
      </c>
      <c r="K1207" t="s">
        <v>71</v>
      </c>
      <c r="L1207" t="s">
        <v>33</v>
      </c>
      <c r="M1207" t="s">
        <v>610</v>
      </c>
      <c r="O1207" s="1">
        <f t="shared" si="38"/>
        <v>8</v>
      </c>
      <c r="P1207" t="s">
        <v>659</v>
      </c>
      <c r="R1207" t="s">
        <v>634</v>
      </c>
    </row>
    <row r="1208" spans="1:18" hidden="1">
      <c r="A1208">
        <v>15</v>
      </c>
      <c r="B1208" t="s">
        <v>405</v>
      </c>
      <c r="C1208" t="s">
        <v>483</v>
      </c>
      <c r="G1208">
        <v>12</v>
      </c>
      <c r="J1208" t="s">
        <v>22</v>
      </c>
      <c r="K1208" t="s">
        <v>71</v>
      </c>
      <c r="L1208" t="s">
        <v>33</v>
      </c>
      <c r="M1208" t="s">
        <v>610</v>
      </c>
      <c r="O1208" s="1">
        <f t="shared" si="38"/>
        <v>8</v>
      </c>
      <c r="P1208" t="s">
        <v>659</v>
      </c>
      <c r="R1208" t="s">
        <v>634</v>
      </c>
    </row>
    <row r="1209" spans="1:18" hidden="1">
      <c r="A1209">
        <v>15</v>
      </c>
      <c r="B1209" t="s">
        <v>405</v>
      </c>
      <c r="C1209" t="s">
        <v>483</v>
      </c>
      <c r="G1209">
        <v>13</v>
      </c>
      <c r="J1209" t="s">
        <v>22</v>
      </c>
      <c r="K1209" t="s">
        <v>71</v>
      </c>
      <c r="L1209" t="s">
        <v>33</v>
      </c>
      <c r="M1209" t="s">
        <v>610</v>
      </c>
      <c r="O1209" s="1">
        <f t="shared" si="38"/>
        <v>8</v>
      </c>
      <c r="P1209" t="s">
        <v>659</v>
      </c>
      <c r="R1209" t="s">
        <v>634</v>
      </c>
    </row>
    <row r="1210" spans="1:18" hidden="1">
      <c r="A1210">
        <v>15</v>
      </c>
      <c r="B1210" t="s">
        <v>405</v>
      </c>
      <c r="C1210" t="s">
        <v>483</v>
      </c>
      <c r="G1210">
        <v>14</v>
      </c>
      <c r="J1210" t="s">
        <v>22</v>
      </c>
      <c r="K1210" t="s">
        <v>71</v>
      </c>
      <c r="L1210" t="s">
        <v>33</v>
      </c>
      <c r="M1210" t="s">
        <v>610</v>
      </c>
      <c r="O1210" s="1">
        <f t="shared" si="38"/>
        <v>8</v>
      </c>
      <c r="P1210" t="s">
        <v>659</v>
      </c>
      <c r="R1210" t="s">
        <v>634</v>
      </c>
    </row>
    <row r="1211" spans="1:18" hidden="1">
      <c r="A1211">
        <v>15</v>
      </c>
      <c r="B1211" t="s">
        <v>405</v>
      </c>
      <c r="C1211" t="s">
        <v>483</v>
      </c>
      <c r="G1211">
        <v>15</v>
      </c>
      <c r="J1211" t="s">
        <v>22</v>
      </c>
      <c r="K1211" t="s">
        <v>71</v>
      </c>
      <c r="L1211" t="s">
        <v>33</v>
      </c>
      <c r="M1211" t="s">
        <v>610</v>
      </c>
      <c r="O1211" s="1">
        <f t="shared" si="38"/>
        <v>8</v>
      </c>
      <c r="P1211" t="s">
        <v>659</v>
      </c>
      <c r="R1211" t="s">
        <v>634</v>
      </c>
    </row>
    <row r="1212" spans="1:18" hidden="1">
      <c r="A1212">
        <v>15</v>
      </c>
      <c r="B1212" t="s">
        <v>405</v>
      </c>
      <c r="C1212" t="s">
        <v>483</v>
      </c>
      <c r="G1212">
        <v>16</v>
      </c>
      <c r="J1212" t="s">
        <v>22</v>
      </c>
      <c r="K1212" t="s">
        <v>71</v>
      </c>
      <c r="L1212" t="s">
        <v>33</v>
      </c>
      <c r="M1212" t="s">
        <v>610</v>
      </c>
      <c r="O1212" s="1">
        <f t="shared" si="38"/>
        <v>8</v>
      </c>
      <c r="P1212" t="s">
        <v>659</v>
      </c>
      <c r="R1212" t="s">
        <v>634</v>
      </c>
    </row>
    <row r="1213" spans="1:18" hidden="1">
      <c r="A1213">
        <v>15</v>
      </c>
      <c r="B1213" t="s">
        <v>405</v>
      </c>
      <c r="C1213" t="s">
        <v>483</v>
      </c>
      <c r="G1213">
        <v>17</v>
      </c>
      <c r="J1213" t="s">
        <v>22</v>
      </c>
      <c r="K1213" t="s">
        <v>71</v>
      </c>
      <c r="L1213" t="s">
        <v>33</v>
      </c>
      <c r="M1213" t="s">
        <v>610</v>
      </c>
      <c r="O1213" s="1">
        <f t="shared" si="38"/>
        <v>8</v>
      </c>
      <c r="P1213" t="s">
        <v>659</v>
      </c>
      <c r="R1213" t="s">
        <v>634</v>
      </c>
    </row>
    <row r="1214" spans="1:18" hidden="1">
      <c r="A1214">
        <v>15</v>
      </c>
      <c r="B1214" t="s">
        <v>405</v>
      </c>
      <c r="C1214" t="s">
        <v>483</v>
      </c>
      <c r="G1214">
        <v>18</v>
      </c>
      <c r="J1214" t="s">
        <v>22</v>
      </c>
      <c r="K1214" t="s">
        <v>71</v>
      </c>
      <c r="L1214" t="s">
        <v>33</v>
      </c>
      <c r="M1214" t="s">
        <v>610</v>
      </c>
      <c r="O1214" s="1">
        <f t="shared" si="38"/>
        <v>8</v>
      </c>
      <c r="P1214" t="s">
        <v>659</v>
      </c>
      <c r="R1214" t="s">
        <v>634</v>
      </c>
    </row>
    <row r="1215" spans="1:18" hidden="1">
      <c r="A1215">
        <v>15</v>
      </c>
      <c r="B1215" t="s">
        <v>405</v>
      </c>
      <c r="C1215" t="s">
        <v>483</v>
      </c>
      <c r="G1215">
        <v>19</v>
      </c>
      <c r="J1215" t="s">
        <v>22</v>
      </c>
      <c r="K1215" t="s">
        <v>71</v>
      </c>
      <c r="L1215" t="s">
        <v>33</v>
      </c>
      <c r="M1215" t="s">
        <v>610</v>
      </c>
      <c r="O1215" s="1">
        <f t="shared" si="38"/>
        <v>8</v>
      </c>
      <c r="P1215" t="s">
        <v>659</v>
      </c>
      <c r="R1215" t="s">
        <v>634</v>
      </c>
    </row>
    <row r="1216" spans="1:18" hidden="1">
      <c r="A1216">
        <v>15</v>
      </c>
      <c r="B1216" t="s">
        <v>405</v>
      </c>
      <c r="C1216" t="s">
        <v>483</v>
      </c>
      <c r="G1216">
        <v>20</v>
      </c>
      <c r="J1216" t="s">
        <v>22</v>
      </c>
      <c r="K1216" t="s">
        <v>71</v>
      </c>
      <c r="L1216" t="s">
        <v>33</v>
      </c>
      <c r="M1216" t="s">
        <v>610</v>
      </c>
      <c r="O1216" s="1">
        <f t="shared" si="38"/>
        <v>8</v>
      </c>
      <c r="P1216" t="s">
        <v>659</v>
      </c>
      <c r="R1216" t="s">
        <v>634</v>
      </c>
    </row>
    <row r="1217" spans="1:18" hidden="1">
      <c r="A1217">
        <v>15</v>
      </c>
      <c r="B1217" t="s">
        <v>405</v>
      </c>
      <c r="C1217" t="s">
        <v>483</v>
      </c>
      <c r="G1217">
        <v>21</v>
      </c>
      <c r="J1217" t="s">
        <v>22</v>
      </c>
      <c r="K1217" t="s">
        <v>71</v>
      </c>
      <c r="L1217" t="s">
        <v>33</v>
      </c>
      <c r="M1217" t="s">
        <v>610</v>
      </c>
      <c r="O1217" s="1">
        <f t="shared" si="38"/>
        <v>8</v>
      </c>
      <c r="P1217" t="s">
        <v>659</v>
      </c>
      <c r="R1217" t="s">
        <v>634</v>
      </c>
    </row>
    <row r="1218" spans="1:18" hidden="1">
      <c r="A1218">
        <v>15</v>
      </c>
      <c r="B1218" t="s">
        <v>405</v>
      </c>
      <c r="C1218" t="s">
        <v>483</v>
      </c>
      <c r="G1218">
        <v>22</v>
      </c>
      <c r="J1218" t="s">
        <v>22</v>
      </c>
      <c r="K1218" t="s">
        <v>71</v>
      </c>
      <c r="L1218" t="s">
        <v>33</v>
      </c>
      <c r="M1218" t="s">
        <v>610</v>
      </c>
      <c r="O1218" s="1">
        <f t="shared" si="38"/>
        <v>8</v>
      </c>
      <c r="P1218" t="s">
        <v>659</v>
      </c>
      <c r="R1218" t="s">
        <v>634</v>
      </c>
    </row>
    <row r="1219" spans="1:18" hidden="1">
      <c r="A1219">
        <v>15</v>
      </c>
      <c r="B1219" t="s">
        <v>405</v>
      </c>
      <c r="C1219" t="s">
        <v>483</v>
      </c>
      <c r="G1219">
        <v>4</v>
      </c>
      <c r="J1219" t="s">
        <v>22</v>
      </c>
      <c r="K1219" t="s">
        <v>71</v>
      </c>
      <c r="L1219" t="s">
        <v>33</v>
      </c>
      <c r="M1219" t="s">
        <v>611</v>
      </c>
      <c r="O1219" s="1">
        <f>2.5*3.16*2</f>
        <v>15.8</v>
      </c>
      <c r="P1219" t="s">
        <v>660</v>
      </c>
      <c r="R1219" t="s">
        <v>634</v>
      </c>
    </row>
    <row r="1220" spans="1:18" hidden="1">
      <c r="A1220">
        <v>15</v>
      </c>
      <c r="B1220" t="s">
        <v>405</v>
      </c>
      <c r="C1220" t="s">
        <v>483</v>
      </c>
      <c r="G1220">
        <v>5</v>
      </c>
      <c r="J1220" t="s">
        <v>22</v>
      </c>
      <c r="K1220" t="s">
        <v>71</v>
      </c>
      <c r="L1220" t="s">
        <v>33</v>
      </c>
      <c r="M1220" t="s">
        <v>611</v>
      </c>
      <c r="O1220" s="1">
        <f t="shared" ref="O1220:O1237" si="39">2.5*3.16*2</f>
        <v>15.8</v>
      </c>
      <c r="P1220" t="s">
        <v>660</v>
      </c>
      <c r="R1220" t="s">
        <v>634</v>
      </c>
    </row>
    <row r="1221" spans="1:18" hidden="1">
      <c r="A1221">
        <v>15</v>
      </c>
      <c r="B1221" t="s">
        <v>405</v>
      </c>
      <c r="C1221" t="s">
        <v>483</v>
      </c>
      <c r="G1221">
        <v>6</v>
      </c>
      <c r="J1221" t="s">
        <v>22</v>
      </c>
      <c r="K1221" t="s">
        <v>71</v>
      </c>
      <c r="L1221" t="s">
        <v>33</v>
      </c>
      <c r="M1221" t="s">
        <v>611</v>
      </c>
      <c r="O1221" s="1">
        <f t="shared" si="39"/>
        <v>15.8</v>
      </c>
      <c r="P1221" t="s">
        <v>660</v>
      </c>
      <c r="R1221" t="s">
        <v>634</v>
      </c>
    </row>
    <row r="1222" spans="1:18" hidden="1">
      <c r="A1222">
        <v>15</v>
      </c>
      <c r="B1222" t="s">
        <v>405</v>
      </c>
      <c r="C1222" t="s">
        <v>483</v>
      </c>
      <c r="G1222">
        <v>7</v>
      </c>
      <c r="J1222" t="s">
        <v>22</v>
      </c>
      <c r="K1222" t="s">
        <v>71</v>
      </c>
      <c r="L1222" t="s">
        <v>33</v>
      </c>
      <c r="M1222" t="s">
        <v>611</v>
      </c>
      <c r="O1222" s="1">
        <f t="shared" si="39"/>
        <v>15.8</v>
      </c>
      <c r="P1222" t="s">
        <v>660</v>
      </c>
      <c r="R1222" t="s">
        <v>634</v>
      </c>
    </row>
    <row r="1223" spans="1:18" hidden="1">
      <c r="A1223">
        <v>15</v>
      </c>
      <c r="B1223" t="s">
        <v>405</v>
      </c>
      <c r="C1223" t="s">
        <v>483</v>
      </c>
      <c r="G1223">
        <v>8</v>
      </c>
      <c r="J1223" t="s">
        <v>22</v>
      </c>
      <c r="K1223" t="s">
        <v>71</v>
      </c>
      <c r="L1223" t="s">
        <v>33</v>
      </c>
      <c r="M1223" t="s">
        <v>611</v>
      </c>
      <c r="O1223" s="1">
        <f t="shared" si="39"/>
        <v>15.8</v>
      </c>
      <c r="P1223" t="s">
        <v>660</v>
      </c>
      <c r="R1223" t="s">
        <v>634</v>
      </c>
    </row>
    <row r="1224" spans="1:18" hidden="1">
      <c r="A1224">
        <v>15</v>
      </c>
      <c r="B1224" t="s">
        <v>405</v>
      </c>
      <c r="C1224" t="s">
        <v>483</v>
      </c>
      <c r="G1224">
        <v>9</v>
      </c>
      <c r="J1224" t="s">
        <v>22</v>
      </c>
      <c r="K1224" t="s">
        <v>71</v>
      </c>
      <c r="L1224" t="s">
        <v>33</v>
      </c>
      <c r="M1224" t="s">
        <v>611</v>
      </c>
      <c r="O1224" s="1">
        <f t="shared" si="39"/>
        <v>15.8</v>
      </c>
      <c r="P1224" t="s">
        <v>660</v>
      </c>
      <c r="R1224" t="s">
        <v>634</v>
      </c>
    </row>
    <row r="1225" spans="1:18" hidden="1">
      <c r="A1225">
        <v>15</v>
      </c>
      <c r="B1225" t="s">
        <v>405</v>
      </c>
      <c r="C1225" t="s">
        <v>483</v>
      </c>
      <c r="G1225">
        <v>10</v>
      </c>
      <c r="J1225" t="s">
        <v>22</v>
      </c>
      <c r="K1225" t="s">
        <v>71</v>
      </c>
      <c r="L1225" t="s">
        <v>33</v>
      </c>
      <c r="M1225" t="s">
        <v>611</v>
      </c>
      <c r="O1225" s="1">
        <f t="shared" si="39"/>
        <v>15.8</v>
      </c>
      <c r="P1225" t="s">
        <v>660</v>
      </c>
      <c r="R1225" t="s">
        <v>634</v>
      </c>
    </row>
    <row r="1226" spans="1:18" hidden="1">
      <c r="A1226">
        <v>15</v>
      </c>
      <c r="B1226" t="s">
        <v>405</v>
      </c>
      <c r="C1226" t="s">
        <v>483</v>
      </c>
      <c r="G1226">
        <v>11</v>
      </c>
      <c r="J1226" t="s">
        <v>22</v>
      </c>
      <c r="K1226" t="s">
        <v>71</v>
      </c>
      <c r="L1226" t="s">
        <v>33</v>
      </c>
      <c r="M1226" t="s">
        <v>611</v>
      </c>
      <c r="O1226" s="1">
        <f t="shared" si="39"/>
        <v>15.8</v>
      </c>
      <c r="P1226" t="s">
        <v>660</v>
      </c>
      <c r="R1226" t="s">
        <v>634</v>
      </c>
    </row>
    <row r="1227" spans="1:18" hidden="1">
      <c r="A1227">
        <v>15</v>
      </c>
      <c r="B1227" t="s">
        <v>405</v>
      </c>
      <c r="C1227" t="s">
        <v>483</v>
      </c>
      <c r="G1227">
        <v>12</v>
      </c>
      <c r="J1227" t="s">
        <v>22</v>
      </c>
      <c r="K1227" t="s">
        <v>71</v>
      </c>
      <c r="L1227" t="s">
        <v>33</v>
      </c>
      <c r="M1227" t="s">
        <v>611</v>
      </c>
      <c r="O1227" s="1">
        <f t="shared" si="39"/>
        <v>15.8</v>
      </c>
      <c r="P1227" t="s">
        <v>660</v>
      </c>
      <c r="R1227" t="s">
        <v>634</v>
      </c>
    </row>
    <row r="1228" spans="1:18" hidden="1">
      <c r="A1228">
        <v>15</v>
      </c>
      <c r="B1228" t="s">
        <v>405</v>
      </c>
      <c r="C1228" t="s">
        <v>483</v>
      </c>
      <c r="G1228">
        <v>13</v>
      </c>
      <c r="J1228" t="s">
        <v>22</v>
      </c>
      <c r="K1228" t="s">
        <v>71</v>
      </c>
      <c r="L1228" t="s">
        <v>33</v>
      </c>
      <c r="M1228" t="s">
        <v>611</v>
      </c>
      <c r="O1228" s="1">
        <f t="shared" si="39"/>
        <v>15.8</v>
      </c>
      <c r="P1228" t="s">
        <v>660</v>
      </c>
      <c r="R1228" t="s">
        <v>634</v>
      </c>
    </row>
    <row r="1229" spans="1:18" hidden="1">
      <c r="A1229">
        <v>15</v>
      </c>
      <c r="B1229" t="s">
        <v>405</v>
      </c>
      <c r="C1229" t="s">
        <v>483</v>
      </c>
      <c r="G1229">
        <v>14</v>
      </c>
      <c r="J1229" t="s">
        <v>22</v>
      </c>
      <c r="K1229" t="s">
        <v>71</v>
      </c>
      <c r="L1229" t="s">
        <v>33</v>
      </c>
      <c r="M1229" t="s">
        <v>611</v>
      </c>
      <c r="O1229" s="1">
        <f t="shared" si="39"/>
        <v>15.8</v>
      </c>
      <c r="P1229" t="s">
        <v>660</v>
      </c>
      <c r="R1229" t="s">
        <v>634</v>
      </c>
    </row>
    <row r="1230" spans="1:18" hidden="1">
      <c r="A1230">
        <v>15</v>
      </c>
      <c r="B1230" t="s">
        <v>405</v>
      </c>
      <c r="C1230" t="s">
        <v>483</v>
      </c>
      <c r="G1230">
        <v>15</v>
      </c>
      <c r="J1230" t="s">
        <v>22</v>
      </c>
      <c r="K1230" t="s">
        <v>71</v>
      </c>
      <c r="L1230" t="s">
        <v>33</v>
      </c>
      <c r="M1230" t="s">
        <v>611</v>
      </c>
      <c r="O1230" s="1">
        <f t="shared" si="39"/>
        <v>15.8</v>
      </c>
      <c r="P1230" t="s">
        <v>660</v>
      </c>
      <c r="R1230" t="s">
        <v>634</v>
      </c>
    </row>
    <row r="1231" spans="1:18" hidden="1">
      <c r="A1231">
        <v>15</v>
      </c>
      <c r="B1231" t="s">
        <v>405</v>
      </c>
      <c r="C1231" t="s">
        <v>483</v>
      </c>
      <c r="G1231">
        <v>16</v>
      </c>
      <c r="J1231" t="s">
        <v>22</v>
      </c>
      <c r="K1231" t="s">
        <v>71</v>
      </c>
      <c r="L1231" t="s">
        <v>33</v>
      </c>
      <c r="M1231" t="s">
        <v>611</v>
      </c>
      <c r="O1231" s="1">
        <f t="shared" si="39"/>
        <v>15.8</v>
      </c>
      <c r="P1231" t="s">
        <v>660</v>
      </c>
      <c r="R1231" t="s">
        <v>634</v>
      </c>
    </row>
    <row r="1232" spans="1:18" hidden="1">
      <c r="A1232">
        <v>15</v>
      </c>
      <c r="B1232" t="s">
        <v>405</v>
      </c>
      <c r="C1232" t="s">
        <v>483</v>
      </c>
      <c r="G1232">
        <v>17</v>
      </c>
      <c r="J1232" t="s">
        <v>22</v>
      </c>
      <c r="K1232" t="s">
        <v>71</v>
      </c>
      <c r="L1232" t="s">
        <v>33</v>
      </c>
      <c r="M1232" t="s">
        <v>611</v>
      </c>
      <c r="O1232" s="1">
        <f t="shared" si="39"/>
        <v>15.8</v>
      </c>
      <c r="P1232" t="s">
        <v>660</v>
      </c>
      <c r="R1232" t="s">
        <v>634</v>
      </c>
    </row>
    <row r="1233" spans="1:18" hidden="1">
      <c r="A1233">
        <v>15</v>
      </c>
      <c r="B1233" t="s">
        <v>405</v>
      </c>
      <c r="C1233" t="s">
        <v>483</v>
      </c>
      <c r="G1233">
        <v>18</v>
      </c>
      <c r="J1233" t="s">
        <v>22</v>
      </c>
      <c r="K1233" t="s">
        <v>71</v>
      </c>
      <c r="L1233" t="s">
        <v>33</v>
      </c>
      <c r="M1233" t="s">
        <v>611</v>
      </c>
      <c r="O1233" s="1">
        <f t="shared" si="39"/>
        <v>15.8</v>
      </c>
      <c r="P1233" t="s">
        <v>660</v>
      </c>
      <c r="R1233" t="s">
        <v>634</v>
      </c>
    </row>
    <row r="1234" spans="1:18" hidden="1">
      <c r="A1234">
        <v>15</v>
      </c>
      <c r="B1234" t="s">
        <v>405</v>
      </c>
      <c r="C1234" t="s">
        <v>483</v>
      </c>
      <c r="G1234">
        <v>19</v>
      </c>
      <c r="J1234" t="s">
        <v>22</v>
      </c>
      <c r="K1234" t="s">
        <v>71</v>
      </c>
      <c r="L1234" t="s">
        <v>33</v>
      </c>
      <c r="M1234" t="s">
        <v>611</v>
      </c>
      <c r="O1234" s="1">
        <f t="shared" si="39"/>
        <v>15.8</v>
      </c>
      <c r="P1234" t="s">
        <v>660</v>
      </c>
      <c r="R1234" t="s">
        <v>634</v>
      </c>
    </row>
    <row r="1235" spans="1:18" hidden="1">
      <c r="A1235">
        <v>15</v>
      </c>
      <c r="B1235" t="s">
        <v>405</v>
      </c>
      <c r="C1235" t="s">
        <v>483</v>
      </c>
      <c r="G1235">
        <v>20</v>
      </c>
      <c r="J1235" t="s">
        <v>22</v>
      </c>
      <c r="K1235" t="s">
        <v>71</v>
      </c>
      <c r="L1235" t="s">
        <v>33</v>
      </c>
      <c r="M1235" t="s">
        <v>611</v>
      </c>
      <c r="O1235" s="1">
        <f t="shared" si="39"/>
        <v>15.8</v>
      </c>
      <c r="P1235" t="s">
        <v>660</v>
      </c>
      <c r="R1235" t="s">
        <v>634</v>
      </c>
    </row>
    <row r="1236" spans="1:18" hidden="1">
      <c r="A1236">
        <v>15</v>
      </c>
      <c r="B1236" t="s">
        <v>405</v>
      </c>
      <c r="C1236" t="s">
        <v>483</v>
      </c>
      <c r="G1236">
        <v>21</v>
      </c>
      <c r="J1236" t="s">
        <v>22</v>
      </c>
      <c r="K1236" t="s">
        <v>71</v>
      </c>
      <c r="L1236" t="s">
        <v>33</v>
      </c>
      <c r="M1236" t="s">
        <v>611</v>
      </c>
      <c r="O1236" s="1">
        <f t="shared" si="39"/>
        <v>15.8</v>
      </c>
      <c r="P1236" t="s">
        <v>660</v>
      </c>
      <c r="R1236" t="s">
        <v>634</v>
      </c>
    </row>
    <row r="1237" spans="1:18" hidden="1">
      <c r="A1237">
        <v>15</v>
      </c>
      <c r="B1237" t="s">
        <v>405</v>
      </c>
      <c r="C1237" t="s">
        <v>483</v>
      </c>
      <c r="G1237">
        <v>22</v>
      </c>
      <c r="J1237" t="s">
        <v>22</v>
      </c>
      <c r="K1237" t="s">
        <v>71</v>
      </c>
      <c r="L1237" t="s">
        <v>33</v>
      </c>
      <c r="M1237" t="s">
        <v>611</v>
      </c>
      <c r="O1237" s="1">
        <f t="shared" si="39"/>
        <v>15.8</v>
      </c>
      <c r="P1237" t="s">
        <v>660</v>
      </c>
      <c r="R1237" t="s">
        <v>634</v>
      </c>
    </row>
    <row r="1238" spans="1:18" hidden="1">
      <c r="A1238">
        <v>15</v>
      </c>
      <c r="B1238" t="s">
        <v>405</v>
      </c>
      <c r="C1238" t="s">
        <v>483</v>
      </c>
      <c r="G1238">
        <v>4</v>
      </c>
      <c r="J1238" t="s">
        <v>22</v>
      </c>
      <c r="K1238" t="s">
        <v>71</v>
      </c>
      <c r="L1238" t="s">
        <v>33</v>
      </c>
      <c r="M1238" t="s">
        <v>612</v>
      </c>
      <c r="O1238" s="1">
        <f>(4/128)*20*2</f>
        <v>1.25</v>
      </c>
      <c r="P1238" t="s">
        <v>661</v>
      </c>
      <c r="R1238" t="s">
        <v>634</v>
      </c>
    </row>
    <row r="1239" spans="1:18" hidden="1">
      <c r="A1239">
        <v>15</v>
      </c>
      <c r="B1239" t="s">
        <v>405</v>
      </c>
      <c r="C1239" t="s">
        <v>483</v>
      </c>
      <c r="G1239">
        <v>5</v>
      </c>
      <c r="J1239" t="s">
        <v>22</v>
      </c>
      <c r="K1239" t="s">
        <v>71</v>
      </c>
      <c r="L1239" t="s">
        <v>33</v>
      </c>
      <c r="M1239" t="s">
        <v>612</v>
      </c>
      <c r="O1239" s="1">
        <f t="shared" ref="O1239:O1256" si="40">(4/128)*20*2</f>
        <v>1.25</v>
      </c>
      <c r="P1239" t="s">
        <v>661</v>
      </c>
      <c r="R1239" t="s">
        <v>634</v>
      </c>
    </row>
    <row r="1240" spans="1:18" hidden="1">
      <c r="A1240">
        <v>15</v>
      </c>
      <c r="B1240" t="s">
        <v>405</v>
      </c>
      <c r="C1240" t="s">
        <v>483</v>
      </c>
      <c r="G1240">
        <v>6</v>
      </c>
      <c r="J1240" t="s">
        <v>22</v>
      </c>
      <c r="K1240" t="s">
        <v>71</v>
      </c>
      <c r="L1240" t="s">
        <v>33</v>
      </c>
      <c r="M1240" t="s">
        <v>612</v>
      </c>
      <c r="O1240" s="1">
        <f t="shared" si="40"/>
        <v>1.25</v>
      </c>
      <c r="P1240" t="s">
        <v>661</v>
      </c>
      <c r="R1240" t="s">
        <v>634</v>
      </c>
    </row>
    <row r="1241" spans="1:18" hidden="1">
      <c r="A1241">
        <v>15</v>
      </c>
      <c r="B1241" t="s">
        <v>405</v>
      </c>
      <c r="C1241" t="s">
        <v>483</v>
      </c>
      <c r="G1241">
        <v>7</v>
      </c>
      <c r="J1241" t="s">
        <v>22</v>
      </c>
      <c r="K1241" t="s">
        <v>71</v>
      </c>
      <c r="L1241" t="s">
        <v>33</v>
      </c>
      <c r="M1241" t="s">
        <v>612</v>
      </c>
      <c r="O1241" s="1">
        <f t="shared" si="40"/>
        <v>1.25</v>
      </c>
      <c r="P1241" t="s">
        <v>661</v>
      </c>
      <c r="R1241" t="s">
        <v>634</v>
      </c>
    </row>
    <row r="1242" spans="1:18" hidden="1">
      <c r="A1242">
        <v>15</v>
      </c>
      <c r="B1242" t="s">
        <v>405</v>
      </c>
      <c r="C1242" t="s">
        <v>483</v>
      </c>
      <c r="G1242">
        <v>8</v>
      </c>
      <c r="J1242" t="s">
        <v>22</v>
      </c>
      <c r="K1242" t="s">
        <v>71</v>
      </c>
      <c r="L1242" t="s">
        <v>33</v>
      </c>
      <c r="M1242" t="s">
        <v>612</v>
      </c>
      <c r="O1242" s="1">
        <f t="shared" si="40"/>
        <v>1.25</v>
      </c>
      <c r="P1242" t="s">
        <v>661</v>
      </c>
      <c r="R1242" t="s">
        <v>634</v>
      </c>
    </row>
    <row r="1243" spans="1:18" hidden="1">
      <c r="A1243">
        <v>15</v>
      </c>
      <c r="B1243" t="s">
        <v>405</v>
      </c>
      <c r="C1243" t="s">
        <v>483</v>
      </c>
      <c r="G1243">
        <v>9</v>
      </c>
      <c r="J1243" t="s">
        <v>22</v>
      </c>
      <c r="K1243" t="s">
        <v>71</v>
      </c>
      <c r="L1243" t="s">
        <v>33</v>
      </c>
      <c r="M1243" t="s">
        <v>612</v>
      </c>
      <c r="O1243" s="1">
        <f t="shared" si="40"/>
        <v>1.25</v>
      </c>
      <c r="P1243" t="s">
        <v>661</v>
      </c>
      <c r="R1243" t="s">
        <v>634</v>
      </c>
    </row>
    <row r="1244" spans="1:18" hidden="1">
      <c r="A1244">
        <v>15</v>
      </c>
      <c r="B1244" t="s">
        <v>405</v>
      </c>
      <c r="C1244" t="s">
        <v>483</v>
      </c>
      <c r="G1244">
        <v>10</v>
      </c>
      <c r="J1244" t="s">
        <v>22</v>
      </c>
      <c r="K1244" t="s">
        <v>71</v>
      </c>
      <c r="L1244" t="s">
        <v>33</v>
      </c>
      <c r="M1244" t="s">
        <v>612</v>
      </c>
      <c r="O1244" s="1">
        <f t="shared" si="40"/>
        <v>1.25</v>
      </c>
      <c r="P1244" t="s">
        <v>661</v>
      </c>
      <c r="R1244" t="s">
        <v>634</v>
      </c>
    </row>
    <row r="1245" spans="1:18" hidden="1">
      <c r="A1245">
        <v>15</v>
      </c>
      <c r="B1245" t="s">
        <v>405</v>
      </c>
      <c r="C1245" t="s">
        <v>483</v>
      </c>
      <c r="G1245">
        <v>11</v>
      </c>
      <c r="J1245" t="s">
        <v>22</v>
      </c>
      <c r="K1245" t="s">
        <v>71</v>
      </c>
      <c r="L1245" t="s">
        <v>33</v>
      </c>
      <c r="M1245" t="s">
        <v>612</v>
      </c>
      <c r="O1245" s="1">
        <f t="shared" si="40"/>
        <v>1.25</v>
      </c>
      <c r="P1245" t="s">
        <v>661</v>
      </c>
      <c r="R1245" t="s">
        <v>634</v>
      </c>
    </row>
    <row r="1246" spans="1:18" hidden="1">
      <c r="A1246">
        <v>15</v>
      </c>
      <c r="B1246" t="s">
        <v>405</v>
      </c>
      <c r="C1246" t="s">
        <v>483</v>
      </c>
      <c r="G1246">
        <v>12</v>
      </c>
      <c r="J1246" t="s">
        <v>22</v>
      </c>
      <c r="K1246" t="s">
        <v>71</v>
      </c>
      <c r="L1246" t="s">
        <v>33</v>
      </c>
      <c r="M1246" t="s">
        <v>612</v>
      </c>
      <c r="O1246" s="1">
        <f t="shared" si="40"/>
        <v>1.25</v>
      </c>
      <c r="P1246" t="s">
        <v>661</v>
      </c>
      <c r="R1246" t="s">
        <v>634</v>
      </c>
    </row>
    <row r="1247" spans="1:18" hidden="1">
      <c r="A1247">
        <v>15</v>
      </c>
      <c r="B1247" t="s">
        <v>405</v>
      </c>
      <c r="C1247" t="s">
        <v>483</v>
      </c>
      <c r="G1247">
        <v>13</v>
      </c>
      <c r="J1247" t="s">
        <v>22</v>
      </c>
      <c r="K1247" t="s">
        <v>71</v>
      </c>
      <c r="L1247" t="s">
        <v>33</v>
      </c>
      <c r="M1247" t="s">
        <v>612</v>
      </c>
      <c r="O1247" s="1">
        <f t="shared" si="40"/>
        <v>1.25</v>
      </c>
      <c r="P1247" t="s">
        <v>661</v>
      </c>
      <c r="R1247" t="s">
        <v>634</v>
      </c>
    </row>
    <row r="1248" spans="1:18" hidden="1">
      <c r="A1248">
        <v>15</v>
      </c>
      <c r="B1248" t="s">
        <v>405</v>
      </c>
      <c r="C1248" t="s">
        <v>483</v>
      </c>
      <c r="G1248">
        <v>14</v>
      </c>
      <c r="J1248" t="s">
        <v>22</v>
      </c>
      <c r="K1248" t="s">
        <v>71</v>
      </c>
      <c r="L1248" t="s">
        <v>33</v>
      </c>
      <c r="M1248" t="s">
        <v>612</v>
      </c>
      <c r="O1248" s="1">
        <f t="shared" si="40"/>
        <v>1.25</v>
      </c>
      <c r="P1248" t="s">
        <v>661</v>
      </c>
      <c r="R1248" t="s">
        <v>634</v>
      </c>
    </row>
    <row r="1249" spans="1:18" hidden="1">
      <c r="A1249">
        <v>15</v>
      </c>
      <c r="B1249" t="s">
        <v>405</v>
      </c>
      <c r="C1249" t="s">
        <v>483</v>
      </c>
      <c r="G1249">
        <v>15</v>
      </c>
      <c r="J1249" t="s">
        <v>22</v>
      </c>
      <c r="K1249" t="s">
        <v>71</v>
      </c>
      <c r="L1249" t="s">
        <v>33</v>
      </c>
      <c r="M1249" t="s">
        <v>612</v>
      </c>
      <c r="O1249" s="1">
        <f t="shared" si="40"/>
        <v>1.25</v>
      </c>
      <c r="P1249" t="s">
        <v>661</v>
      </c>
      <c r="R1249" t="s">
        <v>634</v>
      </c>
    </row>
    <row r="1250" spans="1:18" hidden="1">
      <c r="A1250">
        <v>15</v>
      </c>
      <c r="B1250" t="s">
        <v>405</v>
      </c>
      <c r="C1250" t="s">
        <v>483</v>
      </c>
      <c r="G1250">
        <v>16</v>
      </c>
      <c r="J1250" t="s">
        <v>22</v>
      </c>
      <c r="K1250" t="s">
        <v>71</v>
      </c>
      <c r="L1250" t="s">
        <v>33</v>
      </c>
      <c r="M1250" t="s">
        <v>612</v>
      </c>
      <c r="O1250" s="1">
        <f t="shared" si="40"/>
        <v>1.25</v>
      </c>
      <c r="P1250" t="s">
        <v>661</v>
      </c>
      <c r="R1250" t="s">
        <v>634</v>
      </c>
    </row>
    <row r="1251" spans="1:18" hidden="1">
      <c r="A1251">
        <v>15</v>
      </c>
      <c r="B1251" t="s">
        <v>405</v>
      </c>
      <c r="C1251" t="s">
        <v>483</v>
      </c>
      <c r="G1251">
        <v>17</v>
      </c>
      <c r="J1251" t="s">
        <v>22</v>
      </c>
      <c r="K1251" t="s">
        <v>71</v>
      </c>
      <c r="L1251" t="s">
        <v>33</v>
      </c>
      <c r="M1251" t="s">
        <v>612</v>
      </c>
      <c r="O1251" s="1">
        <f t="shared" si="40"/>
        <v>1.25</v>
      </c>
      <c r="P1251" t="s">
        <v>661</v>
      </c>
      <c r="R1251" t="s">
        <v>634</v>
      </c>
    </row>
    <row r="1252" spans="1:18" hidden="1">
      <c r="A1252">
        <v>15</v>
      </c>
      <c r="B1252" t="s">
        <v>405</v>
      </c>
      <c r="C1252" t="s">
        <v>483</v>
      </c>
      <c r="G1252">
        <v>18</v>
      </c>
      <c r="J1252" t="s">
        <v>22</v>
      </c>
      <c r="K1252" t="s">
        <v>71</v>
      </c>
      <c r="L1252" t="s">
        <v>33</v>
      </c>
      <c r="M1252" t="s">
        <v>612</v>
      </c>
      <c r="O1252" s="1">
        <f t="shared" si="40"/>
        <v>1.25</v>
      </c>
      <c r="P1252" t="s">
        <v>661</v>
      </c>
      <c r="R1252" t="s">
        <v>634</v>
      </c>
    </row>
    <row r="1253" spans="1:18" hidden="1">
      <c r="A1253">
        <v>15</v>
      </c>
      <c r="B1253" t="s">
        <v>405</v>
      </c>
      <c r="C1253" t="s">
        <v>483</v>
      </c>
      <c r="G1253">
        <v>19</v>
      </c>
      <c r="J1253" t="s">
        <v>22</v>
      </c>
      <c r="K1253" t="s">
        <v>71</v>
      </c>
      <c r="L1253" t="s">
        <v>33</v>
      </c>
      <c r="M1253" t="s">
        <v>612</v>
      </c>
      <c r="O1253" s="1">
        <f t="shared" si="40"/>
        <v>1.25</v>
      </c>
      <c r="P1253" t="s">
        <v>661</v>
      </c>
      <c r="R1253" t="s">
        <v>634</v>
      </c>
    </row>
    <row r="1254" spans="1:18" hidden="1">
      <c r="A1254">
        <v>15</v>
      </c>
      <c r="B1254" t="s">
        <v>405</v>
      </c>
      <c r="C1254" t="s">
        <v>483</v>
      </c>
      <c r="G1254">
        <v>20</v>
      </c>
      <c r="J1254" t="s">
        <v>22</v>
      </c>
      <c r="K1254" t="s">
        <v>71</v>
      </c>
      <c r="L1254" t="s">
        <v>33</v>
      </c>
      <c r="M1254" t="s">
        <v>612</v>
      </c>
      <c r="O1254" s="1">
        <f t="shared" si="40"/>
        <v>1.25</v>
      </c>
      <c r="P1254" t="s">
        <v>661</v>
      </c>
      <c r="R1254" t="s">
        <v>634</v>
      </c>
    </row>
    <row r="1255" spans="1:18" hidden="1">
      <c r="A1255">
        <v>15</v>
      </c>
      <c r="B1255" t="s">
        <v>405</v>
      </c>
      <c r="C1255" t="s">
        <v>483</v>
      </c>
      <c r="G1255">
        <v>21</v>
      </c>
      <c r="J1255" t="s">
        <v>22</v>
      </c>
      <c r="K1255" t="s">
        <v>71</v>
      </c>
      <c r="L1255" t="s">
        <v>33</v>
      </c>
      <c r="M1255" t="s">
        <v>612</v>
      </c>
      <c r="O1255" s="1">
        <f t="shared" si="40"/>
        <v>1.25</v>
      </c>
      <c r="P1255" t="s">
        <v>661</v>
      </c>
      <c r="R1255" t="s">
        <v>634</v>
      </c>
    </row>
    <row r="1256" spans="1:18" hidden="1">
      <c r="A1256">
        <v>15</v>
      </c>
      <c r="B1256" t="s">
        <v>405</v>
      </c>
      <c r="C1256" t="s">
        <v>483</v>
      </c>
      <c r="G1256">
        <v>22</v>
      </c>
      <c r="J1256" t="s">
        <v>22</v>
      </c>
      <c r="K1256" t="s">
        <v>71</v>
      </c>
      <c r="L1256" t="s">
        <v>33</v>
      </c>
      <c r="M1256" t="s">
        <v>612</v>
      </c>
      <c r="O1256" s="1">
        <f t="shared" si="40"/>
        <v>1.25</v>
      </c>
      <c r="P1256" t="s">
        <v>661</v>
      </c>
      <c r="R1256" t="s">
        <v>634</v>
      </c>
    </row>
    <row r="1257" spans="1:18">
      <c r="A1257">
        <v>15</v>
      </c>
      <c r="B1257" t="s">
        <v>405</v>
      </c>
      <c r="C1257" t="s">
        <v>483</v>
      </c>
      <c r="G1257">
        <v>4</v>
      </c>
      <c r="H1257" s="263"/>
      <c r="J1257" t="s">
        <v>22</v>
      </c>
      <c r="K1257" t="s">
        <v>30</v>
      </c>
      <c r="L1257" t="s">
        <v>33</v>
      </c>
      <c r="M1257" t="s">
        <v>613</v>
      </c>
      <c r="N1257" s="263">
        <f t="shared" ref="N1257:N1275" si="41">0.6*2</f>
        <v>1.2</v>
      </c>
      <c r="O1257" s="1">
        <f>0.6*20*2</f>
        <v>24</v>
      </c>
      <c r="P1257" t="s">
        <v>646</v>
      </c>
      <c r="R1257" t="s">
        <v>634</v>
      </c>
    </row>
    <row r="1258" spans="1:18">
      <c r="A1258">
        <v>15</v>
      </c>
      <c r="B1258" t="s">
        <v>405</v>
      </c>
      <c r="C1258" t="s">
        <v>483</v>
      </c>
      <c r="G1258">
        <v>5</v>
      </c>
      <c r="H1258" s="263"/>
      <c r="J1258" t="s">
        <v>22</v>
      </c>
      <c r="K1258" t="s">
        <v>30</v>
      </c>
      <c r="L1258" t="s">
        <v>33</v>
      </c>
      <c r="M1258" t="s">
        <v>613</v>
      </c>
      <c r="N1258" s="263">
        <f t="shared" si="41"/>
        <v>1.2</v>
      </c>
      <c r="O1258" s="1">
        <f t="shared" ref="O1258:O1275" si="42">0.6*20*2</f>
        <v>24</v>
      </c>
      <c r="P1258" t="s">
        <v>646</v>
      </c>
      <c r="R1258" t="s">
        <v>634</v>
      </c>
    </row>
    <row r="1259" spans="1:18">
      <c r="A1259">
        <v>15</v>
      </c>
      <c r="B1259" t="s">
        <v>405</v>
      </c>
      <c r="C1259" t="s">
        <v>483</v>
      </c>
      <c r="G1259">
        <v>6</v>
      </c>
      <c r="H1259" s="263"/>
      <c r="J1259" t="s">
        <v>22</v>
      </c>
      <c r="K1259" t="s">
        <v>30</v>
      </c>
      <c r="L1259" t="s">
        <v>33</v>
      </c>
      <c r="M1259" t="s">
        <v>613</v>
      </c>
      <c r="N1259" s="263">
        <f t="shared" si="41"/>
        <v>1.2</v>
      </c>
      <c r="O1259" s="1">
        <f t="shared" si="42"/>
        <v>24</v>
      </c>
      <c r="P1259" t="s">
        <v>646</v>
      </c>
      <c r="R1259" t="s">
        <v>634</v>
      </c>
    </row>
    <row r="1260" spans="1:18">
      <c r="A1260">
        <v>15</v>
      </c>
      <c r="B1260" t="s">
        <v>405</v>
      </c>
      <c r="C1260" t="s">
        <v>483</v>
      </c>
      <c r="G1260">
        <v>7</v>
      </c>
      <c r="H1260" s="263"/>
      <c r="J1260" t="s">
        <v>22</v>
      </c>
      <c r="K1260" t="s">
        <v>30</v>
      </c>
      <c r="L1260" t="s">
        <v>33</v>
      </c>
      <c r="M1260" t="s">
        <v>613</v>
      </c>
      <c r="N1260" s="263">
        <f t="shared" si="41"/>
        <v>1.2</v>
      </c>
      <c r="O1260" s="1">
        <f t="shared" si="42"/>
        <v>24</v>
      </c>
      <c r="P1260" t="s">
        <v>646</v>
      </c>
      <c r="R1260" t="s">
        <v>634</v>
      </c>
    </row>
    <row r="1261" spans="1:18">
      <c r="A1261">
        <v>15</v>
      </c>
      <c r="B1261" t="s">
        <v>405</v>
      </c>
      <c r="C1261" t="s">
        <v>483</v>
      </c>
      <c r="G1261">
        <v>8</v>
      </c>
      <c r="H1261" s="263"/>
      <c r="J1261" t="s">
        <v>22</v>
      </c>
      <c r="K1261" t="s">
        <v>30</v>
      </c>
      <c r="L1261" t="s">
        <v>33</v>
      </c>
      <c r="M1261" t="s">
        <v>613</v>
      </c>
      <c r="N1261" s="263">
        <f t="shared" si="41"/>
        <v>1.2</v>
      </c>
      <c r="O1261" s="1">
        <f t="shared" si="42"/>
        <v>24</v>
      </c>
      <c r="P1261" t="s">
        <v>646</v>
      </c>
      <c r="R1261" t="s">
        <v>634</v>
      </c>
    </row>
    <row r="1262" spans="1:18">
      <c r="A1262">
        <v>15</v>
      </c>
      <c r="B1262" t="s">
        <v>405</v>
      </c>
      <c r="C1262" t="s">
        <v>483</v>
      </c>
      <c r="G1262">
        <v>9</v>
      </c>
      <c r="H1262" s="263"/>
      <c r="J1262" t="s">
        <v>22</v>
      </c>
      <c r="K1262" t="s">
        <v>30</v>
      </c>
      <c r="L1262" t="s">
        <v>33</v>
      </c>
      <c r="M1262" t="s">
        <v>613</v>
      </c>
      <c r="N1262" s="263">
        <f t="shared" si="41"/>
        <v>1.2</v>
      </c>
      <c r="O1262" s="1">
        <f t="shared" si="42"/>
        <v>24</v>
      </c>
      <c r="P1262" t="s">
        <v>646</v>
      </c>
      <c r="R1262" t="s">
        <v>634</v>
      </c>
    </row>
    <row r="1263" spans="1:18">
      <c r="A1263">
        <v>15</v>
      </c>
      <c r="B1263" t="s">
        <v>405</v>
      </c>
      <c r="C1263" t="s">
        <v>483</v>
      </c>
      <c r="G1263">
        <v>10</v>
      </c>
      <c r="H1263" s="263"/>
      <c r="J1263" t="s">
        <v>22</v>
      </c>
      <c r="K1263" t="s">
        <v>30</v>
      </c>
      <c r="L1263" t="s">
        <v>33</v>
      </c>
      <c r="M1263" t="s">
        <v>613</v>
      </c>
      <c r="N1263" s="263">
        <f t="shared" si="41"/>
        <v>1.2</v>
      </c>
      <c r="O1263" s="1">
        <f t="shared" si="42"/>
        <v>24</v>
      </c>
      <c r="P1263" t="s">
        <v>646</v>
      </c>
      <c r="R1263" t="s">
        <v>634</v>
      </c>
    </row>
    <row r="1264" spans="1:18">
      <c r="A1264">
        <v>15</v>
      </c>
      <c r="B1264" t="s">
        <v>405</v>
      </c>
      <c r="C1264" t="s">
        <v>483</v>
      </c>
      <c r="G1264">
        <v>11</v>
      </c>
      <c r="H1264" s="263"/>
      <c r="J1264" t="s">
        <v>22</v>
      </c>
      <c r="K1264" t="s">
        <v>30</v>
      </c>
      <c r="L1264" t="s">
        <v>33</v>
      </c>
      <c r="M1264" t="s">
        <v>613</v>
      </c>
      <c r="N1264" s="263">
        <f t="shared" si="41"/>
        <v>1.2</v>
      </c>
      <c r="O1264" s="1">
        <f t="shared" si="42"/>
        <v>24</v>
      </c>
      <c r="P1264" t="s">
        <v>646</v>
      </c>
      <c r="R1264" t="s">
        <v>634</v>
      </c>
    </row>
    <row r="1265" spans="1:18">
      <c r="A1265">
        <v>15</v>
      </c>
      <c r="B1265" t="s">
        <v>405</v>
      </c>
      <c r="C1265" t="s">
        <v>483</v>
      </c>
      <c r="G1265">
        <v>12</v>
      </c>
      <c r="H1265" s="263"/>
      <c r="J1265" t="s">
        <v>22</v>
      </c>
      <c r="K1265" t="s">
        <v>30</v>
      </c>
      <c r="L1265" t="s">
        <v>33</v>
      </c>
      <c r="M1265" t="s">
        <v>613</v>
      </c>
      <c r="N1265" s="263">
        <f t="shared" si="41"/>
        <v>1.2</v>
      </c>
      <c r="O1265" s="1">
        <f t="shared" si="42"/>
        <v>24</v>
      </c>
      <c r="P1265" t="s">
        <v>646</v>
      </c>
      <c r="R1265" t="s">
        <v>634</v>
      </c>
    </row>
    <row r="1266" spans="1:18">
      <c r="A1266">
        <v>15</v>
      </c>
      <c r="B1266" t="s">
        <v>405</v>
      </c>
      <c r="C1266" t="s">
        <v>483</v>
      </c>
      <c r="G1266">
        <v>13</v>
      </c>
      <c r="H1266" s="263"/>
      <c r="J1266" t="s">
        <v>22</v>
      </c>
      <c r="K1266" t="s">
        <v>30</v>
      </c>
      <c r="L1266" t="s">
        <v>33</v>
      </c>
      <c r="M1266" t="s">
        <v>613</v>
      </c>
      <c r="N1266" s="263">
        <f t="shared" si="41"/>
        <v>1.2</v>
      </c>
      <c r="O1266" s="1">
        <f t="shared" si="42"/>
        <v>24</v>
      </c>
      <c r="P1266" t="s">
        <v>646</v>
      </c>
      <c r="R1266" t="s">
        <v>634</v>
      </c>
    </row>
    <row r="1267" spans="1:18">
      <c r="A1267">
        <v>15</v>
      </c>
      <c r="B1267" t="s">
        <v>405</v>
      </c>
      <c r="C1267" t="s">
        <v>483</v>
      </c>
      <c r="G1267">
        <v>14</v>
      </c>
      <c r="H1267" s="263"/>
      <c r="J1267" t="s">
        <v>22</v>
      </c>
      <c r="K1267" t="s">
        <v>30</v>
      </c>
      <c r="L1267" t="s">
        <v>33</v>
      </c>
      <c r="M1267" t="s">
        <v>613</v>
      </c>
      <c r="N1267" s="263">
        <f t="shared" si="41"/>
        <v>1.2</v>
      </c>
      <c r="O1267" s="1">
        <f t="shared" si="42"/>
        <v>24</v>
      </c>
      <c r="P1267" t="s">
        <v>646</v>
      </c>
      <c r="R1267" t="s">
        <v>634</v>
      </c>
    </row>
    <row r="1268" spans="1:18">
      <c r="A1268">
        <v>15</v>
      </c>
      <c r="B1268" t="s">
        <v>405</v>
      </c>
      <c r="C1268" t="s">
        <v>483</v>
      </c>
      <c r="G1268">
        <v>15</v>
      </c>
      <c r="H1268" s="263"/>
      <c r="J1268" t="s">
        <v>22</v>
      </c>
      <c r="K1268" t="s">
        <v>30</v>
      </c>
      <c r="L1268" t="s">
        <v>33</v>
      </c>
      <c r="M1268" t="s">
        <v>613</v>
      </c>
      <c r="N1268" s="263">
        <f t="shared" si="41"/>
        <v>1.2</v>
      </c>
      <c r="O1268" s="1">
        <f t="shared" si="42"/>
        <v>24</v>
      </c>
      <c r="P1268" t="s">
        <v>646</v>
      </c>
      <c r="R1268" t="s">
        <v>634</v>
      </c>
    </row>
    <row r="1269" spans="1:18">
      <c r="A1269">
        <v>15</v>
      </c>
      <c r="B1269" t="s">
        <v>405</v>
      </c>
      <c r="C1269" t="s">
        <v>483</v>
      </c>
      <c r="G1269">
        <v>16</v>
      </c>
      <c r="H1269" s="263"/>
      <c r="J1269" t="s">
        <v>22</v>
      </c>
      <c r="K1269" t="s">
        <v>30</v>
      </c>
      <c r="L1269" t="s">
        <v>33</v>
      </c>
      <c r="M1269" t="s">
        <v>613</v>
      </c>
      <c r="N1269" s="263">
        <f t="shared" si="41"/>
        <v>1.2</v>
      </c>
      <c r="O1269" s="1">
        <f t="shared" si="42"/>
        <v>24</v>
      </c>
      <c r="P1269" t="s">
        <v>646</v>
      </c>
      <c r="R1269" t="s">
        <v>634</v>
      </c>
    </row>
    <row r="1270" spans="1:18">
      <c r="A1270">
        <v>15</v>
      </c>
      <c r="B1270" t="s">
        <v>405</v>
      </c>
      <c r="C1270" t="s">
        <v>483</v>
      </c>
      <c r="G1270">
        <v>17</v>
      </c>
      <c r="H1270" s="263"/>
      <c r="J1270" t="s">
        <v>22</v>
      </c>
      <c r="K1270" t="s">
        <v>30</v>
      </c>
      <c r="L1270" t="s">
        <v>33</v>
      </c>
      <c r="M1270" t="s">
        <v>613</v>
      </c>
      <c r="N1270" s="263">
        <f t="shared" si="41"/>
        <v>1.2</v>
      </c>
      <c r="O1270" s="1">
        <f t="shared" si="42"/>
        <v>24</v>
      </c>
      <c r="P1270" t="s">
        <v>646</v>
      </c>
      <c r="R1270" t="s">
        <v>634</v>
      </c>
    </row>
    <row r="1271" spans="1:18">
      <c r="A1271">
        <v>15</v>
      </c>
      <c r="B1271" t="s">
        <v>405</v>
      </c>
      <c r="C1271" t="s">
        <v>483</v>
      </c>
      <c r="G1271">
        <v>18</v>
      </c>
      <c r="H1271" s="263"/>
      <c r="J1271" t="s">
        <v>22</v>
      </c>
      <c r="K1271" t="s">
        <v>30</v>
      </c>
      <c r="L1271" t="s">
        <v>33</v>
      </c>
      <c r="M1271" t="s">
        <v>613</v>
      </c>
      <c r="N1271" s="263">
        <f t="shared" si="41"/>
        <v>1.2</v>
      </c>
      <c r="O1271" s="1">
        <f t="shared" si="42"/>
        <v>24</v>
      </c>
      <c r="P1271" t="s">
        <v>646</v>
      </c>
      <c r="R1271" t="s">
        <v>634</v>
      </c>
    </row>
    <row r="1272" spans="1:18">
      <c r="A1272">
        <v>15</v>
      </c>
      <c r="B1272" t="s">
        <v>405</v>
      </c>
      <c r="C1272" t="s">
        <v>483</v>
      </c>
      <c r="G1272">
        <v>19</v>
      </c>
      <c r="H1272" s="263"/>
      <c r="J1272" t="s">
        <v>22</v>
      </c>
      <c r="K1272" t="s">
        <v>30</v>
      </c>
      <c r="L1272" t="s">
        <v>33</v>
      </c>
      <c r="M1272" t="s">
        <v>613</v>
      </c>
      <c r="N1272" s="263">
        <f t="shared" si="41"/>
        <v>1.2</v>
      </c>
      <c r="O1272" s="1">
        <f t="shared" si="42"/>
        <v>24</v>
      </c>
      <c r="P1272" t="s">
        <v>646</v>
      </c>
      <c r="R1272" t="s">
        <v>634</v>
      </c>
    </row>
    <row r="1273" spans="1:18">
      <c r="A1273">
        <v>15</v>
      </c>
      <c r="B1273" t="s">
        <v>405</v>
      </c>
      <c r="C1273" t="s">
        <v>483</v>
      </c>
      <c r="G1273">
        <v>20</v>
      </c>
      <c r="H1273" s="263"/>
      <c r="J1273" t="s">
        <v>22</v>
      </c>
      <c r="K1273" t="s">
        <v>30</v>
      </c>
      <c r="L1273" t="s">
        <v>33</v>
      </c>
      <c r="M1273" t="s">
        <v>613</v>
      </c>
      <c r="N1273" s="263">
        <f t="shared" si="41"/>
        <v>1.2</v>
      </c>
      <c r="O1273" s="1">
        <f t="shared" si="42"/>
        <v>24</v>
      </c>
      <c r="P1273" t="s">
        <v>646</v>
      </c>
      <c r="R1273" t="s">
        <v>634</v>
      </c>
    </row>
    <row r="1274" spans="1:18">
      <c r="A1274">
        <v>15</v>
      </c>
      <c r="B1274" t="s">
        <v>405</v>
      </c>
      <c r="C1274" t="s">
        <v>483</v>
      </c>
      <c r="G1274">
        <v>21</v>
      </c>
      <c r="H1274" s="263"/>
      <c r="J1274" t="s">
        <v>22</v>
      </c>
      <c r="K1274" t="s">
        <v>30</v>
      </c>
      <c r="L1274" t="s">
        <v>33</v>
      </c>
      <c r="M1274" t="s">
        <v>613</v>
      </c>
      <c r="N1274" s="263">
        <f t="shared" si="41"/>
        <v>1.2</v>
      </c>
      <c r="O1274" s="1">
        <f t="shared" si="42"/>
        <v>24</v>
      </c>
      <c r="P1274" t="s">
        <v>646</v>
      </c>
      <c r="R1274" t="s">
        <v>634</v>
      </c>
    </row>
    <row r="1275" spans="1:18">
      <c r="A1275">
        <v>15</v>
      </c>
      <c r="B1275" t="s">
        <v>405</v>
      </c>
      <c r="C1275" t="s">
        <v>483</v>
      </c>
      <c r="G1275">
        <v>22</v>
      </c>
      <c r="H1275" s="263"/>
      <c r="J1275" t="s">
        <v>22</v>
      </c>
      <c r="K1275" t="s">
        <v>30</v>
      </c>
      <c r="L1275" t="s">
        <v>33</v>
      </c>
      <c r="M1275" t="s">
        <v>613</v>
      </c>
      <c r="N1275" s="263">
        <f t="shared" si="41"/>
        <v>1.2</v>
      </c>
      <c r="O1275" s="1">
        <f t="shared" si="42"/>
        <v>24</v>
      </c>
      <c r="P1275" t="s">
        <v>646</v>
      </c>
      <c r="R1275" t="s">
        <v>634</v>
      </c>
    </row>
    <row r="1276" spans="1:18" hidden="1">
      <c r="A1276">
        <v>15</v>
      </c>
      <c r="B1276" t="s">
        <v>405</v>
      </c>
      <c r="C1276" t="s">
        <v>483</v>
      </c>
      <c r="G1276">
        <v>4</v>
      </c>
      <c r="J1276" t="s">
        <v>22</v>
      </c>
      <c r="K1276" t="s">
        <v>408</v>
      </c>
      <c r="L1276" t="s">
        <v>33</v>
      </c>
      <c r="M1276" t="s">
        <v>614</v>
      </c>
      <c r="O1276" s="1">
        <f>13.97*2</f>
        <v>27.94</v>
      </c>
      <c r="P1276" t="s">
        <v>905</v>
      </c>
      <c r="R1276" t="s">
        <v>634</v>
      </c>
    </row>
    <row r="1277" spans="1:18" hidden="1">
      <c r="A1277">
        <v>15</v>
      </c>
      <c r="B1277" t="s">
        <v>405</v>
      </c>
      <c r="C1277" t="s">
        <v>483</v>
      </c>
      <c r="G1277">
        <v>5</v>
      </c>
      <c r="J1277" t="s">
        <v>22</v>
      </c>
      <c r="K1277" t="s">
        <v>408</v>
      </c>
      <c r="L1277" t="s">
        <v>33</v>
      </c>
      <c r="M1277" t="s">
        <v>614</v>
      </c>
      <c r="O1277" s="1">
        <f t="shared" ref="O1277:O1294" si="43">13.97*2</f>
        <v>27.94</v>
      </c>
      <c r="P1277" t="s">
        <v>905</v>
      </c>
      <c r="R1277" t="s">
        <v>634</v>
      </c>
    </row>
    <row r="1278" spans="1:18" hidden="1">
      <c r="A1278">
        <v>15</v>
      </c>
      <c r="B1278" t="s">
        <v>405</v>
      </c>
      <c r="C1278" t="s">
        <v>483</v>
      </c>
      <c r="G1278">
        <v>6</v>
      </c>
      <c r="J1278" t="s">
        <v>22</v>
      </c>
      <c r="K1278" t="s">
        <v>408</v>
      </c>
      <c r="L1278" t="s">
        <v>33</v>
      </c>
      <c r="M1278" t="s">
        <v>614</v>
      </c>
      <c r="O1278" s="1">
        <f t="shared" si="43"/>
        <v>27.94</v>
      </c>
      <c r="P1278" t="s">
        <v>905</v>
      </c>
      <c r="R1278" t="s">
        <v>634</v>
      </c>
    </row>
    <row r="1279" spans="1:18" hidden="1">
      <c r="A1279">
        <v>15</v>
      </c>
      <c r="B1279" t="s">
        <v>405</v>
      </c>
      <c r="C1279" t="s">
        <v>483</v>
      </c>
      <c r="G1279">
        <v>7</v>
      </c>
      <c r="J1279" t="s">
        <v>22</v>
      </c>
      <c r="K1279" t="s">
        <v>408</v>
      </c>
      <c r="L1279" t="s">
        <v>33</v>
      </c>
      <c r="M1279" t="s">
        <v>614</v>
      </c>
      <c r="O1279" s="1">
        <f t="shared" si="43"/>
        <v>27.94</v>
      </c>
      <c r="P1279" t="s">
        <v>905</v>
      </c>
      <c r="R1279" t="s">
        <v>634</v>
      </c>
    </row>
    <row r="1280" spans="1:18" hidden="1">
      <c r="A1280">
        <v>15</v>
      </c>
      <c r="B1280" t="s">
        <v>405</v>
      </c>
      <c r="C1280" t="s">
        <v>483</v>
      </c>
      <c r="G1280">
        <v>8</v>
      </c>
      <c r="J1280" t="s">
        <v>22</v>
      </c>
      <c r="K1280" t="s">
        <v>408</v>
      </c>
      <c r="L1280" t="s">
        <v>33</v>
      </c>
      <c r="M1280" t="s">
        <v>614</v>
      </c>
      <c r="O1280" s="1">
        <f t="shared" si="43"/>
        <v>27.94</v>
      </c>
      <c r="P1280" t="s">
        <v>905</v>
      </c>
      <c r="R1280" t="s">
        <v>634</v>
      </c>
    </row>
    <row r="1281" spans="1:18" hidden="1">
      <c r="A1281">
        <v>15</v>
      </c>
      <c r="B1281" t="s">
        <v>405</v>
      </c>
      <c r="C1281" t="s">
        <v>483</v>
      </c>
      <c r="G1281">
        <v>9</v>
      </c>
      <c r="J1281" t="s">
        <v>22</v>
      </c>
      <c r="K1281" t="s">
        <v>408</v>
      </c>
      <c r="L1281" t="s">
        <v>33</v>
      </c>
      <c r="M1281" t="s">
        <v>614</v>
      </c>
      <c r="O1281" s="1">
        <f t="shared" si="43"/>
        <v>27.94</v>
      </c>
      <c r="P1281" t="s">
        <v>905</v>
      </c>
      <c r="R1281" t="s">
        <v>634</v>
      </c>
    </row>
    <row r="1282" spans="1:18" hidden="1">
      <c r="A1282">
        <v>15</v>
      </c>
      <c r="B1282" t="s">
        <v>405</v>
      </c>
      <c r="C1282" t="s">
        <v>483</v>
      </c>
      <c r="G1282">
        <v>10</v>
      </c>
      <c r="J1282" t="s">
        <v>22</v>
      </c>
      <c r="K1282" t="s">
        <v>408</v>
      </c>
      <c r="L1282" t="s">
        <v>33</v>
      </c>
      <c r="M1282" t="s">
        <v>614</v>
      </c>
      <c r="O1282" s="1">
        <f t="shared" si="43"/>
        <v>27.94</v>
      </c>
      <c r="P1282" t="s">
        <v>905</v>
      </c>
      <c r="R1282" t="s">
        <v>634</v>
      </c>
    </row>
    <row r="1283" spans="1:18" hidden="1">
      <c r="A1283">
        <v>15</v>
      </c>
      <c r="B1283" t="s">
        <v>405</v>
      </c>
      <c r="C1283" t="s">
        <v>483</v>
      </c>
      <c r="G1283">
        <v>11</v>
      </c>
      <c r="J1283" t="s">
        <v>22</v>
      </c>
      <c r="K1283" t="s">
        <v>408</v>
      </c>
      <c r="L1283" t="s">
        <v>33</v>
      </c>
      <c r="M1283" t="s">
        <v>614</v>
      </c>
      <c r="O1283" s="1">
        <f t="shared" si="43"/>
        <v>27.94</v>
      </c>
      <c r="P1283" t="s">
        <v>905</v>
      </c>
      <c r="R1283" t="s">
        <v>634</v>
      </c>
    </row>
    <row r="1284" spans="1:18" hidden="1">
      <c r="A1284">
        <v>15</v>
      </c>
      <c r="B1284" t="s">
        <v>405</v>
      </c>
      <c r="C1284" t="s">
        <v>483</v>
      </c>
      <c r="G1284">
        <v>12</v>
      </c>
      <c r="J1284" t="s">
        <v>22</v>
      </c>
      <c r="K1284" t="s">
        <v>408</v>
      </c>
      <c r="L1284" t="s">
        <v>33</v>
      </c>
      <c r="M1284" t="s">
        <v>614</v>
      </c>
      <c r="O1284" s="1">
        <f t="shared" si="43"/>
        <v>27.94</v>
      </c>
      <c r="P1284" t="s">
        <v>905</v>
      </c>
      <c r="R1284" t="s">
        <v>634</v>
      </c>
    </row>
    <row r="1285" spans="1:18" hidden="1">
      <c r="A1285">
        <v>15</v>
      </c>
      <c r="B1285" t="s">
        <v>405</v>
      </c>
      <c r="C1285" t="s">
        <v>483</v>
      </c>
      <c r="G1285">
        <v>13</v>
      </c>
      <c r="J1285" t="s">
        <v>22</v>
      </c>
      <c r="K1285" t="s">
        <v>408</v>
      </c>
      <c r="L1285" t="s">
        <v>33</v>
      </c>
      <c r="M1285" t="s">
        <v>614</v>
      </c>
      <c r="O1285" s="1">
        <f t="shared" si="43"/>
        <v>27.94</v>
      </c>
      <c r="P1285" t="s">
        <v>905</v>
      </c>
      <c r="R1285" t="s">
        <v>634</v>
      </c>
    </row>
    <row r="1286" spans="1:18" hidden="1">
      <c r="A1286">
        <v>15</v>
      </c>
      <c r="B1286" t="s">
        <v>405</v>
      </c>
      <c r="C1286" t="s">
        <v>483</v>
      </c>
      <c r="G1286">
        <v>14</v>
      </c>
      <c r="J1286" t="s">
        <v>22</v>
      </c>
      <c r="K1286" t="s">
        <v>408</v>
      </c>
      <c r="L1286" t="s">
        <v>33</v>
      </c>
      <c r="M1286" t="s">
        <v>614</v>
      </c>
      <c r="O1286" s="1">
        <f t="shared" si="43"/>
        <v>27.94</v>
      </c>
      <c r="P1286" t="s">
        <v>905</v>
      </c>
      <c r="R1286" t="s">
        <v>634</v>
      </c>
    </row>
    <row r="1287" spans="1:18" hidden="1">
      <c r="A1287">
        <v>15</v>
      </c>
      <c r="B1287" t="s">
        <v>405</v>
      </c>
      <c r="C1287" t="s">
        <v>483</v>
      </c>
      <c r="G1287">
        <v>15</v>
      </c>
      <c r="J1287" t="s">
        <v>22</v>
      </c>
      <c r="K1287" t="s">
        <v>408</v>
      </c>
      <c r="L1287" t="s">
        <v>33</v>
      </c>
      <c r="M1287" t="s">
        <v>614</v>
      </c>
      <c r="O1287" s="1">
        <f t="shared" si="43"/>
        <v>27.94</v>
      </c>
      <c r="P1287" t="s">
        <v>905</v>
      </c>
      <c r="R1287" t="s">
        <v>634</v>
      </c>
    </row>
    <row r="1288" spans="1:18" hidden="1">
      <c r="A1288">
        <v>15</v>
      </c>
      <c r="B1288" t="s">
        <v>405</v>
      </c>
      <c r="C1288" t="s">
        <v>483</v>
      </c>
      <c r="G1288">
        <v>16</v>
      </c>
      <c r="J1288" t="s">
        <v>22</v>
      </c>
      <c r="K1288" t="s">
        <v>408</v>
      </c>
      <c r="L1288" t="s">
        <v>33</v>
      </c>
      <c r="M1288" t="s">
        <v>614</v>
      </c>
      <c r="O1288" s="1">
        <f t="shared" si="43"/>
        <v>27.94</v>
      </c>
      <c r="P1288" t="s">
        <v>905</v>
      </c>
      <c r="R1288" t="s">
        <v>634</v>
      </c>
    </row>
    <row r="1289" spans="1:18" hidden="1">
      <c r="A1289">
        <v>15</v>
      </c>
      <c r="B1289" t="s">
        <v>405</v>
      </c>
      <c r="C1289" t="s">
        <v>483</v>
      </c>
      <c r="G1289">
        <v>17</v>
      </c>
      <c r="J1289" t="s">
        <v>22</v>
      </c>
      <c r="K1289" t="s">
        <v>408</v>
      </c>
      <c r="L1289" t="s">
        <v>33</v>
      </c>
      <c r="M1289" t="s">
        <v>614</v>
      </c>
      <c r="O1289" s="1">
        <f t="shared" si="43"/>
        <v>27.94</v>
      </c>
      <c r="P1289" t="s">
        <v>905</v>
      </c>
      <c r="R1289" t="s">
        <v>634</v>
      </c>
    </row>
    <row r="1290" spans="1:18" hidden="1">
      <c r="A1290">
        <v>15</v>
      </c>
      <c r="B1290" t="s">
        <v>405</v>
      </c>
      <c r="C1290" t="s">
        <v>483</v>
      </c>
      <c r="G1290">
        <v>18</v>
      </c>
      <c r="J1290" t="s">
        <v>22</v>
      </c>
      <c r="K1290" t="s">
        <v>408</v>
      </c>
      <c r="L1290" t="s">
        <v>33</v>
      </c>
      <c r="M1290" t="s">
        <v>614</v>
      </c>
      <c r="O1290" s="1">
        <f t="shared" si="43"/>
        <v>27.94</v>
      </c>
      <c r="P1290" t="s">
        <v>905</v>
      </c>
      <c r="R1290" t="s">
        <v>634</v>
      </c>
    </row>
    <row r="1291" spans="1:18" hidden="1">
      <c r="A1291">
        <v>15</v>
      </c>
      <c r="B1291" t="s">
        <v>405</v>
      </c>
      <c r="C1291" t="s">
        <v>483</v>
      </c>
      <c r="G1291">
        <v>19</v>
      </c>
      <c r="J1291" t="s">
        <v>22</v>
      </c>
      <c r="K1291" t="s">
        <v>408</v>
      </c>
      <c r="L1291" t="s">
        <v>33</v>
      </c>
      <c r="M1291" t="s">
        <v>614</v>
      </c>
      <c r="O1291" s="1">
        <f t="shared" si="43"/>
        <v>27.94</v>
      </c>
      <c r="P1291" t="s">
        <v>905</v>
      </c>
      <c r="R1291" t="s">
        <v>634</v>
      </c>
    </row>
    <row r="1292" spans="1:18" hidden="1">
      <c r="A1292">
        <v>15</v>
      </c>
      <c r="B1292" t="s">
        <v>405</v>
      </c>
      <c r="C1292" t="s">
        <v>483</v>
      </c>
      <c r="G1292">
        <v>20</v>
      </c>
      <c r="J1292" t="s">
        <v>22</v>
      </c>
      <c r="K1292" t="s">
        <v>408</v>
      </c>
      <c r="L1292" t="s">
        <v>33</v>
      </c>
      <c r="M1292" t="s">
        <v>614</v>
      </c>
      <c r="O1292" s="1">
        <f t="shared" si="43"/>
        <v>27.94</v>
      </c>
      <c r="P1292" t="s">
        <v>905</v>
      </c>
      <c r="R1292" t="s">
        <v>634</v>
      </c>
    </row>
    <row r="1293" spans="1:18" hidden="1">
      <c r="A1293">
        <v>15</v>
      </c>
      <c r="B1293" t="s">
        <v>405</v>
      </c>
      <c r="C1293" t="s">
        <v>483</v>
      </c>
      <c r="G1293">
        <v>21</v>
      </c>
      <c r="J1293" t="s">
        <v>22</v>
      </c>
      <c r="K1293" t="s">
        <v>408</v>
      </c>
      <c r="L1293" t="s">
        <v>33</v>
      </c>
      <c r="M1293" t="s">
        <v>614</v>
      </c>
      <c r="O1293" s="1">
        <f t="shared" si="43"/>
        <v>27.94</v>
      </c>
      <c r="P1293" t="s">
        <v>905</v>
      </c>
      <c r="R1293" t="s">
        <v>634</v>
      </c>
    </row>
    <row r="1294" spans="1:18" hidden="1">
      <c r="A1294">
        <v>15</v>
      </c>
      <c r="B1294" t="s">
        <v>405</v>
      </c>
      <c r="C1294" t="s">
        <v>483</v>
      </c>
      <c r="G1294">
        <v>22</v>
      </c>
      <c r="J1294" t="s">
        <v>22</v>
      </c>
      <c r="K1294" t="s">
        <v>408</v>
      </c>
      <c r="L1294" t="s">
        <v>33</v>
      </c>
      <c r="M1294" t="s">
        <v>614</v>
      </c>
      <c r="O1294" s="1">
        <f t="shared" si="43"/>
        <v>27.94</v>
      </c>
      <c r="P1294" t="s">
        <v>905</v>
      </c>
      <c r="R1294" t="s">
        <v>634</v>
      </c>
    </row>
    <row r="1295" spans="1:18" hidden="1">
      <c r="A1295">
        <v>15</v>
      </c>
      <c r="B1295" t="s">
        <v>405</v>
      </c>
      <c r="C1295" t="s">
        <v>483</v>
      </c>
      <c r="G1295">
        <v>4</v>
      </c>
      <c r="J1295" t="s">
        <v>22</v>
      </c>
      <c r="K1295" t="s">
        <v>71</v>
      </c>
      <c r="L1295" t="s">
        <v>33</v>
      </c>
      <c r="M1295" t="s">
        <v>615</v>
      </c>
      <c r="O1295" s="1">
        <f>2.5*6.6*1</f>
        <v>16.5</v>
      </c>
      <c r="P1295" t="s">
        <v>662</v>
      </c>
      <c r="R1295" t="s">
        <v>634</v>
      </c>
    </row>
    <row r="1296" spans="1:18" hidden="1">
      <c r="A1296">
        <v>15</v>
      </c>
      <c r="B1296" t="s">
        <v>405</v>
      </c>
      <c r="C1296" t="s">
        <v>483</v>
      </c>
      <c r="G1296">
        <v>5</v>
      </c>
      <c r="J1296" t="s">
        <v>22</v>
      </c>
      <c r="K1296" t="s">
        <v>71</v>
      </c>
      <c r="L1296" t="s">
        <v>33</v>
      </c>
      <c r="M1296" t="s">
        <v>615</v>
      </c>
      <c r="O1296" s="1">
        <f t="shared" ref="O1296:O1313" si="44">2.5*6.6*1</f>
        <v>16.5</v>
      </c>
      <c r="P1296" t="s">
        <v>662</v>
      </c>
      <c r="R1296" t="s">
        <v>634</v>
      </c>
    </row>
    <row r="1297" spans="1:18" hidden="1">
      <c r="A1297">
        <v>15</v>
      </c>
      <c r="B1297" t="s">
        <v>405</v>
      </c>
      <c r="C1297" t="s">
        <v>483</v>
      </c>
      <c r="G1297">
        <v>6</v>
      </c>
      <c r="J1297" t="s">
        <v>22</v>
      </c>
      <c r="K1297" t="s">
        <v>71</v>
      </c>
      <c r="L1297" t="s">
        <v>33</v>
      </c>
      <c r="M1297" t="s">
        <v>615</v>
      </c>
      <c r="O1297" s="1">
        <f t="shared" si="44"/>
        <v>16.5</v>
      </c>
      <c r="P1297" t="s">
        <v>662</v>
      </c>
      <c r="R1297" t="s">
        <v>634</v>
      </c>
    </row>
    <row r="1298" spans="1:18" hidden="1">
      <c r="A1298">
        <v>15</v>
      </c>
      <c r="B1298" t="s">
        <v>405</v>
      </c>
      <c r="C1298" t="s">
        <v>483</v>
      </c>
      <c r="G1298">
        <v>7</v>
      </c>
      <c r="J1298" t="s">
        <v>22</v>
      </c>
      <c r="K1298" t="s">
        <v>71</v>
      </c>
      <c r="L1298" t="s">
        <v>33</v>
      </c>
      <c r="M1298" t="s">
        <v>615</v>
      </c>
      <c r="O1298" s="1">
        <f t="shared" si="44"/>
        <v>16.5</v>
      </c>
      <c r="P1298" t="s">
        <v>662</v>
      </c>
      <c r="R1298" t="s">
        <v>634</v>
      </c>
    </row>
    <row r="1299" spans="1:18" hidden="1">
      <c r="A1299">
        <v>15</v>
      </c>
      <c r="B1299" t="s">
        <v>405</v>
      </c>
      <c r="C1299" t="s">
        <v>483</v>
      </c>
      <c r="G1299">
        <v>8</v>
      </c>
      <c r="J1299" t="s">
        <v>22</v>
      </c>
      <c r="K1299" t="s">
        <v>71</v>
      </c>
      <c r="L1299" t="s">
        <v>33</v>
      </c>
      <c r="M1299" t="s">
        <v>615</v>
      </c>
      <c r="O1299" s="1">
        <f t="shared" si="44"/>
        <v>16.5</v>
      </c>
      <c r="P1299" t="s">
        <v>662</v>
      </c>
      <c r="R1299" t="s">
        <v>634</v>
      </c>
    </row>
    <row r="1300" spans="1:18" hidden="1">
      <c r="A1300">
        <v>15</v>
      </c>
      <c r="B1300" t="s">
        <v>405</v>
      </c>
      <c r="C1300" t="s">
        <v>483</v>
      </c>
      <c r="G1300">
        <v>9</v>
      </c>
      <c r="J1300" t="s">
        <v>22</v>
      </c>
      <c r="K1300" t="s">
        <v>71</v>
      </c>
      <c r="L1300" t="s">
        <v>33</v>
      </c>
      <c r="M1300" t="s">
        <v>615</v>
      </c>
      <c r="O1300" s="1">
        <f t="shared" si="44"/>
        <v>16.5</v>
      </c>
      <c r="P1300" t="s">
        <v>662</v>
      </c>
      <c r="R1300" t="s">
        <v>634</v>
      </c>
    </row>
    <row r="1301" spans="1:18" hidden="1">
      <c r="A1301">
        <v>15</v>
      </c>
      <c r="B1301" t="s">
        <v>405</v>
      </c>
      <c r="C1301" t="s">
        <v>483</v>
      </c>
      <c r="G1301">
        <v>10</v>
      </c>
      <c r="J1301" t="s">
        <v>22</v>
      </c>
      <c r="K1301" t="s">
        <v>71</v>
      </c>
      <c r="L1301" t="s">
        <v>33</v>
      </c>
      <c r="M1301" t="s">
        <v>615</v>
      </c>
      <c r="O1301" s="1">
        <f t="shared" si="44"/>
        <v>16.5</v>
      </c>
      <c r="P1301" t="s">
        <v>662</v>
      </c>
      <c r="R1301" t="s">
        <v>634</v>
      </c>
    </row>
    <row r="1302" spans="1:18" hidden="1">
      <c r="A1302">
        <v>15</v>
      </c>
      <c r="B1302" t="s">
        <v>405</v>
      </c>
      <c r="C1302" t="s">
        <v>483</v>
      </c>
      <c r="G1302">
        <v>11</v>
      </c>
      <c r="J1302" t="s">
        <v>22</v>
      </c>
      <c r="K1302" t="s">
        <v>71</v>
      </c>
      <c r="L1302" t="s">
        <v>33</v>
      </c>
      <c r="M1302" t="s">
        <v>615</v>
      </c>
      <c r="O1302" s="1">
        <f t="shared" si="44"/>
        <v>16.5</v>
      </c>
      <c r="P1302" t="s">
        <v>662</v>
      </c>
      <c r="R1302" t="s">
        <v>634</v>
      </c>
    </row>
    <row r="1303" spans="1:18" hidden="1">
      <c r="A1303">
        <v>15</v>
      </c>
      <c r="B1303" t="s">
        <v>405</v>
      </c>
      <c r="C1303" t="s">
        <v>483</v>
      </c>
      <c r="G1303">
        <v>12</v>
      </c>
      <c r="J1303" t="s">
        <v>22</v>
      </c>
      <c r="K1303" t="s">
        <v>71</v>
      </c>
      <c r="L1303" t="s">
        <v>33</v>
      </c>
      <c r="M1303" t="s">
        <v>615</v>
      </c>
      <c r="O1303" s="1">
        <f t="shared" si="44"/>
        <v>16.5</v>
      </c>
      <c r="P1303" t="s">
        <v>662</v>
      </c>
      <c r="R1303" t="s">
        <v>634</v>
      </c>
    </row>
    <row r="1304" spans="1:18" hidden="1">
      <c r="A1304">
        <v>15</v>
      </c>
      <c r="B1304" t="s">
        <v>405</v>
      </c>
      <c r="C1304" t="s">
        <v>483</v>
      </c>
      <c r="G1304">
        <v>13</v>
      </c>
      <c r="J1304" t="s">
        <v>22</v>
      </c>
      <c r="K1304" t="s">
        <v>71</v>
      </c>
      <c r="L1304" t="s">
        <v>33</v>
      </c>
      <c r="M1304" t="s">
        <v>615</v>
      </c>
      <c r="O1304" s="1">
        <f t="shared" si="44"/>
        <v>16.5</v>
      </c>
      <c r="P1304" t="s">
        <v>662</v>
      </c>
      <c r="R1304" t="s">
        <v>634</v>
      </c>
    </row>
    <row r="1305" spans="1:18" hidden="1">
      <c r="A1305">
        <v>15</v>
      </c>
      <c r="B1305" t="s">
        <v>405</v>
      </c>
      <c r="C1305" t="s">
        <v>483</v>
      </c>
      <c r="G1305">
        <v>14</v>
      </c>
      <c r="J1305" t="s">
        <v>22</v>
      </c>
      <c r="K1305" t="s">
        <v>71</v>
      </c>
      <c r="L1305" t="s">
        <v>33</v>
      </c>
      <c r="M1305" t="s">
        <v>615</v>
      </c>
      <c r="O1305" s="1">
        <f t="shared" si="44"/>
        <v>16.5</v>
      </c>
      <c r="P1305" t="s">
        <v>662</v>
      </c>
      <c r="R1305" t="s">
        <v>634</v>
      </c>
    </row>
    <row r="1306" spans="1:18" hidden="1">
      <c r="A1306">
        <v>15</v>
      </c>
      <c r="B1306" t="s">
        <v>405</v>
      </c>
      <c r="C1306" t="s">
        <v>483</v>
      </c>
      <c r="G1306">
        <v>15</v>
      </c>
      <c r="J1306" t="s">
        <v>22</v>
      </c>
      <c r="K1306" t="s">
        <v>71</v>
      </c>
      <c r="L1306" t="s">
        <v>33</v>
      </c>
      <c r="M1306" t="s">
        <v>615</v>
      </c>
      <c r="O1306" s="1">
        <f t="shared" si="44"/>
        <v>16.5</v>
      </c>
      <c r="P1306" t="s">
        <v>662</v>
      </c>
      <c r="R1306" t="s">
        <v>634</v>
      </c>
    </row>
    <row r="1307" spans="1:18" hidden="1">
      <c r="A1307">
        <v>15</v>
      </c>
      <c r="B1307" t="s">
        <v>405</v>
      </c>
      <c r="C1307" t="s">
        <v>483</v>
      </c>
      <c r="G1307">
        <v>16</v>
      </c>
      <c r="J1307" t="s">
        <v>22</v>
      </c>
      <c r="K1307" t="s">
        <v>71</v>
      </c>
      <c r="L1307" t="s">
        <v>33</v>
      </c>
      <c r="M1307" t="s">
        <v>615</v>
      </c>
      <c r="O1307" s="1">
        <f t="shared" si="44"/>
        <v>16.5</v>
      </c>
      <c r="P1307" t="s">
        <v>662</v>
      </c>
      <c r="R1307" t="s">
        <v>634</v>
      </c>
    </row>
    <row r="1308" spans="1:18" hidden="1">
      <c r="A1308">
        <v>15</v>
      </c>
      <c r="B1308" t="s">
        <v>405</v>
      </c>
      <c r="C1308" t="s">
        <v>483</v>
      </c>
      <c r="G1308">
        <v>17</v>
      </c>
      <c r="J1308" t="s">
        <v>22</v>
      </c>
      <c r="K1308" t="s">
        <v>71</v>
      </c>
      <c r="L1308" t="s">
        <v>33</v>
      </c>
      <c r="M1308" t="s">
        <v>615</v>
      </c>
      <c r="O1308" s="1">
        <f t="shared" si="44"/>
        <v>16.5</v>
      </c>
      <c r="P1308" t="s">
        <v>662</v>
      </c>
      <c r="R1308" t="s">
        <v>634</v>
      </c>
    </row>
    <row r="1309" spans="1:18" hidden="1">
      <c r="A1309">
        <v>15</v>
      </c>
      <c r="B1309" t="s">
        <v>405</v>
      </c>
      <c r="C1309" t="s">
        <v>483</v>
      </c>
      <c r="G1309">
        <v>18</v>
      </c>
      <c r="J1309" t="s">
        <v>22</v>
      </c>
      <c r="K1309" t="s">
        <v>71</v>
      </c>
      <c r="L1309" t="s">
        <v>33</v>
      </c>
      <c r="M1309" t="s">
        <v>615</v>
      </c>
      <c r="O1309" s="1">
        <f t="shared" si="44"/>
        <v>16.5</v>
      </c>
      <c r="P1309" t="s">
        <v>662</v>
      </c>
      <c r="R1309" t="s">
        <v>634</v>
      </c>
    </row>
    <row r="1310" spans="1:18" hidden="1">
      <c r="A1310">
        <v>15</v>
      </c>
      <c r="B1310" t="s">
        <v>405</v>
      </c>
      <c r="C1310" t="s">
        <v>483</v>
      </c>
      <c r="G1310">
        <v>19</v>
      </c>
      <c r="J1310" t="s">
        <v>22</v>
      </c>
      <c r="K1310" t="s">
        <v>71</v>
      </c>
      <c r="L1310" t="s">
        <v>33</v>
      </c>
      <c r="M1310" t="s">
        <v>615</v>
      </c>
      <c r="O1310" s="1">
        <f t="shared" si="44"/>
        <v>16.5</v>
      </c>
      <c r="P1310" t="s">
        <v>662</v>
      </c>
      <c r="R1310" t="s">
        <v>634</v>
      </c>
    </row>
    <row r="1311" spans="1:18" hidden="1">
      <c r="A1311">
        <v>15</v>
      </c>
      <c r="B1311" t="s">
        <v>405</v>
      </c>
      <c r="C1311" t="s">
        <v>483</v>
      </c>
      <c r="G1311">
        <v>20</v>
      </c>
      <c r="J1311" t="s">
        <v>22</v>
      </c>
      <c r="K1311" t="s">
        <v>71</v>
      </c>
      <c r="L1311" t="s">
        <v>33</v>
      </c>
      <c r="M1311" t="s">
        <v>615</v>
      </c>
      <c r="O1311" s="1">
        <f t="shared" si="44"/>
        <v>16.5</v>
      </c>
      <c r="P1311" t="s">
        <v>662</v>
      </c>
      <c r="R1311" t="s">
        <v>634</v>
      </c>
    </row>
    <row r="1312" spans="1:18" hidden="1">
      <c r="A1312">
        <v>15</v>
      </c>
      <c r="B1312" t="s">
        <v>405</v>
      </c>
      <c r="C1312" t="s">
        <v>483</v>
      </c>
      <c r="G1312">
        <v>21</v>
      </c>
      <c r="J1312" t="s">
        <v>22</v>
      </c>
      <c r="K1312" t="s">
        <v>71</v>
      </c>
      <c r="L1312" t="s">
        <v>33</v>
      </c>
      <c r="M1312" t="s">
        <v>615</v>
      </c>
      <c r="O1312" s="1">
        <f t="shared" si="44"/>
        <v>16.5</v>
      </c>
      <c r="P1312" t="s">
        <v>662</v>
      </c>
      <c r="R1312" t="s">
        <v>634</v>
      </c>
    </row>
    <row r="1313" spans="1:18" hidden="1">
      <c r="A1313">
        <v>15</v>
      </c>
      <c r="B1313" t="s">
        <v>405</v>
      </c>
      <c r="C1313" t="s">
        <v>483</v>
      </c>
      <c r="G1313">
        <v>22</v>
      </c>
      <c r="J1313" t="s">
        <v>22</v>
      </c>
      <c r="K1313" t="s">
        <v>71</v>
      </c>
      <c r="L1313" t="s">
        <v>33</v>
      </c>
      <c r="M1313" t="s">
        <v>615</v>
      </c>
      <c r="O1313" s="1">
        <f t="shared" si="44"/>
        <v>16.5</v>
      </c>
      <c r="P1313" t="s">
        <v>662</v>
      </c>
      <c r="R1313" t="s">
        <v>634</v>
      </c>
    </row>
    <row r="1314" spans="1:18" hidden="1">
      <c r="A1314">
        <v>15</v>
      </c>
      <c r="B1314" t="s">
        <v>405</v>
      </c>
      <c r="C1314" t="s">
        <v>483</v>
      </c>
      <c r="G1314">
        <v>4</v>
      </c>
      <c r="J1314" t="s">
        <v>22</v>
      </c>
      <c r="K1314" t="s">
        <v>71</v>
      </c>
      <c r="L1314" t="s">
        <v>33</v>
      </c>
      <c r="M1314" t="s">
        <v>616</v>
      </c>
      <c r="O1314" s="1">
        <f>5*0.5*1</f>
        <v>2.5</v>
      </c>
      <c r="P1314" t="s">
        <v>653</v>
      </c>
      <c r="R1314" t="s">
        <v>634</v>
      </c>
    </row>
    <row r="1315" spans="1:18" hidden="1">
      <c r="A1315">
        <v>15</v>
      </c>
      <c r="B1315" t="s">
        <v>405</v>
      </c>
      <c r="C1315" t="s">
        <v>483</v>
      </c>
      <c r="G1315">
        <v>5</v>
      </c>
      <c r="J1315" t="s">
        <v>22</v>
      </c>
      <c r="K1315" t="s">
        <v>71</v>
      </c>
      <c r="L1315" t="s">
        <v>33</v>
      </c>
      <c r="M1315" t="s">
        <v>616</v>
      </c>
      <c r="O1315" s="1">
        <f t="shared" ref="O1315:O1332" si="45">5*0.5*1</f>
        <v>2.5</v>
      </c>
      <c r="P1315" t="s">
        <v>653</v>
      </c>
      <c r="R1315" t="s">
        <v>634</v>
      </c>
    </row>
    <row r="1316" spans="1:18" hidden="1">
      <c r="A1316">
        <v>15</v>
      </c>
      <c r="B1316" t="s">
        <v>405</v>
      </c>
      <c r="C1316" t="s">
        <v>483</v>
      </c>
      <c r="G1316">
        <v>6</v>
      </c>
      <c r="J1316" t="s">
        <v>22</v>
      </c>
      <c r="K1316" t="s">
        <v>71</v>
      </c>
      <c r="L1316" t="s">
        <v>33</v>
      </c>
      <c r="M1316" t="s">
        <v>616</v>
      </c>
      <c r="O1316" s="1">
        <f t="shared" si="45"/>
        <v>2.5</v>
      </c>
      <c r="P1316" t="s">
        <v>653</v>
      </c>
      <c r="R1316" t="s">
        <v>634</v>
      </c>
    </row>
    <row r="1317" spans="1:18" hidden="1">
      <c r="A1317">
        <v>15</v>
      </c>
      <c r="B1317" t="s">
        <v>405</v>
      </c>
      <c r="C1317" t="s">
        <v>483</v>
      </c>
      <c r="G1317">
        <v>7</v>
      </c>
      <c r="J1317" t="s">
        <v>22</v>
      </c>
      <c r="K1317" t="s">
        <v>71</v>
      </c>
      <c r="L1317" t="s">
        <v>33</v>
      </c>
      <c r="M1317" t="s">
        <v>616</v>
      </c>
      <c r="O1317" s="1">
        <f t="shared" si="45"/>
        <v>2.5</v>
      </c>
      <c r="P1317" t="s">
        <v>653</v>
      </c>
      <c r="R1317" t="s">
        <v>634</v>
      </c>
    </row>
    <row r="1318" spans="1:18" hidden="1">
      <c r="A1318">
        <v>15</v>
      </c>
      <c r="B1318" t="s">
        <v>405</v>
      </c>
      <c r="C1318" t="s">
        <v>483</v>
      </c>
      <c r="G1318">
        <v>8</v>
      </c>
      <c r="J1318" t="s">
        <v>22</v>
      </c>
      <c r="K1318" t="s">
        <v>71</v>
      </c>
      <c r="L1318" t="s">
        <v>33</v>
      </c>
      <c r="M1318" t="s">
        <v>616</v>
      </c>
      <c r="O1318" s="1">
        <f t="shared" si="45"/>
        <v>2.5</v>
      </c>
      <c r="P1318" t="s">
        <v>653</v>
      </c>
      <c r="R1318" t="s">
        <v>634</v>
      </c>
    </row>
    <row r="1319" spans="1:18" hidden="1">
      <c r="A1319">
        <v>15</v>
      </c>
      <c r="B1319" t="s">
        <v>405</v>
      </c>
      <c r="C1319" t="s">
        <v>483</v>
      </c>
      <c r="G1319">
        <v>9</v>
      </c>
      <c r="J1319" t="s">
        <v>22</v>
      </c>
      <c r="K1319" t="s">
        <v>71</v>
      </c>
      <c r="L1319" t="s">
        <v>33</v>
      </c>
      <c r="M1319" t="s">
        <v>616</v>
      </c>
      <c r="O1319" s="1">
        <f t="shared" si="45"/>
        <v>2.5</v>
      </c>
      <c r="P1319" t="s">
        <v>653</v>
      </c>
      <c r="R1319" t="s">
        <v>634</v>
      </c>
    </row>
    <row r="1320" spans="1:18" hidden="1">
      <c r="A1320">
        <v>15</v>
      </c>
      <c r="B1320" t="s">
        <v>405</v>
      </c>
      <c r="C1320" t="s">
        <v>483</v>
      </c>
      <c r="G1320">
        <v>10</v>
      </c>
      <c r="J1320" t="s">
        <v>22</v>
      </c>
      <c r="K1320" t="s">
        <v>71</v>
      </c>
      <c r="L1320" t="s">
        <v>33</v>
      </c>
      <c r="M1320" t="s">
        <v>616</v>
      </c>
      <c r="O1320" s="1">
        <f t="shared" si="45"/>
        <v>2.5</v>
      </c>
      <c r="P1320" t="s">
        <v>653</v>
      </c>
      <c r="R1320" t="s">
        <v>634</v>
      </c>
    </row>
    <row r="1321" spans="1:18" hidden="1">
      <c r="A1321">
        <v>15</v>
      </c>
      <c r="B1321" t="s">
        <v>405</v>
      </c>
      <c r="C1321" t="s">
        <v>483</v>
      </c>
      <c r="G1321">
        <v>11</v>
      </c>
      <c r="J1321" t="s">
        <v>22</v>
      </c>
      <c r="K1321" t="s">
        <v>71</v>
      </c>
      <c r="L1321" t="s">
        <v>33</v>
      </c>
      <c r="M1321" t="s">
        <v>616</v>
      </c>
      <c r="O1321" s="1">
        <f t="shared" si="45"/>
        <v>2.5</v>
      </c>
      <c r="P1321" t="s">
        <v>653</v>
      </c>
      <c r="R1321" t="s">
        <v>634</v>
      </c>
    </row>
    <row r="1322" spans="1:18" hidden="1">
      <c r="A1322">
        <v>15</v>
      </c>
      <c r="B1322" t="s">
        <v>405</v>
      </c>
      <c r="C1322" t="s">
        <v>483</v>
      </c>
      <c r="G1322">
        <v>12</v>
      </c>
      <c r="J1322" t="s">
        <v>22</v>
      </c>
      <c r="K1322" t="s">
        <v>71</v>
      </c>
      <c r="L1322" t="s">
        <v>33</v>
      </c>
      <c r="M1322" t="s">
        <v>616</v>
      </c>
      <c r="O1322" s="1">
        <f t="shared" si="45"/>
        <v>2.5</v>
      </c>
      <c r="P1322" t="s">
        <v>653</v>
      </c>
      <c r="R1322" t="s">
        <v>634</v>
      </c>
    </row>
    <row r="1323" spans="1:18" hidden="1">
      <c r="A1323">
        <v>15</v>
      </c>
      <c r="B1323" t="s">
        <v>405</v>
      </c>
      <c r="C1323" t="s">
        <v>483</v>
      </c>
      <c r="G1323">
        <v>13</v>
      </c>
      <c r="J1323" t="s">
        <v>22</v>
      </c>
      <c r="K1323" t="s">
        <v>71</v>
      </c>
      <c r="L1323" t="s">
        <v>33</v>
      </c>
      <c r="M1323" t="s">
        <v>616</v>
      </c>
      <c r="O1323" s="1">
        <f t="shared" si="45"/>
        <v>2.5</v>
      </c>
      <c r="P1323" t="s">
        <v>653</v>
      </c>
      <c r="R1323" t="s">
        <v>634</v>
      </c>
    </row>
    <row r="1324" spans="1:18" hidden="1">
      <c r="A1324">
        <v>15</v>
      </c>
      <c r="B1324" t="s">
        <v>405</v>
      </c>
      <c r="C1324" t="s">
        <v>483</v>
      </c>
      <c r="G1324">
        <v>14</v>
      </c>
      <c r="J1324" t="s">
        <v>22</v>
      </c>
      <c r="K1324" t="s">
        <v>71</v>
      </c>
      <c r="L1324" t="s">
        <v>33</v>
      </c>
      <c r="M1324" t="s">
        <v>616</v>
      </c>
      <c r="O1324" s="1">
        <f t="shared" si="45"/>
        <v>2.5</v>
      </c>
      <c r="P1324" t="s">
        <v>653</v>
      </c>
      <c r="R1324" t="s">
        <v>634</v>
      </c>
    </row>
    <row r="1325" spans="1:18" hidden="1">
      <c r="A1325">
        <v>15</v>
      </c>
      <c r="B1325" t="s">
        <v>405</v>
      </c>
      <c r="C1325" t="s">
        <v>483</v>
      </c>
      <c r="G1325">
        <v>15</v>
      </c>
      <c r="J1325" t="s">
        <v>22</v>
      </c>
      <c r="K1325" t="s">
        <v>71</v>
      </c>
      <c r="L1325" t="s">
        <v>33</v>
      </c>
      <c r="M1325" t="s">
        <v>616</v>
      </c>
      <c r="O1325" s="1">
        <f t="shared" si="45"/>
        <v>2.5</v>
      </c>
      <c r="P1325" t="s">
        <v>653</v>
      </c>
      <c r="R1325" t="s">
        <v>634</v>
      </c>
    </row>
    <row r="1326" spans="1:18" hidden="1">
      <c r="A1326">
        <v>15</v>
      </c>
      <c r="B1326" t="s">
        <v>405</v>
      </c>
      <c r="C1326" t="s">
        <v>483</v>
      </c>
      <c r="G1326">
        <v>16</v>
      </c>
      <c r="J1326" t="s">
        <v>22</v>
      </c>
      <c r="K1326" t="s">
        <v>71</v>
      </c>
      <c r="L1326" t="s">
        <v>33</v>
      </c>
      <c r="M1326" t="s">
        <v>616</v>
      </c>
      <c r="O1326" s="1">
        <f t="shared" si="45"/>
        <v>2.5</v>
      </c>
      <c r="P1326" t="s">
        <v>653</v>
      </c>
      <c r="R1326" t="s">
        <v>634</v>
      </c>
    </row>
    <row r="1327" spans="1:18" hidden="1">
      <c r="A1327">
        <v>15</v>
      </c>
      <c r="B1327" t="s">
        <v>405</v>
      </c>
      <c r="C1327" t="s">
        <v>483</v>
      </c>
      <c r="G1327">
        <v>17</v>
      </c>
      <c r="J1327" t="s">
        <v>22</v>
      </c>
      <c r="K1327" t="s">
        <v>71</v>
      </c>
      <c r="L1327" t="s">
        <v>33</v>
      </c>
      <c r="M1327" t="s">
        <v>616</v>
      </c>
      <c r="O1327" s="1">
        <f t="shared" si="45"/>
        <v>2.5</v>
      </c>
      <c r="P1327" t="s">
        <v>653</v>
      </c>
      <c r="R1327" t="s">
        <v>634</v>
      </c>
    </row>
    <row r="1328" spans="1:18" hidden="1">
      <c r="A1328">
        <v>15</v>
      </c>
      <c r="B1328" t="s">
        <v>405</v>
      </c>
      <c r="C1328" t="s">
        <v>483</v>
      </c>
      <c r="G1328">
        <v>18</v>
      </c>
      <c r="J1328" t="s">
        <v>22</v>
      </c>
      <c r="K1328" t="s">
        <v>71</v>
      </c>
      <c r="L1328" t="s">
        <v>33</v>
      </c>
      <c r="M1328" t="s">
        <v>616</v>
      </c>
      <c r="O1328" s="1">
        <f t="shared" si="45"/>
        <v>2.5</v>
      </c>
      <c r="P1328" t="s">
        <v>653</v>
      </c>
      <c r="R1328" t="s">
        <v>634</v>
      </c>
    </row>
    <row r="1329" spans="1:18" hidden="1">
      <c r="A1329">
        <v>15</v>
      </c>
      <c r="B1329" t="s">
        <v>405</v>
      </c>
      <c r="C1329" t="s">
        <v>483</v>
      </c>
      <c r="G1329">
        <v>19</v>
      </c>
      <c r="J1329" t="s">
        <v>22</v>
      </c>
      <c r="K1329" t="s">
        <v>71</v>
      </c>
      <c r="L1329" t="s">
        <v>33</v>
      </c>
      <c r="M1329" t="s">
        <v>616</v>
      </c>
      <c r="O1329" s="1">
        <f t="shared" si="45"/>
        <v>2.5</v>
      </c>
      <c r="P1329" t="s">
        <v>653</v>
      </c>
      <c r="R1329" t="s">
        <v>634</v>
      </c>
    </row>
    <row r="1330" spans="1:18" hidden="1">
      <c r="A1330">
        <v>15</v>
      </c>
      <c r="B1330" t="s">
        <v>405</v>
      </c>
      <c r="C1330" t="s">
        <v>483</v>
      </c>
      <c r="G1330">
        <v>20</v>
      </c>
      <c r="J1330" t="s">
        <v>22</v>
      </c>
      <c r="K1330" t="s">
        <v>71</v>
      </c>
      <c r="L1330" t="s">
        <v>33</v>
      </c>
      <c r="M1330" t="s">
        <v>616</v>
      </c>
      <c r="O1330" s="1">
        <f t="shared" si="45"/>
        <v>2.5</v>
      </c>
      <c r="P1330" t="s">
        <v>653</v>
      </c>
      <c r="R1330" t="s">
        <v>634</v>
      </c>
    </row>
    <row r="1331" spans="1:18" hidden="1">
      <c r="A1331">
        <v>15</v>
      </c>
      <c r="B1331" t="s">
        <v>405</v>
      </c>
      <c r="C1331" t="s">
        <v>483</v>
      </c>
      <c r="G1331">
        <v>21</v>
      </c>
      <c r="J1331" t="s">
        <v>22</v>
      </c>
      <c r="K1331" t="s">
        <v>71</v>
      </c>
      <c r="L1331" t="s">
        <v>33</v>
      </c>
      <c r="M1331" t="s">
        <v>616</v>
      </c>
      <c r="O1331" s="1">
        <f t="shared" si="45"/>
        <v>2.5</v>
      </c>
      <c r="P1331" t="s">
        <v>653</v>
      </c>
      <c r="R1331" t="s">
        <v>634</v>
      </c>
    </row>
    <row r="1332" spans="1:18" hidden="1">
      <c r="A1332">
        <v>15</v>
      </c>
      <c r="B1332" t="s">
        <v>405</v>
      </c>
      <c r="C1332" t="s">
        <v>483</v>
      </c>
      <c r="G1332">
        <v>22</v>
      </c>
      <c r="J1332" t="s">
        <v>22</v>
      </c>
      <c r="K1332" t="s">
        <v>71</v>
      </c>
      <c r="L1332" t="s">
        <v>33</v>
      </c>
      <c r="M1332" t="s">
        <v>616</v>
      </c>
      <c r="O1332" s="1">
        <f t="shared" si="45"/>
        <v>2.5</v>
      </c>
      <c r="P1332" t="s">
        <v>653</v>
      </c>
      <c r="R1332" t="s">
        <v>634</v>
      </c>
    </row>
    <row r="1333" spans="1:18" hidden="1">
      <c r="A1333">
        <v>15</v>
      </c>
      <c r="B1333" t="s">
        <v>405</v>
      </c>
      <c r="C1333" t="s">
        <v>483</v>
      </c>
      <c r="G1333">
        <v>4</v>
      </c>
      <c r="J1333" t="s">
        <v>22</v>
      </c>
      <c r="K1333" t="s">
        <v>71</v>
      </c>
      <c r="L1333" t="s">
        <v>33</v>
      </c>
      <c r="M1333" t="s">
        <v>617</v>
      </c>
      <c r="O1333" s="1">
        <f>10*3.75*1</f>
        <v>37.5</v>
      </c>
      <c r="P1333" t="s">
        <v>663</v>
      </c>
      <c r="R1333" t="s">
        <v>634</v>
      </c>
    </row>
    <row r="1334" spans="1:18" hidden="1">
      <c r="A1334">
        <v>15</v>
      </c>
      <c r="B1334" t="s">
        <v>405</v>
      </c>
      <c r="C1334" t="s">
        <v>483</v>
      </c>
      <c r="G1334">
        <v>5</v>
      </c>
      <c r="J1334" t="s">
        <v>22</v>
      </c>
      <c r="K1334" t="s">
        <v>71</v>
      </c>
      <c r="L1334" t="s">
        <v>33</v>
      </c>
      <c r="M1334" t="s">
        <v>617</v>
      </c>
      <c r="O1334" s="1">
        <f t="shared" ref="O1334:O1351" si="46">10*3.75*1</f>
        <v>37.5</v>
      </c>
      <c r="P1334" t="s">
        <v>663</v>
      </c>
      <c r="R1334" t="s">
        <v>634</v>
      </c>
    </row>
    <row r="1335" spans="1:18" hidden="1">
      <c r="A1335">
        <v>15</v>
      </c>
      <c r="B1335" t="s">
        <v>405</v>
      </c>
      <c r="C1335" t="s">
        <v>483</v>
      </c>
      <c r="G1335">
        <v>6</v>
      </c>
      <c r="J1335" t="s">
        <v>22</v>
      </c>
      <c r="K1335" t="s">
        <v>71</v>
      </c>
      <c r="L1335" t="s">
        <v>33</v>
      </c>
      <c r="M1335" t="s">
        <v>617</v>
      </c>
      <c r="O1335" s="1">
        <f t="shared" si="46"/>
        <v>37.5</v>
      </c>
      <c r="P1335" t="s">
        <v>663</v>
      </c>
      <c r="R1335" t="s">
        <v>634</v>
      </c>
    </row>
    <row r="1336" spans="1:18" hidden="1">
      <c r="A1336">
        <v>15</v>
      </c>
      <c r="B1336" t="s">
        <v>405</v>
      </c>
      <c r="C1336" t="s">
        <v>483</v>
      </c>
      <c r="G1336">
        <v>7</v>
      </c>
      <c r="J1336" t="s">
        <v>22</v>
      </c>
      <c r="K1336" t="s">
        <v>71</v>
      </c>
      <c r="L1336" t="s">
        <v>33</v>
      </c>
      <c r="M1336" t="s">
        <v>617</v>
      </c>
      <c r="O1336" s="1">
        <f t="shared" si="46"/>
        <v>37.5</v>
      </c>
      <c r="P1336" t="s">
        <v>663</v>
      </c>
      <c r="R1336" t="s">
        <v>634</v>
      </c>
    </row>
    <row r="1337" spans="1:18" hidden="1">
      <c r="A1337">
        <v>15</v>
      </c>
      <c r="B1337" t="s">
        <v>405</v>
      </c>
      <c r="C1337" t="s">
        <v>483</v>
      </c>
      <c r="G1337">
        <v>8</v>
      </c>
      <c r="J1337" t="s">
        <v>22</v>
      </c>
      <c r="K1337" t="s">
        <v>71</v>
      </c>
      <c r="L1337" t="s">
        <v>33</v>
      </c>
      <c r="M1337" t="s">
        <v>617</v>
      </c>
      <c r="O1337" s="1">
        <f t="shared" si="46"/>
        <v>37.5</v>
      </c>
      <c r="P1337" t="s">
        <v>663</v>
      </c>
      <c r="R1337" t="s">
        <v>634</v>
      </c>
    </row>
    <row r="1338" spans="1:18" hidden="1">
      <c r="A1338">
        <v>15</v>
      </c>
      <c r="B1338" t="s">
        <v>405</v>
      </c>
      <c r="C1338" t="s">
        <v>483</v>
      </c>
      <c r="G1338">
        <v>9</v>
      </c>
      <c r="J1338" t="s">
        <v>22</v>
      </c>
      <c r="K1338" t="s">
        <v>71</v>
      </c>
      <c r="L1338" t="s">
        <v>33</v>
      </c>
      <c r="M1338" t="s">
        <v>617</v>
      </c>
      <c r="O1338" s="1">
        <f t="shared" si="46"/>
        <v>37.5</v>
      </c>
      <c r="P1338" t="s">
        <v>663</v>
      </c>
      <c r="R1338" t="s">
        <v>634</v>
      </c>
    </row>
    <row r="1339" spans="1:18" hidden="1">
      <c r="A1339">
        <v>15</v>
      </c>
      <c r="B1339" t="s">
        <v>405</v>
      </c>
      <c r="C1339" t="s">
        <v>483</v>
      </c>
      <c r="G1339">
        <v>10</v>
      </c>
      <c r="J1339" t="s">
        <v>22</v>
      </c>
      <c r="K1339" t="s">
        <v>71</v>
      </c>
      <c r="L1339" t="s">
        <v>33</v>
      </c>
      <c r="M1339" t="s">
        <v>617</v>
      </c>
      <c r="O1339" s="1">
        <f t="shared" si="46"/>
        <v>37.5</v>
      </c>
      <c r="P1339" t="s">
        <v>663</v>
      </c>
      <c r="R1339" t="s">
        <v>634</v>
      </c>
    </row>
    <row r="1340" spans="1:18" hidden="1">
      <c r="A1340">
        <v>15</v>
      </c>
      <c r="B1340" t="s">
        <v>405</v>
      </c>
      <c r="C1340" t="s">
        <v>483</v>
      </c>
      <c r="G1340">
        <v>11</v>
      </c>
      <c r="J1340" t="s">
        <v>22</v>
      </c>
      <c r="K1340" t="s">
        <v>71</v>
      </c>
      <c r="L1340" t="s">
        <v>33</v>
      </c>
      <c r="M1340" t="s">
        <v>617</v>
      </c>
      <c r="O1340" s="1">
        <f t="shared" si="46"/>
        <v>37.5</v>
      </c>
      <c r="P1340" t="s">
        <v>663</v>
      </c>
      <c r="R1340" t="s">
        <v>634</v>
      </c>
    </row>
    <row r="1341" spans="1:18" hidden="1">
      <c r="A1341">
        <v>15</v>
      </c>
      <c r="B1341" t="s">
        <v>405</v>
      </c>
      <c r="C1341" t="s">
        <v>483</v>
      </c>
      <c r="G1341">
        <v>12</v>
      </c>
      <c r="J1341" t="s">
        <v>22</v>
      </c>
      <c r="K1341" t="s">
        <v>71</v>
      </c>
      <c r="L1341" t="s">
        <v>33</v>
      </c>
      <c r="M1341" t="s">
        <v>617</v>
      </c>
      <c r="O1341" s="1">
        <f t="shared" si="46"/>
        <v>37.5</v>
      </c>
      <c r="P1341" t="s">
        <v>663</v>
      </c>
      <c r="R1341" t="s">
        <v>634</v>
      </c>
    </row>
    <row r="1342" spans="1:18" hidden="1">
      <c r="A1342">
        <v>15</v>
      </c>
      <c r="B1342" t="s">
        <v>405</v>
      </c>
      <c r="C1342" t="s">
        <v>483</v>
      </c>
      <c r="G1342">
        <v>13</v>
      </c>
      <c r="J1342" t="s">
        <v>22</v>
      </c>
      <c r="K1342" t="s">
        <v>71</v>
      </c>
      <c r="L1342" t="s">
        <v>33</v>
      </c>
      <c r="M1342" t="s">
        <v>617</v>
      </c>
      <c r="O1342" s="1">
        <f t="shared" si="46"/>
        <v>37.5</v>
      </c>
      <c r="P1342" t="s">
        <v>663</v>
      </c>
      <c r="R1342" t="s">
        <v>634</v>
      </c>
    </row>
    <row r="1343" spans="1:18" hidden="1">
      <c r="A1343">
        <v>15</v>
      </c>
      <c r="B1343" t="s">
        <v>405</v>
      </c>
      <c r="C1343" t="s">
        <v>483</v>
      </c>
      <c r="G1343">
        <v>14</v>
      </c>
      <c r="J1343" t="s">
        <v>22</v>
      </c>
      <c r="K1343" t="s">
        <v>71</v>
      </c>
      <c r="L1343" t="s">
        <v>33</v>
      </c>
      <c r="M1343" t="s">
        <v>617</v>
      </c>
      <c r="O1343" s="1">
        <f t="shared" si="46"/>
        <v>37.5</v>
      </c>
      <c r="P1343" t="s">
        <v>663</v>
      </c>
      <c r="R1343" t="s">
        <v>634</v>
      </c>
    </row>
    <row r="1344" spans="1:18" hidden="1">
      <c r="A1344">
        <v>15</v>
      </c>
      <c r="B1344" t="s">
        <v>405</v>
      </c>
      <c r="C1344" t="s">
        <v>483</v>
      </c>
      <c r="G1344">
        <v>15</v>
      </c>
      <c r="J1344" t="s">
        <v>22</v>
      </c>
      <c r="K1344" t="s">
        <v>71</v>
      </c>
      <c r="L1344" t="s">
        <v>33</v>
      </c>
      <c r="M1344" t="s">
        <v>617</v>
      </c>
      <c r="O1344" s="1">
        <f t="shared" si="46"/>
        <v>37.5</v>
      </c>
      <c r="P1344" t="s">
        <v>663</v>
      </c>
      <c r="R1344" t="s">
        <v>634</v>
      </c>
    </row>
    <row r="1345" spans="1:18" hidden="1">
      <c r="A1345">
        <v>15</v>
      </c>
      <c r="B1345" t="s">
        <v>405</v>
      </c>
      <c r="C1345" t="s">
        <v>483</v>
      </c>
      <c r="G1345">
        <v>16</v>
      </c>
      <c r="J1345" t="s">
        <v>22</v>
      </c>
      <c r="K1345" t="s">
        <v>71</v>
      </c>
      <c r="L1345" t="s">
        <v>33</v>
      </c>
      <c r="M1345" t="s">
        <v>617</v>
      </c>
      <c r="O1345" s="1">
        <f t="shared" si="46"/>
        <v>37.5</v>
      </c>
      <c r="P1345" t="s">
        <v>663</v>
      </c>
      <c r="R1345" t="s">
        <v>634</v>
      </c>
    </row>
    <row r="1346" spans="1:18" hidden="1">
      <c r="A1346">
        <v>15</v>
      </c>
      <c r="B1346" t="s">
        <v>405</v>
      </c>
      <c r="C1346" t="s">
        <v>483</v>
      </c>
      <c r="G1346">
        <v>17</v>
      </c>
      <c r="J1346" t="s">
        <v>22</v>
      </c>
      <c r="K1346" t="s">
        <v>71</v>
      </c>
      <c r="L1346" t="s">
        <v>33</v>
      </c>
      <c r="M1346" t="s">
        <v>617</v>
      </c>
      <c r="O1346" s="1">
        <f t="shared" si="46"/>
        <v>37.5</v>
      </c>
      <c r="P1346" t="s">
        <v>663</v>
      </c>
      <c r="R1346" t="s">
        <v>634</v>
      </c>
    </row>
    <row r="1347" spans="1:18" hidden="1">
      <c r="A1347">
        <v>15</v>
      </c>
      <c r="B1347" t="s">
        <v>405</v>
      </c>
      <c r="C1347" t="s">
        <v>483</v>
      </c>
      <c r="G1347">
        <v>18</v>
      </c>
      <c r="J1347" t="s">
        <v>22</v>
      </c>
      <c r="K1347" t="s">
        <v>71</v>
      </c>
      <c r="L1347" t="s">
        <v>33</v>
      </c>
      <c r="M1347" t="s">
        <v>617</v>
      </c>
      <c r="O1347" s="1">
        <f t="shared" si="46"/>
        <v>37.5</v>
      </c>
      <c r="P1347" t="s">
        <v>663</v>
      </c>
      <c r="R1347" t="s">
        <v>634</v>
      </c>
    </row>
    <row r="1348" spans="1:18" hidden="1">
      <c r="A1348">
        <v>15</v>
      </c>
      <c r="B1348" t="s">
        <v>405</v>
      </c>
      <c r="C1348" t="s">
        <v>483</v>
      </c>
      <c r="G1348">
        <v>19</v>
      </c>
      <c r="J1348" t="s">
        <v>22</v>
      </c>
      <c r="K1348" t="s">
        <v>71</v>
      </c>
      <c r="L1348" t="s">
        <v>33</v>
      </c>
      <c r="M1348" t="s">
        <v>617</v>
      </c>
      <c r="O1348" s="1">
        <f t="shared" si="46"/>
        <v>37.5</v>
      </c>
      <c r="P1348" t="s">
        <v>663</v>
      </c>
      <c r="R1348" t="s">
        <v>634</v>
      </c>
    </row>
    <row r="1349" spans="1:18" hidden="1">
      <c r="A1349">
        <v>15</v>
      </c>
      <c r="B1349" t="s">
        <v>405</v>
      </c>
      <c r="C1349" t="s">
        <v>483</v>
      </c>
      <c r="G1349">
        <v>20</v>
      </c>
      <c r="J1349" t="s">
        <v>22</v>
      </c>
      <c r="K1349" t="s">
        <v>71</v>
      </c>
      <c r="L1349" t="s">
        <v>33</v>
      </c>
      <c r="M1349" t="s">
        <v>617</v>
      </c>
      <c r="O1349" s="1">
        <f t="shared" si="46"/>
        <v>37.5</v>
      </c>
      <c r="P1349" t="s">
        <v>663</v>
      </c>
      <c r="R1349" t="s">
        <v>634</v>
      </c>
    </row>
    <row r="1350" spans="1:18" hidden="1">
      <c r="A1350">
        <v>15</v>
      </c>
      <c r="B1350" t="s">
        <v>405</v>
      </c>
      <c r="C1350" t="s">
        <v>483</v>
      </c>
      <c r="G1350">
        <v>21</v>
      </c>
      <c r="J1350" t="s">
        <v>22</v>
      </c>
      <c r="K1350" t="s">
        <v>71</v>
      </c>
      <c r="L1350" t="s">
        <v>33</v>
      </c>
      <c r="M1350" t="s">
        <v>617</v>
      </c>
      <c r="O1350" s="1">
        <f t="shared" si="46"/>
        <v>37.5</v>
      </c>
      <c r="P1350" t="s">
        <v>663</v>
      </c>
      <c r="R1350" t="s">
        <v>634</v>
      </c>
    </row>
    <row r="1351" spans="1:18" hidden="1">
      <c r="A1351">
        <v>15</v>
      </c>
      <c r="B1351" t="s">
        <v>405</v>
      </c>
      <c r="C1351" t="s">
        <v>483</v>
      </c>
      <c r="G1351">
        <v>22</v>
      </c>
      <c r="J1351" t="s">
        <v>22</v>
      </c>
      <c r="K1351" t="s">
        <v>71</v>
      </c>
      <c r="L1351" t="s">
        <v>33</v>
      </c>
      <c r="M1351" t="s">
        <v>617</v>
      </c>
      <c r="O1351" s="1">
        <f t="shared" si="46"/>
        <v>37.5</v>
      </c>
      <c r="P1351" t="s">
        <v>663</v>
      </c>
      <c r="R1351" t="s">
        <v>634</v>
      </c>
    </row>
    <row r="1352" spans="1:18" hidden="1">
      <c r="A1352">
        <v>15</v>
      </c>
      <c r="B1352" t="s">
        <v>405</v>
      </c>
      <c r="C1352" t="s">
        <v>483</v>
      </c>
      <c r="G1352">
        <v>4</v>
      </c>
      <c r="J1352" t="s">
        <v>22</v>
      </c>
      <c r="K1352" t="s">
        <v>71</v>
      </c>
      <c r="L1352" t="s">
        <v>33</v>
      </c>
      <c r="M1352" t="s">
        <v>618</v>
      </c>
      <c r="O1352" s="1">
        <f>(4/128)*20*1</f>
        <v>0.625</v>
      </c>
      <c r="P1352" t="s">
        <v>654</v>
      </c>
      <c r="R1352" t="s">
        <v>634</v>
      </c>
    </row>
    <row r="1353" spans="1:18" hidden="1">
      <c r="A1353">
        <v>15</v>
      </c>
      <c r="B1353" t="s">
        <v>405</v>
      </c>
      <c r="C1353" t="s">
        <v>483</v>
      </c>
      <c r="G1353">
        <v>5</v>
      </c>
      <c r="J1353" t="s">
        <v>22</v>
      </c>
      <c r="K1353" t="s">
        <v>71</v>
      </c>
      <c r="L1353" t="s">
        <v>33</v>
      </c>
      <c r="M1353" t="s">
        <v>618</v>
      </c>
      <c r="O1353" s="1">
        <f t="shared" ref="O1353:O1370" si="47">(4/128)*20*1</f>
        <v>0.625</v>
      </c>
      <c r="P1353" t="s">
        <v>654</v>
      </c>
      <c r="R1353" t="s">
        <v>634</v>
      </c>
    </row>
    <row r="1354" spans="1:18" hidden="1">
      <c r="A1354">
        <v>15</v>
      </c>
      <c r="B1354" t="s">
        <v>405</v>
      </c>
      <c r="C1354" t="s">
        <v>483</v>
      </c>
      <c r="G1354">
        <v>6</v>
      </c>
      <c r="J1354" t="s">
        <v>22</v>
      </c>
      <c r="K1354" t="s">
        <v>71</v>
      </c>
      <c r="L1354" t="s">
        <v>33</v>
      </c>
      <c r="M1354" t="s">
        <v>618</v>
      </c>
      <c r="O1354" s="1">
        <f t="shared" si="47"/>
        <v>0.625</v>
      </c>
      <c r="P1354" t="s">
        <v>654</v>
      </c>
      <c r="R1354" t="s">
        <v>634</v>
      </c>
    </row>
    <row r="1355" spans="1:18" hidden="1">
      <c r="A1355">
        <v>15</v>
      </c>
      <c r="B1355" t="s">
        <v>405</v>
      </c>
      <c r="C1355" t="s">
        <v>483</v>
      </c>
      <c r="G1355">
        <v>7</v>
      </c>
      <c r="J1355" t="s">
        <v>22</v>
      </c>
      <c r="K1355" t="s">
        <v>71</v>
      </c>
      <c r="L1355" t="s">
        <v>33</v>
      </c>
      <c r="M1355" t="s">
        <v>618</v>
      </c>
      <c r="O1355" s="1">
        <f t="shared" si="47"/>
        <v>0.625</v>
      </c>
      <c r="P1355" t="s">
        <v>654</v>
      </c>
      <c r="R1355" t="s">
        <v>634</v>
      </c>
    </row>
    <row r="1356" spans="1:18" hidden="1">
      <c r="A1356">
        <v>15</v>
      </c>
      <c r="B1356" t="s">
        <v>405</v>
      </c>
      <c r="C1356" t="s">
        <v>483</v>
      </c>
      <c r="G1356">
        <v>8</v>
      </c>
      <c r="J1356" t="s">
        <v>22</v>
      </c>
      <c r="K1356" t="s">
        <v>71</v>
      </c>
      <c r="L1356" t="s">
        <v>33</v>
      </c>
      <c r="M1356" t="s">
        <v>618</v>
      </c>
      <c r="O1356" s="1">
        <f t="shared" si="47"/>
        <v>0.625</v>
      </c>
      <c r="P1356" t="s">
        <v>654</v>
      </c>
      <c r="R1356" t="s">
        <v>634</v>
      </c>
    </row>
    <row r="1357" spans="1:18" hidden="1">
      <c r="A1357">
        <v>15</v>
      </c>
      <c r="B1357" t="s">
        <v>405</v>
      </c>
      <c r="C1357" t="s">
        <v>483</v>
      </c>
      <c r="G1357">
        <v>9</v>
      </c>
      <c r="J1357" t="s">
        <v>22</v>
      </c>
      <c r="K1357" t="s">
        <v>71</v>
      </c>
      <c r="L1357" t="s">
        <v>33</v>
      </c>
      <c r="M1357" t="s">
        <v>618</v>
      </c>
      <c r="O1357" s="1">
        <f t="shared" si="47"/>
        <v>0.625</v>
      </c>
      <c r="P1357" t="s">
        <v>654</v>
      </c>
      <c r="R1357" t="s">
        <v>634</v>
      </c>
    </row>
    <row r="1358" spans="1:18" hidden="1">
      <c r="A1358">
        <v>15</v>
      </c>
      <c r="B1358" t="s">
        <v>405</v>
      </c>
      <c r="C1358" t="s">
        <v>483</v>
      </c>
      <c r="G1358">
        <v>10</v>
      </c>
      <c r="J1358" t="s">
        <v>22</v>
      </c>
      <c r="K1358" t="s">
        <v>71</v>
      </c>
      <c r="L1358" t="s">
        <v>33</v>
      </c>
      <c r="M1358" t="s">
        <v>618</v>
      </c>
      <c r="O1358" s="1">
        <f t="shared" si="47"/>
        <v>0.625</v>
      </c>
      <c r="P1358" t="s">
        <v>654</v>
      </c>
      <c r="R1358" t="s">
        <v>634</v>
      </c>
    </row>
    <row r="1359" spans="1:18" hidden="1">
      <c r="A1359">
        <v>15</v>
      </c>
      <c r="B1359" t="s">
        <v>405</v>
      </c>
      <c r="C1359" t="s">
        <v>483</v>
      </c>
      <c r="G1359">
        <v>11</v>
      </c>
      <c r="J1359" t="s">
        <v>22</v>
      </c>
      <c r="K1359" t="s">
        <v>71</v>
      </c>
      <c r="L1359" t="s">
        <v>33</v>
      </c>
      <c r="M1359" t="s">
        <v>618</v>
      </c>
      <c r="O1359" s="1">
        <f t="shared" si="47"/>
        <v>0.625</v>
      </c>
      <c r="P1359" t="s">
        <v>654</v>
      </c>
      <c r="R1359" t="s">
        <v>634</v>
      </c>
    </row>
    <row r="1360" spans="1:18" hidden="1">
      <c r="A1360">
        <v>15</v>
      </c>
      <c r="B1360" t="s">
        <v>405</v>
      </c>
      <c r="C1360" t="s">
        <v>483</v>
      </c>
      <c r="G1360">
        <v>12</v>
      </c>
      <c r="J1360" t="s">
        <v>22</v>
      </c>
      <c r="K1360" t="s">
        <v>71</v>
      </c>
      <c r="L1360" t="s">
        <v>33</v>
      </c>
      <c r="M1360" t="s">
        <v>618</v>
      </c>
      <c r="O1360" s="1">
        <f t="shared" si="47"/>
        <v>0.625</v>
      </c>
      <c r="P1360" t="s">
        <v>654</v>
      </c>
      <c r="R1360" t="s">
        <v>634</v>
      </c>
    </row>
    <row r="1361" spans="1:18" hidden="1">
      <c r="A1361">
        <v>15</v>
      </c>
      <c r="B1361" t="s">
        <v>405</v>
      </c>
      <c r="C1361" t="s">
        <v>483</v>
      </c>
      <c r="G1361">
        <v>13</v>
      </c>
      <c r="J1361" t="s">
        <v>22</v>
      </c>
      <c r="K1361" t="s">
        <v>71</v>
      </c>
      <c r="L1361" t="s">
        <v>33</v>
      </c>
      <c r="M1361" t="s">
        <v>618</v>
      </c>
      <c r="O1361" s="1">
        <f t="shared" si="47"/>
        <v>0.625</v>
      </c>
      <c r="P1361" t="s">
        <v>654</v>
      </c>
      <c r="R1361" t="s">
        <v>634</v>
      </c>
    </row>
    <row r="1362" spans="1:18" hidden="1">
      <c r="A1362">
        <v>15</v>
      </c>
      <c r="B1362" t="s">
        <v>405</v>
      </c>
      <c r="C1362" t="s">
        <v>483</v>
      </c>
      <c r="G1362">
        <v>14</v>
      </c>
      <c r="J1362" t="s">
        <v>22</v>
      </c>
      <c r="K1362" t="s">
        <v>71</v>
      </c>
      <c r="L1362" t="s">
        <v>33</v>
      </c>
      <c r="M1362" t="s">
        <v>618</v>
      </c>
      <c r="O1362" s="1">
        <f t="shared" si="47"/>
        <v>0.625</v>
      </c>
      <c r="P1362" t="s">
        <v>654</v>
      </c>
      <c r="R1362" t="s">
        <v>634</v>
      </c>
    </row>
    <row r="1363" spans="1:18" hidden="1">
      <c r="A1363">
        <v>15</v>
      </c>
      <c r="B1363" t="s">
        <v>405</v>
      </c>
      <c r="C1363" t="s">
        <v>483</v>
      </c>
      <c r="G1363">
        <v>15</v>
      </c>
      <c r="J1363" t="s">
        <v>22</v>
      </c>
      <c r="K1363" t="s">
        <v>71</v>
      </c>
      <c r="L1363" t="s">
        <v>33</v>
      </c>
      <c r="M1363" t="s">
        <v>618</v>
      </c>
      <c r="O1363" s="1">
        <f t="shared" si="47"/>
        <v>0.625</v>
      </c>
      <c r="P1363" t="s">
        <v>654</v>
      </c>
      <c r="R1363" t="s">
        <v>634</v>
      </c>
    </row>
    <row r="1364" spans="1:18" hidden="1">
      <c r="A1364">
        <v>15</v>
      </c>
      <c r="B1364" t="s">
        <v>405</v>
      </c>
      <c r="C1364" t="s">
        <v>483</v>
      </c>
      <c r="G1364">
        <v>16</v>
      </c>
      <c r="J1364" t="s">
        <v>22</v>
      </c>
      <c r="K1364" t="s">
        <v>71</v>
      </c>
      <c r="L1364" t="s">
        <v>33</v>
      </c>
      <c r="M1364" t="s">
        <v>618</v>
      </c>
      <c r="O1364" s="1">
        <f t="shared" si="47"/>
        <v>0.625</v>
      </c>
      <c r="P1364" t="s">
        <v>654</v>
      </c>
      <c r="R1364" t="s">
        <v>634</v>
      </c>
    </row>
    <row r="1365" spans="1:18" hidden="1">
      <c r="A1365">
        <v>15</v>
      </c>
      <c r="B1365" t="s">
        <v>405</v>
      </c>
      <c r="C1365" t="s">
        <v>483</v>
      </c>
      <c r="G1365">
        <v>17</v>
      </c>
      <c r="J1365" t="s">
        <v>22</v>
      </c>
      <c r="K1365" t="s">
        <v>71</v>
      </c>
      <c r="L1365" t="s">
        <v>33</v>
      </c>
      <c r="M1365" t="s">
        <v>618</v>
      </c>
      <c r="O1365" s="1">
        <f t="shared" si="47"/>
        <v>0.625</v>
      </c>
      <c r="P1365" t="s">
        <v>654</v>
      </c>
      <c r="R1365" t="s">
        <v>634</v>
      </c>
    </row>
    <row r="1366" spans="1:18" hidden="1">
      <c r="A1366">
        <v>15</v>
      </c>
      <c r="B1366" t="s">
        <v>405</v>
      </c>
      <c r="C1366" t="s">
        <v>483</v>
      </c>
      <c r="G1366">
        <v>18</v>
      </c>
      <c r="J1366" t="s">
        <v>22</v>
      </c>
      <c r="K1366" t="s">
        <v>71</v>
      </c>
      <c r="L1366" t="s">
        <v>33</v>
      </c>
      <c r="M1366" t="s">
        <v>618</v>
      </c>
      <c r="O1366" s="1">
        <f t="shared" si="47"/>
        <v>0.625</v>
      </c>
      <c r="P1366" t="s">
        <v>654</v>
      </c>
      <c r="R1366" t="s">
        <v>634</v>
      </c>
    </row>
    <row r="1367" spans="1:18" hidden="1">
      <c r="A1367">
        <v>15</v>
      </c>
      <c r="B1367" t="s">
        <v>405</v>
      </c>
      <c r="C1367" t="s">
        <v>483</v>
      </c>
      <c r="G1367">
        <v>19</v>
      </c>
      <c r="J1367" t="s">
        <v>22</v>
      </c>
      <c r="K1367" t="s">
        <v>71</v>
      </c>
      <c r="L1367" t="s">
        <v>33</v>
      </c>
      <c r="M1367" t="s">
        <v>618</v>
      </c>
      <c r="O1367" s="1">
        <f t="shared" si="47"/>
        <v>0.625</v>
      </c>
      <c r="P1367" t="s">
        <v>654</v>
      </c>
      <c r="R1367" t="s">
        <v>634</v>
      </c>
    </row>
    <row r="1368" spans="1:18" hidden="1">
      <c r="A1368">
        <v>15</v>
      </c>
      <c r="B1368" t="s">
        <v>405</v>
      </c>
      <c r="C1368" t="s">
        <v>483</v>
      </c>
      <c r="G1368">
        <v>20</v>
      </c>
      <c r="J1368" t="s">
        <v>22</v>
      </c>
      <c r="K1368" t="s">
        <v>71</v>
      </c>
      <c r="L1368" t="s">
        <v>33</v>
      </c>
      <c r="M1368" t="s">
        <v>618</v>
      </c>
      <c r="O1368" s="1">
        <f t="shared" si="47"/>
        <v>0.625</v>
      </c>
      <c r="P1368" t="s">
        <v>654</v>
      </c>
      <c r="R1368" t="s">
        <v>634</v>
      </c>
    </row>
    <row r="1369" spans="1:18" hidden="1">
      <c r="A1369">
        <v>15</v>
      </c>
      <c r="B1369" t="s">
        <v>405</v>
      </c>
      <c r="C1369" t="s">
        <v>483</v>
      </c>
      <c r="G1369">
        <v>21</v>
      </c>
      <c r="J1369" t="s">
        <v>22</v>
      </c>
      <c r="K1369" t="s">
        <v>71</v>
      </c>
      <c r="L1369" t="s">
        <v>33</v>
      </c>
      <c r="M1369" t="s">
        <v>618</v>
      </c>
      <c r="O1369" s="1">
        <f t="shared" si="47"/>
        <v>0.625</v>
      </c>
      <c r="P1369" t="s">
        <v>654</v>
      </c>
      <c r="R1369" t="s">
        <v>634</v>
      </c>
    </row>
    <row r="1370" spans="1:18" hidden="1">
      <c r="A1370">
        <v>15</v>
      </c>
      <c r="B1370" t="s">
        <v>405</v>
      </c>
      <c r="C1370" t="s">
        <v>483</v>
      </c>
      <c r="G1370">
        <v>22</v>
      </c>
      <c r="J1370" t="s">
        <v>22</v>
      </c>
      <c r="K1370" t="s">
        <v>71</v>
      </c>
      <c r="L1370" t="s">
        <v>33</v>
      </c>
      <c r="M1370" t="s">
        <v>618</v>
      </c>
      <c r="O1370" s="1">
        <f t="shared" si="47"/>
        <v>0.625</v>
      </c>
      <c r="P1370" t="s">
        <v>654</v>
      </c>
      <c r="R1370" t="s">
        <v>634</v>
      </c>
    </row>
    <row r="1371" spans="1:18">
      <c r="A1371">
        <v>15</v>
      </c>
      <c r="B1371" t="s">
        <v>405</v>
      </c>
      <c r="C1371" t="s">
        <v>483</v>
      </c>
      <c r="G1371">
        <v>4</v>
      </c>
      <c r="H1371" s="263"/>
      <c r="J1371" t="s">
        <v>22</v>
      </c>
      <c r="K1371" t="s">
        <v>30</v>
      </c>
      <c r="L1371" t="s">
        <v>33</v>
      </c>
      <c r="M1371" t="s">
        <v>619</v>
      </c>
      <c r="N1371" s="263">
        <v>0.6</v>
      </c>
      <c r="O1371" s="1">
        <f>0.6*20*1</f>
        <v>12</v>
      </c>
      <c r="P1371" t="s">
        <v>651</v>
      </c>
      <c r="R1371" t="s">
        <v>634</v>
      </c>
    </row>
    <row r="1372" spans="1:18">
      <c r="A1372">
        <v>15</v>
      </c>
      <c r="B1372" t="s">
        <v>405</v>
      </c>
      <c r="C1372" t="s">
        <v>483</v>
      </c>
      <c r="G1372">
        <v>5</v>
      </c>
      <c r="H1372" s="263"/>
      <c r="J1372" t="s">
        <v>22</v>
      </c>
      <c r="K1372" t="s">
        <v>30</v>
      </c>
      <c r="L1372" t="s">
        <v>33</v>
      </c>
      <c r="M1372" t="s">
        <v>619</v>
      </c>
      <c r="N1372" s="263">
        <v>0.6</v>
      </c>
      <c r="O1372" s="1">
        <f t="shared" ref="O1372:O1389" si="48">0.6*20*1</f>
        <v>12</v>
      </c>
      <c r="P1372" t="s">
        <v>651</v>
      </c>
      <c r="R1372" t="s">
        <v>634</v>
      </c>
    </row>
    <row r="1373" spans="1:18">
      <c r="A1373">
        <v>15</v>
      </c>
      <c r="B1373" t="s">
        <v>405</v>
      </c>
      <c r="C1373" t="s">
        <v>483</v>
      </c>
      <c r="G1373">
        <v>6</v>
      </c>
      <c r="H1373" s="263"/>
      <c r="J1373" t="s">
        <v>22</v>
      </c>
      <c r="K1373" t="s">
        <v>30</v>
      </c>
      <c r="L1373" t="s">
        <v>33</v>
      </c>
      <c r="M1373" t="s">
        <v>619</v>
      </c>
      <c r="N1373" s="263">
        <v>0.6</v>
      </c>
      <c r="O1373" s="1">
        <f t="shared" si="48"/>
        <v>12</v>
      </c>
      <c r="P1373" t="s">
        <v>651</v>
      </c>
      <c r="R1373" t="s">
        <v>634</v>
      </c>
    </row>
    <row r="1374" spans="1:18">
      <c r="A1374">
        <v>15</v>
      </c>
      <c r="B1374" t="s">
        <v>405</v>
      </c>
      <c r="C1374" t="s">
        <v>483</v>
      </c>
      <c r="G1374">
        <v>7</v>
      </c>
      <c r="H1374" s="263"/>
      <c r="J1374" t="s">
        <v>22</v>
      </c>
      <c r="K1374" t="s">
        <v>30</v>
      </c>
      <c r="L1374" t="s">
        <v>33</v>
      </c>
      <c r="M1374" t="s">
        <v>619</v>
      </c>
      <c r="N1374" s="263">
        <v>0.6</v>
      </c>
      <c r="O1374" s="1">
        <f t="shared" si="48"/>
        <v>12</v>
      </c>
      <c r="P1374" t="s">
        <v>651</v>
      </c>
      <c r="R1374" t="s">
        <v>634</v>
      </c>
    </row>
    <row r="1375" spans="1:18">
      <c r="A1375">
        <v>15</v>
      </c>
      <c r="B1375" t="s">
        <v>405</v>
      </c>
      <c r="C1375" t="s">
        <v>483</v>
      </c>
      <c r="G1375">
        <v>8</v>
      </c>
      <c r="H1375" s="263"/>
      <c r="J1375" t="s">
        <v>22</v>
      </c>
      <c r="K1375" t="s">
        <v>30</v>
      </c>
      <c r="L1375" t="s">
        <v>33</v>
      </c>
      <c r="M1375" t="s">
        <v>619</v>
      </c>
      <c r="N1375" s="263">
        <v>0.6</v>
      </c>
      <c r="O1375" s="1">
        <f t="shared" si="48"/>
        <v>12</v>
      </c>
      <c r="P1375" t="s">
        <v>651</v>
      </c>
      <c r="R1375" t="s">
        <v>634</v>
      </c>
    </row>
    <row r="1376" spans="1:18">
      <c r="A1376">
        <v>15</v>
      </c>
      <c r="B1376" t="s">
        <v>405</v>
      </c>
      <c r="C1376" t="s">
        <v>483</v>
      </c>
      <c r="G1376">
        <v>9</v>
      </c>
      <c r="H1376" s="263"/>
      <c r="J1376" t="s">
        <v>22</v>
      </c>
      <c r="K1376" t="s">
        <v>30</v>
      </c>
      <c r="L1376" t="s">
        <v>33</v>
      </c>
      <c r="M1376" t="s">
        <v>619</v>
      </c>
      <c r="N1376" s="263">
        <v>0.6</v>
      </c>
      <c r="O1376" s="1">
        <f t="shared" si="48"/>
        <v>12</v>
      </c>
      <c r="P1376" t="s">
        <v>651</v>
      </c>
      <c r="R1376" t="s">
        <v>634</v>
      </c>
    </row>
    <row r="1377" spans="1:18">
      <c r="A1377">
        <v>15</v>
      </c>
      <c r="B1377" t="s">
        <v>405</v>
      </c>
      <c r="C1377" t="s">
        <v>483</v>
      </c>
      <c r="G1377">
        <v>10</v>
      </c>
      <c r="H1377" s="263"/>
      <c r="J1377" t="s">
        <v>22</v>
      </c>
      <c r="K1377" t="s">
        <v>30</v>
      </c>
      <c r="L1377" t="s">
        <v>33</v>
      </c>
      <c r="M1377" t="s">
        <v>619</v>
      </c>
      <c r="N1377" s="263">
        <v>0.6</v>
      </c>
      <c r="O1377" s="1">
        <f t="shared" si="48"/>
        <v>12</v>
      </c>
      <c r="P1377" t="s">
        <v>651</v>
      </c>
      <c r="R1377" t="s">
        <v>634</v>
      </c>
    </row>
    <row r="1378" spans="1:18">
      <c r="A1378">
        <v>15</v>
      </c>
      <c r="B1378" t="s">
        <v>405</v>
      </c>
      <c r="C1378" t="s">
        <v>483</v>
      </c>
      <c r="G1378">
        <v>11</v>
      </c>
      <c r="H1378" s="263"/>
      <c r="J1378" t="s">
        <v>22</v>
      </c>
      <c r="K1378" t="s">
        <v>30</v>
      </c>
      <c r="L1378" t="s">
        <v>33</v>
      </c>
      <c r="M1378" t="s">
        <v>619</v>
      </c>
      <c r="N1378" s="263">
        <v>0.6</v>
      </c>
      <c r="O1378" s="1">
        <f t="shared" si="48"/>
        <v>12</v>
      </c>
      <c r="P1378" t="s">
        <v>651</v>
      </c>
      <c r="R1378" t="s">
        <v>634</v>
      </c>
    </row>
    <row r="1379" spans="1:18">
      <c r="A1379">
        <v>15</v>
      </c>
      <c r="B1379" t="s">
        <v>405</v>
      </c>
      <c r="C1379" t="s">
        <v>483</v>
      </c>
      <c r="G1379">
        <v>12</v>
      </c>
      <c r="H1379" s="263"/>
      <c r="J1379" t="s">
        <v>22</v>
      </c>
      <c r="K1379" t="s">
        <v>30</v>
      </c>
      <c r="L1379" t="s">
        <v>33</v>
      </c>
      <c r="M1379" t="s">
        <v>619</v>
      </c>
      <c r="N1379" s="263">
        <v>0.6</v>
      </c>
      <c r="O1379" s="1">
        <f t="shared" si="48"/>
        <v>12</v>
      </c>
      <c r="P1379" t="s">
        <v>651</v>
      </c>
      <c r="R1379" t="s">
        <v>634</v>
      </c>
    </row>
    <row r="1380" spans="1:18">
      <c r="A1380">
        <v>15</v>
      </c>
      <c r="B1380" t="s">
        <v>405</v>
      </c>
      <c r="C1380" t="s">
        <v>483</v>
      </c>
      <c r="G1380">
        <v>13</v>
      </c>
      <c r="H1380" s="263"/>
      <c r="J1380" t="s">
        <v>22</v>
      </c>
      <c r="K1380" t="s">
        <v>30</v>
      </c>
      <c r="L1380" t="s">
        <v>33</v>
      </c>
      <c r="M1380" t="s">
        <v>619</v>
      </c>
      <c r="N1380" s="263">
        <v>0.6</v>
      </c>
      <c r="O1380" s="1">
        <f t="shared" si="48"/>
        <v>12</v>
      </c>
      <c r="P1380" t="s">
        <v>651</v>
      </c>
      <c r="R1380" t="s">
        <v>634</v>
      </c>
    </row>
    <row r="1381" spans="1:18">
      <c r="A1381">
        <v>15</v>
      </c>
      <c r="B1381" t="s">
        <v>405</v>
      </c>
      <c r="C1381" t="s">
        <v>483</v>
      </c>
      <c r="G1381">
        <v>14</v>
      </c>
      <c r="H1381" s="263"/>
      <c r="J1381" t="s">
        <v>22</v>
      </c>
      <c r="K1381" t="s">
        <v>30</v>
      </c>
      <c r="L1381" t="s">
        <v>33</v>
      </c>
      <c r="M1381" t="s">
        <v>619</v>
      </c>
      <c r="N1381" s="263">
        <v>0.6</v>
      </c>
      <c r="O1381" s="1">
        <f t="shared" si="48"/>
        <v>12</v>
      </c>
      <c r="P1381" t="s">
        <v>651</v>
      </c>
      <c r="R1381" t="s">
        <v>634</v>
      </c>
    </row>
    <row r="1382" spans="1:18">
      <c r="A1382">
        <v>15</v>
      </c>
      <c r="B1382" t="s">
        <v>405</v>
      </c>
      <c r="C1382" t="s">
        <v>483</v>
      </c>
      <c r="G1382">
        <v>15</v>
      </c>
      <c r="H1382" s="263"/>
      <c r="J1382" t="s">
        <v>22</v>
      </c>
      <c r="K1382" t="s">
        <v>30</v>
      </c>
      <c r="L1382" t="s">
        <v>33</v>
      </c>
      <c r="M1382" t="s">
        <v>619</v>
      </c>
      <c r="N1382" s="263">
        <v>0.6</v>
      </c>
      <c r="O1382" s="1">
        <f t="shared" si="48"/>
        <v>12</v>
      </c>
      <c r="P1382" t="s">
        <v>651</v>
      </c>
      <c r="R1382" t="s">
        <v>634</v>
      </c>
    </row>
    <row r="1383" spans="1:18">
      <c r="A1383">
        <v>15</v>
      </c>
      <c r="B1383" t="s">
        <v>405</v>
      </c>
      <c r="C1383" t="s">
        <v>483</v>
      </c>
      <c r="G1383">
        <v>16</v>
      </c>
      <c r="H1383" s="263"/>
      <c r="J1383" t="s">
        <v>22</v>
      </c>
      <c r="K1383" t="s">
        <v>30</v>
      </c>
      <c r="L1383" t="s">
        <v>33</v>
      </c>
      <c r="M1383" t="s">
        <v>619</v>
      </c>
      <c r="N1383" s="263">
        <v>0.6</v>
      </c>
      <c r="O1383" s="1">
        <f t="shared" si="48"/>
        <v>12</v>
      </c>
      <c r="P1383" t="s">
        <v>651</v>
      </c>
      <c r="R1383" t="s">
        <v>634</v>
      </c>
    </row>
    <row r="1384" spans="1:18">
      <c r="A1384">
        <v>15</v>
      </c>
      <c r="B1384" t="s">
        <v>405</v>
      </c>
      <c r="C1384" t="s">
        <v>483</v>
      </c>
      <c r="G1384">
        <v>17</v>
      </c>
      <c r="H1384" s="263"/>
      <c r="J1384" t="s">
        <v>22</v>
      </c>
      <c r="K1384" t="s">
        <v>30</v>
      </c>
      <c r="L1384" t="s">
        <v>33</v>
      </c>
      <c r="M1384" t="s">
        <v>619</v>
      </c>
      <c r="N1384" s="263">
        <v>0.6</v>
      </c>
      <c r="O1384" s="1">
        <f t="shared" si="48"/>
        <v>12</v>
      </c>
      <c r="P1384" t="s">
        <v>651</v>
      </c>
      <c r="R1384" t="s">
        <v>634</v>
      </c>
    </row>
    <row r="1385" spans="1:18">
      <c r="A1385">
        <v>15</v>
      </c>
      <c r="B1385" t="s">
        <v>405</v>
      </c>
      <c r="C1385" t="s">
        <v>483</v>
      </c>
      <c r="G1385">
        <v>18</v>
      </c>
      <c r="H1385" s="263"/>
      <c r="J1385" t="s">
        <v>22</v>
      </c>
      <c r="K1385" t="s">
        <v>30</v>
      </c>
      <c r="L1385" t="s">
        <v>33</v>
      </c>
      <c r="M1385" t="s">
        <v>619</v>
      </c>
      <c r="N1385" s="263">
        <v>0.6</v>
      </c>
      <c r="O1385" s="1">
        <f t="shared" si="48"/>
        <v>12</v>
      </c>
      <c r="P1385" t="s">
        <v>651</v>
      </c>
      <c r="R1385" t="s">
        <v>634</v>
      </c>
    </row>
    <row r="1386" spans="1:18">
      <c r="A1386">
        <v>15</v>
      </c>
      <c r="B1386" t="s">
        <v>405</v>
      </c>
      <c r="C1386" t="s">
        <v>483</v>
      </c>
      <c r="G1386">
        <v>19</v>
      </c>
      <c r="H1386" s="263"/>
      <c r="J1386" t="s">
        <v>22</v>
      </c>
      <c r="K1386" t="s">
        <v>30</v>
      </c>
      <c r="L1386" t="s">
        <v>33</v>
      </c>
      <c r="M1386" t="s">
        <v>619</v>
      </c>
      <c r="N1386" s="263">
        <v>0.6</v>
      </c>
      <c r="O1386" s="1">
        <f t="shared" si="48"/>
        <v>12</v>
      </c>
      <c r="P1386" t="s">
        <v>651</v>
      </c>
      <c r="R1386" t="s">
        <v>634</v>
      </c>
    </row>
    <row r="1387" spans="1:18">
      <c r="A1387">
        <v>15</v>
      </c>
      <c r="B1387" t="s">
        <v>405</v>
      </c>
      <c r="C1387" t="s">
        <v>483</v>
      </c>
      <c r="G1387">
        <v>20</v>
      </c>
      <c r="H1387" s="263"/>
      <c r="J1387" t="s">
        <v>22</v>
      </c>
      <c r="K1387" t="s">
        <v>30</v>
      </c>
      <c r="L1387" t="s">
        <v>33</v>
      </c>
      <c r="M1387" t="s">
        <v>619</v>
      </c>
      <c r="N1387" s="263">
        <v>0.6</v>
      </c>
      <c r="O1387" s="1">
        <f t="shared" si="48"/>
        <v>12</v>
      </c>
      <c r="P1387" t="s">
        <v>651</v>
      </c>
      <c r="R1387" t="s">
        <v>634</v>
      </c>
    </row>
    <row r="1388" spans="1:18">
      <c r="A1388">
        <v>15</v>
      </c>
      <c r="B1388" t="s">
        <v>405</v>
      </c>
      <c r="C1388" t="s">
        <v>483</v>
      </c>
      <c r="G1388">
        <v>21</v>
      </c>
      <c r="H1388" s="263"/>
      <c r="J1388" t="s">
        <v>22</v>
      </c>
      <c r="K1388" t="s">
        <v>30</v>
      </c>
      <c r="L1388" t="s">
        <v>33</v>
      </c>
      <c r="M1388" t="s">
        <v>619</v>
      </c>
      <c r="N1388" s="263">
        <v>0.6</v>
      </c>
      <c r="O1388" s="1">
        <f t="shared" si="48"/>
        <v>12</v>
      </c>
      <c r="P1388" t="s">
        <v>651</v>
      </c>
      <c r="R1388" t="s">
        <v>634</v>
      </c>
    </row>
    <row r="1389" spans="1:18">
      <c r="A1389">
        <v>15</v>
      </c>
      <c r="B1389" t="s">
        <v>405</v>
      </c>
      <c r="C1389" t="s">
        <v>483</v>
      </c>
      <c r="G1389">
        <v>22</v>
      </c>
      <c r="H1389" s="263"/>
      <c r="J1389" t="s">
        <v>22</v>
      </c>
      <c r="K1389" t="s">
        <v>30</v>
      </c>
      <c r="L1389" t="s">
        <v>33</v>
      </c>
      <c r="M1389" t="s">
        <v>619</v>
      </c>
      <c r="N1389" s="263">
        <v>0.6</v>
      </c>
      <c r="O1389" s="1">
        <f t="shared" si="48"/>
        <v>12</v>
      </c>
      <c r="P1389" t="s">
        <v>651</v>
      </c>
      <c r="R1389" t="s">
        <v>634</v>
      </c>
    </row>
    <row r="1390" spans="1:18" hidden="1">
      <c r="A1390">
        <v>15</v>
      </c>
      <c r="B1390" t="s">
        <v>405</v>
      </c>
      <c r="C1390" t="s">
        <v>483</v>
      </c>
      <c r="G1390">
        <v>4</v>
      </c>
      <c r="J1390" t="s">
        <v>22</v>
      </c>
      <c r="K1390" t="s">
        <v>408</v>
      </c>
      <c r="L1390" t="s">
        <v>33</v>
      </c>
      <c r="M1390" t="s">
        <v>620</v>
      </c>
      <c r="O1390" s="1">
        <v>13.97</v>
      </c>
      <c r="P1390" t="s">
        <v>903</v>
      </c>
      <c r="R1390" t="s">
        <v>634</v>
      </c>
    </row>
    <row r="1391" spans="1:18" hidden="1">
      <c r="A1391">
        <v>15</v>
      </c>
      <c r="B1391" t="s">
        <v>405</v>
      </c>
      <c r="C1391" t="s">
        <v>483</v>
      </c>
      <c r="G1391">
        <v>5</v>
      </c>
      <c r="J1391" t="s">
        <v>22</v>
      </c>
      <c r="K1391" t="s">
        <v>408</v>
      </c>
      <c r="L1391" t="s">
        <v>33</v>
      </c>
      <c r="M1391" t="s">
        <v>620</v>
      </c>
      <c r="O1391" s="1">
        <v>13.97</v>
      </c>
      <c r="P1391" t="s">
        <v>903</v>
      </c>
      <c r="R1391" t="s">
        <v>634</v>
      </c>
    </row>
    <row r="1392" spans="1:18" hidden="1">
      <c r="A1392">
        <v>15</v>
      </c>
      <c r="B1392" t="s">
        <v>405</v>
      </c>
      <c r="C1392" t="s">
        <v>483</v>
      </c>
      <c r="G1392">
        <v>6</v>
      </c>
      <c r="J1392" t="s">
        <v>22</v>
      </c>
      <c r="K1392" t="s">
        <v>408</v>
      </c>
      <c r="L1392" t="s">
        <v>33</v>
      </c>
      <c r="M1392" t="s">
        <v>620</v>
      </c>
      <c r="O1392" s="1">
        <v>13.97</v>
      </c>
      <c r="P1392" t="s">
        <v>903</v>
      </c>
      <c r="R1392" t="s">
        <v>634</v>
      </c>
    </row>
    <row r="1393" spans="1:18" hidden="1">
      <c r="A1393">
        <v>15</v>
      </c>
      <c r="B1393" t="s">
        <v>405</v>
      </c>
      <c r="C1393" t="s">
        <v>483</v>
      </c>
      <c r="G1393">
        <v>7</v>
      </c>
      <c r="J1393" t="s">
        <v>22</v>
      </c>
      <c r="K1393" t="s">
        <v>408</v>
      </c>
      <c r="L1393" t="s">
        <v>33</v>
      </c>
      <c r="M1393" t="s">
        <v>620</v>
      </c>
      <c r="O1393" s="1">
        <v>13.97</v>
      </c>
      <c r="P1393" t="s">
        <v>903</v>
      </c>
      <c r="R1393" t="s">
        <v>634</v>
      </c>
    </row>
    <row r="1394" spans="1:18" hidden="1">
      <c r="A1394">
        <v>15</v>
      </c>
      <c r="B1394" t="s">
        <v>405</v>
      </c>
      <c r="C1394" t="s">
        <v>483</v>
      </c>
      <c r="G1394">
        <v>8</v>
      </c>
      <c r="J1394" t="s">
        <v>22</v>
      </c>
      <c r="K1394" t="s">
        <v>408</v>
      </c>
      <c r="L1394" t="s">
        <v>33</v>
      </c>
      <c r="M1394" t="s">
        <v>620</v>
      </c>
      <c r="O1394" s="1">
        <v>13.97</v>
      </c>
      <c r="P1394" t="s">
        <v>903</v>
      </c>
      <c r="R1394" t="s">
        <v>634</v>
      </c>
    </row>
    <row r="1395" spans="1:18" hidden="1">
      <c r="A1395">
        <v>15</v>
      </c>
      <c r="B1395" t="s">
        <v>405</v>
      </c>
      <c r="C1395" t="s">
        <v>483</v>
      </c>
      <c r="G1395">
        <v>9</v>
      </c>
      <c r="J1395" t="s">
        <v>22</v>
      </c>
      <c r="K1395" t="s">
        <v>408</v>
      </c>
      <c r="L1395" t="s">
        <v>33</v>
      </c>
      <c r="M1395" t="s">
        <v>620</v>
      </c>
      <c r="O1395" s="1">
        <v>13.97</v>
      </c>
      <c r="P1395" t="s">
        <v>903</v>
      </c>
      <c r="R1395" t="s">
        <v>634</v>
      </c>
    </row>
    <row r="1396" spans="1:18" hidden="1">
      <c r="A1396">
        <v>15</v>
      </c>
      <c r="B1396" t="s">
        <v>405</v>
      </c>
      <c r="C1396" t="s">
        <v>483</v>
      </c>
      <c r="G1396">
        <v>10</v>
      </c>
      <c r="J1396" t="s">
        <v>22</v>
      </c>
      <c r="K1396" t="s">
        <v>408</v>
      </c>
      <c r="L1396" t="s">
        <v>33</v>
      </c>
      <c r="M1396" t="s">
        <v>620</v>
      </c>
      <c r="O1396" s="1">
        <v>13.97</v>
      </c>
      <c r="P1396" t="s">
        <v>903</v>
      </c>
      <c r="R1396" t="s">
        <v>634</v>
      </c>
    </row>
    <row r="1397" spans="1:18" hidden="1">
      <c r="A1397">
        <v>15</v>
      </c>
      <c r="B1397" t="s">
        <v>405</v>
      </c>
      <c r="C1397" t="s">
        <v>483</v>
      </c>
      <c r="G1397">
        <v>11</v>
      </c>
      <c r="J1397" t="s">
        <v>22</v>
      </c>
      <c r="K1397" t="s">
        <v>408</v>
      </c>
      <c r="L1397" t="s">
        <v>33</v>
      </c>
      <c r="M1397" t="s">
        <v>620</v>
      </c>
      <c r="O1397" s="1">
        <v>13.97</v>
      </c>
      <c r="P1397" t="s">
        <v>903</v>
      </c>
      <c r="R1397" t="s">
        <v>634</v>
      </c>
    </row>
    <row r="1398" spans="1:18" hidden="1">
      <c r="A1398">
        <v>15</v>
      </c>
      <c r="B1398" t="s">
        <v>405</v>
      </c>
      <c r="C1398" t="s">
        <v>483</v>
      </c>
      <c r="G1398">
        <v>12</v>
      </c>
      <c r="J1398" t="s">
        <v>22</v>
      </c>
      <c r="K1398" t="s">
        <v>408</v>
      </c>
      <c r="L1398" t="s">
        <v>33</v>
      </c>
      <c r="M1398" t="s">
        <v>620</v>
      </c>
      <c r="O1398" s="1">
        <v>13.97</v>
      </c>
      <c r="P1398" t="s">
        <v>903</v>
      </c>
      <c r="R1398" t="s">
        <v>634</v>
      </c>
    </row>
    <row r="1399" spans="1:18" hidden="1">
      <c r="A1399">
        <v>15</v>
      </c>
      <c r="B1399" t="s">
        <v>405</v>
      </c>
      <c r="C1399" t="s">
        <v>483</v>
      </c>
      <c r="G1399">
        <v>13</v>
      </c>
      <c r="J1399" t="s">
        <v>22</v>
      </c>
      <c r="K1399" t="s">
        <v>408</v>
      </c>
      <c r="L1399" t="s">
        <v>33</v>
      </c>
      <c r="M1399" t="s">
        <v>620</v>
      </c>
      <c r="O1399" s="1">
        <v>13.97</v>
      </c>
      <c r="P1399" t="s">
        <v>903</v>
      </c>
      <c r="R1399" t="s">
        <v>634</v>
      </c>
    </row>
    <row r="1400" spans="1:18" hidden="1">
      <c r="A1400">
        <v>15</v>
      </c>
      <c r="B1400" t="s">
        <v>405</v>
      </c>
      <c r="C1400" t="s">
        <v>483</v>
      </c>
      <c r="G1400">
        <v>14</v>
      </c>
      <c r="J1400" t="s">
        <v>22</v>
      </c>
      <c r="K1400" t="s">
        <v>408</v>
      </c>
      <c r="L1400" t="s">
        <v>33</v>
      </c>
      <c r="M1400" t="s">
        <v>620</v>
      </c>
      <c r="O1400" s="1">
        <v>13.97</v>
      </c>
      <c r="P1400" t="s">
        <v>903</v>
      </c>
      <c r="R1400" t="s">
        <v>634</v>
      </c>
    </row>
    <row r="1401" spans="1:18" hidden="1">
      <c r="A1401">
        <v>15</v>
      </c>
      <c r="B1401" t="s">
        <v>405</v>
      </c>
      <c r="C1401" t="s">
        <v>483</v>
      </c>
      <c r="G1401">
        <v>15</v>
      </c>
      <c r="J1401" t="s">
        <v>22</v>
      </c>
      <c r="K1401" t="s">
        <v>408</v>
      </c>
      <c r="L1401" t="s">
        <v>33</v>
      </c>
      <c r="M1401" t="s">
        <v>620</v>
      </c>
      <c r="O1401" s="1">
        <v>13.97</v>
      </c>
      <c r="P1401" t="s">
        <v>903</v>
      </c>
      <c r="R1401" t="s">
        <v>634</v>
      </c>
    </row>
    <row r="1402" spans="1:18" hidden="1">
      <c r="A1402">
        <v>15</v>
      </c>
      <c r="B1402" t="s">
        <v>405</v>
      </c>
      <c r="C1402" t="s">
        <v>483</v>
      </c>
      <c r="G1402">
        <v>16</v>
      </c>
      <c r="J1402" t="s">
        <v>22</v>
      </c>
      <c r="K1402" t="s">
        <v>408</v>
      </c>
      <c r="L1402" t="s">
        <v>33</v>
      </c>
      <c r="M1402" t="s">
        <v>620</v>
      </c>
      <c r="O1402" s="1">
        <v>13.97</v>
      </c>
      <c r="P1402" t="s">
        <v>903</v>
      </c>
      <c r="R1402" t="s">
        <v>634</v>
      </c>
    </row>
    <row r="1403" spans="1:18" hidden="1">
      <c r="A1403">
        <v>15</v>
      </c>
      <c r="B1403" t="s">
        <v>405</v>
      </c>
      <c r="C1403" t="s">
        <v>483</v>
      </c>
      <c r="G1403">
        <v>17</v>
      </c>
      <c r="J1403" t="s">
        <v>22</v>
      </c>
      <c r="K1403" t="s">
        <v>408</v>
      </c>
      <c r="L1403" t="s">
        <v>33</v>
      </c>
      <c r="M1403" t="s">
        <v>620</v>
      </c>
      <c r="O1403" s="1">
        <v>13.97</v>
      </c>
      <c r="P1403" t="s">
        <v>903</v>
      </c>
      <c r="R1403" t="s">
        <v>634</v>
      </c>
    </row>
    <row r="1404" spans="1:18" hidden="1">
      <c r="A1404">
        <v>15</v>
      </c>
      <c r="B1404" t="s">
        <v>405</v>
      </c>
      <c r="C1404" t="s">
        <v>483</v>
      </c>
      <c r="G1404">
        <v>18</v>
      </c>
      <c r="J1404" t="s">
        <v>22</v>
      </c>
      <c r="K1404" t="s">
        <v>408</v>
      </c>
      <c r="L1404" t="s">
        <v>33</v>
      </c>
      <c r="M1404" t="s">
        <v>620</v>
      </c>
      <c r="O1404" s="1">
        <v>13.97</v>
      </c>
      <c r="P1404" t="s">
        <v>903</v>
      </c>
      <c r="R1404" t="s">
        <v>634</v>
      </c>
    </row>
    <row r="1405" spans="1:18" hidden="1">
      <c r="A1405">
        <v>15</v>
      </c>
      <c r="B1405" t="s">
        <v>405</v>
      </c>
      <c r="C1405" t="s">
        <v>483</v>
      </c>
      <c r="G1405">
        <v>19</v>
      </c>
      <c r="J1405" t="s">
        <v>22</v>
      </c>
      <c r="K1405" t="s">
        <v>408</v>
      </c>
      <c r="L1405" t="s">
        <v>33</v>
      </c>
      <c r="M1405" t="s">
        <v>620</v>
      </c>
      <c r="O1405" s="1">
        <v>13.97</v>
      </c>
      <c r="P1405" t="s">
        <v>903</v>
      </c>
      <c r="R1405" t="s">
        <v>634</v>
      </c>
    </row>
    <row r="1406" spans="1:18" hidden="1">
      <c r="A1406">
        <v>15</v>
      </c>
      <c r="B1406" t="s">
        <v>405</v>
      </c>
      <c r="C1406" t="s">
        <v>483</v>
      </c>
      <c r="G1406">
        <v>20</v>
      </c>
      <c r="J1406" t="s">
        <v>22</v>
      </c>
      <c r="K1406" t="s">
        <v>408</v>
      </c>
      <c r="L1406" t="s">
        <v>33</v>
      </c>
      <c r="M1406" t="s">
        <v>620</v>
      </c>
      <c r="O1406" s="1">
        <v>13.97</v>
      </c>
      <c r="P1406" t="s">
        <v>903</v>
      </c>
      <c r="R1406" t="s">
        <v>634</v>
      </c>
    </row>
    <row r="1407" spans="1:18" hidden="1">
      <c r="A1407">
        <v>15</v>
      </c>
      <c r="B1407" t="s">
        <v>405</v>
      </c>
      <c r="C1407" t="s">
        <v>483</v>
      </c>
      <c r="G1407">
        <v>21</v>
      </c>
      <c r="J1407" t="s">
        <v>22</v>
      </c>
      <c r="K1407" t="s">
        <v>408</v>
      </c>
      <c r="L1407" t="s">
        <v>33</v>
      </c>
      <c r="M1407" t="s">
        <v>620</v>
      </c>
      <c r="O1407" s="1">
        <v>13.97</v>
      </c>
      <c r="P1407" t="s">
        <v>903</v>
      </c>
      <c r="R1407" t="s">
        <v>634</v>
      </c>
    </row>
    <row r="1408" spans="1:18" hidden="1">
      <c r="A1408">
        <v>15</v>
      </c>
      <c r="B1408" t="s">
        <v>405</v>
      </c>
      <c r="C1408" t="s">
        <v>483</v>
      </c>
      <c r="G1408">
        <v>22</v>
      </c>
      <c r="J1408" t="s">
        <v>22</v>
      </c>
      <c r="K1408" t="s">
        <v>408</v>
      </c>
      <c r="L1408" t="s">
        <v>33</v>
      </c>
      <c r="M1408" t="s">
        <v>620</v>
      </c>
      <c r="O1408" s="1">
        <v>13.97</v>
      </c>
      <c r="P1408" t="s">
        <v>903</v>
      </c>
      <c r="R1408" t="s">
        <v>634</v>
      </c>
    </row>
    <row r="1409" spans="1:18" hidden="1">
      <c r="A1409">
        <v>15</v>
      </c>
      <c r="B1409" t="s">
        <v>405</v>
      </c>
      <c r="C1409" t="s">
        <v>483</v>
      </c>
      <c r="G1409">
        <v>4</v>
      </c>
      <c r="J1409" t="s">
        <v>22</v>
      </c>
      <c r="K1409" t="s">
        <v>71</v>
      </c>
      <c r="L1409" t="s">
        <v>33</v>
      </c>
      <c r="M1409" t="s">
        <v>621</v>
      </c>
      <c r="O1409" s="1">
        <f>2.5*6.6*1</f>
        <v>16.5</v>
      </c>
      <c r="P1409" t="s">
        <v>662</v>
      </c>
      <c r="R1409" t="s">
        <v>634</v>
      </c>
    </row>
    <row r="1410" spans="1:18" hidden="1">
      <c r="A1410">
        <v>15</v>
      </c>
      <c r="B1410" t="s">
        <v>405</v>
      </c>
      <c r="C1410" t="s">
        <v>483</v>
      </c>
      <c r="G1410">
        <v>5</v>
      </c>
      <c r="J1410" t="s">
        <v>22</v>
      </c>
      <c r="K1410" t="s">
        <v>71</v>
      </c>
      <c r="L1410" t="s">
        <v>33</v>
      </c>
      <c r="M1410" t="s">
        <v>621</v>
      </c>
      <c r="O1410" s="1">
        <f t="shared" ref="O1410:O1427" si="49">2.5*6.6*1</f>
        <v>16.5</v>
      </c>
      <c r="P1410" t="s">
        <v>662</v>
      </c>
      <c r="R1410" t="s">
        <v>634</v>
      </c>
    </row>
    <row r="1411" spans="1:18" hidden="1">
      <c r="A1411">
        <v>15</v>
      </c>
      <c r="B1411" t="s">
        <v>405</v>
      </c>
      <c r="C1411" t="s">
        <v>483</v>
      </c>
      <c r="G1411">
        <v>6</v>
      </c>
      <c r="J1411" t="s">
        <v>22</v>
      </c>
      <c r="K1411" t="s">
        <v>71</v>
      </c>
      <c r="L1411" t="s">
        <v>33</v>
      </c>
      <c r="M1411" t="s">
        <v>621</v>
      </c>
      <c r="O1411" s="1">
        <f t="shared" si="49"/>
        <v>16.5</v>
      </c>
      <c r="P1411" t="s">
        <v>662</v>
      </c>
      <c r="R1411" t="s">
        <v>634</v>
      </c>
    </row>
    <row r="1412" spans="1:18" hidden="1">
      <c r="A1412">
        <v>15</v>
      </c>
      <c r="B1412" t="s">
        <v>405</v>
      </c>
      <c r="C1412" t="s">
        <v>483</v>
      </c>
      <c r="G1412">
        <v>7</v>
      </c>
      <c r="J1412" t="s">
        <v>22</v>
      </c>
      <c r="K1412" t="s">
        <v>71</v>
      </c>
      <c r="L1412" t="s">
        <v>33</v>
      </c>
      <c r="M1412" t="s">
        <v>621</v>
      </c>
      <c r="O1412" s="1">
        <f t="shared" si="49"/>
        <v>16.5</v>
      </c>
      <c r="P1412" t="s">
        <v>662</v>
      </c>
      <c r="R1412" t="s">
        <v>634</v>
      </c>
    </row>
    <row r="1413" spans="1:18" hidden="1">
      <c r="A1413">
        <v>15</v>
      </c>
      <c r="B1413" t="s">
        <v>405</v>
      </c>
      <c r="C1413" t="s">
        <v>483</v>
      </c>
      <c r="G1413">
        <v>8</v>
      </c>
      <c r="J1413" t="s">
        <v>22</v>
      </c>
      <c r="K1413" t="s">
        <v>71</v>
      </c>
      <c r="L1413" t="s">
        <v>33</v>
      </c>
      <c r="M1413" t="s">
        <v>621</v>
      </c>
      <c r="O1413" s="1">
        <f t="shared" si="49"/>
        <v>16.5</v>
      </c>
      <c r="P1413" t="s">
        <v>662</v>
      </c>
      <c r="R1413" t="s">
        <v>634</v>
      </c>
    </row>
    <row r="1414" spans="1:18" hidden="1">
      <c r="A1414">
        <v>15</v>
      </c>
      <c r="B1414" t="s">
        <v>405</v>
      </c>
      <c r="C1414" t="s">
        <v>483</v>
      </c>
      <c r="G1414">
        <v>9</v>
      </c>
      <c r="J1414" t="s">
        <v>22</v>
      </c>
      <c r="K1414" t="s">
        <v>71</v>
      </c>
      <c r="L1414" t="s">
        <v>33</v>
      </c>
      <c r="M1414" t="s">
        <v>621</v>
      </c>
      <c r="O1414" s="1">
        <f t="shared" si="49"/>
        <v>16.5</v>
      </c>
      <c r="P1414" t="s">
        <v>662</v>
      </c>
      <c r="R1414" t="s">
        <v>634</v>
      </c>
    </row>
    <row r="1415" spans="1:18" hidden="1">
      <c r="A1415">
        <v>15</v>
      </c>
      <c r="B1415" t="s">
        <v>405</v>
      </c>
      <c r="C1415" t="s">
        <v>483</v>
      </c>
      <c r="G1415">
        <v>10</v>
      </c>
      <c r="J1415" t="s">
        <v>22</v>
      </c>
      <c r="K1415" t="s">
        <v>71</v>
      </c>
      <c r="L1415" t="s">
        <v>33</v>
      </c>
      <c r="M1415" t="s">
        <v>621</v>
      </c>
      <c r="O1415" s="1">
        <f t="shared" si="49"/>
        <v>16.5</v>
      </c>
      <c r="P1415" t="s">
        <v>662</v>
      </c>
      <c r="R1415" t="s">
        <v>634</v>
      </c>
    </row>
    <row r="1416" spans="1:18" hidden="1">
      <c r="A1416">
        <v>15</v>
      </c>
      <c r="B1416" t="s">
        <v>405</v>
      </c>
      <c r="C1416" t="s">
        <v>483</v>
      </c>
      <c r="G1416">
        <v>11</v>
      </c>
      <c r="J1416" t="s">
        <v>22</v>
      </c>
      <c r="K1416" t="s">
        <v>71</v>
      </c>
      <c r="L1416" t="s">
        <v>33</v>
      </c>
      <c r="M1416" t="s">
        <v>621</v>
      </c>
      <c r="O1416" s="1">
        <f t="shared" si="49"/>
        <v>16.5</v>
      </c>
      <c r="P1416" t="s">
        <v>662</v>
      </c>
      <c r="R1416" t="s">
        <v>634</v>
      </c>
    </row>
    <row r="1417" spans="1:18" hidden="1">
      <c r="A1417">
        <v>15</v>
      </c>
      <c r="B1417" t="s">
        <v>405</v>
      </c>
      <c r="C1417" t="s">
        <v>483</v>
      </c>
      <c r="G1417">
        <v>12</v>
      </c>
      <c r="J1417" t="s">
        <v>22</v>
      </c>
      <c r="K1417" t="s">
        <v>71</v>
      </c>
      <c r="L1417" t="s">
        <v>33</v>
      </c>
      <c r="M1417" t="s">
        <v>621</v>
      </c>
      <c r="O1417" s="1">
        <f t="shared" si="49"/>
        <v>16.5</v>
      </c>
      <c r="P1417" t="s">
        <v>662</v>
      </c>
      <c r="R1417" t="s">
        <v>634</v>
      </c>
    </row>
    <row r="1418" spans="1:18" hidden="1">
      <c r="A1418">
        <v>15</v>
      </c>
      <c r="B1418" t="s">
        <v>405</v>
      </c>
      <c r="C1418" t="s">
        <v>483</v>
      </c>
      <c r="G1418">
        <v>13</v>
      </c>
      <c r="J1418" t="s">
        <v>22</v>
      </c>
      <c r="K1418" t="s">
        <v>71</v>
      </c>
      <c r="L1418" t="s">
        <v>33</v>
      </c>
      <c r="M1418" t="s">
        <v>621</v>
      </c>
      <c r="O1418" s="1">
        <f t="shared" si="49"/>
        <v>16.5</v>
      </c>
      <c r="P1418" t="s">
        <v>662</v>
      </c>
      <c r="R1418" t="s">
        <v>634</v>
      </c>
    </row>
    <row r="1419" spans="1:18" hidden="1">
      <c r="A1419">
        <v>15</v>
      </c>
      <c r="B1419" t="s">
        <v>405</v>
      </c>
      <c r="C1419" t="s">
        <v>483</v>
      </c>
      <c r="G1419">
        <v>14</v>
      </c>
      <c r="J1419" t="s">
        <v>22</v>
      </c>
      <c r="K1419" t="s">
        <v>71</v>
      </c>
      <c r="L1419" t="s">
        <v>33</v>
      </c>
      <c r="M1419" t="s">
        <v>621</v>
      </c>
      <c r="O1419" s="1">
        <f t="shared" si="49"/>
        <v>16.5</v>
      </c>
      <c r="P1419" t="s">
        <v>662</v>
      </c>
      <c r="R1419" t="s">
        <v>634</v>
      </c>
    </row>
    <row r="1420" spans="1:18" hidden="1">
      <c r="A1420">
        <v>15</v>
      </c>
      <c r="B1420" t="s">
        <v>405</v>
      </c>
      <c r="C1420" t="s">
        <v>483</v>
      </c>
      <c r="G1420">
        <v>15</v>
      </c>
      <c r="J1420" t="s">
        <v>22</v>
      </c>
      <c r="K1420" t="s">
        <v>71</v>
      </c>
      <c r="L1420" t="s">
        <v>33</v>
      </c>
      <c r="M1420" t="s">
        <v>621</v>
      </c>
      <c r="O1420" s="1">
        <f t="shared" si="49"/>
        <v>16.5</v>
      </c>
      <c r="P1420" t="s">
        <v>662</v>
      </c>
      <c r="R1420" t="s">
        <v>634</v>
      </c>
    </row>
    <row r="1421" spans="1:18" hidden="1">
      <c r="A1421">
        <v>15</v>
      </c>
      <c r="B1421" t="s">
        <v>405</v>
      </c>
      <c r="C1421" t="s">
        <v>483</v>
      </c>
      <c r="G1421">
        <v>16</v>
      </c>
      <c r="J1421" t="s">
        <v>22</v>
      </c>
      <c r="K1421" t="s">
        <v>71</v>
      </c>
      <c r="L1421" t="s">
        <v>33</v>
      </c>
      <c r="M1421" t="s">
        <v>621</v>
      </c>
      <c r="O1421" s="1">
        <f t="shared" si="49"/>
        <v>16.5</v>
      </c>
      <c r="P1421" t="s">
        <v>662</v>
      </c>
      <c r="R1421" t="s">
        <v>634</v>
      </c>
    </row>
    <row r="1422" spans="1:18" hidden="1">
      <c r="A1422">
        <v>15</v>
      </c>
      <c r="B1422" t="s">
        <v>405</v>
      </c>
      <c r="C1422" t="s">
        <v>483</v>
      </c>
      <c r="G1422">
        <v>17</v>
      </c>
      <c r="J1422" t="s">
        <v>22</v>
      </c>
      <c r="K1422" t="s">
        <v>71</v>
      </c>
      <c r="L1422" t="s">
        <v>33</v>
      </c>
      <c r="M1422" t="s">
        <v>621</v>
      </c>
      <c r="O1422" s="1">
        <f t="shared" si="49"/>
        <v>16.5</v>
      </c>
      <c r="P1422" t="s">
        <v>662</v>
      </c>
      <c r="R1422" t="s">
        <v>634</v>
      </c>
    </row>
    <row r="1423" spans="1:18" hidden="1">
      <c r="A1423">
        <v>15</v>
      </c>
      <c r="B1423" t="s">
        <v>405</v>
      </c>
      <c r="C1423" t="s">
        <v>483</v>
      </c>
      <c r="G1423">
        <v>18</v>
      </c>
      <c r="J1423" t="s">
        <v>22</v>
      </c>
      <c r="K1423" t="s">
        <v>71</v>
      </c>
      <c r="L1423" t="s">
        <v>33</v>
      </c>
      <c r="M1423" t="s">
        <v>621</v>
      </c>
      <c r="O1423" s="1">
        <f t="shared" si="49"/>
        <v>16.5</v>
      </c>
      <c r="P1423" t="s">
        <v>662</v>
      </c>
      <c r="R1423" t="s">
        <v>634</v>
      </c>
    </row>
    <row r="1424" spans="1:18" hidden="1">
      <c r="A1424">
        <v>15</v>
      </c>
      <c r="B1424" t="s">
        <v>405</v>
      </c>
      <c r="C1424" t="s">
        <v>483</v>
      </c>
      <c r="G1424">
        <v>19</v>
      </c>
      <c r="J1424" t="s">
        <v>22</v>
      </c>
      <c r="K1424" t="s">
        <v>71</v>
      </c>
      <c r="L1424" t="s">
        <v>33</v>
      </c>
      <c r="M1424" t="s">
        <v>621</v>
      </c>
      <c r="O1424" s="1">
        <f t="shared" si="49"/>
        <v>16.5</v>
      </c>
      <c r="P1424" t="s">
        <v>662</v>
      </c>
      <c r="R1424" t="s">
        <v>634</v>
      </c>
    </row>
    <row r="1425" spans="1:18" hidden="1">
      <c r="A1425">
        <v>15</v>
      </c>
      <c r="B1425" t="s">
        <v>405</v>
      </c>
      <c r="C1425" t="s">
        <v>483</v>
      </c>
      <c r="G1425">
        <v>20</v>
      </c>
      <c r="J1425" t="s">
        <v>22</v>
      </c>
      <c r="K1425" t="s">
        <v>71</v>
      </c>
      <c r="L1425" t="s">
        <v>33</v>
      </c>
      <c r="M1425" t="s">
        <v>621</v>
      </c>
      <c r="O1425" s="1">
        <f t="shared" si="49"/>
        <v>16.5</v>
      </c>
      <c r="P1425" t="s">
        <v>662</v>
      </c>
      <c r="R1425" t="s">
        <v>634</v>
      </c>
    </row>
    <row r="1426" spans="1:18" hidden="1">
      <c r="A1426">
        <v>15</v>
      </c>
      <c r="B1426" t="s">
        <v>405</v>
      </c>
      <c r="C1426" t="s">
        <v>483</v>
      </c>
      <c r="G1426">
        <v>21</v>
      </c>
      <c r="J1426" t="s">
        <v>22</v>
      </c>
      <c r="K1426" t="s">
        <v>71</v>
      </c>
      <c r="L1426" t="s">
        <v>33</v>
      </c>
      <c r="M1426" t="s">
        <v>621</v>
      </c>
      <c r="O1426" s="1">
        <f t="shared" si="49"/>
        <v>16.5</v>
      </c>
      <c r="P1426" t="s">
        <v>662</v>
      </c>
      <c r="R1426" t="s">
        <v>634</v>
      </c>
    </row>
    <row r="1427" spans="1:18" hidden="1">
      <c r="A1427">
        <v>15</v>
      </c>
      <c r="B1427" t="s">
        <v>405</v>
      </c>
      <c r="C1427" t="s">
        <v>483</v>
      </c>
      <c r="G1427">
        <v>22</v>
      </c>
      <c r="J1427" t="s">
        <v>22</v>
      </c>
      <c r="K1427" t="s">
        <v>71</v>
      </c>
      <c r="L1427" t="s">
        <v>33</v>
      </c>
      <c r="M1427" t="s">
        <v>621</v>
      </c>
      <c r="O1427" s="1">
        <f t="shared" si="49"/>
        <v>16.5</v>
      </c>
      <c r="P1427" t="s">
        <v>662</v>
      </c>
      <c r="R1427" t="s">
        <v>634</v>
      </c>
    </row>
    <row r="1428" spans="1:18" hidden="1">
      <c r="A1428">
        <v>15</v>
      </c>
      <c r="B1428" t="s">
        <v>405</v>
      </c>
      <c r="C1428" t="s">
        <v>483</v>
      </c>
      <c r="G1428">
        <v>4</v>
      </c>
      <c r="J1428" t="s">
        <v>22</v>
      </c>
      <c r="K1428" t="s">
        <v>71</v>
      </c>
      <c r="L1428" t="s">
        <v>33</v>
      </c>
      <c r="M1428" t="s">
        <v>622</v>
      </c>
      <c r="O1428" s="1">
        <f>5*0.5*1</f>
        <v>2.5</v>
      </c>
      <c r="P1428" t="s">
        <v>653</v>
      </c>
      <c r="R1428" t="s">
        <v>634</v>
      </c>
    </row>
    <row r="1429" spans="1:18" hidden="1">
      <c r="A1429">
        <v>15</v>
      </c>
      <c r="B1429" t="s">
        <v>405</v>
      </c>
      <c r="C1429" t="s">
        <v>483</v>
      </c>
      <c r="G1429">
        <v>5</v>
      </c>
      <c r="J1429" t="s">
        <v>22</v>
      </c>
      <c r="K1429" t="s">
        <v>71</v>
      </c>
      <c r="L1429" t="s">
        <v>33</v>
      </c>
      <c r="M1429" t="s">
        <v>622</v>
      </c>
      <c r="O1429" s="1">
        <f t="shared" ref="O1429:O1446" si="50">5*0.5*1</f>
        <v>2.5</v>
      </c>
      <c r="P1429" t="s">
        <v>653</v>
      </c>
      <c r="R1429" t="s">
        <v>634</v>
      </c>
    </row>
    <row r="1430" spans="1:18" hidden="1">
      <c r="A1430">
        <v>15</v>
      </c>
      <c r="B1430" t="s">
        <v>405</v>
      </c>
      <c r="C1430" t="s">
        <v>483</v>
      </c>
      <c r="G1430">
        <v>6</v>
      </c>
      <c r="J1430" t="s">
        <v>22</v>
      </c>
      <c r="K1430" t="s">
        <v>71</v>
      </c>
      <c r="L1430" t="s">
        <v>33</v>
      </c>
      <c r="M1430" t="s">
        <v>622</v>
      </c>
      <c r="O1430" s="1">
        <f t="shared" si="50"/>
        <v>2.5</v>
      </c>
      <c r="P1430" t="s">
        <v>653</v>
      </c>
      <c r="R1430" t="s">
        <v>634</v>
      </c>
    </row>
    <row r="1431" spans="1:18" hidden="1">
      <c r="A1431">
        <v>15</v>
      </c>
      <c r="B1431" t="s">
        <v>405</v>
      </c>
      <c r="C1431" t="s">
        <v>483</v>
      </c>
      <c r="G1431">
        <v>7</v>
      </c>
      <c r="J1431" t="s">
        <v>22</v>
      </c>
      <c r="K1431" t="s">
        <v>71</v>
      </c>
      <c r="L1431" t="s">
        <v>33</v>
      </c>
      <c r="M1431" t="s">
        <v>622</v>
      </c>
      <c r="O1431" s="1">
        <f t="shared" si="50"/>
        <v>2.5</v>
      </c>
      <c r="P1431" t="s">
        <v>653</v>
      </c>
      <c r="R1431" t="s">
        <v>634</v>
      </c>
    </row>
    <row r="1432" spans="1:18" hidden="1">
      <c r="A1432">
        <v>15</v>
      </c>
      <c r="B1432" t="s">
        <v>405</v>
      </c>
      <c r="C1432" t="s">
        <v>483</v>
      </c>
      <c r="G1432">
        <v>8</v>
      </c>
      <c r="J1432" t="s">
        <v>22</v>
      </c>
      <c r="K1432" t="s">
        <v>71</v>
      </c>
      <c r="L1432" t="s">
        <v>33</v>
      </c>
      <c r="M1432" t="s">
        <v>622</v>
      </c>
      <c r="O1432" s="1">
        <f t="shared" si="50"/>
        <v>2.5</v>
      </c>
      <c r="P1432" t="s">
        <v>653</v>
      </c>
      <c r="R1432" t="s">
        <v>634</v>
      </c>
    </row>
    <row r="1433" spans="1:18" hidden="1">
      <c r="A1433">
        <v>15</v>
      </c>
      <c r="B1433" t="s">
        <v>405</v>
      </c>
      <c r="C1433" t="s">
        <v>483</v>
      </c>
      <c r="G1433">
        <v>9</v>
      </c>
      <c r="J1433" t="s">
        <v>22</v>
      </c>
      <c r="K1433" t="s">
        <v>71</v>
      </c>
      <c r="L1433" t="s">
        <v>33</v>
      </c>
      <c r="M1433" t="s">
        <v>622</v>
      </c>
      <c r="O1433" s="1">
        <f t="shared" si="50"/>
        <v>2.5</v>
      </c>
      <c r="P1433" t="s">
        <v>653</v>
      </c>
      <c r="R1433" t="s">
        <v>634</v>
      </c>
    </row>
    <row r="1434" spans="1:18" hidden="1">
      <c r="A1434">
        <v>15</v>
      </c>
      <c r="B1434" t="s">
        <v>405</v>
      </c>
      <c r="C1434" t="s">
        <v>483</v>
      </c>
      <c r="G1434">
        <v>10</v>
      </c>
      <c r="J1434" t="s">
        <v>22</v>
      </c>
      <c r="K1434" t="s">
        <v>71</v>
      </c>
      <c r="L1434" t="s">
        <v>33</v>
      </c>
      <c r="M1434" t="s">
        <v>622</v>
      </c>
      <c r="O1434" s="1">
        <f t="shared" si="50"/>
        <v>2.5</v>
      </c>
      <c r="P1434" t="s">
        <v>653</v>
      </c>
      <c r="R1434" t="s">
        <v>634</v>
      </c>
    </row>
    <row r="1435" spans="1:18" hidden="1">
      <c r="A1435">
        <v>15</v>
      </c>
      <c r="B1435" t="s">
        <v>405</v>
      </c>
      <c r="C1435" t="s">
        <v>483</v>
      </c>
      <c r="G1435">
        <v>11</v>
      </c>
      <c r="J1435" t="s">
        <v>22</v>
      </c>
      <c r="K1435" t="s">
        <v>71</v>
      </c>
      <c r="L1435" t="s">
        <v>33</v>
      </c>
      <c r="M1435" t="s">
        <v>622</v>
      </c>
      <c r="O1435" s="1">
        <f t="shared" si="50"/>
        <v>2.5</v>
      </c>
      <c r="P1435" t="s">
        <v>653</v>
      </c>
      <c r="R1435" t="s">
        <v>634</v>
      </c>
    </row>
    <row r="1436" spans="1:18" hidden="1">
      <c r="A1436">
        <v>15</v>
      </c>
      <c r="B1436" t="s">
        <v>405</v>
      </c>
      <c r="C1436" t="s">
        <v>483</v>
      </c>
      <c r="G1436">
        <v>12</v>
      </c>
      <c r="J1436" t="s">
        <v>22</v>
      </c>
      <c r="K1436" t="s">
        <v>71</v>
      </c>
      <c r="L1436" t="s">
        <v>33</v>
      </c>
      <c r="M1436" t="s">
        <v>622</v>
      </c>
      <c r="O1436" s="1">
        <f t="shared" si="50"/>
        <v>2.5</v>
      </c>
      <c r="P1436" t="s">
        <v>653</v>
      </c>
      <c r="R1436" t="s">
        <v>634</v>
      </c>
    </row>
    <row r="1437" spans="1:18" hidden="1">
      <c r="A1437">
        <v>15</v>
      </c>
      <c r="B1437" t="s">
        <v>405</v>
      </c>
      <c r="C1437" t="s">
        <v>483</v>
      </c>
      <c r="G1437">
        <v>13</v>
      </c>
      <c r="J1437" t="s">
        <v>22</v>
      </c>
      <c r="K1437" t="s">
        <v>71</v>
      </c>
      <c r="L1437" t="s">
        <v>33</v>
      </c>
      <c r="M1437" t="s">
        <v>622</v>
      </c>
      <c r="O1437" s="1">
        <f t="shared" si="50"/>
        <v>2.5</v>
      </c>
      <c r="P1437" t="s">
        <v>653</v>
      </c>
      <c r="R1437" t="s">
        <v>634</v>
      </c>
    </row>
    <row r="1438" spans="1:18" hidden="1">
      <c r="A1438">
        <v>15</v>
      </c>
      <c r="B1438" t="s">
        <v>405</v>
      </c>
      <c r="C1438" t="s">
        <v>483</v>
      </c>
      <c r="G1438">
        <v>14</v>
      </c>
      <c r="J1438" t="s">
        <v>22</v>
      </c>
      <c r="K1438" t="s">
        <v>71</v>
      </c>
      <c r="L1438" t="s">
        <v>33</v>
      </c>
      <c r="M1438" t="s">
        <v>622</v>
      </c>
      <c r="O1438" s="1">
        <f t="shared" si="50"/>
        <v>2.5</v>
      </c>
      <c r="P1438" t="s">
        <v>653</v>
      </c>
      <c r="R1438" t="s">
        <v>634</v>
      </c>
    </row>
    <row r="1439" spans="1:18" hidden="1">
      <c r="A1439">
        <v>15</v>
      </c>
      <c r="B1439" t="s">
        <v>405</v>
      </c>
      <c r="C1439" t="s">
        <v>483</v>
      </c>
      <c r="G1439">
        <v>15</v>
      </c>
      <c r="J1439" t="s">
        <v>22</v>
      </c>
      <c r="K1439" t="s">
        <v>71</v>
      </c>
      <c r="L1439" t="s">
        <v>33</v>
      </c>
      <c r="M1439" t="s">
        <v>622</v>
      </c>
      <c r="O1439" s="1">
        <f t="shared" si="50"/>
        <v>2.5</v>
      </c>
      <c r="P1439" t="s">
        <v>653</v>
      </c>
      <c r="R1439" t="s">
        <v>634</v>
      </c>
    </row>
    <row r="1440" spans="1:18" hidden="1">
      <c r="A1440">
        <v>15</v>
      </c>
      <c r="B1440" t="s">
        <v>405</v>
      </c>
      <c r="C1440" t="s">
        <v>483</v>
      </c>
      <c r="G1440">
        <v>16</v>
      </c>
      <c r="J1440" t="s">
        <v>22</v>
      </c>
      <c r="K1440" t="s">
        <v>71</v>
      </c>
      <c r="L1440" t="s">
        <v>33</v>
      </c>
      <c r="M1440" t="s">
        <v>622</v>
      </c>
      <c r="O1440" s="1">
        <f t="shared" si="50"/>
        <v>2.5</v>
      </c>
      <c r="P1440" t="s">
        <v>653</v>
      </c>
      <c r="R1440" t="s">
        <v>634</v>
      </c>
    </row>
    <row r="1441" spans="1:18" hidden="1">
      <c r="A1441">
        <v>15</v>
      </c>
      <c r="B1441" t="s">
        <v>405</v>
      </c>
      <c r="C1441" t="s">
        <v>483</v>
      </c>
      <c r="G1441">
        <v>17</v>
      </c>
      <c r="J1441" t="s">
        <v>22</v>
      </c>
      <c r="K1441" t="s">
        <v>71</v>
      </c>
      <c r="L1441" t="s">
        <v>33</v>
      </c>
      <c r="M1441" t="s">
        <v>622</v>
      </c>
      <c r="O1441" s="1">
        <f t="shared" si="50"/>
        <v>2.5</v>
      </c>
      <c r="P1441" t="s">
        <v>653</v>
      </c>
      <c r="R1441" t="s">
        <v>634</v>
      </c>
    </row>
    <row r="1442" spans="1:18" hidden="1">
      <c r="A1442">
        <v>15</v>
      </c>
      <c r="B1442" t="s">
        <v>405</v>
      </c>
      <c r="C1442" t="s">
        <v>483</v>
      </c>
      <c r="G1442">
        <v>18</v>
      </c>
      <c r="J1442" t="s">
        <v>22</v>
      </c>
      <c r="K1442" t="s">
        <v>71</v>
      </c>
      <c r="L1442" t="s">
        <v>33</v>
      </c>
      <c r="M1442" t="s">
        <v>622</v>
      </c>
      <c r="O1442" s="1">
        <f t="shared" si="50"/>
        <v>2.5</v>
      </c>
      <c r="P1442" t="s">
        <v>653</v>
      </c>
      <c r="R1442" t="s">
        <v>634</v>
      </c>
    </row>
    <row r="1443" spans="1:18" hidden="1">
      <c r="A1443">
        <v>15</v>
      </c>
      <c r="B1443" t="s">
        <v>405</v>
      </c>
      <c r="C1443" t="s">
        <v>483</v>
      </c>
      <c r="G1443">
        <v>19</v>
      </c>
      <c r="J1443" t="s">
        <v>22</v>
      </c>
      <c r="K1443" t="s">
        <v>71</v>
      </c>
      <c r="L1443" t="s">
        <v>33</v>
      </c>
      <c r="M1443" t="s">
        <v>622</v>
      </c>
      <c r="O1443" s="1">
        <f t="shared" si="50"/>
        <v>2.5</v>
      </c>
      <c r="P1443" t="s">
        <v>653</v>
      </c>
      <c r="R1443" t="s">
        <v>634</v>
      </c>
    </row>
    <row r="1444" spans="1:18" hidden="1">
      <c r="A1444">
        <v>15</v>
      </c>
      <c r="B1444" t="s">
        <v>405</v>
      </c>
      <c r="C1444" t="s">
        <v>483</v>
      </c>
      <c r="G1444">
        <v>20</v>
      </c>
      <c r="J1444" t="s">
        <v>22</v>
      </c>
      <c r="K1444" t="s">
        <v>71</v>
      </c>
      <c r="L1444" t="s">
        <v>33</v>
      </c>
      <c r="M1444" t="s">
        <v>622</v>
      </c>
      <c r="O1444" s="1">
        <f t="shared" si="50"/>
        <v>2.5</v>
      </c>
      <c r="P1444" t="s">
        <v>653</v>
      </c>
      <c r="R1444" t="s">
        <v>634</v>
      </c>
    </row>
    <row r="1445" spans="1:18" hidden="1">
      <c r="A1445">
        <v>15</v>
      </c>
      <c r="B1445" t="s">
        <v>405</v>
      </c>
      <c r="C1445" t="s">
        <v>483</v>
      </c>
      <c r="G1445">
        <v>21</v>
      </c>
      <c r="J1445" t="s">
        <v>22</v>
      </c>
      <c r="K1445" t="s">
        <v>71</v>
      </c>
      <c r="L1445" t="s">
        <v>33</v>
      </c>
      <c r="M1445" t="s">
        <v>622</v>
      </c>
      <c r="O1445" s="1">
        <f t="shared" si="50"/>
        <v>2.5</v>
      </c>
      <c r="P1445" t="s">
        <v>653</v>
      </c>
      <c r="R1445" t="s">
        <v>634</v>
      </c>
    </row>
    <row r="1446" spans="1:18" hidden="1">
      <c r="A1446">
        <v>15</v>
      </c>
      <c r="B1446" t="s">
        <v>405</v>
      </c>
      <c r="C1446" t="s">
        <v>483</v>
      </c>
      <c r="G1446">
        <v>22</v>
      </c>
      <c r="J1446" t="s">
        <v>22</v>
      </c>
      <c r="K1446" t="s">
        <v>71</v>
      </c>
      <c r="L1446" t="s">
        <v>33</v>
      </c>
      <c r="M1446" t="s">
        <v>622</v>
      </c>
      <c r="O1446" s="1">
        <f t="shared" si="50"/>
        <v>2.5</v>
      </c>
      <c r="P1446" t="s">
        <v>653</v>
      </c>
      <c r="R1446" t="s">
        <v>634</v>
      </c>
    </row>
    <row r="1447" spans="1:18" hidden="1">
      <c r="A1447">
        <v>15</v>
      </c>
      <c r="B1447" t="s">
        <v>405</v>
      </c>
      <c r="C1447" t="s">
        <v>483</v>
      </c>
      <c r="G1447">
        <v>4</v>
      </c>
      <c r="J1447" t="s">
        <v>22</v>
      </c>
      <c r="K1447" t="s">
        <v>71</v>
      </c>
      <c r="L1447" t="s">
        <v>33</v>
      </c>
      <c r="M1447" t="s">
        <v>623</v>
      </c>
      <c r="O1447" s="1">
        <f>42.75*1</f>
        <v>42.75</v>
      </c>
      <c r="P1447" t="s">
        <v>904</v>
      </c>
      <c r="R1447" t="s">
        <v>634</v>
      </c>
    </row>
    <row r="1448" spans="1:18" hidden="1">
      <c r="A1448">
        <v>15</v>
      </c>
      <c r="B1448" t="s">
        <v>405</v>
      </c>
      <c r="C1448" t="s">
        <v>483</v>
      </c>
      <c r="G1448">
        <v>5</v>
      </c>
      <c r="J1448" t="s">
        <v>22</v>
      </c>
      <c r="K1448" t="s">
        <v>71</v>
      </c>
      <c r="L1448" t="s">
        <v>33</v>
      </c>
      <c r="M1448" t="s">
        <v>623</v>
      </c>
      <c r="O1448" s="1">
        <f t="shared" ref="O1448:O1465" si="51">42.75*1</f>
        <v>42.75</v>
      </c>
      <c r="P1448" t="s">
        <v>904</v>
      </c>
      <c r="R1448" t="s">
        <v>634</v>
      </c>
    </row>
    <row r="1449" spans="1:18" hidden="1">
      <c r="A1449">
        <v>15</v>
      </c>
      <c r="B1449" t="s">
        <v>405</v>
      </c>
      <c r="C1449" t="s">
        <v>483</v>
      </c>
      <c r="G1449">
        <v>6</v>
      </c>
      <c r="J1449" t="s">
        <v>22</v>
      </c>
      <c r="K1449" t="s">
        <v>71</v>
      </c>
      <c r="L1449" t="s">
        <v>33</v>
      </c>
      <c r="M1449" t="s">
        <v>623</v>
      </c>
      <c r="O1449" s="1">
        <f t="shared" si="51"/>
        <v>42.75</v>
      </c>
      <c r="P1449" t="s">
        <v>904</v>
      </c>
      <c r="R1449" t="s">
        <v>634</v>
      </c>
    </row>
    <row r="1450" spans="1:18" hidden="1">
      <c r="A1450">
        <v>15</v>
      </c>
      <c r="B1450" t="s">
        <v>405</v>
      </c>
      <c r="C1450" t="s">
        <v>483</v>
      </c>
      <c r="G1450">
        <v>7</v>
      </c>
      <c r="J1450" t="s">
        <v>22</v>
      </c>
      <c r="K1450" t="s">
        <v>71</v>
      </c>
      <c r="L1450" t="s">
        <v>33</v>
      </c>
      <c r="M1450" t="s">
        <v>623</v>
      </c>
      <c r="O1450" s="1">
        <f t="shared" si="51"/>
        <v>42.75</v>
      </c>
      <c r="P1450" t="s">
        <v>904</v>
      </c>
      <c r="R1450" t="s">
        <v>634</v>
      </c>
    </row>
    <row r="1451" spans="1:18" hidden="1">
      <c r="A1451">
        <v>15</v>
      </c>
      <c r="B1451" t="s">
        <v>405</v>
      </c>
      <c r="C1451" t="s">
        <v>483</v>
      </c>
      <c r="G1451">
        <v>8</v>
      </c>
      <c r="J1451" t="s">
        <v>22</v>
      </c>
      <c r="K1451" t="s">
        <v>71</v>
      </c>
      <c r="L1451" t="s">
        <v>33</v>
      </c>
      <c r="M1451" t="s">
        <v>623</v>
      </c>
      <c r="O1451" s="1">
        <f t="shared" si="51"/>
        <v>42.75</v>
      </c>
      <c r="P1451" t="s">
        <v>904</v>
      </c>
      <c r="R1451" t="s">
        <v>634</v>
      </c>
    </row>
    <row r="1452" spans="1:18" hidden="1">
      <c r="A1452">
        <v>15</v>
      </c>
      <c r="B1452" t="s">
        <v>405</v>
      </c>
      <c r="C1452" t="s">
        <v>483</v>
      </c>
      <c r="G1452">
        <v>9</v>
      </c>
      <c r="J1452" t="s">
        <v>22</v>
      </c>
      <c r="K1452" t="s">
        <v>71</v>
      </c>
      <c r="L1452" t="s">
        <v>33</v>
      </c>
      <c r="M1452" t="s">
        <v>623</v>
      </c>
      <c r="O1452" s="1">
        <f t="shared" si="51"/>
        <v>42.75</v>
      </c>
      <c r="P1452" t="s">
        <v>904</v>
      </c>
      <c r="R1452" t="s">
        <v>634</v>
      </c>
    </row>
    <row r="1453" spans="1:18" hidden="1">
      <c r="A1453">
        <v>15</v>
      </c>
      <c r="B1453" t="s">
        <v>405</v>
      </c>
      <c r="C1453" t="s">
        <v>483</v>
      </c>
      <c r="G1453">
        <v>10</v>
      </c>
      <c r="J1453" t="s">
        <v>22</v>
      </c>
      <c r="K1453" t="s">
        <v>71</v>
      </c>
      <c r="L1453" t="s">
        <v>33</v>
      </c>
      <c r="M1453" t="s">
        <v>623</v>
      </c>
      <c r="O1453" s="1">
        <f t="shared" si="51"/>
        <v>42.75</v>
      </c>
      <c r="P1453" t="s">
        <v>904</v>
      </c>
      <c r="R1453" t="s">
        <v>634</v>
      </c>
    </row>
    <row r="1454" spans="1:18" hidden="1">
      <c r="A1454">
        <v>15</v>
      </c>
      <c r="B1454" t="s">
        <v>405</v>
      </c>
      <c r="C1454" t="s">
        <v>483</v>
      </c>
      <c r="G1454">
        <v>11</v>
      </c>
      <c r="J1454" t="s">
        <v>22</v>
      </c>
      <c r="K1454" t="s">
        <v>71</v>
      </c>
      <c r="L1454" t="s">
        <v>33</v>
      </c>
      <c r="M1454" t="s">
        <v>623</v>
      </c>
      <c r="O1454" s="1">
        <f t="shared" si="51"/>
        <v>42.75</v>
      </c>
      <c r="P1454" t="s">
        <v>904</v>
      </c>
      <c r="R1454" t="s">
        <v>634</v>
      </c>
    </row>
    <row r="1455" spans="1:18" hidden="1">
      <c r="A1455">
        <v>15</v>
      </c>
      <c r="B1455" t="s">
        <v>405</v>
      </c>
      <c r="C1455" t="s">
        <v>483</v>
      </c>
      <c r="G1455">
        <v>12</v>
      </c>
      <c r="J1455" t="s">
        <v>22</v>
      </c>
      <c r="K1455" t="s">
        <v>71</v>
      </c>
      <c r="L1455" t="s">
        <v>33</v>
      </c>
      <c r="M1455" t="s">
        <v>623</v>
      </c>
      <c r="O1455" s="1">
        <f t="shared" si="51"/>
        <v>42.75</v>
      </c>
      <c r="P1455" t="s">
        <v>904</v>
      </c>
      <c r="R1455" t="s">
        <v>634</v>
      </c>
    </row>
    <row r="1456" spans="1:18" hidden="1">
      <c r="A1456">
        <v>15</v>
      </c>
      <c r="B1456" t="s">
        <v>405</v>
      </c>
      <c r="C1456" t="s">
        <v>483</v>
      </c>
      <c r="G1456">
        <v>13</v>
      </c>
      <c r="J1456" t="s">
        <v>22</v>
      </c>
      <c r="K1456" t="s">
        <v>71</v>
      </c>
      <c r="L1456" t="s">
        <v>33</v>
      </c>
      <c r="M1456" t="s">
        <v>623</v>
      </c>
      <c r="O1456" s="1">
        <f t="shared" si="51"/>
        <v>42.75</v>
      </c>
      <c r="P1456" t="s">
        <v>904</v>
      </c>
      <c r="R1456" t="s">
        <v>634</v>
      </c>
    </row>
    <row r="1457" spans="1:18" hidden="1">
      <c r="A1457">
        <v>15</v>
      </c>
      <c r="B1457" t="s">
        <v>405</v>
      </c>
      <c r="C1457" t="s">
        <v>483</v>
      </c>
      <c r="G1457">
        <v>14</v>
      </c>
      <c r="J1457" t="s">
        <v>22</v>
      </c>
      <c r="K1457" t="s">
        <v>71</v>
      </c>
      <c r="L1457" t="s">
        <v>33</v>
      </c>
      <c r="M1457" t="s">
        <v>623</v>
      </c>
      <c r="O1457" s="1">
        <f t="shared" si="51"/>
        <v>42.75</v>
      </c>
      <c r="P1457" t="s">
        <v>904</v>
      </c>
      <c r="R1457" t="s">
        <v>634</v>
      </c>
    </row>
    <row r="1458" spans="1:18" hidden="1">
      <c r="A1458">
        <v>15</v>
      </c>
      <c r="B1458" t="s">
        <v>405</v>
      </c>
      <c r="C1458" t="s">
        <v>483</v>
      </c>
      <c r="G1458">
        <v>15</v>
      </c>
      <c r="J1458" t="s">
        <v>22</v>
      </c>
      <c r="K1458" t="s">
        <v>71</v>
      </c>
      <c r="L1458" t="s">
        <v>33</v>
      </c>
      <c r="M1458" t="s">
        <v>623</v>
      </c>
      <c r="O1458" s="1">
        <f t="shared" si="51"/>
        <v>42.75</v>
      </c>
      <c r="P1458" t="s">
        <v>904</v>
      </c>
      <c r="R1458" t="s">
        <v>634</v>
      </c>
    </row>
    <row r="1459" spans="1:18" hidden="1">
      <c r="A1459">
        <v>15</v>
      </c>
      <c r="B1459" t="s">
        <v>405</v>
      </c>
      <c r="C1459" t="s">
        <v>483</v>
      </c>
      <c r="G1459">
        <v>16</v>
      </c>
      <c r="J1459" t="s">
        <v>22</v>
      </c>
      <c r="K1459" t="s">
        <v>71</v>
      </c>
      <c r="L1459" t="s">
        <v>33</v>
      </c>
      <c r="M1459" t="s">
        <v>623</v>
      </c>
      <c r="O1459" s="1">
        <f t="shared" si="51"/>
        <v>42.75</v>
      </c>
      <c r="P1459" t="s">
        <v>904</v>
      </c>
      <c r="R1459" t="s">
        <v>634</v>
      </c>
    </row>
    <row r="1460" spans="1:18" hidden="1">
      <c r="A1460">
        <v>15</v>
      </c>
      <c r="B1460" t="s">
        <v>405</v>
      </c>
      <c r="C1460" t="s">
        <v>483</v>
      </c>
      <c r="G1460">
        <v>17</v>
      </c>
      <c r="J1460" t="s">
        <v>22</v>
      </c>
      <c r="K1460" t="s">
        <v>71</v>
      </c>
      <c r="L1460" t="s">
        <v>33</v>
      </c>
      <c r="M1460" t="s">
        <v>623</v>
      </c>
      <c r="O1460" s="1">
        <f t="shared" si="51"/>
        <v>42.75</v>
      </c>
      <c r="P1460" t="s">
        <v>904</v>
      </c>
      <c r="R1460" t="s">
        <v>634</v>
      </c>
    </row>
    <row r="1461" spans="1:18" hidden="1">
      <c r="A1461">
        <v>15</v>
      </c>
      <c r="B1461" t="s">
        <v>405</v>
      </c>
      <c r="C1461" t="s">
        <v>483</v>
      </c>
      <c r="G1461">
        <v>18</v>
      </c>
      <c r="J1461" t="s">
        <v>22</v>
      </c>
      <c r="K1461" t="s">
        <v>71</v>
      </c>
      <c r="L1461" t="s">
        <v>33</v>
      </c>
      <c r="M1461" t="s">
        <v>623</v>
      </c>
      <c r="O1461" s="1">
        <f t="shared" si="51"/>
        <v>42.75</v>
      </c>
      <c r="P1461" t="s">
        <v>904</v>
      </c>
      <c r="R1461" t="s">
        <v>634</v>
      </c>
    </row>
    <row r="1462" spans="1:18" hidden="1">
      <c r="A1462">
        <v>15</v>
      </c>
      <c r="B1462" t="s">
        <v>405</v>
      </c>
      <c r="C1462" t="s">
        <v>483</v>
      </c>
      <c r="G1462">
        <v>19</v>
      </c>
      <c r="J1462" t="s">
        <v>22</v>
      </c>
      <c r="K1462" t="s">
        <v>71</v>
      </c>
      <c r="L1462" t="s">
        <v>33</v>
      </c>
      <c r="M1462" t="s">
        <v>623</v>
      </c>
      <c r="O1462" s="1">
        <f t="shared" si="51"/>
        <v>42.75</v>
      </c>
      <c r="P1462" t="s">
        <v>904</v>
      </c>
      <c r="R1462" t="s">
        <v>634</v>
      </c>
    </row>
    <row r="1463" spans="1:18" hidden="1">
      <c r="A1463">
        <v>15</v>
      </c>
      <c r="B1463" t="s">
        <v>405</v>
      </c>
      <c r="C1463" t="s">
        <v>483</v>
      </c>
      <c r="G1463">
        <v>20</v>
      </c>
      <c r="J1463" t="s">
        <v>22</v>
      </c>
      <c r="K1463" t="s">
        <v>71</v>
      </c>
      <c r="L1463" t="s">
        <v>33</v>
      </c>
      <c r="M1463" t="s">
        <v>623</v>
      </c>
      <c r="O1463" s="1">
        <f t="shared" si="51"/>
        <v>42.75</v>
      </c>
      <c r="P1463" t="s">
        <v>904</v>
      </c>
      <c r="R1463" t="s">
        <v>634</v>
      </c>
    </row>
    <row r="1464" spans="1:18" hidden="1">
      <c r="A1464">
        <v>15</v>
      </c>
      <c r="B1464" t="s">
        <v>405</v>
      </c>
      <c r="C1464" t="s">
        <v>483</v>
      </c>
      <c r="G1464">
        <v>21</v>
      </c>
      <c r="J1464" t="s">
        <v>22</v>
      </c>
      <c r="K1464" t="s">
        <v>71</v>
      </c>
      <c r="L1464" t="s">
        <v>33</v>
      </c>
      <c r="M1464" t="s">
        <v>623</v>
      </c>
      <c r="O1464" s="1">
        <f t="shared" si="51"/>
        <v>42.75</v>
      </c>
      <c r="P1464" t="s">
        <v>904</v>
      </c>
      <c r="R1464" t="s">
        <v>634</v>
      </c>
    </row>
    <row r="1465" spans="1:18" hidden="1">
      <c r="A1465">
        <v>15</v>
      </c>
      <c r="B1465" t="s">
        <v>405</v>
      </c>
      <c r="C1465" t="s">
        <v>483</v>
      </c>
      <c r="G1465">
        <v>22</v>
      </c>
      <c r="J1465" t="s">
        <v>22</v>
      </c>
      <c r="K1465" t="s">
        <v>71</v>
      </c>
      <c r="L1465" t="s">
        <v>33</v>
      </c>
      <c r="M1465" t="s">
        <v>623</v>
      </c>
      <c r="O1465" s="1">
        <f t="shared" si="51"/>
        <v>42.75</v>
      </c>
      <c r="P1465" t="s">
        <v>904</v>
      </c>
      <c r="R1465" t="s">
        <v>634</v>
      </c>
    </row>
    <row r="1466" spans="1:18" hidden="1">
      <c r="A1466">
        <v>15</v>
      </c>
      <c r="B1466" t="s">
        <v>405</v>
      </c>
      <c r="C1466" t="s">
        <v>483</v>
      </c>
      <c r="G1466">
        <v>4</v>
      </c>
      <c r="J1466" t="s">
        <v>22</v>
      </c>
      <c r="K1466" t="s">
        <v>71</v>
      </c>
      <c r="L1466" t="s">
        <v>33</v>
      </c>
      <c r="M1466" t="s">
        <v>624</v>
      </c>
      <c r="O1466" s="1">
        <f>(4/128)*20*1</f>
        <v>0.625</v>
      </c>
      <c r="P1466" t="s">
        <v>654</v>
      </c>
      <c r="R1466" t="s">
        <v>634</v>
      </c>
    </row>
    <row r="1467" spans="1:18" hidden="1">
      <c r="A1467">
        <v>15</v>
      </c>
      <c r="B1467" t="s">
        <v>405</v>
      </c>
      <c r="C1467" t="s">
        <v>483</v>
      </c>
      <c r="G1467">
        <v>5</v>
      </c>
      <c r="J1467" t="s">
        <v>22</v>
      </c>
      <c r="K1467" t="s">
        <v>71</v>
      </c>
      <c r="L1467" t="s">
        <v>33</v>
      </c>
      <c r="M1467" t="s">
        <v>624</v>
      </c>
      <c r="O1467" s="1">
        <f t="shared" ref="O1467:O1484" si="52">(4/128)*20*1</f>
        <v>0.625</v>
      </c>
      <c r="P1467" t="s">
        <v>654</v>
      </c>
      <c r="R1467" t="s">
        <v>634</v>
      </c>
    </row>
    <row r="1468" spans="1:18" hidden="1">
      <c r="A1468">
        <v>15</v>
      </c>
      <c r="B1468" t="s">
        <v>405</v>
      </c>
      <c r="C1468" t="s">
        <v>483</v>
      </c>
      <c r="G1468">
        <v>6</v>
      </c>
      <c r="J1468" t="s">
        <v>22</v>
      </c>
      <c r="K1468" t="s">
        <v>71</v>
      </c>
      <c r="L1468" t="s">
        <v>33</v>
      </c>
      <c r="M1468" t="s">
        <v>624</v>
      </c>
      <c r="O1468" s="1">
        <f t="shared" si="52"/>
        <v>0.625</v>
      </c>
      <c r="P1468" t="s">
        <v>654</v>
      </c>
      <c r="R1468" t="s">
        <v>634</v>
      </c>
    </row>
    <row r="1469" spans="1:18" hidden="1">
      <c r="A1469">
        <v>15</v>
      </c>
      <c r="B1469" t="s">
        <v>405</v>
      </c>
      <c r="C1469" t="s">
        <v>483</v>
      </c>
      <c r="G1469">
        <v>7</v>
      </c>
      <c r="J1469" t="s">
        <v>22</v>
      </c>
      <c r="K1469" t="s">
        <v>71</v>
      </c>
      <c r="L1469" t="s">
        <v>33</v>
      </c>
      <c r="M1469" t="s">
        <v>624</v>
      </c>
      <c r="O1469" s="1">
        <f t="shared" si="52"/>
        <v>0.625</v>
      </c>
      <c r="P1469" t="s">
        <v>654</v>
      </c>
      <c r="R1469" t="s">
        <v>634</v>
      </c>
    </row>
    <row r="1470" spans="1:18" hidden="1">
      <c r="A1470">
        <v>15</v>
      </c>
      <c r="B1470" t="s">
        <v>405</v>
      </c>
      <c r="C1470" t="s">
        <v>483</v>
      </c>
      <c r="G1470">
        <v>8</v>
      </c>
      <c r="J1470" t="s">
        <v>22</v>
      </c>
      <c r="K1470" t="s">
        <v>71</v>
      </c>
      <c r="L1470" t="s">
        <v>33</v>
      </c>
      <c r="M1470" t="s">
        <v>624</v>
      </c>
      <c r="O1470" s="1">
        <f t="shared" si="52"/>
        <v>0.625</v>
      </c>
      <c r="P1470" t="s">
        <v>654</v>
      </c>
      <c r="R1470" t="s">
        <v>634</v>
      </c>
    </row>
    <row r="1471" spans="1:18" hidden="1">
      <c r="A1471">
        <v>15</v>
      </c>
      <c r="B1471" t="s">
        <v>405</v>
      </c>
      <c r="C1471" t="s">
        <v>483</v>
      </c>
      <c r="G1471">
        <v>9</v>
      </c>
      <c r="J1471" t="s">
        <v>22</v>
      </c>
      <c r="K1471" t="s">
        <v>71</v>
      </c>
      <c r="L1471" t="s">
        <v>33</v>
      </c>
      <c r="M1471" t="s">
        <v>624</v>
      </c>
      <c r="O1471" s="1">
        <f t="shared" si="52"/>
        <v>0.625</v>
      </c>
      <c r="P1471" t="s">
        <v>654</v>
      </c>
      <c r="R1471" t="s">
        <v>634</v>
      </c>
    </row>
    <row r="1472" spans="1:18" hidden="1">
      <c r="A1472">
        <v>15</v>
      </c>
      <c r="B1472" t="s">
        <v>405</v>
      </c>
      <c r="C1472" t="s">
        <v>483</v>
      </c>
      <c r="G1472">
        <v>10</v>
      </c>
      <c r="J1472" t="s">
        <v>22</v>
      </c>
      <c r="K1472" t="s">
        <v>71</v>
      </c>
      <c r="L1472" t="s">
        <v>33</v>
      </c>
      <c r="M1472" t="s">
        <v>624</v>
      </c>
      <c r="O1472" s="1">
        <f t="shared" si="52"/>
        <v>0.625</v>
      </c>
      <c r="P1472" t="s">
        <v>654</v>
      </c>
      <c r="R1472" t="s">
        <v>634</v>
      </c>
    </row>
    <row r="1473" spans="1:18" hidden="1">
      <c r="A1473">
        <v>15</v>
      </c>
      <c r="B1473" t="s">
        <v>405</v>
      </c>
      <c r="C1473" t="s">
        <v>483</v>
      </c>
      <c r="G1473">
        <v>11</v>
      </c>
      <c r="J1473" t="s">
        <v>22</v>
      </c>
      <c r="K1473" t="s">
        <v>71</v>
      </c>
      <c r="L1473" t="s">
        <v>33</v>
      </c>
      <c r="M1473" t="s">
        <v>624</v>
      </c>
      <c r="O1473" s="1">
        <f t="shared" si="52"/>
        <v>0.625</v>
      </c>
      <c r="P1473" t="s">
        <v>654</v>
      </c>
      <c r="R1473" t="s">
        <v>634</v>
      </c>
    </row>
    <row r="1474" spans="1:18" hidden="1">
      <c r="A1474">
        <v>15</v>
      </c>
      <c r="B1474" t="s">
        <v>405</v>
      </c>
      <c r="C1474" t="s">
        <v>483</v>
      </c>
      <c r="G1474">
        <v>12</v>
      </c>
      <c r="J1474" t="s">
        <v>22</v>
      </c>
      <c r="K1474" t="s">
        <v>71</v>
      </c>
      <c r="L1474" t="s">
        <v>33</v>
      </c>
      <c r="M1474" t="s">
        <v>624</v>
      </c>
      <c r="O1474" s="1">
        <f t="shared" si="52"/>
        <v>0.625</v>
      </c>
      <c r="P1474" t="s">
        <v>654</v>
      </c>
      <c r="R1474" t="s">
        <v>634</v>
      </c>
    </row>
    <row r="1475" spans="1:18" hidden="1">
      <c r="A1475">
        <v>15</v>
      </c>
      <c r="B1475" t="s">
        <v>405</v>
      </c>
      <c r="C1475" t="s">
        <v>483</v>
      </c>
      <c r="G1475">
        <v>13</v>
      </c>
      <c r="J1475" t="s">
        <v>22</v>
      </c>
      <c r="K1475" t="s">
        <v>71</v>
      </c>
      <c r="L1475" t="s">
        <v>33</v>
      </c>
      <c r="M1475" t="s">
        <v>624</v>
      </c>
      <c r="O1475" s="1">
        <f t="shared" si="52"/>
        <v>0.625</v>
      </c>
      <c r="P1475" t="s">
        <v>654</v>
      </c>
      <c r="R1475" t="s">
        <v>634</v>
      </c>
    </row>
    <row r="1476" spans="1:18" hidden="1">
      <c r="A1476">
        <v>15</v>
      </c>
      <c r="B1476" t="s">
        <v>405</v>
      </c>
      <c r="C1476" t="s">
        <v>483</v>
      </c>
      <c r="G1476">
        <v>14</v>
      </c>
      <c r="J1476" t="s">
        <v>22</v>
      </c>
      <c r="K1476" t="s">
        <v>71</v>
      </c>
      <c r="L1476" t="s">
        <v>33</v>
      </c>
      <c r="M1476" t="s">
        <v>624</v>
      </c>
      <c r="O1476" s="1">
        <f t="shared" si="52"/>
        <v>0.625</v>
      </c>
      <c r="P1476" t="s">
        <v>654</v>
      </c>
      <c r="R1476" t="s">
        <v>634</v>
      </c>
    </row>
    <row r="1477" spans="1:18" hidden="1">
      <c r="A1477">
        <v>15</v>
      </c>
      <c r="B1477" t="s">
        <v>405</v>
      </c>
      <c r="C1477" t="s">
        <v>483</v>
      </c>
      <c r="G1477">
        <v>15</v>
      </c>
      <c r="J1477" t="s">
        <v>22</v>
      </c>
      <c r="K1477" t="s">
        <v>71</v>
      </c>
      <c r="L1477" t="s">
        <v>33</v>
      </c>
      <c r="M1477" t="s">
        <v>624</v>
      </c>
      <c r="O1477" s="1">
        <f t="shared" si="52"/>
        <v>0.625</v>
      </c>
      <c r="P1477" t="s">
        <v>654</v>
      </c>
      <c r="R1477" t="s">
        <v>634</v>
      </c>
    </row>
    <row r="1478" spans="1:18" hidden="1">
      <c r="A1478">
        <v>15</v>
      </c>
      <c r="B1478" t="s">
        <v>405</v>
      </c>
      <c r="C1478" t="s">
        <v>483</v>
      </c>
      <c r="G1478">
        <v>16</v>
      </c>
      <c r="J1478" t="s">
        <v>22</v>
      </c>
      <c r="K1478" t="s">
        <v>71</v>
      </c>
      <c r="L1478" t="s">
        <v>33</v>
      </c>
      <c r="M1478" t="s">
        <v>624</v>
      </c>
      <c r="O1478" s="1">
        <f t="shared" si="52"/>
        <v>0.625</v>
      </c>
      <c r="P1478" t="s">
        <v>654</v>
      </c>
      <c r="R1478" t="s">
        <v>634</v>
      </c>
    </row>
    <row r="1479" spans="1:18" hidden="1">
      <c r="A1479">
        <v>15</v>
      </c>
      <c r="B1479" t="s">
        <v>405</v>
      </c>
      <c r="C1479" t="s">
        <v>483</v>
      </c>
      <c r="G1479">
        <v>17</v>
      </c>
      <c r="J1479" t="s">
        <v>22</v>
      </c>
      <c r="K1479" t="s">
        <v>71</v>
      </c>
      <c r="L1479" t="s">
        <v>33</v>
      </c>
      <c r="M1479" t="s">
        <v>624</v>
      </c>
      <c r="O1479" s="1">
        <f t="shared" si="52"/>
        <v>0.625</v>
      </c>
      <c r="P1479" t="s">
        <v>654</v>
      </c>
      <c r="R1479" t="s">
        <v>634</v>
      </c>
    </row>
    <row r="1480" spans="1:18" hidden="1">
      <c r="A1480">
        <v>15</v>
      </c>
      <c r="B1480" t="s">
        <v>405</v>
      </c>
      <c r="C1480" t="s">
        <v>483</v>
      </c>
      <c r="G1480">
        <v>18</v>
      </c>
      <c r="J1480" t="s">
        <v>22</v>
      </c>
      <c r="K1480" t="s">
        <v>71</v>
      </c>
      <c r="L1480" t="s">
        <v>33</v>
      </c>
      <c r="M1480" t="s">
        <v>624</v>
      </c>
      <c r="O1480" s="1">
        <f t="shared" si="52"/>
        <v>0.625</v>
      </c>
      <c r="P1480" t="s">
        <v>654</v>
      </c>
      <c r="R1480" t="s">
        <v>634</v>
      </c>
    </row>
    <row r="1481" spans="1:18" hidden="1">
      <c r="A1481">
        <v>15</v>
      </c>
      <c r="B1481" t="s">
        <v>405</v>
      </c>
      <c r="C1481" t="s">
        <v>483</v>
      </c>
      <c r="G1481">
        <v>19</v>
      </c>
      <c r="J1481" t="s">
        <v>22</v>
      </c>
      <c r="K1481" t="s">
        <v>71</v>
      </c>
      <c r="L1481" t="s">
        <v>33</v>
      </c>
      <c r="M1481" t="s">
        <v>624</v>
      </c>
      <c r="O1481" s="1">
        <f t="shared" si="52"/>
        <v>0.625</v>
      </c>
      <c r="P1481" t="s">
        <v>654</v>
      </c>
      <c r="R1481" t="s">
        <v>634</v>
      </c>
    </row>
    <row r="1482" spans="1:18" hidden="1">
      <c r="A1482">
        <v>15</v>
      </c>
      <c r="B1482" t="s">
        <v>405</v>
      </c>
      <c r="C1482" t="s">
        <v>483</v>
      </c>
      <c r="G1482">
        <v>20</v>
      </c>
      <c r="J1482" t="s">
        <v>22</v>
      </c>
      <c r="K1482" t="s">
        <v>71</v>
      </c>
      <c r="L1482" t="s">
        <v>33</v>
      </c>
      <c r="M1482" t="s">
        <v>624</v>
      </c>
      <c r="O1482" s="1">
        <f t="shared" si="52"/>
        <v>0.625</v>
      </c>
      <c r="P1482" t="s">
        <v>654</v>
      </c>
      <c r="R1482" t="s">
        <v>634</v>
      </c>
    </row>
    <row r="1483" spans="1:18" hidden="1">
      <c r="A1483">
        <v>15</v>
      </c>
      <c r="B1483" t="s">
        <v>405</v>
      </c>
      <c r="C1483" t="s">
        <v>483</v>
      </c>
      <c r="G1483">
        <v>21</v>
      </c>
      <c r="J1483" t="s">
        <v>22</v>
      </c>
      <c r="K1483" t="s">
        <v>71</v>
      </c>
      <c r="L1483" t="s">
        <v>33</v>
      </c>
      <c r="M1483" t="s">
        <v>624</v>
      </c>
      <c r="O1483" s="1">
        <f t="shared" si="52"/>
        <v>0.625</v>
      </c>
      <c r="P1483" t="s">
        <v>654</v>
      </c>
      <c r="R1483" t="s">
        <v>634</v>
      </c>
    </row>
    <row r="1484" spans="1:18" hidden="1">
      <c r="A1484">
        <v>15</v>
      </c>
      <c r="B1484" t="s">
        <v>405</v>
      </c>
      <c r="C1484" t="s">
        <v>483</v>
      </c>
      <c r="G1484">
        <v>22</v>
      </c>
      <c r="J1484" t="s">
        <v>22</v>
      </c>
      <c r="K1484" t="s">
        <v>71</v>
      </c>
      <c r="L1484" t="s">
        <v>33</v>
      </c>
      <c r="M1484" t="s">
        <v>624</v>
      </c>
      <c r="O1484" s="1">
        <f t="shared" si="52"/>
        <v>0.625</v>
      </c>
      <c r="P1484" t="s">
        <v>654</v>
      </c>
      <c r="R1484" t="s">
        <v>634</v>
      </c>
    </row>
    <row r="1485" spans="1:18">
      <c r="A1485">
        <v>15</v>
      </c>
      <c r="B1485" t="s">
        <v>405</v>
      </c>
      <c r="C1485" t="s">
        <v>483</v>
      </c>
      <c r="G1485">
        <v>4</v>
      </c>
      <c r="H1485" s="263"/>
      <c r="J1485" t="s">
        <v>22</v>
      </c>
      <c r="K1485" t="s">
        <v>30</v>
      </c>
      <c r="L1485" t="s">
        <v>33</v>
      </c>
      <c r="M1485" t="s">
        <v>625</v>
      </c>
      <c r="N1485" s="263">
        <v>0.6</v>
      </c>
      <c r="O1485" s="1">
        <f>0.6*20*1</f>
        <v>12</v>
      </c>
      <c r="P1485" t="s">
        <v>651</v>
      </c>
      <c r="R1485" t="s">
        <v>634</v>
      </c>
    </row>
    <row r="1486" spans="1:18">
      <c r="A1486">
        <v>15</v>
      </c>
      <c r="B1486" t="s">
        <v>405</v>
      </c>
      <c r="C1486" t="s">
        <v>483</v>
      </c>
      <c r="G1486">
        <v>5</v>
      </c>
      <c r="H1486" s="263"/>
      <c r="J1486" t="s">
        <v>22</v>
      </c>
      <c r="K1486" t="s">
        <v>30</v>
      </c>
      <c r="L1486" t="s">
        <v>33</v>
      </c>
      <c r="M1486" t="s">
        <v>625</v>
      </c>
      <c r="N1486" s="263">
        <v>0.6</v>
      </c>
      <c r="O1486" s="1">
        <f t="shared" ref="O1486:O1503" si="53">0.6*20*1</f>
        <v>12</v>
      </c>
      <c r="P1486" t="s">
        <v>651</v>
      </c>
      <c r="R1486" t="s">
        <v>634</v>
      </c>
    </row>
    <row r="1487" spans="1:18">
      <c r="A1487">
        <v>15</v>
      </c>
      <c r="B1487" t="s">
        <v>405</v>
      </c>
      <c r="C1487" t="s">
        <v>483</v>
      </c>
      <c r="G1487">
        <v>6</v>
      </c>
      <c r="H1487" s="263"/>
      <c r="J1487" t="s">
        <v>22</v>
      </c>
      <c r="K1487" t="s">
        <v>30</v>
      </c>
      <c r="L1487" t="s">
        <v>33</v>
      </c>
      <c r="M1487" t="s">
        <v>625</v>
      </c>
      <c r="N1487" s="263">
        <v>0.6</v>
      </c>
      <c r="O1487" s="1">
        <f t="shared" si="53"/>
        <v>12</v>
      </c>
      <c r="P1487" t="s">
        <v>651</v>
      </c>
      <c r="R1487" t="s">
        <v>634</v>
      </c>
    </row>
    <row r="1488" spans="1:18">
      <c r="A1488">
        <v>15</v>
      </c>
      <c r="B1488" t="s">
        <v>405</v>
      </c>
      <c r="C1488" t="s">
        <v>483</v>
      </c>
      <c r="G1488">
        <v>7</v>
      </c>
      <c r="H1488" s="263"/>
      <c r="J1488" t="s">
        <v>22</v>
      </c>
      <c r="K1488" t="s">
        <v>30</v>
      </c>
      <c r="L1488" t="s">
        <v>33</v>
      </c>
      <c r="M1488" t="s">
        <v>625</v>
      </c>
      <c r="N1488" s="263">
        <v>0.6</v>
      </c>
      <c r="O1488" s="1">
        <f t="shared" si="53"/>
        <v>12</v>
      </c>
      <c r="P1488" t="s">
        <v>651</v>
      </c>
      <c r="R1488" t="s">
        <v>634</v>
      </c>
    </row>
    <row r="1489" spans="1:18">
      <c r="A1489">
        <v>15</v>
      </c>
      <c r="B1489" t="s">
        <v>405</v>
      </c>
      <c r="C1489" t="s">
        <v>483</v>
      </c>
      <c r="G1489">
        <v>8</v>
      </c>
      <c r="H1489" s="263"/>
      <c r="J1489" t="s">
        <v>22</v>
      </c>
      <c r="K1489" t="s">
        <v>30</v>
      </c>
      <c r="L1489" t="s">
        <v>33</v>
      </c>
      <c r="M1489" t="s">
        <v>625</v>
      </c>
      <c r="N1489" s="263">
        <v>0.6</v>
      </c>
      <c r="O1489" s="1">
        <f t="shared" si="53"/>
        <v>12</v>
      </c>
      <c r="P1489" t="s">
        <v>651</v>
      </c>
      <c r="R1489" t="s">
        <v>634</v>
      </c>
    </row>
    <row r="1490" spans="1:18">
      <c r="A1490">
        <v>15</v>
      </c>
      <c r="B1490" t="s">
        <v>405</v>
      </c>
      <c r="C1490" t="s">
        <v>483</v>
      </c>
      <c r="G1490">
        <v>9</v>
      </c>
      <c r="H1490" s="263"/>
      <c r="J1490" t="s">
        <v>22</v>
      </c>
      <c r="K1490" t="s">
        <v>30</v>
      </c>
      <c r="L1490" t="s">
        <v>33</v>
      </c>
      <c r="M1490" t="s">
        <v>625</v>
      </c>
      <c r="N1490" s="263">
        <v>0.6</v>
      </c>
      <c r="O1490" s="1">
        <f t="shared" si="53"/>
        <v>12</v>
      </c>
      <c r="P1490" t="s">
        <v>651</v>
      </c>
      <c r="R1490" t="s">
        <v>634</v>
      </c>
    </row>
    <row r="1491" spans="1:18">
      <c r="A1491">
        <v>15</v>
      </c>
      <c r="B1491" t="s">
        <v>405</v>
      </c>
      <c r="C1491" t="s">
        <v>483</v>
      </c>
      <c r="G1491">
        <v>10</v>
      </c>
      <c r="H1491" s="263"/>
      <c r="J1491" t="s">
        <v>22</v>
      </c>
      <c r="K1491" t="s">
        <v>30</v>
      </c>
      <c r="L1491" t="s">
        <v>33</v>
      </c>
      <c r="M1491" t="s">
        <v>625</v>
      </c>
      <c r="N1491" s="263">
        <v>0.6</v>
      </c>
      <c r="O1491" s="1">
        <f t="shared" si="53"/>
        <v>12</v>
      </c>
      <c r="P1491" t="s">
        <v>651</v>
      </c>
      <c r="R1491" t="s">
        <v>634</v>
      </c>
    </row>
    <row r="1492" spans="1:18">
      <c r="A1492">
        <v>15</v>
      </c>
      <c r="B1492" t="s">
        <v>405</v>
      </c>
      <c r="C1492" t="s">
        <v>483</v>
      </c>
      <c r="G1492">
        <v>11</v>
      </c>
      <c r="H1492" s="263"/>
      <c r="J1492" t="s">
        <v>22</v>
      </c>
      <c r="K1492" t="s">
        <v>30</v>
      </c>
      <c r="L1492" t="s">
        <v>33</v>
      </c>
      <c r="M1492" t="s">
        <v>625</v>
      </c>
      <c r="N1492" s="263">
        <v>0.6</v>
      </c>
      <c r="O1492" s="1">
        <f t="shared" si="53"/>
        <v>12</v>
      </c>
      <c r="P1492" t="s">
        <v>651</v>
      </c>
      <c r="R1492" t="s">
        <v>634</v>
      </c>
    </row>
    <row r="1493" spans="1:18">
      <c r="A1493">
        <v>15</v>
      </c>
      <c r="B1493" t="s">
        <v>405</v>
      </c>
      <c r="C1493" t="s">
        <v>483</v>
      </c>
      <c r="G1493">
        <v>12</v>
      </c>
      <c r="H1493" s="263"/>
      <c r="J1493" t="s">
        <v>22</v>
      </c>
      <c r="K1493" t="s">
        <v>30</v>
      </c>
      <c r="L1493" t="s">
        <v>33</v>
      </c>
      <c r="M1493" t="s">
        <v>625</v>
      </c>
      <c r="N1493" s="263">
        <v>0.6</v>
      </c>
      <c r="O1493" s="1">
        <f t="shared" si="53"/>
        <v>12</v>
      </c>
      <c r="P1493" t="s">
        <v>651</v>
      </c>
      <c r="R1493" t="s">
        <v>634</v>
      </c>
    </row>
    <row r="1494" spans="1:18">
      <c r="A1494">
        <v>15</v>
      </c>
      <c r="B1494" t="s">
        <v>405</v>
      </c>
      <c r="C1494" t="s">
        <v>483</v>
      </c>
      <c r="G1494">
        <v>13</v>
      </c>
      <c r="H1494" s="263"/>
      <c r="J1494" t="s">
        <v>22</v>
      </c>
      <c r="K1494" t="s">
        <v>30</v>
      </c>
      <c r="L1494" t="s">
        <v>33</v>
      </c>
      <c r="M1494" t="s">
        <v>625</v>
      </c>
      <c r="N1494" s="263">
        <v>0.6</v>
      </c>
      <c r="O1494" s="1">
        <f t="shared" si="53"/>
        <v>12</v>
      </c>
      <c r="P1494" t="s">
        <v>651</v>
      </c>
      <c r="R1494" t="s">
        <v>634</v>
      </c>
    </row>
    <row r="1495" spans="1:18">
      <c r="A1495">
        <v>15</v>
      </c>
      <c r="B1495" t="s">
        <v>405</v>
      </c>
      <c r="C1495" t="s">
        <v>483</v>
      </c>
      <c r="G1495">
        <v>14</v>
      </c>
      <c r="H1495" s="263"/>
      <c r="J1495" t="s">
        <v>22</v>
      </c>
      <c r="K1495" t="s">
        <v>30</v>
      </c>
      <c r="L1495" t="s">
        <v>33</v>
      </c>
      <c r="M1495" t="s">
        <v>625</v>
      </c>
      <c r="N1495" s="263">
        <v>0.6</v>
      </c>
      <c r="O1495" s="1">
        <f t="shared" si="53"/>
        <v>12</v>
      </c>
      <c r="P1495" t="s">
        <v>651</v>
      </c>
      <c r="R1495" t="s">
        <v>634</v>
      </c>
    </row>
    <row r="1496" spans="1:18">
      <c r="A1496">
        <v>15</v>
      </c>
      <c r="B1496" t="s">
        <v>405</v>
      </c>
      <c r="C1496" t="s">
        <v>483</v>
      </c>
      <c r="G1496">
        <v>15</v>
      </c>
      <c r="H1496" s="263"/>
      <c r="J1496" t="s">
        <v>22</v>
      </c>
      <c r="K1496" t="s">
        <v>30</v>
      </c>
      <c r="L1496" t="s">
        <v>33</v>
      </c>
      <c r="M1496" t="s">
        <v>625</v>
      </c>
      <c r="N1496" s="263">
        <v>0.6</v>
      </c>
      <c r="O1496" s="1">
        <f t="shared" si="53"/>
        <v>12</v>
      </c>
      <c r="P1496" t="s">
        <v>651</v>
      </c>
      <c r="R1496" t="s">
        <v>634</v>
      </c>
    </row>
    <row r="1497" spans="1:18">
      <c r="A1497">
        <v>15</v>
      </c>
      <c r="B1497" t="s">
        <v>405</v>
      </c>
      <c r="C1497" t="s">
        <v>483</v>
      </c>
      <c r="G1497">
        <v>16</v>
      </c>
      <c r="H1497" s="263"/>
      <c r="J1497" t="s">
        <v>22</v>
      </c>
      <c r="K1497" t="s">
        <v>30</v>
      </c>
      <c r="L1497" t="s">
        <v>33</v>
      </c>
      <c r="M1497" t="s">
        <v>625</v>
      </c>
      <c r="N1497" s="263">
        <v>0.6</v>
      </c>
      <c r="O1497" s="1">
        <f t="shared" si="53"/>
        <v>12</v>
      </c>
      <c r="P1497" t="s">
        <v>651</v>
      </c>
      <c r="R1497" t="s">
        <v>634</v>
      </c>
    </row>
    <row r="1498" spans="1:18">
      <c r="A1498">
        <v>15</v>
      </c>
      <c r="B1498" t="s">
        <v>405</v>
      </c>
      <c r="C1498" t="s">
        <v>483</v>
      </c>
      <c r="G1498">
        <v>17</v>
      </c>
      <c r="H1498" s="263"/>
      <c r="J1498" t="s">
        <v>22</v>
      </c>
      <c r="K1498" t="s">
        <v>30</v>
      </c>
      <c r="L1498" t="s">
        <v>33</v>
      </c>
      <c r="M1498" t="s">
        <v>625</v>
      </c>
      <c r="N1498" s="263">
        <v>0.6</v>
      </c>
      <c r="O1498" s="1">
        <f t="shared" si="53"/>
        <v>12</v>
      </c>
      <c r="P1498" t="s">
        <v>651</v>
      </c>
      <c r="R1498" t="s">
        <v>634</v>
      </c>
    </row>
    <row r="1499" spans="1:18">
      <c r="A1499">
        <v>15</v>
      </c>
      <c r="B1499" t="s">
        <v>405</v>
      </c>
      <c r="C1499" t="s">
        <v>483</v>
      </c>
      <c r="G1499">
        <v>18</v>
      </c>
      <c r="H1499" s="263"/>
      <c r="J1499" t="s">
        <v>22</v>
      </c>
      <c r="K1499" t="s">
        <v>30</v>
      </c>
      <c r="L1499" t="s">
        <v>33</v>
      </c>
      <c r="M1499" t="s">
        <v>625</v>
      </c>
      <c r="N1499" s="263">
        <v>0.6</v>
      </c>
      <c r="O1499" s="1">
        <f t="shared" si="53"/>
        <v>12</v>
      </c>
      <c r="P1499" t="s">
        <v>651</v>
      </c>
      <c r="R1499" t="s">
        <v>634</v>
      </c>
    </row>
    <row r="1500" spans="1:18">
      <c r="A1500">
        <v>15</v>
      </c>
      <c r="B1500" t="s">
        <v>405</v>
      </c>
      <c r="C1500" t="s">
        <v>483</v>
      </c>
      <c r="G1500">
        <v>19</v>
      </c>
      <c r="H1500" s="263"/>
      <c r="J1500" t="s">
        <v>22</v>
      </c>
      <c r="K1500" t="s">
        <v>30</v>
      </c>
      <c r="L1500" t="s">
        <v>33</v>
      </c>
      <c r="M1500" t="s">
        <v>625</v>
      </c>
      <c r="N1500" s="263">
        <v>0.6</v>
      </c>
      <c r="O1500" s="1">
        <f t="shared" si="53"/>
        <v>12</v>
      </c>
      <c r="P1500" t="s">
        <v>651</v>
      </c>
      <c r="R1500" t="s">
        <v>634</v>
      </c>
    </row>
    <row r="1501" spans="1:18">
      <c r="A1501">
        <v>15</v>
      </c>
      <c r="B1501" t="s">
        <v>405</v>
      </c>
      <c r="C1501" t="s">
        <v>483</v>
      </c>
      <c r="G1501">
        <v>20</v>
      </c>
      <c r="H1501" s="263"/>
      <c r="J1501" t="s">
        <v>22</v>
      </c>
      <c r="K1501" t="s">
        <v>30</v>
      </c>
      <c r="L1501" t="s">
        <v>33</v>
      </c>
      <c r="M1501" t="s">
        <v>625</v>
      </c>
      <c r="N1501" s="263">
        <v>0.6</v>
      </c>
      <c r="O1501" s="1">
        <f t="shared" si="53"/>
        <v>12</v>
      </c>
      <c r="P1501" t="s">
        <v>651</v>
      </c>
      <c r="R1501" t="s">
        <v>634</v>
      </c>
    </row>
    <row r="1502" spans="1:18">
      <c r="A1502">
        <v>15</v>
      </c>
      <c r="B1502" t="s">
        <v>405</v>
      </c>
      <c r="C1502" t="s">
        <v>483</v>
      </c>
      <c r="G1502">
        <v>21</v>
      </c>
      <c r="H1502" s="263"/>
      <c r="J1502" t="s">
        <v>22</v>
      </c>
      <c r="K1502" t="s">
        <v>30</v>
      </c>
      <c r="L1502" t="s">
        <v>33</v>
      </c>
      <c r="M1502" t="s">
        <v>625</v>
      </c>
      <c r="N1502" s="263">
        <v>0.6</v>
      </c>
      <c r="O1502" s="1">
        <f t="shared" si="53"/>
        <v>12</v>
      </c>
      <c r="P1502" t="s">
        <v>651</v>
      </c>
      <c r="R1502" t="s">
        <v>634</v>
      </c>
    </row>
    <row r="1503" spans="1:18">
      <c r="A1503">
        <v>15</v>
      </c>
      <c r="B1503" t="s">
        <v>405</v>
      </c>
      <c r="C1503" t="s">
        <v>483</v>
      </c>
      <c r="G1503">
        <v>22</v>
      </c>
      <c r="H1503" s="263"/>
      <c r="J1503" t="s">
        <v>22</v>
      </c>
      <c r="K1503" t="s">
        <v>30</v>
      </c>
      <c r="L1503" t="s">
        <v>33</v>
      </c>
      <c r="M1503" t="s">
        <v>625</v>
      </c>
      <c r="N1503" s="263">
        <v>0.6</v>
      </c>
      <c r="O1503" s="1">
        <f t="shared" si="53"/>
        <v>12</v>
      </c>
      <c r="P1503" t="s">
        <v>651</v>
      </c>
      <c r="R1503" t="s">
        <v>634</v>
      </c>
    </row>
    <row r="1504" spans="1:18" hidden="1">
      <c r="A1504">
        <v>15</v>
      </c>
      <c r="B1504" t="s">
        <v>405</v>
      </c>
      <c r="C1504" t="s">
        <v>483</v>
      </c>
      <c r="G1504">
        <v>4</v>
      </c>
      <c r="J1504" t="s">
        <v>22</v>
      </c>
      <c r="K1504" t="s">
        <v>408</v>
      </c>
      <c r="L1504" t="s">
        <v>33</v>
      </c>
      <c r="M1504" t="s">
        <v>626</v>
      </c>
      <c r="O1504" s="1">
        <v>13.97</v>
      </c>
      <c r="P1504" t="s">
        <v>903</v>
      </c>
      <c r="R1504" t="s">
        <v>634</v>
      </c>
    </row>
    <row r="1505" spans="1:18" hidden="1">
      <c r="A1505">
        <v>15</v>
      </c>
      <c r="B1505" t="s">
        <v>405</v>
      </c>
      <c r="C1505" t="s">
        <v>483</v>
      </c>
      <c r="G1505">
        <v>5</v>
      </c>
      <c r="J1505" t="s">
        <v>22</v>
      </c>
      <c r="K1505" t="s">
        <v>408</v>
      </c>
      <c r="L1505" t="s">
        <v>33</v>
      </c>
      <c r="M1505" t="s">
        <v>626</v>
      </c>
      <c r="O1505" s="1">
        <v>13.97</v>
      </c>
      <c r="P1505" t="s">
        <v>903</v>
      </c>
      <c r="R1505" t="s">
        <v>634</v>
      </c>
    </row>
    <row r="1506" spans="1:18" hidden="1">
      <c r="A1506">
        <v>15</v>
      </c>
      <c r="B1506" t="s">
        <v>405</v>
      </c>
      <c r="C1506" t="s">
        <v>483</v>
      </c>
      <c r="G1506">
        <v>6</v>
      </c>
      <c r="J1506" t="s">
        <v>22</v>
      </c>
      <c r="K1506" t="s">
        <v>408</v>
      </c>
      <c r="L1506" t="s">
        <v>33</v>
      </c>
      <c r="M1506" t="s">
        <v>626</v>
      </c>
      <c r="O1506" s="1">
        <v>13.97</v>
      </c>
      <c r="P1506" t="s">
        <v>903</v>
      </c>
      <c r="R1506" t="s">
        <v>634</v>
      </c>
    </row>
    <row r="1507" spans="1:18" hidden="1">
      <c r="A1507">
        <v>15</v>
      </c>
      <c r="B1507" t="s">
        <v>405</v>
      </c>
      <c r="C1507" t="s">
        <v>483</v>
      </c>
      <c r="G1507">
        <v>7</v>
      </c>
      <c r="J1507" t="s">
        <v>22</v>
      </c>
      <c r="K1507" t="s">
        <v>408</v>
      </c>
      <c r="L1507" t="s">
        <v>33</v>
      </c>
      <c r="M1507" t="s">
        <v>626</v>
      </c>
      <c r="O1507" s="1">
        <v>13.97</v>
      </c>
      <c r="P1507" t="s">
        <v>903</v>
      </c>
      <c r="R1507" t="s">
        <v>634</v>
      </c>
    </row>
    <row r="1508" spans="1:18" hidden="1">
      <c r="A1508">
        <v>15</v>
      </c>
      <c r="B1508" t="s">
        <v>405</v>
      </c>
      <c r="C1508" t="s">
        <v>483</v>
      </c>
      <c r="G1508">
        <v>8</v>
      </c>
      <c r="J1508" t="s">
        <v>22</v>
      </c>
      <c r="K1508" t="s">
        <v>408</v>
      </c>
      <c r="L1508" t="s">
        <v>33</v>
      </c>
      <c r="M1508" t="s">
        <v>626</v>
      </c>
      <c r="O1508" s="1">
        <v>13.97</v>
      </c>
      <c r="P1508" t="s">
        <v>903</v>
      </c>
      <c r="R1508" t="s">
        <v>634</v>
      </c>
    </row>
    <row r="1509" spans="1:18" hidden="1">
      <c r="A1509">
        <v>15</v>
      </c>
      <c r="B1509" t="s">
        <v>405</v>
      </c>
      <c r="C1509" t="s">
        <v>483</v>
      </c>
      <c r="G1509">
        <v>9</v>
      </c>
      <c r="J1509" t="s">
        <v>22</v>
      </c>
      <c r="K1509" t="s">
        <v>408</v>
      </c>
      <c r="L1509" t="s">
        <v>33</v>
      </c>
      <c r="M1509" t="s">
        <v>626</v>
      </c>
      <c r="O1509" s="1">
        <v>13.97</v>
      </c>
      <c r="P1509" t="s">
        <v>903</v>
      </c>
      <c r="R1509" t="s">
        <v>634</v>
      </c>
    </row>
    <row r="1510" spans="1:18" hidden="1">
      <c r="A1510">
        <v>15</v>
      </c>
      <c r="B1510" t="s">
        <v>405</v>
      </c>
      <c r="C1510" t="s">
        <v>483</v>
      </c>
      <c r="G1510">
        <v>10</v>
      </c>
      <c r="J1510" t="s">
        <v>22</v>
      </c>
      <c r="K1510" t="s">
        <v>408</v>
      </c>
      <c r="L1510" t="s">
        <v>33</v>
      </c>
      <c r="M1510" t="s">
        <v>626</v>
      </c>
      <c r="O1510" s="1">
        <v>13.97</v>
      </c>
      <c r="P1510" t="s">
        <v>903</v>
      </c>
      <c r="R1510" t="s">
        <v>634</v>
      </c>
    </row>
    <row r="1511" spans="1:18" hidden="1">
      <c r="A1511">
        <v>15</v>
      </c>
      <c r="B1511" t="s">
        <v>405</v>
      </c>
      <c r="C1511" t="s">
        <v>483</v>
      </c>
      <c r="G1511">
        <v>11</v>
      </c>
      <c r="J1511" t="s">
        <v>22</v>
      </c>
      <c r="K1511" t="s">
        <v>408</v>
      </c>
      <c r="L1511" t="s">
        <v>33</v>
      </c>
      <c r="M1511" t="s">
        <v>626</v>
      </c>
      <c r="O1511" s="1">
        <v>13.97</v>
      </c>
      <c r="P1511" t="s">
        <v>903</v>
      </c>
      <c r="R1511" t="s">
        <v>634</v>
      </c>
    </row>
    <row r="1512" spans="1:18" hidden="1">
      <c r="A1512">
        <v>15</v>
      </c>
      <c r="B1512" t="s">
        <v>405</v>
      </c>
      <c r="C1512" t="s">
        <v>483</v>
      </c>
      <c r="G1512">
        <v>12</v>
      </c>
      <c r="J1512" t="s">
        <v>22</v>
      </c>
      <c r="K1512" t="s">
        <v>408</v>
      </c>
      <c r="L1512" t="s">
        <v>33</v>
      </c>
      <c r="M1512" t="s">
        <v>626</v>
      </c>
      <c r="O1512" s="1">
        <v>13.97</v>
      </c>
      <c r="P1512" t="s">
        <v>903</v>
      </c>
      <c r="R1512" t="s">
        <v>634</v>
      </c>
    </row>
    <row r="1513" spans="1:18" hidden="1">
      <c r="A1513">
        <v>15</v>
      </c>
      <c r="B1513" t="s">
        <v>405</v>
      </c>
      <c r="C1513" t="s">
        <v>483</v>
      </c>
      <c r="G1513">
        <v>13</v>
      </c>
      <c r="J1513" t="s">
        <v>22</v>
      </c>
      <c r="K1513" t="s">
        <v>408</v>
      </c>
      <c r="L1513" t="s">
        <v>33</v>
      </c>
      <c r="M1513" t="s">
        <v>626</v>
      </c>
      <c r="O1513" s="1">
        <v>13.97</v>
      </c>
      <c r="P1513" t="s">
        <v>903</v>
      </c>
      <c r="R1513" t="s">
        <v>634</v>
      </c>
    </row>
    <row r="1514" spans="1:18" hidden="1">
      <c r="A1514">
        <v>15</v>
      </c>
      <c r="B1514" t="s">
        <v>405</v>
      </c>
      <c r="C1514" t="s">
        <v>483</v>
      </c>
      <c r="G1514">
        <v>14</v>
      </c>
      <c r="J1514" t="s">
        <v>22</v>
      </c>
      <c r="K1514" t="s">
        <v>408</v>
      </c>
      <c r="L1514" t="s">
        <v>33</v>
      </c>
      <c r="M1514" t="s">
        <v>626</v>
      </c>
      <c r="O1514" s="1">
        <v>13.97</v>
      </c>
      <c r="P1514" t="s">
        <v>903</v>
      </c>
      <c r="R1514" t="s">
        <v>634</v>
      </c>
    </row>
    <row r="1515" spans="1:18" hidden="1">
      <c r="A1515">
        <v>15</v>
      </c>
      <c r="B1515" t="s">
        <v>405</v>
      </c>
      <c r="C1515" t="s">
        <v>483</v>
      </c>
      <c r="G1515">
        <v>15</v>
      </c>
      <c r="J1515" t="s">
        <v>22</v>
      </c>
      <c r="K1515" t="s">
        <v>408</v>
      </c>
      <c r="L1515" t="s">
        <v>33</v>
      </c>
      <c r="M1515" t="s">
        <v>626</v>
      </c>
      <c r="O1515" s="1">
        <v>13.97</v>
      </c>
      <c r="P1515" t="s">
        <v>903</v>
      </c>
      <c r="R1515" t="s">
        <v>634</v>
      </c>
    </row>
    <row r="1516" spans="1:18" hidden="1">
      <c r="A1516">
        <v>15</v>
      </c>
      <c r="B1516" t="s">
        <v>405</v>
      </c>
      <c r="C1516" t="s">
        <v>483</v>
      </c>
      <c r="G1516">
        <v>16</v>
      </c>
      <c r="J1516" t="s">
        <v>22</v>
      </c>
      <c r="K1516" t="s">
        <v>408</v>
      </c>
      <c r="L1516" t="s">
        <v>33</v>
      </c>
      <c r="M1516" t="s">
        <v>626</v>
      </c>
      <c r="O1516" s="1">
        <v>13.97</v>
      </c>
      <c r="P1516" t="s">
        <v>903</v>
      </c>
      <c r="R1516" t="s">
        <v>634</v>
      </c>
    </row>
    <row r="1517" spans="1:18" hidden="1">
      <c r="A1517">
        <v>15</v>
      </c>
      <c r="B1517" t="s">
        <v>405</v>
      </c>
      <c r="C1517" t="s">
        <v>483</v>
      </c>
      <c r="G1517">
        <v>17</v>
      </c>
      <c r="J1517" t="s">
        <v>22</v>
      </c>
      <c r="K1517" t="s">
        <v>408</v>
      </c>
      <c r="L1517" t="s">
        <v>33</v>
      </c>
      <c r="M1517" t="s">
        <v>626</v>
      </c>
      <c r="O1517" s="1">
        <v>13.97</v>
      </c>
      <c r="P1517" t="s">
        <v>903</v>
      </c>
      <c r="R1517" t="s">
        <v>634</v>
      </c>
    </row>
    <row r="1518" spans="1:18" hidden="1">
      <c r="A1518">
        <v>15</v>
      </c>
      <c r="B1518" t="s">
        <v>405</v>
      </c>
      <c r="C1518" t="s">
        <v>483</v>
      </c>
      <c r="G1518">
        <v>18</v>
      </c>
      <c r="J1518" t="s">
        <v>22</v>
      </c>
      <c r="K1518" t="s">
        <v>408</v>
      </c>
      <c r="L1518" t="s">
        <v>33</v>
      </c>
      <c r="M1518" t="s">
        <v>626</v>
      </c>
      <c r="O1518" s="1">
        <v>13.97</v>
      </c>
      <c r="P1518" t="s">
        <v>903</v>
      </c>
      <c r="R1518" t="s">
        <v>634</v>
      </c>
    </row>
    <row r="1519" spans="1:18" hidden="1">
      <c r="A1519">
        <v>15</v>
      </c>
      <c r="B1519" t="s">
        <v>405</v>
      </c>
      <c r="C1519" t="s">
        <v>483</v>
      </c>
      <c r="G1519">
        <v>19</v>
      </c>
      <c r="J1519" t="s">
        <v>22</v>
      </c>
      <c r="K1519" t="s">
        <v>408</v>
      </c>
      <c r="L1519" t="s">
        <v>33</v>
      </c>
      <c r="M1519" t="s">
        <v>626</v>
      </c>
      <c r="O1519" s="1">
        <v>13.97</v>
      </c>
      <c r="P1519" t="s">
        <v>903</v>
      </c>
      <c r="R1519" t="s">
        <v>634</v>
      </c>
    </row>
    <row r="1520" spans="1:18" hidden="1">
      <c r="A1520">
        <v>15</v>
      </c>
      <c r="B1520" t="s">
        <v>405</v>
      </c>
      <c r="C1520" t="s">
        <v>483</v>
      </c>
      <c r="G1520">
        <v>20</v>
      </c>
      <c r="J1520" t="s">
        <v>22</v>
      </c>
      <c r="K1520" t="s">
        <v>408</v>
      </c>
      <c r="L1520" t="s">
        <v>33</v>
      </c>
      <c r="M1520" t="s">
        <v>626</v>
      </c>
      <c r="O1520" s="1">
        <v>13.97</v>
      </c>
      <c r="P1520" t="s">
        <v>903</v>
      </c>
      <c r="R1520" t="s">
        <v>634</v>
      </c>
    </row>
    <row r="1521" spans="1:18" hidden="1">
      <c r="A1521">
        <v>15</v>
      </c>
      <c r="B1521" t="s">
        <v>405</v>
      </c>
      <c r="C1521" t="s">
        <v>483</v>
      </c>
      <c r="G1521">
        <v>21</v>
      </c>
      <c r="J1521" t="s">
        <v>22</v>
      </c>
      <c r="K1521" t="s">
        <v>408</v>
      </c>
      <c r="L1521" t="s">
        <v>33</v>
      </c>
      <c r="M1521" t="s">
        <v>626</v>
      </c>
      <c r="O1521" s="1">
        <v>13.97</v>
      </c>
      <c r="P1521" t="s">
        <v>903</v>
      </c>
      <c r="R1521" t="s">
        <v>634</v>
      </c>
    </row>
    <row r="1522" spans="1:18" hidden="1">
      <c r="A1522">
        <v>15</v>
      </c>
      <c r="B1522" t="s">
        <v>405</v>
      </c>
      <c r="C1522" t="s">
        <v>483</v>
      </c>
      <c r="G1522">
        <v>22</v>
      </c>
      <c r="J1522" t="s">
        <v>22</v>
      </c>
      <c r="K1522" t="s">
        <v>408</v>
      </c>
      <c r="L1522" t="s">
        <v>33</v>
      </c>
      <c r="M1522" t="s">
        <v>626</v>
      </c>
      <c r="O1522" s="1">
        <v>13.97</v>
      </c>
      <c r="P1522" t="s">
        <v>903</v>
      </c>
      <c r="R1522" t="s">
        <v>634</v>
      </c>
    </row>
    <row r="1523" spans="1:18">
      <c r="A1523">
        <v>15</v>
      </c>
      <c r="B1523" t="s">
        <v>405</v>
      </c>
      <c r="C1523" t="s">
        <v>483</v>
      </c>
      <c r="G1523">
        <v>4</v>
      </c>
      <c r="H1523" s="263"/>
      <c r="J1523" t="s">
        <v>22</v>
      </c>
      <c r="K1523" t="s">
        <v>30</v>
      </c>
      <c r="L1523" t="s">
        <v>33</v>
      </c>
      <c r="M1523" t="s">
        <v>954</v>
      </c>
      <c r="N1523" s="263">
        <f>0.65*4</f>
        <v>2.6</v>
      </c>
      <c r="O1523" s="1">
        <f>20*2.6</f>
        <v>52</v>
      </c>
      <c r="P1523" t="s">
        <v>956</v>
      </c>
      <c r="R1523" t="s">
        <v>634</v>
      </c>
    </row>
    <row r="1524" spans="1:18">
      <c r="A1524">
        <v>15</v>
      </c>
      <c r="B1524" t="s">
        <v>405</v>
      </c>
      <c r="C1524" t="s">
        <v>483</v>
      </c>
      <c r="G1524">
        <v>5</v>
      </c>
      <c r="H1524" s="263"/>
      <c r="J1524" t="s">
        <v>22</v>
      </c>
      <c r="K1524" t="s">
        <v>30</v>
      </c>
      <c r="L1524" t="s">
        <v>33</v>
      </c>
      <c r="M1524" t="s">
        <v>954</v>
      </c>
      <c r="N1524" s="263">
        <f t="shared" ref="N1524:N1541" si="54">0.65*4</f>
        <v>2.6</v>
      </c>
      <c r="O1524" s="1">
        <f t="shared" ref="O1524:O1541" si="55">20*2.6</f>
        <v>52</v>
      </c>
      <c r="P1524" t="s">
        <v>956</v>
      </c>
      <c r="R1524" t="s">
        <v>634</v>
      </c>
    </row>
    <row r="1525" spans="1:18">
      <c r="A1525">
        <v>15</v>
      </c>
      <c r="B1525" t="s">
        <v>405</v>
      </c>
      <c r="C1525" t="s">
        <v>483</v>
      </c>
      <c r="G1525">
        <v>6</v>
      </c>
      <c r="H1525" s="263"/>
      <c r="J1525" t="s">
        <v>22</v>
      </c>
      <c r="K1525" t="s">
        <v>30</v>
      </c>
      <c r="L1525" t="s">
        <v>33</v>
      </c>
      <c r="M1525" t="s">
        <v>954</v>
      </c>
      <c r="N1525" s="263">
        <f t="shared" si="54"/>
        <v>2.6</v>
      </c>
      <c r="O1525" s="1">
        <f t="shared" si="55"/>
        <v>52</v>
      </c>
      <c r="P1525" t="s">
        <v>956</v>
      </c>
      <c r="R1525" t="s">
        <v>634</v>
      </c>
    </row>
    <row r="1526" spans="1:18">
      <c r="A1526">
        <v>15</v>
      </c>
      <c r="B1526" t="s">
        <v>405</v>
      </c>
      <c r="C1526" t="s">
        <v>483</v>
      </c>
      <c r="G1526">
        <v>7</v>
      </c>
      <c r="H1526" s="263"/>
      <c r="J1526" t="s">
        <v>22</v>
      </c>
      <c r="K1526" t="s">
        <v>30</v>
      </c>
      <c r="L1526" t="s">
        <v>33</v>
      </c>
      <c r="M1526" t="s">
        <v>954</v>
      </c>
      <c r="N1526" s="263">
        <f t="shared" si="54"/>
        <v>2.6</v>
      </c>
      <c r="O1526" s="1">
        <f t="shared" si="55"/>
        <v>52</v>
      </c>
      <c r="P1526" t="s">
        <v>956</v>
      </c>
      <c r="R1526" t="s">
        <v>634</v>
      </c>
    </row>
    <row r="1527" spans="1:18">
      <c r="A1527">
        <v>15</v>
      </c>
      <c r="B1527" t="s">
        <v>405</v>
      </c>
      <c r="C1527" t="s">
        <v>483</v>
      </c>
      <c r="G1527">
        <v>8</v>
      </c>
      <c r="H1527" s="263"/>
      <c r="J1527" t="s">
        <v>22</v>
      </c>
      <c r="K1527" t="s">
        <v>30</v>
      </c>
      <c r="L1527" t="s">
        <v>33</v>
      </c>
      <c r="M1527" t="s">
        <v>954</v>
      </c>
      <c r="N1527" s="263">
        <f t="shared" si="54"/>
        <v>2.6</v>
      </c>
      <c r="O1527" s="1">
        <f t="shared" si="55"/>
        <v>52</v>
      </c>
      <c r="P1527" t="s">
        <v>956</v>
      </c>
      <c r="R1527" t="s">
        <v>634</v>
      </c>
    </row>
    <row r="1528" spans="1:18">
      <c r="A1528">
        <v>15</v>
      </c>
      <c r="B1528" t="s">
        <v>405</v>
      </c>
      <c r="C1528" t="s">
        <v>483</v>
      </c>
      <c r="G1528">
        <v>9</v>
      </c>
      <c r="H1528" s="263"/>
      <c r="J1528" t="s">
        <v>22</v>
      </c>
      <c r="K1528" t="s">
        <v>30</v>
      </c>
      <c r="L1528" t="s">
        <v>33</v>
      </c>
      <c r="M1528" t="s">
        <v>954</v>
      </c>
      <c r="N1528" s="263">
        <f t="shared" si="54"/>
        <v>2.6</v>
      </c>
      <c r="O1528" s="1">
        <f t="shared" si="55"/>
        <v>52</v>
      </c>
      <c r="P1528" t="s">
        <v>956</v>
      </c>
      <c r="R1528" t="s">
        <v>634</v>
      </c>
    </row>
    <row r="1529" spans="1:18">
      <c r="A1529">
        <v>15</v>
      </c>
      <c r="B1529" t="s">
        <v>405</v>
      </c>
      <c r="C1529" t="s">
        <v>483</v>
      </c>
      <c r="G1529">
        <v>10</v>
      </c>
      <c r="H1529" s="263"/>
      <c r="J1529" t="s">
        <v>22</v>
      </c>
      <c r="K1529" t="s">
        <v>30</v>
      </c>
      <c r="L1529" t="s">
        <v>33</v>
      </c>
      <c r="M1529" t="s">
        <v>954</v>
      </c>
      <c r="N1529" s="263">
        <f t="shared" si="54"/>
        <v>2.6</v>
      </c>
      <c r="O1529" s="1">
        <f t="shared" si="55"/>
        <v>52</v>
      </c>
      <c r="P1529" t="s">
        <v>956</v>
      </c>
      <c r="R1529" t="s">
        <v>634</v>
      </c>
    </row>
    <row r="1530" spans="1:18">
      <c r="A1530">
        <v>15</v>
      </c>
      <c r="B1530" t="s">
        <v>405</v>
      </c>
      <c r="C1530" t="s">
        <v>483</v>
      </c>
      <c r="G1530">
        <v>11</v>
      </c>
      <c r="H1530" s="263"/>
      <c r="J1530" t="s">
        <v>22</v>
      </c>
      <c r="K1530" t="s">
        <v>30</v>
      </c>
      <c r="L1530" t="s">
        <v>33</v>
      </c>
      <c r="M1530" t="s">
        <v>954</v>
      </c>
      <c r="N1530" s="263">
        <f t="shared" si="54"/>
        <v>2.6</v>
      </c>
      <c r="O1530" s="1">
        <f t="shared" si="55"/>
        <v>52</v>
      </c>
      <c r="P1530" t="s">
        <v>956</v>
      </c>
      <c r="R1530" t="s">
        <v>634</v>
      </c>
    </row>
    <row r="1531" spans="1:18">
      <c r="A1531">
        <v>15</v>
      </c>
      <c r="B1531" t="s">
        <v>405</v>
      </c>
      <c r="C1531" t="s">
        <v>483</v>
      </c>
      <c r="G1531">
        <v>12</v>
      </c>
      <c r="H1531" s="263"/>
      <c r="J1531" t="s">
        <v>22</v>
      </c>
      <c r="K1531" t="s">
        <v>30</v>
      </c>
      <c r="L1531" t="s">
        <v>33</v>
      </c>
      <c r="M1531" t="s">
        <v>954</v>
      </c>
      <c r="N1531" s="263">
        <f t="shared" si="54"/>
        <v>2.6</v>
      </c>
      <c r="O1531" s="1">
        <f t="shared" si="55"/>
        <v>52</v>
      </c>
      <c r="P1531" t="s">
        <v>956</v>
      </c>
      <c r="R1531" t="s">
        <v>634</v>
      </c>
    </row>
    <row r="1532" spans="1:18">
      <c r="A1532">
        <v>15</v>
      </c>
      <c r="B1532" t="s">
        <v>405</v>
      </c>
      <c r="C1532" t="s">
        <v>483</v>
      </c>
      <c r="G1532">
        <v>13</v>
      </c>
      <c r="H1532" s="263"/>
      <c r="J1532" t="s">
        <v>22</v>
      </c>
      <c r="K1532" t="s">
        <v>30</v>
      </c>
      <c r="L1532" t="s">
        <v>33</v>
      </c>
      <c r="M1532" t="s">
        <v>954</v>
      </c>
      <c r="N1532" s="263">
        <f t="shared" si="54"/>
        <v>2.6</v>
      </c>
      <c r="O1532" s="1">
        <f t="shared" si="55"/>
        <v>52</v>
      </c>
      <c r="P1532" t="s">
        <v>956</v>
      </c>
      <c r="R1532" t="s">
        <v>634</v>
      </c>
    </row>
    <row r="1533" spans="1:18">
      <c r="A1533">
        <v>15</v>
      </c>
      <c r="B1533" t="s">
        <v>405</v>
      </c>
      <c r="C1533" t="s">
        <v>483</v>
      </c>
      <c r="G1533">
        <v>14</v>
      </c>
      <c r="H1533" s="263"/>
      <c r="J1533" t="s">
        <v>22</v>
      </c>
      <c r="K1533" t="s">
        <v>30</v>
      </c>
      <c r="L1533" t="s">
        <v>33</v>
      </c>
      <c r="M1533" t="s">
        <v>954</v>
      </c>
      <c r="N1533" s="263">
        <f t="shared" si="54"/>
        <v>2.6</v>
      </c>
      <c r="O1533" s="1">
        <f t="shared" si="55"/>
        <v>52</v>
      </c>
      <c r="P1533" t="s">
        <v>956</v>
      </c>
      <c r="R1533" t="s">
        <v>634</v>
      </c>
    </row>
    <row r="1534" spans="1:18">
      <c r="A1534">
        <v>15</v>
      </c>
      <c r="B1534" t="s">
        <v>405</v>
      </c>
      <c r="C1534" t="s">
        <v>483</v>
      </c>
      <c r="G1534">
        <v>15</v>
      </c>
      <c r="H1534" s="263"/>
      <c r="J1534" t="s">
        <v>22</v>
      </c>
      <c r="K1534" t="s">
        <v>30</v>
      </c>
      <c r="L1534" t="s">
        <v>33</v>
      </c>
      <c r="M1534" t="s">
        <v>954</v>
      </c>
      <c r="N1534" s="263">
        <f t="shared" si="54"/>
        <v>2.6</v>
      </c>
      <c r="O1534" s="1">
        <f t="shared" si="55"/>
        <v>52</v>
      </c>
      <c r="P1534" t="s">
        <v>956</v>
      </c>
      <c r="R1534" t="s">
        <v>634</v>
      </c>
    </row>
    <row r="1535" spans="1:18">
      <c r="A1535">
        <v>15</v>
      </c>
      <c r="B1535" t="s">
        <v>405</v>
      </c>
      <c r="C1535" t="s">
        <v>483</v>
      </c>
      <c r="G1535">
        <v>16</v>
      </c>
      <c r="H1535" s="263"/>
      <c r="J1535" t="s">
        <v>22</v>
      </c>
      <c r="K1535" t="s">
        <v>30</v>
      </c>
      <c r="L1535" t="s">
        <v>33</v>
      </c>
      <c r="M1535" t="s">
        <v>954</v>
      </c>
      <c r="N1535" s="263">
        <f t="shared" si="54"/>
        <v>2.6</v>
      </c>
      <c r="O1535" s="1">
        <f t="shared" si="55"/>
        <v>52</v>
      </c>
      <c r="P1535" t="s">
        <v>956</v>
      </c>
      <c r="R1535" t="s">
        <v>634</v>
      </c>
    </row>
    <row r="1536" spans="1:18">
      <c r="A1536">
        <v>15</v>
      </c>
      <c r="B1536" t="s">
        <v>405</v>
      </c>
      <c r="C1536" t="s">
        <v>483</v>
      </c>
      <c r="G1536">
        <v>17</v>
      </c>
      <c r="H1536" s="263"/>
      <c r="J1536" t="s">
        <v>22</v>
      </c>
      <c r="K1536" t="s">
        <v>30</v>
      </c>
      <c r="L1536" t="s">
        <v>33</v>
      </c>
      <c r="M1536" t="s">
        <v>954</v>
      </c>
      <c r="N1536" s="263">
        <f t="shared" si="54"/>
        <v>2.6</v>
      </c>
      <c r="O1536" s="1">
        <f t="shared" si="55"/>
        <v>52</v>
      </c>
      <c r="P1536" t="s">
        <v>956</v>
      </c>
      <c r="R1536" t="s">
        <v>634</v>
      </c>
    </row>
    <row r="1537" spans="1:18">
      <c r="A1537">
        <v>15</v>
      </c>
      <c r="B1537" t="s">
        <v>405</v>
      </c>
      <c r="C1537" t="s">
        <v>483</v>
      </c>
      <c r="G1537">
        <v>18</v>
      </c>
      <c r="H1537" s="263"/>
      <c r="J1537" t="s">
        <v>22</v>
      </c>
      <c r="K1537" t="s">
        <v>30</v>
      </c>
      <c r="L1537" t="s">
        <v>33</v>
      </c>
      <c r="M1537" t="s">
        <v>954</v>
      </c>
      <c r="N1537" s="263">
        <f t="shared" si="54"/>
        <v>2.6</v>
      </c>
      <c r="O1537" s="1">
        <f t="shared" si="55"/>
        <v>52</v>
      </c>
      <c r="P1537" t="s">
        <v>956</v>
      </c>
      <c r="R1537" t="s">
        <v>634</v>
      </c>
    </row>
    <row r="1538" spans="1:18">
      <c r="A1538">
        <v>15</v>
      </c>
      <c r="B1538" t="s">
        <v>405</v>
      </c>
      <c r="C1538" t="s">
        <v>483</v>
      </c>
      <c r="G1538">
        <v>19</v>
      </c>
      <c r="H1538" s="263"/>
      <c r="J1538" t="s">
        <v>22</v>
      </c>
      <c r="K1538" t="s">
        <v>30</v>
      </c>
      <c r="L1538" t="s">
        <v>33</v>
      </c>
      <c r="M1538" t="s">
        <v>954</v>
      </c>
      <c r="N1538" s="263">
        <f t="shared" si="54"/>
        <v>2.6</v>
      </c>
      <c r="O1538" s="1">
        <f t="shared" si="55"/>
        <v>52</v>
      </c>
      <c r="P1538" t="s">
        <v>956</v>
      </c>
      <c r="R1538" t="s">
        <v>634</v>
      </c>
    </row>
    <row r="1539" spans="1:18">
      <c r="A1539">
        <v>15</v>
      </c>
      <c r="B1539" t="s">
        <v>405</v>
      </c>
      <c r="C1539" t="s">
        <v>483</v>
      </c>
      <c r="G1539">
        <v>20</v>
      </c>
      <c r="H1539" s="263"/>
      <c r="J1539" t="s">
        <v>22</v>
      </c>
      <c r="K1539" t="s">
        <v>30</v>
      </c>
      <c r="L1539" t="s">
        <v>33</v>
      </c>
      <c r="M1539" t="s">
        <v>954</v>
      </c>
      <c r="N1539" s="263">
        <f t="shared" si="54"/>
        <v>2.6</v>
      </c>
      <c r="O1539" s="1">
        <f t="shared" si="55"/>
        <v>52</v>
      </c>
      <c r="P1539" t="s">
        <v>956</v>
      </c>
      <c r="R1539" t="s">
        <v>634</v>
      </c>
    </row>
    <row r="1540" spans="1:18">
      <c r="A1540">
        <v>15</v>
      </c>
      <c r="B1540" t="s">
        <v>405</v>
      </c>
      <c r="C1540" t="s">
        <v>483</v>
      </c>
      <c r="G1540">
        <v>21</v>
      </c>
      <c r="H1540" s="263"/>
      <c r="J1540" t="s">
        <v>22</v>
      </c>
      <c r="K1540" t="s">
        <v>30</v>
      </c>
      <c r="L1540" t="s">
        <v>33</v>
      </c>
      <c r="M1540" t="s">
        <v>954</v>
      </c>
      <c r="N1540" s="263">
        <f t="shared" si="54"/>
        <v>2.6</v>
      </c>
      <c r="O1540" s="1">
        <f t="shared" si="55"/>
        <v>52</v>
      </c>
      <c r="P1540" t="s">
        <v>956</v>
      </c>
      <c r="R1540" t="s">
        <v>634</v>
      </c>
    </row>
    <row r="1541" spans="1:18">
      <c r="A1541">
        <v>15</v>
      </c>
      <c r="B1541" t="s">
        <v>405</v>
      </c>
      <c r="C1541" t="s">
        <v>483</v>
      </c>
      <c r="G1541">
        <v>22</v>
      </c>
      <c r="H1541" s="263"/>
      <c r="J1541" t="s">
        <v>22</v>
      </c>
      <c r="K1541" t="s">
        <v>30</v>
      </c>
      <c r="L1541" t="s">
        <v>33</v>
      </c>
      <c r="M1541" t="s">
        <v>954</v>
      </c>
      <c r="N1541" s="263">
        <f t="shared" si="54"/>
        <v>2.6</v>
      </c>
      <c r="O1541" s="1">
        <f t="shared" si="55"/>
        <v>52</v>
      </c>
      <c r="P1541" t="s">
        <v>956</v>
      </c>
      <c r="R1541" t="s">
        <v>634</v>
      </c>
    </row>
    <row r="1542" spans="1:18" hidden="1">
      <c r="A1542">
        <v>15</v>
      </c>
      <c r="B1542" t="s">
        <v>405</v>
      </c>
      <c r="C1542" t="s">
        <v>483</v>
      </c>
      <c r="G1542">
        <v>4</v>
      </c>
      <c r="J1542" t="s">
        <v>22</v>
      </c>
      <c r="K1542" t="s">
        <v>408</v>
      </c>
      <c r="L1542" t="s">
        <v>33</v>
      </c>
      <c r="M1542" t="s">
        <v>955</v>
      </c>
      <c r="O1542" s="1">
        <v>42.28</v>
      </c>
      <c r="R1542" t="s">
        <v>634</v>
      </c>
    </row>
    <row r="1543" spans="1:18" hidden="1">
      <c r="A1543">
        <v>15</v>
      </c>
      <c r="B1543" t="s">
        <v>405</v>
      </c>
      <c r="C1543" t="s">
        <v>483</v>
      </c>
      <c r="G1543">
        <v>5</v>
      </c>
      <c r="J1543" t="s">
        <v>22</v>
      </c>
      <c r="K1543" t="s">
        <v>408</v>
      </c>
      <c r="L1543" t="s">
        <v>33</v>
      </c>
      <c r="M1543" t="s">
        <v>955</v>
      </c>
      <c r="O1543" s="1">
        <v>42.28</v>
      </c>
      <c r="R1543" t="s">
        <v>634</v>
      </c>
    </row>
    <row r="1544" spans="1:18" hidden="1">
      <c r="A1544">
        <v>15</v>
      </c>
      <c r="B1544" t="s">
        <v>405</v>
      </c>
      <c r="C1544" t="s">
        <v>483</v>
      </c>
      <c r="G1544">
        <v>6</v>
      </c>
      <c r="J1544" t="s">
        <v>22</v>
      </c>
      <c r="K1544" t="s">
        <v>408</v>
      </c>
      <c r="L1544" t="s">
        <v>33</v>
      </c>
      <c r="M1544" t="s">
        <v>955</v>
      </c>
      <c r="O1544" s="1">
        <v>42.28</v>
      </c>
      <c r="R1544" t="s">
        <v>634</v>
      </c>
    </row>
    <row r="1545" spans="1:18" hidden="1">
      <c r="A1545">
        <v>15</v>
      </c>
      <c r="B1545" t="s">
        <v>405</v>
      </c>
      <c r="C1545" t="s">
        <v>483</v>
      </c>
      <c r="G1545">
        <v>7</v>
      </c>
      <c r="J1545" t="s">
        <v>22</v>
      </c>
      <c r="K1545" t="s">
        <v>408</v>
      </c>
      <c r="L1545" t="s">
        <v>33</v>
      </c>
      <c r="M1545" t="s">
        <v>955</v>
      </c>
      <c r="O1545" s="1">
        <v>42.28</v>
      </c>
      <c r="R1545" t="s">
        <v>634</v>
      </c>
    </row>
    <row r="1546" spans="1:18" hidden="1">
      <c r="A1546">
        <v>15</v>
      </c>
      <c r="B1546" t="s">
        <v>405</v>
      </c>
      <c r="C1546" t="s">
        <v>483</v>
      </c>
      <c r="G1546">
        <v>8</v>
      </c>
      <c r="J1546" t="s">
        <v>22</v>
      </c>
      <c r="K1546" t="s">
        <v>408</v>
      </c>
      <c r="L1546" t="s">
        <v>33</v>
      </c>
      <c r="M1546" t="s">
        <v>955</v>
      </c>
      <c r="O1546" s="1">
        <v>42.28</v>
      </c>
      <c r="R1546" t="s">
        <v>634</v>
      </c>
    </row>
    <row r="1547" spans="1:18" hidden="1">
      <c r="A1547">
        <v>15</v>
      </c>
      <c r="B1547" t="s">
        <v>405</v>
      </c>
      <c r="C1547" t="s">
        <v>483</v>
      </c>
      <c r="G1547">
        <v>9</v>
      </c>
      <c r="J1547" t="s">
        <v>22</v>
      </c>
      <c r="K1547" t="s">
        <v>408</v>
      </c>
      <c r="L1547" t="s">
        <v>33</v>
      </c>
      <c r="M1547" t="s">
        <v>955</v>
      </c>
      <c r="O1547" s="1">
        <v>42.28</v>
      </c>
      <c r="R1547" t="s">
        <v>634</v>
      </c>
    </row>
    <row r="1548" spans="1:18" hidden="1">
      <c r="A1548">
        <v>15</v>
      </c>
      <c r="B1548" t="s">
        <v>405</v>
      </c>
      <c r="C1548" t="s">
        <v>483</v>
      </c>
      <c r="G1548">
        <v>10</v>
      </c>
      <c r="J1548" t="s">
        <v>22</v>
      </c>
      <c r="K1548" t="s">
        <v>408</v>
      </c>
      <c r="L1548" t="s">
        <v>33</v>
      </c>
      <c r="M1548" t="s">
        <v>955</v>
      </c>
      <c r="O1548" s="1">
        <v>42.28</v>
      </c>
      <c r="R1548" t="s">
        <v>634</v>
      </c>
    </row>
    <row r="1549" spans="1:18" hidden="1">
      <c r="A1549">
        <v>15</v>
      </c>
      <c r="B1549" t="s">
        <v>405</v>
      </c>
      <c r="C1549" t="s">
        <v>483</v>
      </c>
      <c r="G1549">
        <v>11</v>
      </c>
      <c r="J1549" t="s">
        <v>22</v>
      </c>
      <c r="K1549" t="s">
        <v>408</v>
      </c>
      <c r="L1549" t="s">
        <v>33</v>
      </c>
      <c r="M1549" t="s">
        <v>955</v>
      </c>
      <c r="O1549" s="1">
        <v>42.28</v>
      </c>
      <c r="R1549" t="s">
        <v>634</v>
      </c>
    </row>
    <row r="1550" spans="1:18" hidden="1">
      <c r="A1550">
        <v>15</v>
      </c>
      <c r="B1550" t="s">
        <v>405</v>
      </c>
      <c r="C1550" t="s">
        <v>483</v>
      </c>
      <c r="G1550">
        <v>12</v>
      </c>
      <c r="J1550" t="s">
        <v>22</v>
      </c>
      <c r="K1550" t="s">
        <v>408</v>
      </c>
      <c r="L1550" t="s">
        <v>33</v>
      </c>
      <c r="M1550" t="s">
        <v>955</v>
      </c>
      <c r="O1550" s="1">
        <v>42.28</v>
      </c>
      <c r="R1550" t="s">
        <v>634</v>
      </c>
    </row>
    <row r="1551" spans="1:18" hidden="1">
      <c r="A1551">
        <v>15</v>
      </c>
      <c r="B1551" t="s">
        <v>405</v>
      </c>
      <c r="C1551" t="s">
        <v>483</v>
      </c>
      <c r="G1551">
        <v>13</v>
      </c>
      <c r="J1551" t="s">
        <v>22</v>
      </c>
      <c r="K1551" t="s">
        <v>408</v>
      </c>
      <c r="L1551" t="s">
        <v>33</v>
      </c>
      <c r="M1551" t="s">
        <v>955</v>
      </c>
      <c r="O1551" s="1">
        <v>42.28</v>
      </c>
      <c r="R1551" t="s">
        <v>634</v>
      </c>
    </row>
    <row r="1552" spans="1:18" hidden="1">
      <c r="A1552">
        <v>15</v>
      </c>
      <c r="B1552" t="s">
        <v>405</v>
      </c>
      <c r="C1552" t="s">
        <v>483</v>
      </c>
      <c r="G1552">
        <v>14</v>
      </c>
      <c r="J1552" t="s">
        <v>22</v>
      </c>
      <c r="K1552" t="s">
        <v>408</v>
      </c>
      <c r="L1552" t="s">
        <v>33</v>
      </c>
      <c r="M1552" t="s">
        <v>955</v>
      </c>
      <c r="O1552" s="1">
        <v>42.28</v>
      </c>
      <c r="R1552" t="s">
        <v>634</v>
      </c>
    </row>
    <row r="1553" spans="1:18" hidden="1">
      <c r="A1553">
        <v>15</v>
      </c>
      <c r="B1553" t="s">
        <v>405</v>
      </c>
      <c r="C1553" t="s">
        <v>483</v>
      </c>
      <c r="G1553">
        <v>15</v>
      </c>
      <c r="J1553" t="s">
        <v>22</v>
      </c>
      <c r="K1553" t="s">
        <v>408</v>
      </c>
      <c r="L1553" t="s">
        <v>33</v>
      </c>
      <c r="M1553" t="s">
        <v>955</v>
      </c>
      <c r="O1553" s="1">
        <v>42.28</v>
      </c>
      <c r="R1553" t="s">
        <v>634</v>
      </c>
    </row>
    <row r="1554" spans="1:18" hidden="1">
      <c r="A1554">
        <v>15</v>
      </c>
      <c r="B1554" t="s">
        <v>405</v>
      </c>
      <c r="C1554" t="s">
        <v>483</v>
      </c>
      <c r="G1554">
        <v>16</v>
      </c>
      <c r="J1554" t="s">
        <v>22</v>
      </c>
      <c r="K1554" t="s">
        <v>408</v>
      </c>
      <c r="L1554" t="s">
        <v>33</v>
      </c>
      <c r="M1554" t="s">
        <v>955</v>
      </c>
      <c r="O1554" s="1">
        <v>42.28</v>
      </c>
      <c r="R1554" t="s">
        <v>634</v>
      </c>
    </row>
    <row r="1555" spans="1:18" hidden="1">
      <c r="A1555">
        <v>15</v>
      </c>
      <c r="B1555" t="s">
        <v>405</v>
      </c>
      <c r="C1555" t="s">
        <v>483</v>
      </c>
      <c r="G1555">
        <v>17</v>
      </c>
      <c r="J1555" t="s">
        <v>22</v>
      </c>
      <c r="K1555" t="s">
        <v>408</v>
      </c>
      <c r="L1555" t="s">
        <v>33</v>
      </c>
      <c r="M1555" t="s">
        <v>955</v>
      </c>
      <c r="O1555" s="1">
        <v>42.28</v>
      </c>
      <c r="R1555" t="s">
        <v>634</v>
      </c>
    </row>
    <row r="1556" spans="1:18" hidden="1">
      <c r="A1556">
        <v>15</v>
      </c>
      <c r="B1556" t="s">
        <v>405</v>
      </c>
      <c r="C1556" t="s">
        <v>483</v>
      </c>
      <c r="G1556">
        <v>18</v>
      </c>
      <c r="J1556" t="s">
        <v>22</v>
      </c>
      <c r="K1556" t="s">
        <v>408</v>
      </c>
      <c r="L1556" t="s">
        <v>33</v>
      </c>
      <c r="M1556" t="s">
        <v>955</v>
      </c>
      <c r="O1556" s="1">
        <v>42.28</v>
      </c>
      <c r="R1556" t="s">
        <v>634</v>
      </c>
    </row>
    <row r="1557" spans="1:18" hidden="1">
      <c r="A1557">
        <v>15</v>
      </c>
      <c r="B1557" t="s">
        <v>405</v>
      </c>
      <c r="C1557" t="s">
        <v>483</v>
      </c>
      <c r="G1557">
        <v>19</v>
      </c>
      <c r="J1557" t="s">
        <v>22</v>
      </c>
      <c r="K1557" t="s">
        <v>408</v>
      </c>
      <c r="L1557" t="s">
        <v>33</v>
      </c>
      <c r="M1557" t="s">
        <v>955</v>
      </c>
      <c r="O1557" s="1">
        <v>42.28</v>
      </c>
      <c r="R1557" t="s">
        <v>634</v>
      </c>
    </row>
    <row r="1558" spans="1:18" hidden="1">
      <c r="A1558">
        <v>15</v>
      </c>
      <c r="B1558" t="s">
        <v>405</v>
      </c>
      <c r="C1558" t="s">
        <v>483</v>
      </c>
      <c r="G1558">
        <v>20</v>
      </c>
      <c r="J1558" t="s">
        <v>22</v>
      </c>
      <c r="K1558" t="s">
        <v>408</v>
      </c>
      <c r="L1558" t="s">
        <v>33</v>
      </c>
      <c r="M1558" t="s">
        <v>955</v>
      </c>
      <c r="O1558" s="1">
        <v>42.28</v>
      </c>
      <c r="R1558" t="s">
        <v>634</v>
      </c>
    </row>
    <row r="1559" spans="1:18" hidden="1">
      <c r="A1559">
        <v>15</v>
      </c>
      <c r="B1559" t="s">
        <v>405</v>
      </c>
      <c r="C1559" t="s">
        <v>483</v>
      </c>
      <c r="G1559">
        <v>21</v>
      </c>
      <c r="J1559" t="s">
        <v>22</v>
      </c>
      <c r="K1559" t="s">
        <v>408</v>
      </c>
      <c r="L1559" t="s">
        <v>33</v>
      </c>
      <c r="M1559" t="s">
        <v>955</v>
      </c>
      <c r="O1559" s="1">
        <v>42.28</v>
      </c>
      <c r="R1559" t="s">
        <v>634</v>
      </c>
    </row>
    <row r="1560" spans="1:18" hidden="1">
      <c r="A1560">
        <v>15</v>
      </c>
      <c r="B1560" t="s">
        <v>405</v>
      </c>
      <c r="C1560" t="s">
        <v>483</v>
      </c>
      <c r="G1560">
        <v>22</v>
      </c>
      <c r="J1560" t="s">
        <v>22</v>
      </c>
      <c r="K1560" t="s">
        <v>408</v>
      </c>
      <c r="L1560" t="s">
        <v>33</v>
      </c>
      <c r="M1560" t="s">
        <v>955</v>
      </c>
      <c r="O1560" s="1">
        <v>42.28</v>
      </c>
      <c r="R1560" t="s">
        <v>634</v>
      </c>
    </row>
    <row r="1561" spans="1:18">
      <c r="A1561">
        <v>15</v>
      </c>
      <c r="B1561" t="s">
        <v>405</v>
      </c>
      <c r="C1561" t="s">
        <v>483</v>
      </c>
      <c r="G1561">
        <v>4</v>
      </c>
      <c r="H1561" s="263"/>
      <c r="J1561" t="s">
        <v>22</v>
      </c>
      <c r="K1561" t="s">
        <v>30</v>
      </c>
      <c r="L1561" t="s">
        <v>33</v>
      </c>
      <c r="M1561" t="s">
        <v>960</v>
      </c>
      <c r="N1561" s="263">
        <f>0.5/5</f>
        <v>0.1</v>
      </c>
      <c r="O1561" s="1">
        <f>20*0.5/5</f>
        <v>2</v>
      </c>
      <c r="P1561" t="s">
        <v>957</v>
      </c>
      <c r="R1561" t="s">
        <v>634</v>
      </c>
    </row>
    <row r="1562" spans="1:18">
      <c r="A1562">
        <v>15</v>
      </c>
      <c r="B1562" t="s">
        <v>405</v>
      </c>
      <c r="C1562" t="s">
        <v>483</v>
      </c>
      <c r="G1562">
        <v>5</v>
      </c>
      <c r="H1562" s="263"/>
      <c r="J1562" t="s">
        <v>22</v>
      </c>
      <c r="K1562" t="s">
        <v>30</v>
      </c>
      <c r="L1562" t="s">
        <v>33</v>
      </c>
      <c r="M1562" t="s">
        <v>960</v>
      </c>
      <c r="N1562" s="263">
        <f t="shared" ref="N1562:N1579" si="56">0.5/5</f>
        <v>0.1</v>
      </c>
      <c r="O1562" s="1">
        <f t="shared" ref="O1562:O1579" si="57">20*0.5/5</f>
        <v>2</v>
      </c>
      <c r="P1562" t="s">
        <v>957</v>
      </c>
      <c r="R1562" t="s">
        <v>634</v>
      </c>
    </row>
    <row r="1563" spans="1:18">
      <c r="A1563">
        <v>15</v>
      </c>
      <c r="B1563" t="s">
        <v>405</v>
      </c>
      <c r="C1563" t="s">
        <v>483</v>
      </c>
      <c r="G1563">
        <v>6</v>
      </c>
      <c r="H1563" s="263"/>
      <c r="J1563" t="s">
        <v>22</v>
      </c>
      <c r="K1563" t="s">
        <v>30</v>
      </c>
      <c r="L1563" t="s">
        <v>33</v>
      </c>
      <c r="M1563" t="s">
        <v>960</v>
      </c>
      <c r="N1563" s="263">
        <f t="shared" si="56"/>
        <v>0.1</v>
      </c>
      <c r="O1563" s="1">
        <f t="shared" si="57"/>
        <v>2</v>
      </c>
      <c r="P1563" t="s">
        <v>957</v>
      </c>
      <c r="R1563" t="s">
        <v>634</v>
      </c>
    </row>
    <row r="1564" spans="1:18">
      <c r="A1564">
        <v>15</v>
      </c>
      <c r="B1564" t="s">
        <v>405</v>
      </c>
      <c r="C1564" t="s">
        <v>483</v>
      </c>
      <c r="G1564">
        <v>7</v>
      </c>
      <c r="H1564" s="263"/>
      <c r="J1564" t="s">
        <v>22</v>
      </c>
      <c r="K1564" t="s">
        <v>30</v>
      </c>
      <c r="L1564" t="s">
        <v>33</v>
      </c>
      <c r="M1564" t="s">
        <v>960</v>
      </c>
      <c r="N1564" s="263">
        <f t="shared" si="56"/>
        <v>0.1</v>
      </c>
      <c r="O1564" s="1">
        <f t="shared" si="57"/>
        <v>2</v>
      </c>
      <c r="P1564" t="s">
        <v>957</v>
      </c>
      <c r="R1564" t="s">
        <v>634</v>
      </c>
    </row>
    <row r="1565" spans="1:18">
      <c r="A1565">
        <v>15</v>
      </c>
      <c r="B1565" t="s">
        <v>405</v>
      </c>
      <c r="C1565" t="s">
        <v>483</v>
      </c>
      <c r="G1565">
        <v>8</v>
      </c>
      <c r="H1565" s="263"/>
      <c r="J1565" t="s">
        <v>22</v>
      </c>
      <c r="K1565" t="s">
        <v>30</v>
      </c>
      <c r="L1565" t="s">
        <v>33</v>
      </c>
      <c r="M1565" t="s">
        <v>960</v>
      </c>
      <c r="N1565" s="263">
        <f t="shared" si="56"/>
        <v>0.1</v>
      </c>
      <c r="O1565" s="1">
        <f t="shared" si="57"/>
        <v>2</v>
      </c>
      <c r="P1565" t="s">
        <v>957</v>
      </c>
      <c r="R1565" t="s">
        <v>634</v>
      </c>
    </row>
    <row r="1566" spans="1:18">
      <c r="A1566">
        <v>15</v>
      </c>
      <c r="B1566" t="s">
        <v>405</v>
      </c>
      <c r="C1566" t="s">
        <v>483</v>
      </c>
      <c r="G1566">
        <v>9</v>
      </c>
      <c r="H1566" s="263"/>
      <c r="J1566" t="s">
        <v>22</v>
      </c>
      <c r="K1566" t="s">
        <v>30</v>
      </c>
      <c r="L1566" t="s">
        <v>33</v>
      </c>
      <c r="M1566" t="s">
        <v>960</v>
      </c>
      <c r="N1566" s="263">
        <f t="shared" si="56"/>
        <v>0.1</v>
      </c>
      <c r="O1566" s="1">
        <f t="shared" si="57"/>
        <v>2</v>
      </c>
      <c r="P1566" t="s">
        <v>957</v>
      </c>
      <c r="R1566" t="s">
        <v>634</v>
      </c>
    </row>
    <row r="1567" spans="1:18">
      <c r="A1567">
        <v>15</v>
      </c>
      <c r="B1567" t="s">
        <v>405</v>
      </c>
      <c r="C1567" t="s">
        <v>483</v>
      </c>
      <c r="G1567">
        <v>10</v>
      </c>
      <c r="H1567" s="263"/>
      <c r="J1567" t="s">
        <v>22</v>
      </c>
      <c r="K1567" t="s">
        <v>30</v>
      </c>
      <c r="L1567" t="s">
        <v>33</v>
      </c>
      <c r="M1567" t="s">
        <v>960</v>
      </c>
      <c r="N1567" s="263">
        <f t="shared" si="56"/>
        <v>0.1</v>
      </c>
      <c r="O1567" s="1">
        <f t="shared" si="57"/>
        <v>2</v>
      </c>
      <c r="P1567" t="s">
        <v>957</v>
      </c>
      <c r="R1567" t="s">
        <v>634</v>
      </c>
    </row>
    <row r="1568" spans="1:18">
      <c r="A1568">
        <v>15</v>
      </c>
      <c r="B1568" t="s">
        <v>405</v>
      </c>
      <c r="C1568" t="s">
        <v>483</v>
      </c>
      <c r="G1568">
        <v>11</v>
      </c>
      <c r="H1568" s="263"/>
      <c r="J1568" t="s">
        <v>22</v>
      </c>
      <c r="K1568" t="s">
        <v>30</v>
      </c>
      <c r="L1568" t="s">
        <v>33</v>
      </c>
      <c r="M1568" t="s">
        <v>960</v>
      </c>
      <c r="N1568" s="263">
        <f t="shared" si="56"/>
        <v>0.1</v>
      </c>
      <c r="O1568" s="1">
        <f t="shared" si="57"/>
        <v>2</v>
      </c>
      <c r="P1568" t="s">
        <v>957</v>
      </c>
      <c r="R1568" t="s">
        <v>634</v>
      </c>
    </row>
    <row r="1569" spans="1:18">
      <c r="A1569">
        <v>15</v>
      </c>
      <c r="B1569" t="s">
        <v>405</v>
      </c>
      <c r="C1569" t="s">
        <v>483</v>
      </c>
      <c r="G1569">
        <v>12</v>
      </c>
      <c r="H1569" s="263"/>
      <c r="J1569" t="s">
        <v>22</v>
      </c>
      <c r="K1569" t="s">
        <v>30</v>
      </c>
      <c r="L1569" t="s">
        <v>33</v>
      </c>
      <c r="M1569" t="s">
        <v>960</v>
      </c>
      <c r="N1569" s="263">
        <f t="shared" si="56"/>
        <v>0.1</v>
      </c>
      <c r="O1569" s="1">
        <f t="shared" si="57"/>
        <v>2</v>
      </c>
      <c r="P1569" t="s">
        <v>957</v>
      </c>
      <c r="R1569" t="s">
        <v>634</v>
      </c>
    </row>
    <row r="1570" spans="1:18">
      <c r="A1570">
        <v>15</v>
      </c>
      <c r="B1570" t="s">
        <v>405</v>
      </c>
      <c r="C1570" t="s">
        <v>483</v>
      </c>
      <c r="G1570">
        <v>13</v>
      </c>
      <c r="H1570" s="263"/>
      <c r="J1570" t="s">
        <v>22</v>
      </c>
      <c r="K1570" t="s">
        <v>30</v>
      </c>
      <c r="L1570" t="s">
        <v>33</v>
      </c>
      <c r="M1570" t="s">
        <v>960</v>
      </c>
      <c r="N1570" s="263">
        <f t="shared" si="56"/>
        <v>0.1</v>
      </c>
      <c r="O1570" s="1">
        <f t="shared" si="57"/>
        <v>2</v>
      </c>
      <c r="P1570" t="s">
        <v>957</v>
      </c>
      <c r="R1570" t="s">
        <v>634</v>
      </c>
    </row>
    <row r="1571" spans="1:18">
      <c r="A1571">
        <v>15</v>
      </c>
      <c r="B1571" t="s">
        <v>405</v>
      </c>
      <c r="C1571" t="s">
        <v>483</v>
      </c>
      <c r="G1571">
        <v>14</v>
      </c>
      <c r="H1571" s="263"/>
      <c r="J1571" t="s">
        <v>22</v>
      </c>
      <c r="K1571" t="s">
        <v>30</v>
      </c>
      <c r="L1571" t="s">
        <v>33</v>
      </c>
      <c r="M1571" t="s">
        <v>960</v>
      </c>
      <c r="N1571" s="263">
        <f t="shared" si="56"/>
        <v>0.1</v>
      </c>
      <c r="O1571" s="1">
        <f t="shared" si="57"/>
        <v>2</v>
      </c>
      <c r="P1571" t="s">
        <v>957</v>
      </c>
      <c r="R1571" t="s">
        <v>634</v>
      </c>
    </row>
    <row r="1572" spans="1:18">
      <c r="A1572">
        <v>15</v>
      </c>
      <c r="B1572" t="s">
        <v>405</v>
      </c>
      <c r="C1572" t="s">
        <v>483</v>
      </c>
      <c r="G1572">
        <v>15</v>
      </c>
      <c r="H1572" s="263"/>
      <c r="J1572" t="s">
        <v>22</v>
      </c>
      <c r="K1572" t="s">
        <v>30</v>
      </c>
      <c r="L1572" t="s">
        <v>33</v>
      </c>
      <c r="M1572" t="s">
        <v>960</v>
      </c>
      <c r="N1572" s="263">
        <f t="shared" si="56"/>
        <v>0.1</v>
      </c>
      <c r="O1572" s="1">
        <f t="shared" si="57"/>
        <v>2</v>
      </c>
      <c r="P1572" t="s">
        <v>957</v>
      </c>
      <c r="R1572" t="s">
        <v>634</v>
      </c>
    </row>
    <row r="1573" spans="1:18">
      <c r="A1573">
        <v>15</v>
      </c>
      <c r="B1573" t="s">
        <v>405</v>
      </c>
      <c r="C1573" t="s">
        <v>483</v>
      </c>
      <c r="G1573">
        <v>16</v>
      </c>
      <c r="H1573" s="263"/>
      <c r="J1573" t="s">
        <v>22</v>
      </c>
      <c r="K1573" t="s">
        <v>30</v>
      </c>
      <c r="L1573" t="s">
        <v>33</v>
      </c>
      <c r="M1573" t="s">
        <v>960</v>
      </c>
      <c r="N1573" s="263">
        <f t="shared" si="56"/>
        <v>0.1</v>
      </c>
      <c r="O1573" s="1">
        <f t="shared" si="57"/>
        <v>2</v>
      </c>
      <c r="P1573" t="s">
        <v>957</v>
      </c>
      <c r="R1573" t="s">
        <v>634</v>
      </c>
    </row>
    <row r="1574" spans="1:18">
      <c r="A1574">
        <v>15</v>
      </c>
      <c r="B1574" t="s">
        <v>405</v>
      </c>
      <c r="C1574" t="s">
        <v>483</v>
      </c>
      <c r="G1574">
        <v>17</v>
      </c>
      <c r="H1574" s="263"/>
      <c r="J1574" t="s">
        <v>22</v>
      </c>
      <c r="K1574" t="s">
        <v>30</v>
      </c>
      <c r="L1574" t="s">
        <v>33</v>
      </c>
      <c r="M1574" t="s">
        <v>960</v>
      </c>
      <c r="N1574" s="263">
        <f t="shared" si="56"/>
        <v>0.1</v>
      </c>
      <c r="O1574" s="1">
        <f t="shared" si="57"/>
        <v>2</v>
      </c>
      <c r="P1574" t="s">
        <v>957</v>
      </c>
      <c r="R1574" t="s">
        <v>634</v>
      </c>
    </row>
    <row r="1575" spans="1:18">
      <c r="A1575">
        <v>15</v>
      </c>
      <c r="B1575" t="s">
        <v>405</v>
      </c>
      <c r="C1575" t="s">
        <v>483</v>
      </c>
      <c r="G1575">
        <v>18</v>
      </c>
      <c r="H1575" s="263"/>
      <c r="J1575" t="s">
        <v>22</v>
      </c>
      <c r="K1575" t="s">
        <v>30</v>
      </c>
      <c r="L1575" t="s">
        <v>33</v>
      </c>
      <c r="M1575" t="s">
        <v>960</v>
      </c>
      <c r="N1575" s="263">
        <f t="shared" si="56"/>
        <v>0.1</v>
      </c>
      <c r="O1575" s="1">
        <f t="shared" si="57"/>
        <v>2</v>
      </c>
      <c r="P1575" t="s">
        <v>957</v>
      </c>
      <c r="R1575" t="s">
        <v>634</v>
      </c>
    </row>
    <row r="1576" spans="1:18">
      <c r="A1576">
        <v>15</v>
      </c>
      <c r="B1576" t="s">
        <v>405</v>
      </c>
      <c r="C1576" t="s">
        <v>483</v>
      </c>
      <c r="G1576">
        <v>19</v>
      </c>
      <c r="H1576" s="263"/>
      <c r="J1576" t="s">
        <v>22</v>
      </c>
      <c r="K1576" t="s">
        <v>30</v>
      </c>
      <c r="L1576" t="s">
        <v>33</v>
      </c>
      <c r="M1576" t="s">
        <v>960</v>
      </c>
      <c r="N1576" s="263">
        <f t="shared" si="56"/>
        <v>0.1</v>
      </c>
      <c r="O1576" s="1">
        <f t="shared" si="57"/>
        <v>2</v>
      </c>
      <c r="P1576" t="s">
        <v>957</v>
      </c>
      <c r="R1576" t="s">
        <v>634</v>
      </c>
    </row>
    <row r="1577" spans="1:18">
      <c r="A1577">
        <v>15</v>
      </c>
      <c r="B1577" t="s">
        <v>405</v>
      </c>
      <c r="C1577" t="s">
        <v>483</v>
      </c>
      <c r="G1577">
        <v>20</v>
      </c>
      <c r="H1577" s="263"/>
      <c r="J1577" t="s">
        <v>22</v>
      </c>
      <c r="K1577" t="s">
        <v>30</v>
      </c>
      <c r="L1577" t="s">
        <v>33</v>
      </c>
      <c r="M1577" t="s">
        <v>960</v>
      </c>
      <c r="N1577" s="263">
        <f t="shared" si="56"/>
        <v>0.1</v>
      </c>
      <c r="O1577" s="1">
        <f t="shared" si="57"/>
        <v>2</v>
      </c>
      <c r="P1577" t="s">
        <v>957</v>
      </c>
      <c r="R1577" t="s">
        <v>634</v>
      </c>
    </row>
    <row r="1578" spans="1:18">
      <c r="A1578">
        <v>15</v>
      </c>
      <c r="B1578" t="s">
        <v>405</v>
      </c>
      <c r="C1578" t="s">
        <v>483</v>
      </c>
      <c r="G1578">
        <v>21</v>
      </c>
      <c r="H1578" s="263"/>
      <c r="J1578" t="s">
        <v>22</v>
      </c>
      <c r="K1578" t="s">
        <v>30</v>
      </c>
      <c r="L1578" t="s">
        <v>33</v>
      </c>
      <c r="M1578" t="s">
        <v>960</v>
      </c>
      <c r="N1578" s="263">
        <f t="shared" si="56"/>
        <v>0.1</v>
      </c>
      <c r="O1578" s="1">
        <f t="shared" si="57"/>
        <v>2</v>
      </c>
      <c r="P1578" t="s">
        <v>957</v>
      </c>
      <c r="R1578" t="s">
        <v>634</v>
      </c>
    </row>
    <row r="1579" spans="1:18">
      <c r="A1579">
        <v>15</v>
      </c>
      <c r="B1579" t="s">
        <v>405</v>
      </c>
      <c r="C1579" t="s">
        <v>483</v>
      </c>
      <c r="G1579">
        <v>22</v>
      </c>
      <c r="H1579" s="263"/>
      <c r="J1579" t="s">
        <v>22</v>
      </c>
      <c r="K1579" t="s">
        <v>30</v>
      </c>
      <c r="L1579" t="s">
        <v>33</v>
      </c>
      <c r="M1579" t="s">
        <v>960</v>
      </c>
      <c r="N1579" s="263">
        <f t="shared" si="56"/>
        <v>0.1</v>
      </c>
      <c r="O1579" s="1">
        <f t="shared" si="57"/>
        <v>2</v>
      </c>
      <c r="P1579" t="s">
        <v>957</v>
      </c>
      <c r="R1579" t="s">
        <v>634</v>
      </c>
    </row>
    <row r="1580" spans="1:18" hidden="1">
      <c r="A1580">
        <v>15</v>
      </c>
      <c r="B1580" t="s">
        <v>405</v>
      </c>
      <c r="C1580" t="s">
        <v>483</v>
      </c>
      <c r="G1580">
        <v>4</v>
      </c>
      <c r="J1580" t="s">
        <v>22</v>
      </c>
      <c r="K1580" t="s">
        <v>408</v>
      </c>
      <c r="L1580" t="s">
        <v>33</v>
      </c>
      <c r="M1580" t="s">
        <v>961</v>
      </c>
      <c r="O1580" s="1">
        <f>24.4/5</f>
        <v>4.88</v>
      </c>
      <c r="P1580" t="s">
        <v>958</v>
      </c>
      <c r="R1580" t="s">
        <v>634</v>
      </c>
    </row>
    <row r="1581" spans="1:18" hidden="1">
      <c r="A1581">
        <v>15</v>
      </c>
      <c r="B1581" t="s">
        <v>405</v>
      </c>
      <c r="C1581" t="s">
        <v>483</v>
      </c>
      <c r="G1581">
        <v>5</v>
      </c>
      <c r="J1581" t="s">
        <v>22</v>
      </c>
      <c r="K1581" t="s">
        <v>408</v>
      </c>
      <c r="L1581" t="s">
        <v>33</v>
      </c>
      <c r="M1581" t="s">
        <v>961</v>
      </c>
      <c r="O1581" s="1">
        <f t="shared" ref="O1581:O1598" si="58">24.4/5</f>
        <v>4.88</v>
      </c>
      <c r="P1581" t="s">
        <v>958</v>
      </c>
      <c r="R1581" t="s">
        <v>634</v>
      </c>
    </row>
    <row r="1582" spans="1:18" hidden="1">
      <c r="A1582">
        <v>15</v>
      </c>
      <c r="B1582" t="s">
        <v>405</v>
      </c>
      <c r="C1582" t="s">
        <v>483</v>
      </c>
      <c r="G1582">
        <v>6</v>
      </c>
      <c r="J1582" t="s">
        <v>22</v>
      </c>
      <c r="K1582" t="s">
        <v>408</v>
      </c>
      <c r="L1582" t="s">
        <v>33</v>
      </c>
      <c r="M1582" t="s">
        <v>961</v>
      </c>
      <c r="O1582" s="1">
        <f t="shared" si="58"/>
        <v>4.88</v>
      </c>
      <c r="P1582" t="s">
        <v>958</v>
      </c>
      <c r="R1582" t="s">
        <v>634</v>
      </c>
    </row>
    <row r="1583" spans="1:18" hidden="1">
      <c r="A1583">
        <v>15</v>
      </c>
      <c r="B1583" t="s">
        <v>405</v>
      </c>
      <c r="C1583" t="s">
        <v>483</v>
      </c>
      <c r="G1583">
        <v>7</v>
      </c>
      <c r="J1583" t="s">
        <v>22</v>
      </c>
      <c r="K1583" t="s">
        <v>408</v>
      </c>
      <c r="L1583" t="s">
        <v>33</v>
      </c>
      <c r="M1583" t="s">
        <v>961</v>
      </c>
      <c r="O1583" s="1">
        <f t="shared" si="58"/>
        <v>4.88</v>
      </c>
      <c r="P1583" t="s">
        <v>958</v>
      </c>
      <c r="R1583" t="s">
        <v>634</v>
      </c>
    </row>
    <row r="1584" spans="1:18" hidden="1">
      <c r="A1584">
        <v>15</v>
      </c>
      <c r="B1584" t="s">
        <v>405</v>
      </c>
      <c r="C1584" t="s">
        <v>483</v>
      </c>
      <c r="G1584">
        <v>8</v>
      </c>
      <c r="J1584" t="s">
        <v>22</v>
      </c>
      <c r="K1584" t="s">
        <v>408</v>
      </c>
      <c r="L1584" t="s">
        <v>33</v>
      </c>
      <c r="M1584" t="s">
        <v>961</v>
      </c>
      <c r="O1584" s="1">
        <f t="shared" si="58"/>
        <v>4.88</v>
      </c>
      <c r="P1584" t="s">
        <v>958</v>
      </c>
      <c r="R1584" t="s">
        <v>634</v>
      </c>
    </row>
    <row r="1585" spans="1:18" hidden="1">
      <c r="A1585">
        <v>15</v>
      </c>
      <c r="B1585" t="s">
        <v>405</v>
      </c>
      <c r="C1585" t="s">
        <v>483</v>
      </c>
      <c r="G1585">
        <v>9</v>
      </c>
      <c r="J1585" t="s">
        <v>22</v>
      </c>
      <c r="K1585" t="s">
        <v>408</v>
      </c>
      <c r="L1585" t="s">
        <v>33</v>
      </c>
      <c r="M1585" t="s">
        <v>961</v>
      </c>
      <c r="O1585" s="1">
        <f t="shared" si="58"/>
        <v>4.88</v>
      </c>
      <c r="P1585" t="s">
        <v>958</v>
      </c>
      <c r="R1585" t="s">
        <v>634</v>
      </c>
    </row>
    <row r="1586" spans="1:18" hidden="1">
      <c r="A1586">
        <v>15</v>
      </c>
      <c r="B1586" t="s">
        <v>405</v>
      </c>
      <c r="C1586" t="s">
        <v>483</v>
      </c>
      <c r="G1586">
        <v>10</v>
      </c>
      <c r="J1586" t="s">
        <v>22</v>
      </c>
      <c r="K1586" t="s">
        <v>408</v>
      </c>
      <c r="L1586" t="s">
        <v>33</v>
      </c>
      <c r="M1586" t="s">
        <v>961</v>
      </c>
      <c r="O1586" s="1">
        <f t="shared" si="58"/>
        <v>4.88</v>
      </c>
      <c r="P1586" t="s">
        <v>958</v>
      </c>
      <c r="R1586" t="s">
        <v>634</v>
      </c>
    </row>
    <row r="1587" spans="1:18" hidden="1">
      <c r="A1587">
        <v>15</v>
      </c>
      <c r="B1587" t="s">
        <v>405</v>
      </c>
      <c r="C1587" t="s">
        <v>483</v>
      </c>
      <c r="G1587">
        <v>11</v>
      </c>
      <c r="J1587" t="s">
        <v>22</v>
      </c>
      <c r="K1587" t="s">
        <v>408</v>
      </c>
      <c r="L1587" t="s">
        <v>33</v>
      </c>
      <c r="M1587" t="s">
        <v>961</v>
      </c>
      <c r="O1587" s="1">
        <f t="shared" si="58"/>
        <v>4.88</v>
      </c>
      <c r="P1587" t="s">
        <v>958</v>
      </c>
      <c r="R1587" t="s">
        <v>634</v>
      </c>
    </row>
    <row r="1588" spans="1:18" hidden="1">
      <c r="A1588">
        <v>15</v>
      </c>
      <c r="B1588" t="s">
        <v>405</v>
      </c>
      <c r="C1588" t="s">
        <v>483</v>
      </c>
      <c r="G1588">
        <v>12</v>
      </c>
      <c r="J1588" t="s">
        <v>22</v>
      </c>
      <c r="K1588" t="s">
        <v>408</v>
      </c>
      <c r="L1588" t="s">
        <v>33</v>
      </c>
      <c r="M1588" t="s">
        <v>961</v>
      </c>
      <c r="O1588" s="1">
        <f t="shared" si="58"/>
        <v>4.88</v>
      </c>
      <c r="P1588" t="s">
        <v>958</v>
      </c>
      <c r="R1588" t="s">
        <v>634</v>
      </c>
    </row>
    <row r="1589" spans="1:18" hidden="1">
      <c r="A1589">
        <v>15</v>
      </c>
      <c r="B1589" t="s">
        <v>405</v>
      </c>
      <c r="C1589" t="s">
        <v>483</v>
      </c>
      <c r="G1589">
        <v>13</v>
      </c>
      <c r="J1589" t="s">
        <v>22</v>
      </c>
      <c r="K1589" t="s">
        <v>408</v>
      </c>
      <c r="L1589" t="s">
        <v>33</v>
      </c>
      <c r="M1589" t="s">
        <v>961</v>
      </c>
      <c r="O1589" s="1">
        <f t="shared" si="58"/>
        <v>4.88</v>
      </c>
      <c r="P1589" t="s">
        <v>958</v>
      </c>
      <c r="R1589" t="s">
        <v>634</v>
      </c>
    </row>
    <row r="1590" spans="1:18" hidden="1">
      <c r="A1590">
        <v>15</v>
      </c>
      <c r="B1590" t="s">
        <v>405</v>
      </c>
      <c r="C1590" t="s">
        <v>483</v>
      </c>
      <c r="G1590">
        <v>14</v>
      </c>
      <c r="J1590" t="s">
        <v>22</v>
      </c>
      <c r="K1590" t="s">
        <v>408</v>
      </c>
      <c r="L1590" t="s">
        <v>33</v>
      </c>
      <c r="M1590" t="s">
        <v>961</v>
      </c>
      <c r="O1590" s="1">
        <f t="shared" si="58"/>
        <v>4.88</v>
      </c>
      <c r="P1590" t="s">
        <v>958</v>
      </c>
      <c r="R1590" t="s">
        <v>634</v>
      </c>
    </row>
    <row r="1591" spans="1:18" hidden="1">
      <c r="A1591">
        <v>15</v>
      </c>
      <c r="B1591" t="s">
        <v>405</v>
      </c>
      <c r="C1591" t="s">
        <v>483</v>
      </c>
      <c r="G1591">
        <v>15</v>
      </c>
      <c r="J1591" t="s">
        <v>22</v>
      </c>
      <c r="K1591" t="s">
        <v>408</v>
      </c>
      <c r="L1591" t="s">
        <v>33</v>
      </c>
      <c r="M1591" t="s">
        <v>961</v>
      </c>
      <c r="O1591" s="1">
        <f t="shared" si="58"/>
        <v>4.88</v>
      </c>
      <c r="P1591" t="s">
        <v>958</v>
      </c>
      <c r="R1591" t="s">
        <v>634</v>
      </c>
    </row>
    <row r="1592" spans="1:18" hidden="1">
      <c r="A1592">
        <v>15</v>
      </c>
      <c r="B1592" t="s">
        <v>405</v>
      </c>
      <c r="C1592" t="s">
        <v>483</v>
      </c>
      <c r="G1592">
        <v>16</v>
      </c>
      <c r="J1592" t="s">
        <v>22</v>
      </c>
      <c r="K1592" t="s">
        <v>408</v>
      </c>
      <c r="L1592" t="s">
        <v>33</v>
      </c>
      <c r="M1592" t="s">
        <v>961</v>
      </c>
      <c r="O1592" s="1">
        <f t="shared" si="58"/>
        <v>4.88</v>
      </c>
      <c r="P1592" t="s">
        <v>958</v>
      </c>
      <c r="R1592" t="s">
        <v>634</v>
      </c>
    </row>
    <row r="1593" spans="1:18" hidden="1">
      <c r="A1593">
        <v>15</v>
      </c>
      <c r="B1593" t="s">
        <v>405</v>
      </c>
      <c r="C1593" t="s">
        <v>483</v>
      </c>
      <c r="G1593">
        <v>17</v>
      </c>
      <c r="J1593" t="s">
        <v>22</v>
      </c>
      <c r="K1593" t="s">
        <v>408</v>
      </c>
      <c r="L1593" t="s">
        <v>33</v>
      </c>
      <c r="M1593" t="s">
        <v>961</v>
      </c>
      <c r="O1593" s="1">
        <f t="shared" si="58"/>
        <v>4.88</v>
      </c>
      <c r="P1593" t="s">
        <v>958</v>
      </c>
      <c r="R1593" t="s">
        <v>634</v>
      </c>
    </row>
    <row r="1594" spans="1:18" hidden="1">
      <c r="A1594">
        <v>15</v>
      </c>
      <c r="B1594" t="s">
        <v>405</v>
      </c>
      <c r="C1594" t="s">
        <v>483</v>
      </c>
      <c r="G1594">
        <v>18</v>
      </c>
      <c r="J1594" t="s">
        <v>22</v>
      </c>
      <c r="K1594" t="s">
        <v>408</v>
      </c>
      <c r="L1594" t="s">
        <v>33</v>
      </c>
      <c r="M1594" t="s">
        <v>961</v>
      </c>
      <c r="O1594" s="1">
        <f t="shared" si="58"/>
        <v>4.88</v>
      </c>
      <c r="P1594" t="s">
        <v>958</v>
      </c>
      <c r="R1594" t="s">
        <v>634</v>
      </c>
    </row>
    <row r="1595" spans="1:18" hidden="1">
      <c r="A1595">
        <v>15</v>
      </c>
      <c r="B1595" t="s">
        <v>405</v>
      </c>
      <c r="C1595" t="s">
        <v>483</v>
      </c>
      <c r="G1595">
        <v>19</v>
      </c>
      <c r="J1595" t="s">
        <v>22</v>
      </c>
      <c r="K1595" t="s">
        <v>408</v>
      </c>
      <c r="L1595" t="s">
        <v>33</v>
      </c>
      <c r="M1595" t="s">
        <v>961</v>
      </c>
      <c r="O1595" s="1">
        <f t="shared" si="58"/>
        <v>4.88</v>
      </c>
      <c r="P1595" t="s">
        <v>958</v>
      </c>
      <c r="R1595" t="s">
        <v>634</v>
      </c>
    </row>
    <row r="1596" spans="1:18" hidden="1">
      <c r="A1596">
        <v>15</v>
      </c>
      <c r="B1596" t="s">
        <v>405</v>
      </c>
      <c r="C1596" t="s">
        <v>483</v>
      </c>
      <c r="G1596">
        <v>20</v>
      </c>
      <c r="J1596" t="s">
        <v>22</v>
      </c>
      <c r="K1596" t="s">
        <v>408</v>
      </c>
      <c r="L1596" t="s">
        <v>33</v>
      </c>
      <c r="M1596" t="s">
        <v>961</v>
      </c>
      <c r="O1596" s="1">
        <f t="shared" si="58"/>
        <v>4.88</v>
      </c>
      <c r="P1596" t="s">
        <v>958</v>
      </c>
      <c r="R1596" t="s">
        <v>634</v>
      </c>
    </row>
    <row r="1597" spans="1:18" hidden="1">
      <c r="A1597">
        <v>15</v>
      </c>
      <c r="B1597" t="s">
        <v>405</v>
      </c>
      <c r="C1597" t="s">
        <v>483</v>
      </c>
      <c r="G1597">
        <v>21</v>
      </c>
      <c r="J1597" t="s">
        <v>22</v>
      </c>
      <c r="K1597" t="s">
        <v>408</v>
      </c>
      <c r="L1597" t="s">
        <v>33</v>
      </c>
      <c r="M1597" t="s">
        <v>961</v>
      </c>
      <c r="O1597" s="1">
        <f t="shared" si="58"/>
        <v>4.88</v>
      </c>
      <c r="P1597" t="s">
        <v>958</v>
      </c>
      <c r="R1597" t="s">
        <v>634</v>
      </c>
    </row>
    <row r="1598" spans="1:18" hidden="1">
      <c r="A1598">
        <v>15</v>
      </c>
      <c r="B1598" t="s">
        <v>405</v>
      </c>
      <c r="C1598" t="s">
        <v>483</v>
      </c>
      <c r="G1598">
        <v>22</v>
      </c>
      <c r="J1598" t="s">
        <v>22</v>
      </c>
      <c r="K1598" t="s">
        <v>408</v>
      </c>
      <c r="L1598" t="s">
        <v>33</v>
      </c>
      <c r="M1598" t="s">
        <v>961</v>
      </c>
      <c r="O1598" s="1">
        <f t="shared" si="58"/>
        <v>4.88</v>
      </c>
      <c r="P1598" t="s">
        <v>958</v>
      </c>
      <c r="R1598" t="s">
        <v>634</v>
      </c>
    </row>
    <row r="1599" spans="1:18" hidden="1">
      <c r="A1599">
        <v>15</v>
      </c>
      <c r="B1599" t="s">
        <v>405</v>
      </c>
      <c r="C1599" t="s">
        <v>483</v>
      </c>
      <c r="G1599">
        <v>4</v>
      </c>
      <c r="J1599" t="s">
        <v>22</v>
      </c>
      <c r="K1599" t="s">
        <v>71</v>
      </c>
      <c r="L1599" t="s">
        <v>33</v>
      </c>
      <c r="M1599" t="s">
        <v>962</v>
      </c>
      <c r="O1599" s="1">
        <v>9</v>
      </c>
      <c r="P1599" t="s">
        <v>959</v>
      </c>
      <c r="R1599" t="s">
        <v>634</v>
      </c>
    </row>
    <row r="1600" spans="1:18" hidden="1">
      <c r="A1600">
        <v>15</v>
      </c>
      <c r="B1600" t="s">
        <v>405</v>
      </c>
      <c r="C1600" t="s">
        <v>483</v>
      </c>
      <c r="G1600">
        <v>5</v>
      </c>
      <c r="J1600" t="s">
        <v>22</v>
      </c>
      <c r="K1600" t="s">
        <v>71</v>
      </c>
      <c r="L1600" t="s">
        <v>33</v>
      </c>
      <c r="M1600" t="s">
        <v>962</v>
      </c>
      <c r="O1600" s="1">
        <v>9</v>
      </c>
      <c r="P1600" t="s">
        <v>959</v>
      </c>
      <c r="R1600" t="s">
        <v>634</v>
      </c>
    </row>
    <row r="1601" spans="1:18" hidden="1">
      <c r="A1601">
        <v>15</v>
      </c>
      <c r="B1601" t="s">
        <v>405</v>
      </c>
      <c r="C1601" t="s">
        <v>483</v>
      </c>
      <c r="G1601">
        <v>6</v>
      </c>
      <c r="J1601" t="s">
        <v>22</v>
      </c>
      <c r="K1601" t="s">
        <v>71</v>
      </c>
      <c r="L1601" t="s">
        <v>33</v>
      </c>
      <c r="M1601" t="s">
        <v>962</v>
      </c>
      <c r="O1601" s="1">
        <v>9</v>
      </c>
      <c r="P1601" t="s">
        <v>959</v>
      </c>
      <c r="R1601" t="s">
        <v>634</v>
      </c>
    </row>
    <row r="1602" spans="1:18" hidden="1">
      <c r="A1602">
        <v>15</v>
      </c>
      <c r="B1602" t="s">
        <v>405</v>
      </c>
      <c r="C1602" t="s">
        <v>483</v>
      </c>
      <c r="G1602">
        <v>7</v>
      </c>
      <c r="J1602" t="s">
        <v>22</v>
      </c>
      <c r="K1602" t="s">
        <v>71</v>
      </c>
      <c r="L1602" t="s">
        <v>33</v>
      </c>
      <c r="M1602" t="s">
        <v>962</v>
      </c>
      <c r="O1602" s="1">
        <v>9</v>
      </c>
      <c r="P1602" t="s">
        <v>959</v>
      </c>
      <c r="R1602" t="s">
        <v>634</v>
      </c>
    </row>
    <row r="1603" spans="1:18" hidden="1">
      <c r="A1603">
        <v>15</v>
      </c>
      <c r="B1603" t="s">
        <v>405</v>
      </c>
      <c r="C1603" t="s">
        <v>483</v>
      </c>
      <c r="G1603">
        <v>8</v>
      </c>
      <c r="J1603" t="s">
        <v>22</v>
      </c>
      <c r="K1603" t="s">
        <v>71</v>
      </c>
      <c r="L1603" t="s">
        <v>33</v>
      </c>
      <c r="M1603" t="s">
        <v>962</v>
      </c>
      <c r="O1603" s="1">
        <v>9</v>
      </c>
      <c r="P1603" t="s">
        <v>959</v>
      </c>
      <c r="R1603" t="s">
        <v>634</v>
      </c>
    </row>
    <row r="1604" spans="1:18" hidden="1">
      <c r="A1604">
        <v>15</v>
      </c>
      <c r="B1604" t="s">
        <v>405</v>
      </c>
      <c r="C1604" t="s">
        <v>483</v>
      </c>
      <c r="G1604">
        <v>9</v>
      </c>
      <c r="J1604" t="s">
        <v>22</v>
      </c>
      <c r="K1604" t="s">
        <v>71</v>
      </c>
      <c r="L1604" t="s">
        <v>33</v>
      </c>
      <c r="M1604" t="s">
        <v>962</v>
      </c>
      <c r="O1604" s="1">
        <v>9</v>
      </c>
      <c r="P1604" t="s">
        <v>959</v>
      </c>
      <c r="R1604" t="s">
        <v>634</v>
      </c>
    </row>
    <row r="1605" spans="1:18" hidden="1">
      <c r="A1605">
        <v>15</v>
      </c>
      <c r="B1605" t="s">
        <v>405</v>
      </c>
      <c r="C1605" t="s">
        <v>483</v>
      </c>
      <c r="G1605">
        <v>10</v>
      </c>
      <c r="J1605" t="s">
        <v>22</v>
      </c>
      <c r="K1605" t="s">
        <v>71</v>
      </c>
      <c r="L1605" t="s">
        <v>33</v>
      </c>
      <c r="M1605" t="s">
        <v>962</v>
      </c>
      <c r="O1605" s="1">
        <v>9</v>
      </c>
      <c r="P1605" t="s">
        <v>959</v>
      </c>
      <c r="R1605" t="s">
        <v>634</v>
      </c>
    </row>
    <row r="1606" spans="1:18" hidden="1">
      <c r="A1606">
        <v>15</v>
      </c>
      <c r="B1606" t="s">
        <v>405</v>
      </c>
      <c r="C1606" t="s">
        <v>483</v>
      </c>
      <c r="G1606">
        <v>11</v>
      </c>
      <c r="J1606" t="s">
        <v>22</v>
      </c>
      <c r="K1606" t="s">
        <v>71</v>
      </c>
      <c r="L1606" t="s">
        <v>33</v>
      </c>
      <c r="M1606" t="s">
        <v>962</v>
      </c>
      <c r="O1606" s="1">
        <v>9</v>
      </c>
      <c r="P1606" t="s">
        <v>959</v>
      </c>
      <c r="R1606" t="s">
        <v>634</v>
      </c>
    </row>
    <row r="1607" spans="1:18" hidden="1">
      <c r="A1607">
        <v>15</v>
      </c>
      <c r="B1607" t="s">
        <v>405</v>
      </c>
      <c r="C1607" t="s">
        <v>483</v>
      </c>
      <c r="G1607">
        <v>12</v>
      </c>
      <c r="J1607" t="s">
        <v>22</v>
      </c>
      <c r="K1607" t="s">
        <v>71</v>
      </c>
      <c r="L1607" t="s">
        <v>33</v>
      </c>
      <c r="M1607" t="s">
        <v>962</v>
      </c>
      <c r="O1607" s="1">
        <v>9</v>
      </c>
      <c r="P1607" t="s">
        <v>959</v>
      </c>
      <c r="R1607" t="s">
        <v>634</v>
      </c>
    </row>
    <row r="1608" spans="1:18" hidden="1">
      <c r="A1608">
        <v>15</v>
      </c>
      <c r="B1608" t="s">
        <v>405</v>
      </c>
      <c r="C1608" t="s">
        <v>483</v>
      </c>
      <c r="G1608">
        <v>13</v>
      </c>
      <c r="J1608" t="s">
        <v>22</v>
      </c>
      <c r="K1608" t="s">
        <v>71</v>
      </c>
      <c r="L1608" t="s">
        <v>33</v>
      </c>
      <c r="M1608" t="s">
        <v>962</v>
      </c>
      <c r="O1608" s="1">
        <v>9</v>
      </c>
      <c r="P1608" t="s">
        <v>959</v>
      </c>
      <c r="R1608" t="s">
        <v>634</v>
      </c>
    </row>
    <row r="1609" spans="1:18" hidden="1">
      <c r="A1609">
        <v>15</v>
      </c>
      <c r="B1609" t="s">
        <v>405</v>
      </c>
      <c r="C1609" t="s">
        <v>483</v>
      </c>
      <c r="G1609">
        <v>14</v>
      </c>
      <c r="J1609" t="s">
        <v>22</v>
      </c>
      <c r="K1609" t="s">
        <v>71</v>
      </c>
      <c r="L1609" t="s">
        <v>33</v>
      </c>
      <c r="M1609" t="s">
        <v>962</v>
      </c>
      <c r="O1609" s="1">
        <v>9</v>
      </c>
      <c r="P1609" t="s">
        <v>959</v>
      </c>
      <c r="R1609" t="s">
        <v>634</v>
      </c>
    </row>
    <row r="1610" spans="1:18" hidden="1">
      <c r="A1610">
        <v>15</v>
      </c>
      <c r="B1610" t="s">
        <v>405</v>
      </c>
      <c r="C1610" t="s">
        <v>483</v>
      </c>
      <c r="G1610">
        <v>15</v>
      </c>
      <c r="J1610" t="s">
        <v>22</v>
      </c>
      <c r="K1610" t="s">
        <v>71</v>
      </c>
      <c r="L1610" t="s">
        <v>33</v>
      </c>
      <c r="M1610" t="s">
        <v>962</v>
      </c>
      <c r="O1610" s="1">
        <v>9</v>
      </c>
      <c r="P1610" t="s">
        <v>959</v>
      </c>
      <c r="R1610" t="s">
        <v>634</v>
      </c>
    </row>
    <row r="1611" spans="1:18" hidden="1">
      <c r="A1611">
        <v>15</v>
      </c>
      <c r="B1611" t="s">
        <v>405</v>
      </c>
      <c r="C1611" t="s">
        <v>483</v>
      </c>
      <c r="G1611">
        <v>16</v>
      </c>
      <c r="J1611" t="s">
        <v>22</v>
      </c>
      <c r="K1611" t="s">
        <v>71</v>
      </c>
      <c r="L1611" t="s">
        <v>33</v>
      </c>
      <c r="M1611" t="s">
        <v>962</v>
      </c>
      <c r="O1611" s="1">
        <v>9</v>
      </c>
      <c r="P1611" t="s">
        <v>959</v>
      </c>
      <c r="R1611" t="s">
        <v>634</v>
      </c>
    </row>
    <row r="1612" spans="1:18" hidden="1">
      <c r="A1612">
        <v>15</v>
      </c>
      <c r="B1612" t="s">
        <v>405</v>
      </c>
      <c r="C1612" t="s">
        <v>483</v>
      </c>
      <c r="G1612">
        <v>17</v>
      </c>
      <c r="J1612" t="s">
        <v>22</v>
      </c>
      <c r="K1612" t="s">
        <v>71</v>
      </c>
      <c r="L1612" t="s">
        <v>33</v>
      </c>
      <c r="M1612" t="s">
        <v>962</v>
      </c>
      <c r="O1612" s="1">
        <v>9</v>
      </c>
      <c r="P1612" t="s">
        <v>959</v>
      </c>
      <c r="R1612" t="s">
        <v>634</v>
      </c>
    </row>
    <row r="1613" spans="1:18" hidden="1">
      <c r="A1613">
        <v>15</v>
      </c>
      <c r="B1613" t="s">
        <v>405</v>
      </c>
      <c r="C1613" t="s">
        <v>483</v>
      </c>
      <c r="G1613">
        <v>18</v>
      </c>
      <c r="J1613" t="s">
        <v>22</v>
      </c>
      <c r="K1613" t="s">
        <v>71</v>
      </c>
      <c r="L1613" t="s">
        <v>33</v>
      </c>
      <c r="M1613" t="s">
        <v>962</v>
      </c>
      <c r="O1613" s="1">
        <v>9</v>
      </c>
      <c r="P1613" t="s">
        <v>959</v>
      </c>
      <c r="R1613" t="s">
        <v>634</v>
      </c>
    </row>
    <row r="1614" spans="1:18" hidden="1">
      <c r="A1614">
        <v>15</v>
      </c>
      <c r="B1614" t="s">
        <v>405</v>
      </c>
      <c r="C1614" t="s">
        <v>483</v>
      </c>
      <c r="G1614">
        <v>19</v>
      </c>
      <c r="J1614" t="s">
        <v>22</v>
      </c>
      <c r="K1614" t="s">
        <v>71</v>
      </c>
      <c r="L1614" t="s">
        <v>33</v>
      </c>
      <c r="M1614" t="s">
        <v>962</v>
      </c>
      <c r="O1614" s="1">
        <v>9</v>
      </c>
      <c r="P1614" t="s">
        <v>959</v>
      </c>
      <c r="R1614" t="s">
        <v>634</v>
      </c>
    </row>
    <row r="1615" spans="1:18" hidden="1">
      <c r="A1615">
        <v>15</v>
      </c>
      <c r="B1615" t="s">
        <v>405</v>
      </c>
      <c r="C1615" t="s">
        <v>483</v>
      </c>
      <c r="G1615">
        <v>20</v>
      </c>
      <c r="J1615" t="s">
        <v>22</v>
      </c>
      <c r="K1615" t="s">
        <v>71</v>
      </c>
      <c r="L1615" t="s">
        <v>33</v>
      </c>
      <c r="M1615" t="s">
        <v>962</v>
      </c>
      <c r="O1615" s="1">
        <v>9</v>
      </c>
      <c r="P1615" t="s">
        <v>959</v>
      </c>
      <c r="R1615" t="s">
        <v>634</v>
      </c>
    </row>
    <row r="1616" spans="1:18" hidden="1">
      <c r="A1616">
        <v>15</v>
      </c>
      <c r="B1616" t="s">
        <v>405</v>
      </c>
      <c r="C1616" t="s">
        <v>483</v>
      </c>
      <c r="G1616">
        <v>21</v>
      </c>
      <c r="J1616" t="s">
        <v>22</v>
      </c>
      <c r="K1616" t="s">
        <v>71</v>
      </c>
      <c r="L1616" t="s">
        <v>33</v>
      </c>
      <c r="M1616" t="s">
        <v>962</v>
      </c>
      <c r="O1616" s="1">
        <v>9</v>
      </c>
      <c r="P1616" t="s">
        <v>959</v>
      </c>
      <c r="R1616" t="s">
        <v>634</v>
      </c>
    </row>
    <row r="1617" spans="1:18" hidden="1">
      <c r="A1617">
        <v>15</v>
      </c>
      <c r="B1617" t="s">
        <v>405</v>
      </c>
      <c r="C1617" t="s">
        <v>483</v>
      </c>
      <c r="G1617">
        <v>22</v>
      </c>
      <c r="J1617" t="s">
        <v>22</v>
      </c>
      <c r="K1617" t="s">
        <v>71</v>
      </c>
      <c r="L1617" t="s">
        <v>33</v>
      </c>
      <c r="M1617" t="s">
        <v>962</v>
      </c>
      <c r="O1617" s="1">
        <v>9</v>
      </c>
      <c r="P1617" t="s">
        <v>959</v>
      </c>
      <c r="R1617" t="s">
        <v>634</v>
      </c>
    </row>
    <row r="1618" spans="1:18" hidden="1">
      <c r="A1618">
        <v>15</v>
      </c>
      <c r="B1618" t="s">
        <v>405</v>
      </c>
      <c r="C1618" t="s">
        <v>483</v>
      </c>
      <c r="G1618">
        <v>4</v>
      </c>
      <c r="J1618" t="s">
        <v>22</v>
      </c>
      <c r="K1618" t="s">
        <v>408</v>
      </c>
      <c r="L1618" t="s">
        <v>33</v>
      </c>
      <c r="M1618" t="s">
        <v>964</v>
      </c>
      <c r="O1618" s="1">
        <v>75.03</v>
      </c>
      <c r="P1618" t="s">
        <v>963</v>
      </c>
      <c r="R1618" t="s">
        <v>634</v>
      </c>
    </row>
    <row r="1619" spans="1:18" hidden="1">
      <c r="A1619">
        <v>15</v>
      </c>
      <c r="B1619" t="s">
        <v>405</v>
      </c>
      <c r="C1619" t="s">
        <v>483</v>
      </c>
      <c r="G1619">
        <v>5</v>
      </c>
      <c r="J1619" t="s">
        <v>22</v>
      </c>
      <c r="K1619" t="s">
        <v>408</v>
      </c>
      <c r="L1619" t="s">
        <v>33</v>
      </c>
      <c r="M1619" t="s">
        <v>964</v>
      </c>
      <c r="O1619" s="1">
        <v>75.03</v>
      </c>
      <c r="P1619" t="s">
        <v>963</v>
      </c>
      <c r="R1619" t="s">
        <v>634</v>
      </c>
    </row>
    <row r="1620" spans="1:18" hidden="1">
      <c r="A1620">
        <v>15</v>
      </c>
      <c r="B1620" t="s">
        <v>405</v>
      </c>
      <c r="C1620" t="s">
        <v>483</v>
      </c>
      <c r="G1620">
        <v>6</v>
      </c>
      <c r="J1620" t="s">
        <v>22</v>
      </c>
      <c r="K1620" t="s">
        <v>408</v>
      </c>
      <c r="L1620" t="s">
        <v>33</v>
      </c>
      <c r="M1620" t="s">
        <v>964</v>
      </c>
      <c r="O1620" s="1">
        <v>75.03</v>
      </c>
      <c r="P1620" t="s">
        <v>963</v>
      </c>
      <c r="R1620" t="s">
        <v>634</v>
      </c>
    </row>
    <row r="1621" spans="1:18" hidden="1">
      <c r="A1621">
        <v>15</v>
      </c>
      <c r="B1621" t="s">
        <v>405</v>
      </c>
      <c r="C1621" t="s">
        <v>483</v>
      </c>
      <c r="G1621">
        <v>7</v>
      </c>
      <c r="J1621" t="s">
        <v>22</v>
      </c>
      <c r="K1621" t="s">
        <v>408</v>
      </c>
      <c r="L1621" t="s">
        <v>33</v>
      </c>
      <c r="M1621" t="s">
        <v>964</v>
      </c>
      <c r="O1621" s="1">
        <v>75.03</v>
      </c>
      <c r="P1621" t="s">
        <v>963</v>
      </c>
      <c r="R1621" t="s">
        <v>634</v>
      </c>
    </row>
    <row r="1622" spans="1:18" hidden="1">
      <c r="A1622">
        <v>15</v>
      </c>
      <c r="B1622" t="s">
        <v>405</v>
      </c>
      <c r="C1622" t="s">
        <v>483</v>
      </c>
      <c r="G1622">
        <v>8</v>
      </c>
      <c r="J1622" t="s">
        <v>22</v>
      </c>
      <c r="K1622" t="s">
        <v>408</v>
      </c>
      <c r="L1622" t="s">
        <v>33</v>
      </c>
      <c r="M1622" t="s">
        <v>964</v>
      </c>
      <c r="O1622" s="1">
        <v>75.03</v>
      </c>
      <c r="P1622" t="s">
        <v>963</v>
      </c>
      <c r="R1622" t="s">
        <v>634</v>
      </c>
    </row>
    <row r="1623" spans="1:18" hidden="1">
      <c r="A1623">
        <v>15</v>
      </c>
      <c r="B1623" t="s">
        <v>405</v>
      </c>
      <c r="C1623" t="s">
        <v>483</v>
      </c>
      <c r="G1623">
        <v>9</v>
      </c>
      <c r="J1623" t="s">
        <v>22</v>
      </c>
      <c r="K1623" t="s">
        <v>408</v>
      </c>
      <c r="L1623" t="s">
        <v>33</v>
      </c>
      <c r="M1623" t="s">
        <v>964</v>
      </c>
      <c r="O1623" s="1">
        <v>75.03</v>
      </c>
      <c r="P1623" t="s">
        <v>963</v>
      </c>
      <c r="R1623" t="s">
        <v>634</v>
      </c>
    </row>
    <row r="1624" spans="1:18" hidden="1">
      <c r="A1624">
        <v>15</v>
      </c>
      <c r="B1624" t="s">
        <v>405</v>
      </c>
      <c r="C1624" t="s">
        <v>483</v>
      </c>
      <c r="G1624">
        <v>10</v>
      </c>
      <c r="J1624" t="s">
        <v>22</v>
      </c>
      <c r="K1624" t="s">
        <v>408</v>
      </c>
      <c r="L1624" t="s">
        <v>33</v>
      </c>
      <c r="M1624" t="s">
        <v>964</v>
      </c>
      <c r="O1624" s="1">
        <v>75.03</v>
      </c>
      <c r="P1624" t="s">
        <v>963</v>
      </c>
      <c r="R1624" t="s">
        <v>634</v>
      </c>
    </row>
    <row r="1625" spans="1:18" hidden="1">
      <c r="A1625">
        <v>15</v>
      </c>
      <c r="B1625" t="s">
        <v>405</v>
      </c>
      <c r="C1625" t="s">
        <v>483</v>
      </c>
      <c r="G1625">
        <v>11</v>
      </c>
      <c r="J1625" t="s">
        <v>22</v>
      </c>
      <c r="K1625" t="s">
        <v>408</v>
      </c>
      <c r="L1625" t="s">
        <v>33</v>
      </c>
      <c r="M1625" t="s">
        <v>964</v>
      </c>
      <c r="O1625" s="1">
        <v>75.03</v>
      </c>
      <c r="P1625" t="s">
        <v>963</v>
      </c>
      <c r="R1625" t="s">
        <v>634</v>
      </c>
    </row>
    <row r="1626" spans="1:18" hidden="1">
      <c r="A1626">
        <v>15</v>
      </c>
      <c r="B1626" t="s">
        <v>405</v>
      </c>
      <c r="C1626" t="s">
        <v>483</v>
      </c>
      <c r="G1626">
        <v>12</v>
      </c>
      <c r="J1626" t="s">
        <v>22</v>
      </c>
      <c r="K1626" t="s">
        <v>408</v>
      </c>
      <c r="L1626" t="s">
        <v>33</v>
      </c>
      <c r="M1626" t="s">
        <v>964</v>
      </c>
      <c r="O1626" s="1">
        <v>75.03</v>
      </c>
      <c r="P1626" t="s">
        <v>963</v>
      </c>
      <c r="R1626" t="s">
        <v>634</v>
      </c>
    </row>
    <row r="1627" spans="1:18" hidden="1">
      <c r="A1627">
        <v>15</v>
      </c>
      <c r="B1627" t="s">
        <v>405</v>
      </c>
      <c r="C1627" t="s">
        <v>483</v>
      </c>
      <c r="G1627">
        <v>13</v>
      </c>
      <c r="J1627" t="s">
        <v>22</v>
      </c>
      <c r="K1627" t="s">
        <v>408</v>
      </c>
      <c r="L1627" t="s">
        <v>33</v>
      </c>
      <c r="M1627" t="s">
        <v>964</v>
      </c>
      <c r="O1627" s="1">
        <v>75.03</v>
      </c>
      <c r="P1627" t="s">
        <v>963</v>
      </c>
      <c r="R1627" t="s">
        <v>634</v>
      </c>
    </row>
    <row r="1628" spans="1:18" hidden="1">
      <c r="A1628">
        <v>15</v>
      </c>
      <c r="B1628" t="s">
        <v>405</v>
      </c>
      <c r="C1628" t="s">
        <v>483</v>
      </c>
      <c r="G1628">
        <v>14</v>
      </c>
      <c r="J1628" t="s">
        <v>22</v>
      </c>
      <c r="K1628" t="s">
        <v>408</v>
      </c>
      <c r="L1628" t="s">
        <v>33</v>
      </c>
      <c r="M1628" t="s">
        <v>964</v>
      </c>
      <c r="O1628" s="1">
        <v>75.03</v>
      </c>
      <c r="P1628" t="s">
        <v>963</v>
      </c>
      <c r="R1628" t="s">
        <v>634</v>
      </c>
    </row>
    <row r="1629" spans="1:18" hidden="1">
      <c r="A1629">
        <v>15</v>
      </c>
      <c r="B1629" t="s">
        <v>405</v>
      </c>
      <c r="C1629" t="s">
        <v>483</v>
      </c>
      <c r="G1629">
        <v>15</v>
      </c>
      <c r="J1629" t="s">
        <v>22</v>
      </c>
      <c r="K1629" t="s">
        <v>408</v>
      </c>
      <c r="L1629" t="s">
        <v>33</v>
      </c>
      <c r="M1629" t="s">
        <v>964</v>
      </c>
      <c r="O1629" s="1">
        <v>75.03</v>
      </c>
      <c r="P1629" t="s">
        <v>963</v>
      </c>
      <c r="R1629" t="s">
        <v>634</v>
      </c>
    </row>
    <row r="1630" spans="1:18" hidden="1">
      <c r="A1630">
        <v>15</v>
      </c>
      <c r="B1630" t="s">
        <v>405</v>
      </c>
      <c r="C1630" t="s">
        <v>483</v>
      </c>
      <c r="G1630">
        <v>16</v>
      </c>
      <c r="J1630" t="s">
        <v>22</v>
      </c>
      <c r="K1630" t="s">
        <v>408</v>
      </c>
      <c r="L1630" t="s">
        <v>33</v>
      </c>
      <c r="M1630" t="s">
        <v>964</v>
      </c>
      <c r="O1630" s="1">
        <v>75.03</v>
      </c>
      <c r="P1630" t="s">
        <v>963</v>
      </c>
      <c r="R1630" t="s">
        <v>634</v>
      </c>
    </row>
    <row r="1631" spans="1:18" hidden="1">
      <c r="A1631">
        <v>15</v>
      </c>
      <c r="B1631" t="s">
        <v>405</v>
      </c>
      <c r="C1631" t="s">
        <v>483</v>
      </c>
      <c r="G1631">
        <v>17</v>
      </c>
      <c r="J1631" t="s">
        <v>22</v>
      </c>
      <c r="K1631" t="s">
        <v>408</v>
      </c>
      <c r="L1631" t="s">
        <v>33</v>
      </c>
      <c r="M1631" t="s">
        <v>964</v>
      </c>
      <c r="O1631" s="1">
        <v>75.03</v>
      </c>
      <c r="P1631" t="s">
        <v>963</v>
      </c>
      <c r="R1631" t="s">
        <v>634</v>
      </c>
    </row>
    <row r="1632" spans="1:18" hidden="1">
      <c r="A1632">
        <v>15</v>
      </c>
      <c r="B1632" t="s">
        <v>405</v>
      </c>
      <c r="C1632" t="s">
        <v>483</v>
      </c>
      <c r="G1632">
        <v>18</v>
      </c>
      <c r="J1632" t="s">
        <v>22</v>
      </c>
      <c r="K1632" t="s">
        <v>408</v>
      </c>
      <c r="L1632" t="s">
        <v>33</v>
      </c>
      <c r="M1632" t="s">
        <v>964</v>
      </c>
      <c r="O1632" s="1">
        <v>75.03</v>
      </c>
      <c r="P1632" t="s">
        <v>963</v>
      </c>
      <c r="R1632" t="s">
        <v>634</v>
      </c>
    </row>
    <row r="1633" spans="1:18" hidden="1">
      <c r="A1633">
        <v>15</v>
      </c>
      <c r="B1633" t="s">
        <v>405</v>
      </c>
      <c r="C1633" t="s">
        <v>483</v>
      </c>
      <c r="G1633">
        <v>19</v>
      </c>
      <c r="J1633" t="s">
        <v>22</v>
      </c>
      <c r="K1633" t="s">
        <v>408</v>
      </c>
      <c r="L1633" t="s">
        <v>33</v>
      </c>
      <c r="M1633" t="s">
        <v>964</v>
      </c>
      <c r="O1633" s="1">
        <v>75.03</v>
      </c>
      <c r="P1633" t="s">
        <v>963</v>
      </c>
      <c r="R1633" t="s">
        <v>634</v>
      </c>
    </row>
    <row r="1634" spans="1:18" hidden="1">
      <c r="A1634">
        <v>15</v>
      </c>
      <c r="B1634" t="s">
        <v>405</v>
      </c>
      <c r="C1634" t="s">
        <v>483</v>
      </c>
      <c r="G1634">
        <v>20</v>
      </c>
      <c r="J1634" t="s">
        <v>22</v>
      </c>
      <c r="K1634" t="s">
        <v>408</v>
      </c>
      <c r="L1634" t="s">
        <v>33</v>
      </c>
      <c r="M1634" t="s">
        <v>964</v>
      </c>
      <c r="O1634" s="1">
        <v>75.03</v>
      </c>
      <c r="P1634" t="s">
        <v>963</v>
      </c>
      <c r="R1634" t="s">
        <v>634</v>
      </c>
    </row>
    <row r="1635" spans="1:18" hidden="1">
      <c r="A1635">
        <v>15</v>
      </c>
      <c r="B1635" t="s">
        <v>405</v>
      </c>
      <c r="C1635" t="s">
        <v>483</v>
      </c>
      <c r="G1635">
        <v>21</v>
      </c>
      <c r="J1635" t="s">
        <v>22</v>
      </c>
      <c r="K1635" t="s">
        <v>408</v>
      </c>
      <c r="L1635" t="s">
        <v>33</v>
      </c>
      <c r="M1635" t="s">
        <v>964</v>
      </c>
      <c r="O1635" s="1">
        <v>75.03</v>
      </c>
      <c r="P1635" t="s">
        <v>963</v>
      </c>
      <c r="R1635" t="s">
        <v>634</v>
      </c>
    </row>
    <row r="1636" spans="1:18" hidden="1">
      <c r="A1636">
        <v>15</v>
      </c>
      <c r="B1636" t="s">
        <v>405</v>
      </c>
      <c r="C1636" t="s">
        <v>483</v>
      </c>
      <c r="G1636">
        <v>22</v>
      </c>
      <c r="J1636" t="s">
        <v>22</v>
      </c>
      <c r="K1636" t="s">
        <v>408</v>
      </c>
      <c r="L1636" t="s">
        <v>33</v>
      </c>
      <c r="M1636" t="s">
        <v>964</v>
      </c>
      <c r="O1636" s="1">
        <v>75.03</v>
      </c>
      <c r="P1636" t="s">
        <v>963</v>
      </c>
      <c r="R1636" t="s">
        <v>634</v>
      </c>
    </row>
    <row r="1637" spans="1:18">
      <c r="A1637">
        <v>15</v>
      </c>
      <c r="B1637" t="s">
        <v>405</v>
      </c>
      <c r="C1637" t="s">
        <v>483</v>
      </c>
      <c r="G1637">
        <v>4</v>
      </c>
      <c r="H1637" s="263"/>
      <c r="J1637" t="s">
        <v>22</v>
      </c>
      <c r="K1637" t="s">
        <v>30</v>
      </c>
      <c r="L1637" t="s">
        <v>33</v>
      </c>
      <c r="M1637" t="s">
        <v>627</v>
      </c>
      <c r="N1637" s="263">
        <v>6</v>
      </c>
      <c r="O1637" s="1">
        <f>13.5*6</f>
        <v>81</v>
      </c>
      <c r="P1637" t="s">
        <v>902</v>
      </c>
      <c r="R1637" t="s">
        <v>634</v>
      </c>
    </row>
    <row r="1638" spans="1:18">
      <c r="A1638">
        <v>15</v>
      </c>
      <c r="B1638" t="s">
        <v>405</v>
      </c>
      <c r="C1638" t="s">
        <v>483</v>
      </c>
      <c r="G1638">
        <v>5</v>
      </c>
      <c r="H1638" s="263"/>
      <c r="J1638" t="s">
        <v>22</v>
      </c>
      <c r="K1638" t="s">
        <v>30</v>
      </c>
      <c r="L1638" t="s">
        <v>33</v>
      </c>
      <c r="M1638" t="s">
        <v>627</v>
      </c>
      <c r="N1638" s="263">
        <v>6</v>
      </c>
      <c r="O1638" s="1">
        <f t="shared" ref="O1638:O1674" si="59">13.5*6</f>
        <v>81</v>
      </c>
      <c r="P1638" t="s">
        <v>902</v>
      </c>
      <c r="R1638" t="s">
        <v>634</v>
      </c>
    </row>
    <row r="1639" spans="1:18">
      <c r="A1639">
        <v>15</v>
      </c>
      <c r="B1639" t="s">
        <v>405</v>
      </c>
      <c r="C1639" t="s">
        <v>483</v>
      </c>
      <c r="G1639">
        <v>6</v>
      </c>
      <c r="H1639" s="263"/>
      <c r="J1639" t="s">
        <v>22</v>
      </c>
      <c r="K1639" t="s">
        <v>30</v>
      </c>
      <c r="L1639" t="s">
        <v>33</v>
      </c>
      <c r="M1639" t="s">
        <v>627</v>
      </c>
      <c r="N1639" s="263">
        <v>6</v>
      </c>
      <c r="O1639" s="1">
        <f t="shared" si="59"/>
        <v>81</v>
      </c>
      <c r="P1639" t="s">
        <v>902</v>
      </c>
      <c r="R1639" t="s">
        <v>634</v>
      </c>
    </row>
    <row r="1640" spans="1:18">
      <c r="A1640">
        <v>15</v>
      </c>
      <c r="B1640" t="s">
        <v>405</v>
      </c>
      <c r="C1640" t="s">
        <v>483</v>
      </c>
      <c r="G1640">
        <v>7</v>
      </c>
      <c r="H1640" s="263"/>
      <c r="J1640" t="s">
        <v>22</v>
      </c>
      <c r="K1640" t="s">
        <v>30</v>
      </c>
      <c r="L1640" t="s">
        <v>33</v>
      </c>
      <c r="M1640" t="s">
        <v>627</v>
      </c>
      <c r="N1640" s="263">
        <v>6</v>
      </c>
      <c r="O1640" s="1">
        <f t="shared" si="59"/>
        <v>81</v>
      </c>
      <c r="P1640" t="s">
        <v>902</v>
      </c>
      <c r="R1640" t="s">
        <v>634</v>
      </c>
    </row>
    <row r="1641" spans="1:18">
      <c r="A1641">
        <v>15</v>
      </c>
      <c r="B1641" t="s">
        <v>405</v>
      </c>
      <c r="C1641" t="s">
        <v>483</v>
      </c>
      <c r="G1641">
        <v>8</v>
      </c>
      <c r="H1641" s="263"/>
      <c r="J1641" t="s">
        <v>22</v>
      </c>
      <c r="K1641" t="s">
        <v>30</v>
      </c>
      <c r="L1641" t="s">
        <v>33</v>
      </c>
      <c r="M1641" t="s">
        <v>627</v>
      </c>
      <c r="N1641" s="263">
        <v>6</v>
      </c>
      <c r="O1641" s="1">
        <f t="shared" si="59"/>
        <v>81</v>
      </c>
      <c r="P1641" t="s">
        <v>902</v>
      </c>
      <c r="R1641" t="s">
        <v>634</v>
      </c>
    </row>
    <row r="1642" spans="1:18">
      <c r="A1642">
        <v>15</v>
      </c>
      <c r="B1642" t="s">
        <v>405</v>
      </c>
      <c r="C1642" t="s">
        <v>483</v>
      </c>
      <c r="G1642">
        <v>9</v>
      </c>
      <c r="H1642" s="263"/>
      <c r="J1642" t="s">
        <v>22</v>
      </c>
      <c r="K1642" t="s">
        <v>30</v>
      </c>
      <c r="L1642" t="s">
        <v>33</v>
      </c>
      <c r="M1642" t="s">
        <v>627</v>
      </c>
      <c r="N1642" s="263">
        <v>6</v>
      </c>
      <c r="O1642" s="1">
        <f t="shared" si="59"/>
        <v>81</v>
      </c>
      <c r="P1642" t="s">
        <v>902</v>
      </c>
      <c r="R1642" t="s">
        <v>634</v>
      </c>
    </row>
    <row r="1643" spans="1:18">
      <c r="A1643">
        <v>15</v>
      </c>
      <c r="B1643" t="s">
        <v>405</v>
      </c>
      <c r="C1643" t="s">
        <v>483</v>
      </c>
      <c r="G1643">
        <v>10</v>
      </c>
      <c r="H1643" s="263"/>
      <c r="J1643" t="s">
        <v>22</v>
      </c>
      <c r="K1643" t="s">
        <v>30</v>
      </c>
      <c r="L1643" t="s">
        <v>33</v>
      </c>
      <c r="M1643" t="s">
        <v>627</v>
      </c>
      <c r="N1643" s="263">
        <v>6</v>
      </c>
      <c r="O1643" s="1">
        <f t="shared" si="59"/>
        <v>81</v>
      </c>
      <c r="P1643" t="s">
        <v>902</v>
      </c>
      <c r="R1643" t="s">
        <v>634</v>
      </c>
    </row>
    <row r="1644" spans="1:18">
      <c r="A1644">
        <v>15</v>
      </c>
      <c r="B1644" t="s">
        <v>405</v>
      </c>
      <c r="C1644" t="s">
        <v>483</v>
      </c>
      <c r="G1644">
        <v>11</v>
      </c>
      <c r="H1644" s="263"/>
      <c r="J1644" t="s">
        <v>22</v>
      </c>
      <c r="K1644" t="s">
        <v>30</v>
      </c>
      <c r="L1644" t="s">
        <v>33</v>
      </c>
      <c r="M1644" t="s">
        <v>627</v>
      </c>
      <c r="N1644" s="263">
        <v>6</v>
      </c>
      <c r="O1644" s="1">
        <f t="shared" si="59"/>
        <v>81</v>
      </c>
      <c r="P1644" t="s">
        <v>902</v>
      </c>
      <c r="R1644" t="s">
        <v>634</v>
      </c>
    </row>
    <row r="1645" spans="1:18">
      <c r="A1645">
        <v>15</v>
      </c>
      <c r="B1645" t="s">
        <v>405</v>
      </c>
      <c r="C1645" t="s">
        <v>483</v>
      </c>
      <c r="G1645">
        <v>12</v>
      </c>
      <c r="H1645" s="263"/>
      <c r="J1645" t="s">
        <v>22</v>
      </c>
      <c r="K1645" t="s">
        <v>30</v>
      </c>
      <c r="L1645" t="s">
        <v>33</v>
      </c>
      <c r="M1645" t="s">
        <v>627</v>
      </c>
      <c r="N1645" s="263">
        <v>6</v>
      </c>
      <c r="O1645" s="1">
        <f t="shared" si="59"/>
        <v>81</v>
      </c>
      <c r="P1645" t="s">
        <v>902</v>
      </c>
      <c r="R1645" t="s">
        <v>634</v>
      </c>
    </row>
    <row r="1646" spans="1:18">
      <c r="A1646">
        <v>15</v>
      </c>
      <c r="B1646" t="s">
        <v>405</v>
      </c>
      <c r="C1646" t="s">
        <v>483</v>
      </c>
      <c r="G1646">
        <v>13</v>
      </c>
      <c r="H1646" s="263"/>
      <c r="J1646" t="s">
        <v>22</v>
      </c>
      <c r="K1646" t="s">
        <v>30</v>
      </c>
      <c r="L1646" t="s">
        <v>33</v>
      </c>
      <c r="M1646" t="s">
        <v>627</v>
      </c>
      <c r="N1646" s="263">
        <v>6</v>
      </c>
      <c r="O1646" s="1">
        <f t="shared" si="59"/>
        <v>81</v>
      </c>
      <c r="P1646" t="s">
        <v>902</v>
      </c>
      <c r="R1646" t="s">
        <v>634</v>
      </c>
    </row>
    <row r="1647" spans="1:18">
      <c r="A1647">
        <v>15</v>
      </c>
      <c r="B1647" t="s">
        <v>405</v>
      </c>
      <c r="C1647" t="s">
        <v>483</v>
      </c>
      <c r="G1647">
        <v>14</v>
      </c>
      <c r="H1647" s="263"/>
      <c r="J1647" t="s">
        <v>22</v>
      </c>
      <c r="K1647" t="s">
        <v>30</v>
      </c>
      <c r="L1647" t="s">
        <v>33</v>
      </c>
      <c r="M1647" t="s">
        <v>627</v>
      </c>
      <c r="N1647" s="263">
        <v>6</v>
      </c>
      <c r="O1647" s="1">
        <f t="shared" si="59"/>
        <v>81</v>
      </c>
      <c r="P1647" t="s">
        <v>902</v>
      </c>
      <c r="R1647" t="s">
        <v>634</v>
      </c>
    </row>
    <row r="1648" spans="1:18">
      <c r="A1648">
        <v>15</v>
      </c>
      <c r="B1648" t="s">
        <v>405</v>
      </c>
      <c r="C1648" t="s">
        <v>483</v>
      </c>
      <c r="G1648">
        <v>15</v>
      </c>
      <c r="H1648" s="263"/>
      <c r="J1648" t="s">
        <v>22</v>
      </c>
      <c r="K1648" t="s">
        <v>30</v>
      </c>
      <c r="L1648" t="s">
        <v>33</v>
      </c>
      <c r="M1648" t="s">
        <v>627</v>
      </c>
      <c r="N1648" s="263">
        <v>6</v>
      </c>
      <c r="O1648" s="1">
        <f t="shared" si="59"/>
        <v>81</v>
      </c>
      <c r="P1648" t="s">
        <v>902</v>
      </c>
      <c r="R1648" t="s">
        <v>634</v>
      </c>
    </row>
    <row r="1649" spans="1:18">
      <c r="A1649">
        <v>15</v>
      </c>
      <c r="B1649" t="s">
        <v>405</v>
      </c>
      <c r="C1649" t="s">
        <v>483</v>
      </c>
      <c r="G1649">
        <v>16</v>
      </c>
      <c r="H1649" s="263"/>
      <c r="J1649" t="s">
        <v>22</v>
      </c>
      <c r="K1649" t="s">
        <v>30</v>
      </c>
      <c r="L1649" t="s">
        <v>33</v>
      </c>
      <c r="M1649" t="s">
        <v>627</v>
      </c>
      <c r="N1649" s="263">
        <v>6</v>
      </c>
      <c r="O1649" s="1">
        <f t="shared" si="59"/>
        <v>81</v>
      </c>
      <c r="P1649" t="s">
        <v>902</v>
      </c>
      <c r="R1649" t="s">
        <v>634</v>
      </c>
    </row>
    <row r="1650" spans="1:18">
      <c r="A1650">
        <v>15</v>
      </c>
      <c r="B1650" t="s">
        <v>405</v>
      </c>
      <c r="C1650" t="s">
        <v>483</v>
      </c>
      <c r="G1650">
        <v>17</v>
      </c>
      <c r="H1650" s="263"/>
      <c r="J1650" t="s">
        <v>22</v>
      </c>
      <c r="K1650" t="s">
        <v>30</v>
      </c>
      <c r="L1650" t="s">
        <v>33</v>
      </c>
      <c r="M1650" t="s">
        <v>627</v>
      </c>
      <c r="N1650" s="263">
        <v>6</v>
      </c>
      <c r="O1650" s="1">
        <f t="shared" si="59"/>
        <v>81</v>
      </c>
      <c r="P1650" t="s">
        <v>902</v>
      </c>
      <c r="R1650" t="s">
        <v>634</v>
      </c>
    </row>
    <row r="1651" spans="1:18">
      <c r="A1651">
        <v>15</v>
      </c>
      <c r="B1651" t="s">
        <v>405</v>
      </c>
      <c r="C1651" t="s">
        <v>483</v>
      </c>
      <c r="G1651">
        <v>18</v>
      </c>
      <c r="H1651" s="263"/>
      <c r="J1651" t="s">
        <v>22</v>
      </c>
      <c r="K1651" t="s">
        <v>30</v>
      </c>
      <c r="L1651" t="s">
        <v>33</v>
      </c>
      <c r="M1651" t="s">
        <v>627</v>
      </c>
      <c r="N1651" s="263">
        <v>6</v>
      </c>
      <c r="O1651" s="1">
        <f t="shared" si="59"/>
        <v>81</v>
      </c>
      <c r="P1651" t="s">
        <v>902</v>
      </c>
      <c r="R1651" t="s">
        <v>634</v>
      </c>
    </row>
    <row r="1652" spans="1:18">
      <c r="A1652">
        <v>15</v>
      </c>
      <c r="B1652" t="s">
        <v>405</v>
      </c>
      <c r="C1652" t="s">
        <v>483</v>
      </c>
      <c r="G1652">
        <v>19</v>
      </c>
      <c r="H1652" s="263"/>
      <c r="J1652" t="s">
        <v>22</v>
      </c>
      <c r="K1652" t="s">
        <v>30</v>
      </c>
      <c r="L1652" t="s">
        <v>33</v>
      </c>
      <c r="M1652" t="s">
        <v>627</v>
      </c>
      <c r="N1652" s="263">
        <v>6</v>
      </c>
      <c r="O1652" s="1">
        <f t="shared" si="59"/>
        <v>81</v>
      </c>
      <c r="P1652" t="s">
        <v>902</v>
      </c>
      <c r="R1652" t="s">
        <v>634</v>
      </c>
    </row>
    <row r="1653" spans="1:18">
      <c r="A1653">
        <v>15</v>
      </c>
      <c r="B1653" t="s">
        <v>405</v>
      </c>
      <c r="C1653" t="s">
        <v>483</v>
      </c>
      <c r="G1653">
        <v>20</v>
      </c>
      <c r="H1653" s="263"/>
      <c r="J1653" t="s">
        <v>22</v>
      </c>
      <c r="K1653" t="s">
        <v>30</v>
      </c>
      <c r="L1653" t="s">
        <v>33</v>
      </c>
      <c r="M1653" t="s">
        <v>627</v>
      </c>
      <c r="N1653" s="263">
        <v>6</v>
      </c>
      <c r="O1653" s="1">
        <f t="shared" si="59"/>
        <v>81</v>
      </c>
      <c r="P1653" t="s">
        <v>902</v>
      </c>
      <c r="R1653" t="s">
        <v>634</v>
      </c>
    </row>
    <row r="1654" spans="1:18">
      <c r="A1654">
        <v>15</v>
      </c>
      <c r="B1654" t="s">
        <v>405</v>
      </c>
      <c r="C1654" t="s">
        <v>483</v>
      </c>
      <c r="G1654">
        <v>21</v>
      </c>
      <c r="H1654" s="263"/>
      <c r="J1654" t="s">
        <v>22</v>
      </c>
      <c r="K1654" t="s">
        <v>30</v>
      </c>
      <c r="L1654" t="s">
        <v>33</v>
      </c>
      <c r="M1654" t="s">
        <v>627</v>
      </c>
      <c r="N1654" s="263">
        <v>6</v>
      </c>
      <c r="O1654" s="1">
        <f t="shared" si="59"/>
        <v>81</v>
      </c>
      <c r="P1654" t="s">
        <v>902</v>
      </c>
      <c r="R1654" t="s">
        <v>634</v>
      </c>
    </row>
    <row r="1655" spans="1:18">
      <c r="A1655">
        <v>15</v>
      </c>
      <c r="B1655" t="s">
        <v>405</v>
      </c>
      <c r="C1655" t="s">
        <v>483</v>
      </c>
      <c r="G1655">
        <v>22</v>
      </c>
      <c r="H1655" s="263"/>
      <c r="J1655" t="s">
        <v>22</v>
      </c>
      <c r="K1655" t="s">
        <v>30</v>
      </c>
      <c r="L1655" t="s">
        <v>33</v>
      </c>
      <c r="M1655" t="s">
        <v>627</v>
      </c>
      <c r="N1655" s="263">
        <v>6</v>
      </c>
      <c r="O1655" s="1">
        <f t="shared" si="59"/>
        <v>81</v>
      </c>
      <c r="P1655" t="s">
        <v>902</v>
      </c>
      <c r="R1655" t="s">
        <v>634</v>
      </c>
    </row>
    <row r="1656" spans="1:18">
      <c r="A1656">
        <v>15</v>
      </c>
      <c r="B1656" t="s">
        <v>405</v>
      </c>
      <c r="C1656" t="s">
        <v>483</v>
      </c>
      <c r="G1656">
        <v>4</v>
      </c>
      <c r="H1656" s="263"/>
      <c r="J1656" t="s">
        <v>22</v>
      </c>
      <c r="K1656" t="s">
        <v>30</v>
      </c>
      <c r="L1656" t="s">
        <v>33</v>
      </c>
      <c r="M1656" t="s">
        <v>628</v>
      </c>
      <c r="N1656" s="263">
        <v>6</v>
      </c>
      <c r="O1656" s="1">
        <f t="shared" si="59"/>
        <v>81</v>
      </c>
      <c r="P1656" t="s">
        <v>902</v>
      </c>
      <c r="R1656" t="s">
        <v>634</v>
      </c>
    </row>
    <row r="1657" spans="1:18">
      <c r="A1657">
        <v>15</v>
      </c>
      <c r="B1657" t="s">
        <v>405</v>
      </c>
      <c r="C1657" t="s">
        <v>483</v>
      </c>
      <c r="G1657">
        <v>5</v>
      </c>
      <c r="H1657" s="263"/>
      <c r="J1657" t="s">
        <v>22</v>
      </c>
      <c r="K1657" t="s">
        <v>30</v>
      </c>
      <c r="L1657" t="s">
        <v>33</v>
      </c>
      <c r="M1657" t="s">
        <v>628</v>
      </c>
      <c r="N1657" s="263">
        <v>6</v>
      </c>
      <c r="O1657" s="1">
        <f t="shared" si="59"/>
        <v>81</v>
      </c>
      <c r="P1657" t="s">
        <v>902</v>
      </c>
      <c r="R1657" t="s">
        <v>634</v>
      </c>
    </row>
    <row r="1658" spans="1:18">
      <c r="A1658">
        <v>15</v>
      </c>
      <c r="B1658" t="s">
        <v>405</v>
      </c>
      <c r="C1658" t="s">
        <v>483</v>
      </c>
      <c r="G1658">
        <v>6</v>
      </c>
      <c r="H1658" s="263"/>
      <c r="J1658" t="s">
        <v>22</v>
      </c>
      <c r="K1658" t="s">
        <v>30</v>
      </c>
      <c r="L1658" t="s">
        <v>33</v>
      </c>
      <c r="M1658" t="s">
        <v>628</v>
      </c>
      <c r="N1658" s="263">
        <v>6</v>
      </c>
      <c r="O1658" s="1">
        <f t="shared" si="59"/>
        <v>81</v>
      </c>
      <c r="P1658" t="s">
        <v>902</v>
      </c>
      <c r="R1658" t="s">
        <v>634</v>
      </c>
    </row>
    <row r="1659" spans="1:18">
      <c r="A1659">
        <v>15</v>
      </c>
      <c r="B1659" t="s">
        <v>405</v>
      </c>
      <c r="C1659" t="s">
        <v>483</v>
      </c>
      <c r="G1659">
        <v>7</v>
      </c>
      <c r="H1659" s="263"/>
      <c r="J1659" t="s">
        <v>22</v>
      </c>
      <c r="K1659" t="s">
        <v>30</v>
      </c>
      <c r="L1659" t="s">
        <v>33</v>
      </c>
      <c r="M1659" t="s">
        <v>628</v>
      </c>
      <c r="N1659" s="263">
        <v>6</v>
      </c>
      <c r="O1659" s="1">
        <f t="shared" si="59"/>
        <v>81</v>
      </c>
      <c r="P1659" t="s">
        <v>902</v>
      </c>
      <c r="R1659" t="s">
        <v>634</v>
      </c>
    </row>
    <row r="1660" spans="1:18">
      <c r="A1660">
        <v>15</v>
      </c>
      <c r="B1660" t="s">
        <v>405</v>
      </c>
      <c r="C1660" t="s">
        <v>483</v>
      </c>
      <c r="G1660">
        <v>8</v>
      </c>
      <c r="H1660" s="263"/>
      <c r="J1660" t="s">
        <v>22</v>
      </c>
      <c r="K1660" t="s">
        <v>30</v>
      </c>
      <c r="L1660" t="s">
        <v>33</v>
      </c>
      <c r="M1660" t="s">
        <v>628</v>
      </c>
      <c r="N1660" s="263">
        <v>6</v>
      </c>
      <c r="O1660" s="1">
        <f t="shared" si="59"/>
        <v>81</v>
      </c>
      <c r="P1660" t="s">
        <v>902</v>
      </c>
      <c r="R1660" t="s">
        <v>634</v>
      </c>
    </row>
    <row r="1661" spans="1:18">
      <c r="A1661">
        <v>15</v>
      </c>
      <c r="B1661" t="s">
        <v>405</v>
      </c>
      <c r="C1661" t="s">
        <v>483</v>
      </c>
      <c r="G1661">
        <v>9</v>
      </c>
      <c r="H1661" s="263"/>
      <c r="J1661" t="s">
        <v>22</v>
      </c>
      <c r="K1661" t="s">
        <v>30</v>
      </c>
      <c r="L1661" t="s">
        <v>33</v>
      </c>
      <c r="M1661" t="s">
        <v>628</v>
      </c>
      <c r="N1661" s="263">
        <v>6</v>
      </c>
      <c r="O1661" s="1">
        <f t="shared" si="59"/>
        <v>81</v>
      </c>
      <c r="P1661" t="s">
        <v>902</v>
      </c>
      <c r="R1661" t="s">
        <v>634</v>
      </c>
    </row>
    <row r="1662" spans="1:18">
      <c r="A1662">
        <v>15</v>
      </c>
      <c r="B1662" t="s">
        <v>405</v>
      </c>
      <c r="C1662" t="s">
        <v>483</v>
      </c>
      <c r="G1662">
        <v>10</v>
      </c>
      <c r="H1662" s="263"/>
      <c r="J1662" t="s">
        <v>22</v>
      </c>
      <c r="K1662" t="s">
        <v>30</v>
      </c>
      <c r="L1662" t="s">
        <v>33</v>
      </c>
      <c r="M1662" t="s">
        <v>628</v>
      </c>
      <c r="N1662" s="263">
        <v>6</v>
      </c>
      <c r="O1662" s="1">
        <f t="shared" si="59"/>
        <v>81</v>
      </c>
      <c r="P1662" t="s">
        <v>902</v>
      </c>
      <c r="R1662" t="s">
        <v>634</v>
      </c>
    </row>
    <row r="1663" spans="1:18">
      <c r="A1663">
        <v>15</v>
      </c>
      <c r="B1663" t="s">
        <v>405</v>
      </c>
      <c r="C1663" t="s">
        <v>483</v>
      </c>
      <c r="G1663">
        <v>11</v>
      </c>
      <c r="H1663" s="263"/>
      <c r="J1663" t="s">
        <v>22</v>
      </c>
      <c r="K1663" t="s">
        <v>30</v>
      </c>
      <c r="L1663" t="s">
        <v>33</v>
      </c>
      <c r="M1663" t="s">
        <v>628</v>
      </c>
      <c r="N1663" s="263">
        <v>6</v>
      </c>
      <c r="O1663" s="1">
        <f t="shared" si="59"/>
        <v>81</v>
      </c>
      <c r="P1663" t="s">
        <v>902</v>
      </c>
      <c r="R1663" t="s">
        <v>634</v>
      </c>
    </row>
    <row r="1664" spans="1:18">
      <c r="A1664">
        <v>15</v>
      </c>
      <c r="B1664" t="s">
        <v>405</v>
      </c>
      <c r="C1664" t="s">
        <v>483</v>
      </c>
      <c r="G1664">
        <v>12</v>
      </c>
      <c r="H1664" s="263"/>
      <c r="J1664" t="s">
        <v>22</v>
      </c>
      <c r="K1664" t="s">
        <v>30</v>
      </c>
      <c r="L1664" t="s">
        <v>33</v>
      </c>
      <c r="M1664" t="s">
        <v>628</v>
      </c>
      <c r="N1664" s="263">
        <v>6</v>
      </c>
      <c r="O1664" s="1">
        <f t="shared" si="59"/>
        <v>81</v>
      </c>
      <c r="P1664" t="s">
        <v>902</v>
      </c>
      <c r="R1664" t="s">
        <v>634</v>
      </c>
    </row>
    <row r="1665" spans="1:18">
      <c r="A1665">
        <v>15</v>
      </c>
      <c r="B1665" t="s">
        <v>405</v>
      </c>
      <c r="C1665" t="s">
        <v>483</v>
      </c>
      <c r="G1665">
        <v>13</v>
      </c>
      <c r="H1665" s="263"/>
      <c r="J1665" t="s">
        <v>22</v>
      </c>
      <c r="K1665" t="s">
        <v>30</v>
      </c>
      <c r="L1665" t="s">
        <v>33</v>
      </c>
      <c r="M1665" t="s">
        <v>628</v>
      </c>
      <c r="N1665" s="263">
        <v>6</v>
      </c>
      <c r="O1665" s="1">
        <f t="shared" si="59"/>
        <v>81</v>
      </c>
      <c r="P1665" t="s">
        <v>902</v>
      </c>
      <c r="R1665" t="s">
        <v>634</v>
      </c>
    </row>
    <row r="1666" spans="1:18">
      <c r="A1666">
        <v>15</v>
      </c>
      <c r="B1666" t="s">
        <v>405</v>
      </c>
      <c r="C1666" t="s">
        <v>483</v>
      </c>
      <c r="G1666">
        <v>14</v>
      </c>
      <c r="H1666" s="263"/>
      <c r="J1666" t="s">
        <v>22</v>
      </c>
      <c r="K1666" t="s">
        <v>30</v>
      </c>
      <c r="L1666" t="s">
        <v>33</v>
      </c>
      <c r="M1666" t="s">
        <v>628</v>
      </c>
      <c r="N1666" s="263">
        <v>6</v>
      </c>
      <c r="O1666" s="1">
        <f t="shared" si="59"/>
        <v>81</v>
      </c>
      <c r="P1666" t="s">
        <v>902</v>
      </c>
      <c r="R1666" t="s">
        <v>634</v>
      </c>
    </row>
    <row r="1667" spans="1:18">
      <c r="A1667">
        <v>15</v>
      </c>
      <c r="B1667" t="s">
        <v>405</v>
      </c>
      <c r="C1667" t="s">
        <v>483</v>
      </c>
      <c r="G1667">
        <v>15</v>
      </c>
      <c r="H1667" s="263"/>
      <c r="J1667" t="s">
        <v>22</v>
      </c>
      <c r="K1667" t="s">
        <v>30</v>
      </c>
      <c r="L1667" t="s">
        <v>33</v>
      </c>
      <c r="M1667" t="s">
        <v>628</v>
      </c>
      <c r="N1667" s="263">
        <v>6</v>
      </c>
      <c r="O1667" s="1">
        <f t="shared" si="59"/>
        <v>81</v>
      </c>
      <c r="P1667" t="s">
        <v>902</v>
      </c>
      <c r="R1667" t="s">
        <v>634</v>
      </c>
    </row>
    <row r="1668" spans="1:18">
      <c r="A1668">
        <v>15</v>
      </c>
      <c r="B1668" t="s">
        <v>405</v>
      </c>
      <c r="C1668" t="s">
        <v>483</v>
      </c>
      <c r="G1668">
        <v>16</v>
      </c>
      <c r="H1668" s="263"/>
      <c r="J1668" t="s">
        <v>22</v>
      </c>
      <c r="K1668" t="s">
        <v>30</v>
      </c>
      <c r="L1668" t="s">
        <v>33</v>
      </c>
      <c r="M1668" t="s">
        <v>628</v>
      </c>
      <c r="N1668" s="263">
        <v>6</v>
      </c>
      <c r="O1668" s="1">
        <f t="shared" si="59"/>
        <v>81</v>
      </c>
      <c r="P1668" t="s">
        <v>902</v>
      </c>
      <c r="R1668" t="s">
        <v>634</v>
      </c>
    </row>
    <row r="1669" spans="1:18">
      <c r="A1669">
        <v>15</v>
      </c>
      <c r="B1669" t="s">
        <v>405</v>
      </c>
      <c r="C1669" t="s">
        <v>483</v>
      </c>
      <c r="G1669">
        <v>17</v>
      </c>
      <c r="H1669" s="263"/>
      <c r="J1669" t="s">
        <v>22</v>
      </c>
      <c r="K1669" t="s">
        <v>30</v>
      </c>
      <c r="L1669" t="s">
        <v>33</v>
      </c>
      <c r="M1669" t="s">
        <v>628</v>
      </c>
      <c r="N1669" s="263">
        <v>6</v>
      </c>
      <c r="O1669" s="1">
        <f t="shared" si="59"/>
        <v>81</v>
      </c>
      <c r="P1669" t="s">
        <v>902</v>
      </c>
      <c r="R1669" t="s">
        <v>634</v>
      </c>
    </row>
    <row r="1670" spans="1:18">
      <c r="A1670">
        <v>15</v>
      </c>
      <c r="B1670" t="s">
        <v>405</v>
      </c>
      <c r="C1670" t="s">
        <v>483</v>
      </c>
      <c r="G1670">
        <v>18</v>
      </c>
      <c r="H1670" s="263"/>
      <c r="J1670" t="s">
        <v>22</v>
      </c>
      <c r="K1670" t="s">
        <v>30</v>
      </c>
      <c r="L1670" t="s">
        <v>33</v>
      </c>
      <c r="M1670" t="s">
        <v>628</v>
      </c>
      <c r="N1670" s="263">
        <v>6</v>
      </c>
      <c r="O1670" s="1">
        <f t="shared" si="59"/>
        <v>81</v>
      </c>
      <c r="P1670" t="s">
        <v>902</v>
      </c>
      <c r="R1670" t="s">
        <v>634</v>
      </c>
    </row>
    <row r="1671" spans="1:18">
      <c r="A1671">
        <v>15</v>
      </c>
      <c r="B1671" t="s">
        <v>405</v>
      </c>
      <c r="C1671" t="s">
        <v>483</v>
      </c>
      <c r="G1671">
        <v>19</v>
      </c>
      <c r="H1671" s="263"/>
      <c r="J1671" t="s">
        <v>22</v>
      </c>
      <c r="K1671" t="s">
        <v>30</v>
      </c>
      <c r="L1671" t="s">
        <v>33</v>
      </c>
      <c r="M1671" t="s">
        <v>628</v>
      </c>
      <c r="N1671" s="263">
        <v>6</v>
      </c>
      <c r="O1671" s="1">
        <f t="shared" si="59"/>
        <v>81</v>
      </c>
      <c r="P1671" t="s">
        <v>902</v>
      </c>
      <c r="R1671" t="s">
        <v>634</v>
      </c>
    </row>
    <row r="1672" spans="1:18">
      <c r="A1672">
        <v>15</v>
      </c>
      <c r="B1672" t="s">
        <v>405</v>
      </c>
      <c r="C1672" t="s">
        <v>483</v>
      </c>
      <c r="G1672">
        <v>20</v>
      </c>
      <c r="H1672" s="263"/>
      <c r="J1672" t="s">
        <v>22</v>
      </c>
      <c r="K1672" t="s">
        <v>30</v>
      </c>
      <c r="L1672" t="s">
        <v>33</v>
      </c>
      <c r="M1672" t="s">
        <v>628</v>
      </c>
      <c r="N1672" s="263">
        <v>6</v>
      </c>
      <c r="O1672" s="1">
        <f t="shared" si="59"/>
        <v>81</v>
      </c>
      <c r="P1672" t="s">
        <v>902</v>
      </c>
      <c r="R1672" t="s">
        <v>634</v>
      </c>
    </row>
    <row r="1673" spans="1:18">
      <c r="A1673">
        <v>15</v>
      </c>
      <c r="B1673" t="s">
        <v>405</v>
      </c>
      <c r="C1673" t="s">
        <v>483</v>
      </c>
      <c r="G1673">
        <v>21</v>
      </c>
      <c r="H1673" s="263"/>
      <c r="J1673" t="s">
        <v>22</v>
      </c>
      <c r="K1673" t="s">
        <v>30</v>
      </c>
      <c r="L1673" t="s">
        <v>33</v>
      </c>
      <c r="M1673" t="s">
        <v>628</v>
      </c>
      <c r="N1673" s="263">
        <v>6</v>
      </c>
      <c r="O1673" s="1">
        <f t="shared" si="59"/>
        <v>81</v>
      </c>
      <c r="P1673" t="s">
        <v>902</v>
      </c>
      <c r="R1673" t="s">
        <v>634</v>
      </c>
    </row>
    <row r="1674" spans="1:18">
      <c r="A1674">
        <v>15</v>
      </c>
      <c r="B1674" t="s">
        <v>405</v>
      </c>
      <c r="C1674" t="s">
        <v>483</v>
      </c>
      <c r="G1674">
        <v>22</v>
      </c>
      <c r="H1674" s="263"/>
      <c r="J1674" t="s">
        <v>22</v>
      </c>
      <c r="K1674" t="s">
        <v>30</v>
      </c>
      <c r="L1674" t="s">
        <v>33</v>
      </c>
      <c r="M1674" t="s">
        <v>628</v>
      </c>
      <c r="N1674" s="263">
        <v>6</v>
      </c>
      <c r="O1674" s="1">
        <f t="shared" si="59"/>
        <v>81</v>
      </c>
      <c r="P1674" t="s">
        <v>902</v>
      </c>
      <c r="R1674" t="s">
        <v>634</v>
      </c>
    </row>
    <row r="1675" spans="1:18">
      <c r="A1675">
        <v>15</v>
      </c>
      <c r="B1675" t="s">
        <v>405</v>
      </c>
      <c r="C1675" t="s">
        <v>483</v>
      </c>
      <c r="G1675">
        <v>4</v>
      </c>
      <c r="H1675" s="263"/>
      <c r="J1675" t="s">
        <v>22</v>
      </c>
      <c r="K1675" t="s">
        <v>30</v>
      </c>
      <c r="L1675" t="s">
        <v>33</v>
      </c>
      <c r="M1675" t="s">
        <v>629</v>
      </c>
      <c r="N1675" s="263">
        <v>3.2</v>
      </c>
      <c r="O1675" s="1">
        <f>20*3.2</f>
        <v>64</v>
      </c>
      <c r="P1675" t="s">
        <v>901</v>
      </c>
      <c r="R1675" t="s">
        <v>634</v>
      </c>
    </row>
    <row r="1676" spans="1:18">
      <c r="A1676">
        <v>15</v>
      </c>
      <c r="B1676" t="s">
        <v>405</v>
      </c>
      <c r="C1676" t="s">
        <v>483</v>
      </c>
      <c r="G1676">
        <v>5</v>
      </c>
      <c r="H1676" s="263"/>
      <c r="J1676" t="s">
        <v>22</v>
      </c>
      <c r="K1676" t="s">
        <v>30</v>
      </c>
      <c r="L1676" t="s">
        <v>33</v>
      </c>
      <c r="M1676" t="s">
        <v>629</v>
      </c>
      <c r="N1676" s="263">
        <v>3.2</v>
      </c>
      <c r="O1676" s="1">
        <f t="shared" ref="O1676:O1693" si="60">20*3.2</f>
        <v>64</v>
      </c>
      <c r="P1676" t="s">
        <v>901</v>
      </c>
      <c r="R1676" t="s">
        <v>634</v>
      </c>
    </row>
    <row r="1677" spans="1:18">
      <c r="A1677">
        <v>15</v>
      </c>
      <c r="B1677" t="s">
        <v>405</v>
      </c>
      <c r="C1677" t="s">
        <v>483</v>
      </c>
      <c r="G1677">
        <v>6</v>
      </c>
      <c r="H1677" s="263"/>
      <c r="J1677" t="s">
        <v>22</v>
      </c>
      <c r="K1677" t="s">
        <v>30</v>
      </c>
      <c r="L1677" t="s">
        <v>33</v>
      </c>
      <c r="M1677" t="s">
        <v>629</v>
      </c>
      <c r="N1677" s="263">
        <v>3.2</v>
      </c>
      <c r="O1677" s="1">
        <f t="shared" si="60"/>
        <v>64</v>
      </c>
      <c r="P1677" t="s">
        <v>901</v>
      </c>
      <c r="R1677" t="s">
        <v>634</v>
      </c>
    </row>
    <row r="1678" spans="1:18">
      <c r="A1678">
        <v>15</v>
      </c>
      <c r="B1678" t="s">
        <v>405</v>
      </c>
      <c r="C1678" t="s">
        <v>483</v>
      </c>
      <c r="G1678">
        <v>7</v>
      </c>
      <c r="H1678" s="263"/>
      <c r="J1678" t="s">
        <v>22</v>
      </c>
      <c r="K1678" t="s">
        <v>30</v>
      </c>
      <c r="L1678" t="s">
        <v>33</v>
      </c>
      <c r="M1678" t="s">
        <v>629</v>
      </c>
      <c r="N1678" s="263">
        <v>3.2</v>
      </c>
      <c r="O1678" s="1">
        <f t="shared" si="60"/>
        <v>64</v>
      </c>
      <c r="P1678" t="s">
        <v>901</v>
      </c>
      <c r="R1678" t="s">
        <v>634</v>
      </c>
    </row>
    <row r="1679" spans="1:18">
      <c r="A1679">
        <v>15</v>
      </c>
      <c r="B1679" t="s">
        <v>405</v>
      </c>
      <c r="C1679" t="s">
        <v>483</v>
      </c>
      <c r="G1679">
        <v>8</v>
      </c>
      <c r="H1679" s="263"/>
      <c r="J1679" t="s">
        <v>22</v>
      </c>
      <c r="K1679" t="s">
        <v>30</v>
      </c>
      <c r="L1679" t="s">
        <v>33</v>
      </c>
      <c r="M1679" t="s">
        <v>629</v>
      </c>
      <c r="N1679" s="263">
        <v>3.2</v>
      </c>
      <c r="O1679" s="1">
        <f t="shared" si="60"/>
        <v>64</v>
      </c>
      <c r="P1679" t="s">
        <v>901</v>
      </c>
      <c r="R1679" t="s">
        <v>634</v>
      </c>
    </row>
    <row r="1680" spans="1:18">
      <c r="A1680">
        <v>15</v>
      </c>
      <c r="B1680" t="s">
        <v>405</v>
      </c>
      <c r="C1680" t="s">
        <v>483</v>
      </c>
      <c r="G1680">
        <v>9</v>
      </c>
      <c r="H1680" s="263"/>
      <c r="J1680" t="s">
        <v>22</v>
      </c>
      <c r="K1680" t="s">
        <v>30</v>
      </c>
      <c r="L1680" t="s">
        <v>33</v>
      </c>
      <c r="M1680" t="s">
        <v>629</v>
      </c>
      <c r="N1680" s="263">
        <v>3.2</v>
      </c>
      <c r="O1680" s="1">
        <f t="shared" si="60"/>
        <v>64</v>
      </c>
      <c r="P1680" t="s">
        <v>901</v>
      </c>
      <c r="R1680" t="s">
        <v>634</v>
      </c>
    </row>
    <row r="1681" spans="1:18">
      <c r="A1681">
        <v>15</v>
      </c>
      <c r="B1681" t="s">
        <v>405</v>
      </c>
      <c r="C1681" t="s">
        <v>483</v>
      </c>
      <c r="G1681">
        <v>10</v>
      </c>
      <c r="H1681" s="263"/>
      <c r="J1681" t="s">
        <v>22</v>
      </c>
      <c r="K1681" t="s">
        <v>30</v>
      </c>
      <c r="L1681" t="s">
        <v>33</v>
      </c>
      <c r="M1681" t="s">
        <v>629</v>
      </c>
      <c r="N1681" s="263">
        <v>3.2</v>
      </c>
      <c r="O1681" s="1">
        <f t="shared" si="60"/>
        <v>64</v>
      </c>
      <c r="P1681" t="s">
        <v>901</v>
      </c>
      <c r="R1681" t="s">
        <v>634</v>
      </c>
    </row>
    <row r="1682" spans="1:18">
      <c r="A1682">
        <v>15</v>
      </c>
      <c r="B1682" t="s">
        <v>405</v>
      </c>
      <c r="C1682" t="s">
        <v>483</v>
      </c>
      <c r="G1682">
        <v>11</v>
      </c>
      <c r="H1682" s="263"/>
      <c r="J1682" t="s">
        <v>22</v>
      </c>
      <c r="K1682" t="s">
        <v>30</v>
      </c>
      <c r="L1682" t="s">
        <v>33</v>
      </c>
      <c r="M1682" t="s">
        <v>629</v>
      </c>
      <c r="N1682" s="263">
        <v>3.2</v>
      </c>
      <c r="O1682" s="1">
        <f t="shared" si="60"/>
        <v>64</v>
      </c>
      <c r="P1682" t="s">
        <v>901</v>
      </c>
      <c r="R1682" t="s">
        <v>634</v>
      </c>
    </row>
    <row r="1683" spans="1:18">
      <c r="A1683">
        <v>15</v>
      </c>
      <c r="B1683" t="s">
        <v>405</v>
      </c>
      <c r="C1683" t="s">
        <v>483</v>
      </c>
      <c r="G1683">
        <v>12</v>
      </c>
      <c r="H1683" s="263"/>
      <c r="J1683" t="s">
        <v>22</v>
      </c>
      <c r="K1683" t="s">
        <v>30</v>
      </c>
      <c r="L1683" t="s">
        <v>33</v>
      </c>
      <c r="M1683" t="s">
        <v>629</v>
      </c>
      <c r="N1683" s="263">
        <v>3.2</v>
      </c>
      <c r="O1683" s="1">
        <f t="shared" si="60"/>
        <v>64</v>
      </c>
      <c r="P1683" t="s">
        <v>901</v>
      </c>
      <c r="R1683" t="s">
        <v>634</v>
      </c>
    </row>
    <row r="1684" spans="1:18">
      <c r="A1684">
        <v>15</v>
      </c>
      <c r="B1684" t="s">
        <v>405</v>
      </c>
      <c r="C1684" t="s">
        <v>483</v>
      </c>
      <c r="G1684">
        <v>13</v>
      </c>
      <c r="H1684" s="263"/>
      <c r="J1684" t="s">
        <v>22</v>
      </c>
      <c r="K1684" t="s">
        <v>30</v>
      </c>
      <c r="L1684" t="s">
        <v>33</v>
      </c>
      <c r="M1684" t="s">
        <v>629</v>
      </c>
      <c r="N1684" s="263">
        <v>3.2</v>
      </c>
      <c r="O1684" s="1">
        <f t="shared" si="60"/>
        <v>64</v>
      </c>
      <c r="P1684" t="s">
        <v>901</v>
      </c>
      <c r="R1684" t="s">
        <v>634</v>
      </c>
    </row>
    <row r="1685" spans="1:18">
      <c r="A1685">
        <v>15</v>
      </c>
      <c r="B1685" t="s">
        <v>405</v>
      </c>
      <c r="C1685" t="s">
        <v>483</v>
      </c>
      <c r="G1685">
        <v>14</v>
      </c>
      <c r="H1685" s="263"/>
      <c r="J1685" t="s">
        <v>22</v>
      </c>
      <c r="K1685" t="s">
        <v>30</v>
      </c>
      <c r="L1685" t="s">
        <v>33</v>
      </c>
      <c r="M1685" t="s">
        <v>629</v>
      </c>
      <c r="N1685" s="263">
        <v>3.2</v>
      </c>
      <c r="O1685" s="1">
        <f t="shared" si="60"/>
        <v>64</v>
      </c>
      <c r="P1685" t="s">
        <v>901</v>
      </c>
      <c r="R1685" t="s">
        <v>634</v>
      </c>
    </row>
    <row r="1686" spans="1:18">
      <c r="A1686">
        <v>15</v>
      </c>
      <c r="B1686" t="s">
        <v>405</v>
      </c>
      <c r="C1686" t="s">
        <v>483</v>
      </c>
      <c r="G1686">
        <v>15</v>
      </c>
      <c r="H1686" s="263"/>
      <c r="J1686" t="s">
        <v>22</v>
      </c>
      <c r="K1686" t="s">
        <v>30</v>
      </c>
      <c r="L1686" t="s">
        <v>33</v>
      </c>
      <c r="M1686" t="s">
        <v>629</v>
      </c>
      <c r="N1686" s="263">
        <v>3.2</v>
      </c>
      <c r="O1686" s="1">
        <f t="shared" si="60"/>
        <v>64</v>
      </c>
      <c r="P1686" t="s">
        <v>901</v>
      </c>
      <c r="R1686" t="s">
        <v>634</v>
      </c>
    </row>
    <row r="1687" spans="1:18">
      <c r="A1687">
        <v>15</v>
      </c>
      <c r="B1687" t="s">
        <v>405</v>
      </c>
      <c r="C1687" t="s">
        <v>483</v>
      </c>
      <c r="G1687">
        <v>16</v>
      </c>
      <c r="H1687" s="263"/>
      <c r="J1687" t="s">
        <v>22</v>
      </c>
      <c r="K1687" t="s">
        <v>30</v>
      </c>
      <c r="L1687" t="s">
        <v>33</v>
      </c>
      <c r="M1687" t="s">
        <v>629</v>
      </c>
      <c r="N1687" s="263">
        <v>3.2</v>
      </c>
      <c r="O1687" s="1">
        <f t="shared" si="60"/>
        <v>64</v>
      </c>
      <c r="P1687" t="s">
        <v>901</v>
      </c>
      <c r="R1687" t="s">
        <v>634</v>
      </c>
    </row>
    <row r="1688" spans="1:18">
      <c r="A1688">
        <v>15</v>
      </c>
      <c r="B1688" t="s">
        <v>405</v>
      </c>
      <c r="C1688" t="s">
        <v>483</v>
      </c>
      <c r="G1688">
        <v>17</v>
      </c>
      <c r="H1688" s="263"/>
      <c r="J1688" t="s">
        <v>22</v>
      </c>
      <c r="K1688" t="s">
        <v>30</v>
      </c>
      <c r="L1688" t="s">
        <v>33</v>
      </c>
      <c r="M1688" t="s">
        <v>629</v>
      </c>
      <c r="N1688" s="263">
        <v>3.2</v>
      </c>
      <c r="O1688" s="1">
        <f t="shared" si="60"/>
        <v>64</v>
      </c>
      <c r="P1688" t="s">
        <v>901</v>
      </c>
      <c r="R1688" t="s">
        <v>634</v>
      </c>
    </row>
    <row r="1689" spans="1:18">
      <c r="A1689">
        <v>15</v>
      </c>
      <c r="B1689" t="s">
        <v>405</v>
      </c>
      <c r="C1689" t="s">
        <v>483</v>
      </c>
      <c r="G1689">
        <v>18</v>
      </c>
      <c r="H1689" s="263"/>
      <c r="J1689" t="s">
        <v>22</v>
      </c>
      <c r="K1689" t="s">
        <v>30</v>
      </c>
      <c r="L1689" t="s">
        <v>33</v>
      </c>
      <c r="M1689" t="s">
        <v>629</v>
      </c>
      <c r="N1689" s="263">
        <v>3.2</v>
      </c>
      <c r="O1689" s="1">
        <f t="shared" si="60"/>
        <v>64</v>
      </c>
      <c r="P1689" t="s">
        <v>901</v>
      </c>
      <c r="R1689" t="s">
        <v>634</v>
      </c>
    </row>
    <row r="1690" spans="1:18">
      <c r="A1690">
        <v>15</v>
      </c>
      <c r="B1690" t="s">
        <v>405</v>
      </c>
      <c r="C1690" t="s">
        <v>483</v>
      </c>
      <c r="G1690">
        <v>19</v>
      </c>
      <c r="H1690" s="263"/>
      <c r="J1690" t="s">
        <v>22</v>
      </c>
      <c r="K1690" t="s">
        <v>30</v>
      </c>
      <c r="L1690" t="s">
        <v>33</v>
      </c>
      <c r="M1690" t="s">
        <v>629</v>
      </c>
      <c r="N1690" s="263">
        <v>3.2</v>
      </c>
      <c r="O1690" s="1">
        <f t="shared" si="60"/>
        <v>64</v>
      </c>
      <c r="P1690" t="s">
        <v>901</v>
      </c>
      <c r="R1690" t="s">
        <v>634</v>
      </c>
    </row>
    <row r="1691" spans="1:18">
      <c r="A1691">
        <v>15</v>
      </c>
      <c r="B1691" t="s">
        <v>405</v>
      </c>
      <c r="C1691" t="s">
        <v>483</v>
      </c>
      <c r="G1691">
        <v>20</v>
      </c>
      <c r="H1691" s="263"/>
      <c r="J1691" t="s">
        <v>22</v>
      </c>
      <c r="K1691" t="s">
        <v>30</v>
      </c>
      <c r="L1691" t="s">
        <v>33</v>
      </c>
      <c r="M1691" t="s">
        <v>629</v>
      </c>
      <c r="N1691" s="263">
        <v>3.2</v>
      </c>
      <c r="O1691" s="1">
        <f t="shared" si="60"/>
        <v>64</v>
      </c>
      <c r="P1691" t="s">
        <v>901</v>
      </c>
      <c r="R1691" t="s">
        <v>634</v>
      </c>
    </row>
    <row r="1692" spans="1:18">
      <c r="A1692">
        <v>15</v>
      </c>
      <c r="B1692" t="s">
        <v>405</v>
      </c>
      <c r="C1692" t="s">
        <v>483</v>
      </c>
      <c r="G1692">
        <v>21</v>
      </c>
      <c r="H1692" s="263"/>
      <c r="J1692" t="s">
        <v>22</v>
      </c>
      <c r="K1692" t="s">
        <v>30</v>
      </c>
      <c r="L1692" t="s">
        <v>33</v>
      </c>
      <c r="M1692" t="s">
        <v>629</v>
      </c>
      <c r="N1692" s="263">
        <v>3.2</v>
      </c>
      <c r="O1692" s="1">
        <f t="shared" si="60"/>
        <v>64</v>
      </c>
      <c r="P1692" t="s">
        <v>901</v>
      </c>
      <c r="R1692" t="s">
        <v>634</v>
      </c>
    </row>
    <row r="1693" spans="1:18">
      <c r="A1693">
        <v>15</v>
      </c>
      <c r="B1693" t="s">
        <v>405</v>
      </c>
      <c r="C1693" t="s">
        <v>483</v>
      </c>
      <c r="G1693">
        <v>22</v>
      </c>
      <c r="H1693" s="263"/>
      <c r="J1693" t="s">
        <v>22</v>
      </c>
      <c r="K1693" t="s">
        <v>30</v>
      </c>
      <c r="L1693" t="s">
        <v>33</v>
      </c>
      <c r="M1693" t="s">
        <v>629</v>
      </c>
      <c r="N1693" s="263">
        <v>3.2</v>
      </c>
      <c r="O1693" s="1">
        <f t="shared" si="60"/>
        <v>64</v>
      </c>
      <c r="P1693" t="s">
        <v>901</v>
      </c>
      <c r="R1693" t="s">
        <v>634</v>
      </c>
    </row>
    <row r="1694" spans="1:18" hidden="1">
      <c r="A1694">
        <v>15</v>
      </c>
      <c r="B1694" t="s">
        <v>405</v>
      </c>
      <c r="C1694" t="s">
        <v>483</v>
      </c>
      <c r="G1694">
        <v>4</v>
      </c>
      <c r="J1694" t="s">
        <v>22</v>
      </c>
      <c r="K1694" t="s">
        <v>408</v>
      </c>
      <c r="L1694" t="s">
        <v>33</v>
      </c>
      <c r="M1694" t="s">
        <v>630</v>
      </c>
      <c r="O1694" s="1">
        <v>19.2</v>
      </c>
      <c r="R1694" t="s">
        <v>634</v>
      </c>
    </row>
    <row r="1695" spans="1:18" hidden="1">
      <c r="A1695">
        <v>15</v>
      </c>
      <c r="B1695" t="s">
        <v>405</v>
      </c>
      <c r="C1695" t="s">
        <v>483</v>
      </c>
      <c r="G1695">
        <v>5</v>
      </c>
      <c r="J1695" t="s">
        <v>22</v>
      </c>
      <c r="K1695" t="s">
        <v>408</v>
      </c>
      <c r="L1695" t="s">
        <v>33</v>
      </c>
      <c r="M1695" t="s">
        <v>630</v>
      </c>
      <c r="O1695" s="1">
        <v>19.2</v>
      </c>
      <c r="R1695" t="s">
        <v>634</v>
      </c>
    </row>
    <row r="1696" spans="1:18" hidden="1">
      <c r="A1696">
        <v>15</v>
      </c>
      <c r="B1696" t="s">
        <v>405</v>
      </c>
      <c r="C1696" t="s">
        <v>483</v>
      </c>
      <c r="G1696">
        <v>6</v>
      </c>
      <c r="J1696" t="s">
        <v>22</v>
      </c>
      <c r="K1696" t="s">
        <v>408</v>
      </c>
      <c r="L1696" t="s">
        <v>33</v>
      </c>
      <c r="M1696" t="s">
        <v>630</v>
      </c>
      <c r="O1696" s="1">
        <v>19.2</v>
      </c>
      <c r="R1696" t="s">
        <v>634</v>
      </c>
    </row>
    <row r="1697" spans="1:18" hidden="1">
      <c r="A1697">
        <v>15</v>
      </c>
      <c r="B1697" t="s">
        <v>405</v>
      </c>
      <c r="C1697" t="s">
        <v>483</v>
      </c>
      <c r="G1697">
        <v>7</v>
      </c>
      <c r="J1697" t="s">
        <v>22</v>
      </c>
      <c r="K1697" t="s">
        <v>408</v>
      </c>
      <c r="L1697" t="s">
        <v>33</v>
      </c>
      <c r="M1697" t="s">
        <v>630</v>
      </c>
      <c r="O1697" s="1">
        <v>19.2</v>
      </c>
      <c r="R1697" t="s">
        <v>634</v>
      </c>
    </row>
    <row r="1698" spans="1:18" hidden="1">
      <c r="A1698">
        <v>15</v>
      </c>
      <c r="B1698" t="s">
        <v>405</v>
      </c>
      <c r="C1698" t="s">
        <v>483</v>
      </c>
      <c r="G1698">
        <v>8</v>
      </c>
      <c r="J1698" t="s">
        <v>22</v>
      </c>
      <c r="K1698" t="s">
        <v>408</v>
      </c>
      <c r="L1698" t="s">
        <v>33</v>
      </c>
      <c r="M1698" t="s">
        <v>630</v>
      </c>
      <c r="O1698" s="1">
        <v>19.2</v>
      </c>
      <c r="R1698" t="s">
        <v>634</v>
      </c>
    </row>
    <row r="1699" spans="1:18" hidden="1">
      <c r="A1699">
        <v>15</v>
      </c>
      <c r="B1699" t="s">
        <v>405</v>
      </c>
      <c r="C1699" t="s">
        <v>483</v>
      </c>
      <c r="G1699">
        <v>9</v>
      </c>
      <c r="J1699" t="s">
        <v>22</v>
      </c>
      <c r="K1699" t="s">
        <v>408</v>
      </c>
      <c r="L1699" t="s">
        <v>33</v>
      </c>
      <c r="M1699" t="s">
        <v>630</v>
      </c>
      <c r="O1699" s="1">
        <v>19.2</v>
      </c>
      <c r="R1699" t="s">
        <v>634</v>
      </c>
    </row>
    <row r="1700" spans="1:18" hidden="1">
      <c r="A1700">
        <v>15</v>
      </c>
      <c r="B1700" t="s">
        <v>405</v>
      </c>
      <c r="C1700" t="s">
        <v>483</v>
      </c>
      <c r="G1700">
        <v>10</v>
      </c>
      <c r="J1700" t="s">
        <v>22</v>
      </c>
      <c r="K1700" t="s">
        <v>408</v>
      </c>
      <c r="L1700" t="s">
        <v>33</v>
      </c>
      <c r="M1700" t="s">
        <v>630</v>
      </c>
      <c r="O1700" s="1">
        <v>19.2</v>
      </c>
      <c r="R1700" t="s">
        <v>634</v>
      </c>
    </row>
    <row r="1701" spans="1:18" hidden="1">
      <c r="A1701">
        <v>15</v>
      </c>
      <c r="B1701" t="s">
        <v>405</v>
      </c>
      <c r="C1701" t="s">
        <v>483</v>
      </c>
      <c r="G1701">
        <v>11</v>
      </c>
      <c r="J1701" t="s">
        <v>22</v>
      </c>
      <c r="K1701" t="s">
        <v>408</v>
      </c>
      <c r="L1701" t="s">
        <v>33</v>
      </c>
      <c r="M1701" t="s">
        <v>630</v>
      </c>
      <c r="O1701" s="1">
        <v>19.2</v>
      </c>
      <c r="R1701" t="s">
        <v>634</v>
      </c>
    </row>
    <row r="1702" spans="1:18" hidden="1">
      <c r="A1702">
        <v>15</v>
      </c>
      <c r="B1702" t="s">
        <v>405</v>
      </c>
      <c r="C1702" t="s">
        <v>483</v>
      </c>
      <c r="G1702">
        <v>12</v>
      </c>
      <c r="J1702" t="s">
        <v>22</v>
      </c>
      <c r="K1702" t="s">
        <v>408</v>
      </c>
      <c r="L1702" t="s">
        <v>33</v>
      </c>
      <c r="M1702" t="s">
        <v>630</v>
      </c>
      <c r="O1702" s="1">
        <v>19.2</v>
      </c>
      <c r="R1702" t="s">
        <v>634</v>
      </c>
    </row>
    <row r="1703" spans="1:18" hidden="1">
      <c r="A1703">
        <v>15</v>
      </c>
      <c r="B1703" t="s">
        <v>405</v>
      </c>
      <c r="C1703" t="s">
        <v>483</v>
      </c>
      <c r="G1703">
        <v>13</v>
      </c>
      <c r="J1703" t="s">
        <v>22</v>
      </c>
      <c r="K1703" t="s">
        <v>408</v>
      </c>
      <c r="L1703" t="s">
        <v>33</v>
      </c>
      <c r="M1703" t="s">
        <v>630</v>
      </c>
      <c r="O1703" s="1">
        <v>19.2</v>
      </c>
      <c r="R1703" t="s">
        <v>634</v>
      </c>
    </row>
    <row r="1704" spans="1:18" hidden="1">
      <c r="A1704">
        <v>15</v>
      </c>
      <c r="B1704" t="s">
        <v>405</v>
      </c>
      <c r="C1704" t="s">
        <v>483</v>
      </c>
      <c r="G1704">
        <v>14</v>
      </c>
      <c r="J1704" t="s">
        <v>22</v>
      </c>
      <c r="K1704" t="s">
        <v>408</v>
      </c>
      <c r="L1704" t="s">
        <v>33</v>
      </c>
      <c r="M1704" t="s">
        <v>630</v>
      </c>
      <c r="O1704" s="1">
        <v>19.2</v>
      </c>
      <c r="R1704" t="s">
        <v>634</v>
      </c>
    </row>
    <row r="1705" spans="1:18" hidden="1">
      <c r="A1705">
        <v>15</v>
      </c>
      <c r="B1705" t="s">
        <v>405</v>
      </c>
      <c r="C1705" t="s">
        <v>483</v>
      </c>
      <c r="G1705">
        <v>15</v>
      </c>
      <c r="J1705" t="s">
        <v>22</v>
      </c>
      <c r="K1705" t="s">
        <v>408</v>
      </c>
      <c r="L1705" t="s">
        <v>33</v>
      </c>
      <c r="M1705" t="s">
        <v>630</v>
      </c>
      <c r="O1705" s="1">
        <v>19.2</v>
      </c>
      <c r="R1705" t="s">
        <v>634</v>
      </c>
    </row>
    <row r="1706" spans="1:18" hidden="1">
      <c r="A1706">
        <v>15</v>
      </c>
      <c r="B1706" t="s">
        <v>405</v>
      </c>
      <c r="C1706" t="s">
        <v>483</v>
      </c>
      <c r="G1706">
        <v>16</v>
      </c>
      <c r="J1706" t="s">
        <v>22</v>
      </c>
      <c r="K1706" t="s">
        <v>408</v>
      </c>
      <c r="L1706" t="s">
        <v>33</v>
      </c>
      <c r="M1706" t="s">
        <v>630</v>
      </c>
      <c r="O1706" s="1">
        <v>19.2</v>
      </c>
      <c r="R1706" t="s">
        <v>634</v>
      </c>
    </row>
    <row r="1707" spans="1:18" hidden="1">
      <c r="A1707">
        <v>15</v>
      </c>
      <c r="B1707" t="s">
        <v>405</v>
      </c>
      <c r="C1707" t="s">
        <v>483</v>
      </c>
      <c r="G1707">
        <v>17</v>
      </c>
      <c r="J1707" t="s">
        <v>22</v>
      </c>
      <c r="K1707" t="s">
        <v>408</v>
      </c>
      <c r="L1707" t="s">
        <v>33</v>
      </c>
      <c r="M1707" t="s">
        <v>630</v>
      </c>
      <c r="O1707" s="1">
        <v>19.2</v>
      </c>
      <c r="R1707" t="s">
        <v>634</v>
      </c>
    </row>
    <row r="1708" spans="1:18" hidden="1">
      <c r="A1708">
        <v>15</v>
      </c>
      <c r="B1708" t="s">
        <v>405</v>
      </c>
      <c r="C1708" t="s">
        <v>483</v>
      </c>
      <c r="G1708">
        <v>18</v>
      </c>
      <c r="J1708" t="s">
        <v>22</v>
      </c>
      <c r="K1708" t="s">
        <v>408</v>
      </c>
      <c r="L1708" t="s">
        <v>33</v>
      </c>
      <c r="M1708" t="s">
        <v>630</v>
      </c>
      <c r="O1708" s="1">
        <v>19.2</v>
      </c>
      <c r="R1708" t="s">
        <v>634</v>
      </c>
    </row>
    <row r="1709" spans="1:18" hidden="1">
      <c r="A1709">
        <v>15</v>
      </c>
      <c r="B1709" t="s">
        <v>405</v>
      </c>
      <c r="C1709" t="s">
        <v>483</v>
      </c>
      <c r="G1709">
        <v>19</v>
      </c>
      <c r="J1709" t="s">
        <v>22</v>
      </c>
      <c r="K1709" t="s">
        <v>408</v>
      </c>
      <c r="L1709" t="s">
        <v>33</v>
      </c>
      <c r="M1709" t="s">
        <v>630</v>
      </c>
      <c r="O1709" s="1">
        <v>19.2</v>
      </c>
      <c r="R1709" t="s">
        <v>634</v>
      </c>
    </row>
    <row r="1710" spans="1:18" hidden="1">
      <c r="A1710">
        <v>15</v>
      </c>
      <c r="B1710" t="s">
        <v>405</v>
      </c>
      <c r="C1710" t="s">
        <v>483</v>
      </c>
      <c r="G1710">
        <v>20</v>
      </c>
      <c r="J1710" t="s">
        <v>22</v>
      </c>
      <c r="K1710" t="s">
        <v>408</v>
      </c>
      <c r="L1710" t="s">
        <v>33</v>
      </c>
      <c r="M1710" t="s">
        <v>630</v>
      </c>
      <c r="O1710" s="1">
        <v>19.2</v>
      </c>
      <c r="R1710" t="s">
        <v>634</v>
      </c>
    </row>
    <row r="1711" spans="1:18" hidden="1">
      <c r="A1711">
        <v>15</v>
      </c>
      <c r="B1711" t="s">
        <v>405</v>
      </c>
      <c r="C1711" t="s">
        <v>483</v>
      </c>
      <c r="G1711">
        <v>21</v>
      </c>
      <c r="J1711" t="s">
        <v>22</v>
      </c>
      <c r="K1711" t="s">
        <v>408</v>
      </c>
      <c r="L1711" t="s">
        <v>33</v>
      </c>
      <c r="M1711" t="s">
        <v>630</v>
      </c>
      <c r="O1711" s="1">
        <v>19.2</v>
      </c>
      <c r="R1711" t="s">
        <v>634</v>
      </c>
    </row>
    <row r="1712" spans="1:18" hidden="1">
      <c r="A1712">
        <v>15</v>
      </c>
      <c r="B1712" t="s">
        <v>405</v>
      </c>
      <c r="C1712" t="s">
        <v>483</v>
      </c>
      <c r="G1712">
        <v>22</v>
      </c>
      <c r="J1712" t="s">
        <v>22</v>
      </c>
      <c r="K1712" t="s">
        <v>408</v>
      </c>
      <c r="L1712" t="s">
        <v>33</v>
      </c>
      <c r="M1712" t="s">
        <v>630</v>
      </c>
      <c r="O1712" s="1">
        <v>19.2</v>
      </c>
      <c r="R1712" t="s">
        <v>634</v>
      </c>
    </row>
    <row r="1713" spans="1:18">
      <c r="A1713">
        <v>15</v>
      </c>
      <c r="B1713" t="s">
        <v>405</v>
      </c>
      <c r="C1713" t="s">
        <v>483</v>
      </c>
      <c r="G1713">
        <v>4</v>
      </c>
      <c r="H1713" s="263"/>
      <c r="J1713" t="s">
        <v>22</v>
      </c>
      <c r="K1713" t="s">
        <v>30</v>
      </c>
      <c r="L1713" t="s">
        <v>33</v>
      </c>
      <c r="M1713" t="s">
        <v>966</v>
      </c>
      <c r="N1713" s="263">
        <f>1.3*2</f>
        <v>2.6</v>
      </c>
      <c r="O1713" s="1">
        <f>20*1.3*2</f>
        <v>52</v>
      </c>
      <c r="P1713" t="s">
        <v>965</v>
      </c>
      <c r="R1713" t="s">
        <v>634</v>
      </c>
    </row>
    <row r="1714" spans="1:18">
      <c r="A1714">
        <v>15</v>
      </c>
      <c r="B1714" t="s">
        <v>405</v>
      </c>
      <c r="C1714" t="s">
        <v>483</v>
      </c>
      <c r="G1714">
        <v>5</v>
      </c>
      <c r="H1714" s="263"/>
      <c r="J1714" t="s">
        <v>22</v>
      </c>
      <c r="K1714" t="s">
        <v>30</v>
      </c>
      <c r="L1714" t="s">
        <v>33</v>
      </c>
      <c r="M1714" t="s">
        <v>966</v>
      </c>
      <c r="N1714" s="263">
        <f t="shared" ref="N1714:N1731" si="61">1.3*2</f>
        <v>2.6</v>
      </c>
      <c r="O1714" s="1">
        <f t="shared" ref="O1714:O1731" si="62">20*1.3*2</f>
        <v>52</v>
      </c>
      <c r="P1714" t="s">
        <v>965</v>
      </c>
      <c r="R1714" t="s">
        <v>634</v>
      </c>
    </row>
    <row r="1715" spans="1:18">
      <c r="A1715">
        <v>15</v>
      </c>
      <c r="B1715" t="s">
        <v>405</v>
      </c>
      <c r="C1715" t="s">
        <v>483</v>
      </c>
      <c r="G1715">
        <v>6</v>
      </c>
      <c r="H1715" s="263"/>
      <c r="J1715" t="s">
        <v>22</v>
      </c>
      <c r="K1715" t="s">
        <v>30</v>
      </c>
      <c r="L1715" t="s">
        <v>33</v>
      </c>
      <c r="M1715" t="s">
        <v>966</v>
      </c>
      <c r="N1715" s="263">
        <f t="shared" si="61"/>
        <v>2.6</v>
      </c>
      <c r="O1715" s="1">
        <f t="shared" si="62"/>
        <v>52</v>
      </c>
      <c r="P1715" t="s">
        <v>965</v>
      </c>
      <c r="R1715" t="s">
        <v>634</v>
      </c>
    </row>
    <row r="1716" spans="1:18">
      <c r="A1716">
        <v>15</v>
      </c>
      <c r="B1716" t="s">
        <v>405</v>
      </c>
      <c r="C1716" t="s">
        <v>483</v>
      </c>
      <c r="G1716">
        <v>7</v>
      </c>
      <c r="H1716" s="263"/>
      <c r="J1716" t="s">
        <v>22</v>
      </c>
      <c r="K1716" t="s">
        <v>30</v>
      </c>
      <c r="L1716" t="s">
        <v>33</v>
      </c>
      <c r="M1716" t="s">
        <v>966</v>
      </c>
      <c r="N1716" s="263">
        <f t="shared" si="61"/>
        <v>2.6</v>
      </c>
      <c r="O1716" s="1">
        <f t="shared" si="62"/>
        <v>52</v>
      </c>
      <c r="P1716" t="s">
        <v>965</v>
      </c>
      <c r="R1716" t="s">
        <v>634</v>
      </c>
    </row>
    <row r="1717" spans="1:18">
      <c r="A1717">
        <v>15</v>
      </c>
      <c r="B1717" t="s">
        <v>405</v>
      </c>
      <c r="C1717" t="s">
        <v>483</v>
      </c>
      <c r="G1717">
        <v>8</v>
      </c>
      <c r="H1717" s="263"/>
      <c r="J1717" t="s">
        <v>22</v>
      </c>
      <c r="K1717" t="s">
        <v>30</v>
      </c>
      <c r="L1717" t="s">
        <v>33</v>
      </c>
      <c r="M1717" t="s">
        <v>966</v>
      </c>
      <c r="N1717" s="263">
        <f t="shared" si="61"/>
        <v>2.6</v>
      </c>
      <c r="O1717" s="1">
        <f t="shared" si="62"/>
        <v>52</v>
      </c>
      <c r="P1717" t="s">
        <v>965</v>
      </c>
      <c r="R1717" t="s">
        <v>634</v>
      </c>
    </row>
    <row r="1718" spans="1:18">
      <c r="A1718">
        <v>15</v>
      </c>
      <c r="B1718" t="s">
        <v>405</v>
      </c>
      <c r="C1718" t="s">
        <v>483</v>
      </c>
      <c r="G1718">
        <v>9</v>
      </c>
      <c r="H1718" s="263"/>
      <c r="J1718" t="s">
        <v>22</v>
      </c>
      <c r="K1718" t="s">
        <v>30</v>
      </c>
      <c r="L1718" t="s">
        <v>33</v>
      </c>
      <c r="M1718" t="s">
        <v>966</v>
      </c>
      <c r="N1718" s="263">
        <f t="shared" si="61"/>
        <v>2.6</v>
      </c>
      <c r="O1718" s="1">
        <f t="shared" si="62"/>
        <v>52</v>
      </c>
      <c r="P1718" t="s">
        <v>965</v>
      </c>
      <c r="R1718" t="s">
        <v>634</v>
      </c>
    </row>
    <row r="1719" spans="1:18">
      <c r="A1719">
        <v>15</v>
      </c>
      <c r="B1719" t="s">
        <v>405</v>
      </c>
      <c r="C1719" t="s">
        <v>483</v>
      </c>
      <c r="G1719">
        <v>10</v>
      </c>
      <c r="H1719" s="263"/>
      <c r="J1719" t="s">
        <v>22</v>
      </c>
      <c r="K1719" t="s">
        <v>30</v>
      </c>
      <c r="L1719" t="s">
        <v>33</v>
      </c>
      <c r="M1719" t="s">
        <v>966</v>
      </c>
      <c r="N1719" s="263">
        <f t="shared" si="61"/>
        <v>2.6</v>
      </c>
      <c r="O1719" s="1">
        <f t="shared" si="62"/>
        <v>52</v>
      </c>
      <c r="P1719" t="s">
        <v>965</v>
      </c>
      <c r="R1719" t="s">
        <v>634</v>
      </c>
    </row>
    <row r="1720" spans="1:18">
      <c r="A1720">
        <v>15</v>
      </c>
      <c r="B1720" t="s">
        <v>405</v>
      </c>
      <c r="C1720" t="s">
        <v>483</v>
      </c>
      <c r="G1720">
        <v>11</v>
      </c>
      <c r="H1720" s="263"/>
      <c r="J1720" t="s">
        <v>22</v>
      </c>
      <c r="K1720" t="s">
        <v>30</v>
      </c>
      <c r="L1720" t="s">
        <v>33</v>
      </c>
      <c r="M1720" t="s">
        <v>966</v>
      </c>
      <c r="N1720" s="263">
        <f t="shared" si="61"/>
        <v>2.6</v>
      </c>
      <c r="O1720" s="1">
        <f t="shared" si="62"/>
        <v>52</v>
      </c>
      <c r="P1720" t="s">
        <v>965</v>
      </c>
      <c r="R1720" t="s">
        <v>634</v>
      </c>
    </row>
    <row r="1721" spans="1:18">
      <c r="A1721">
        <v>15</v>
      </c>
      <c r="B1721" t="s">
        <v>405</v>
      </c>
      <c r="C1721" t="s">
        <v>483</v>
      </c>
      <c r="G1721">
        <v>12</v>
      </c>
      <c r="H1721" s="263"/>
      <c r="J1721" t="s">
        <v>22</v>
      </c>
      <c r="K1721" t="s">
        <v>30</v>
      </c>
      <c r="L1721" t="s">
        <v>33</v>
      </c>
      <c r="M1721" t="s">
        <v>966</v>
      </c>
      <c r="N1721" s="263">
        <f t="shared" si="61"/>
        <v>2.6</v>
      </c>
      <c r="O1721" s="1">
        <f t="shared" si="62"/>
        <v>52</v>
      </c>
      <c r="P1721" t="s">
        <v>965</v>
      </c>
      <c r="R1721" t="s">
        <v>634</v>
      </c>
    </row>
    <row r="1722" spans="1:18">
      <c r="A1722">
        <v>15</v>
      </c>
      <c r="B1722" t="s">
        <v>405</v>
      </c>
      <c r="C1722" t="s">
        <v>483</v>
      </c>
      <c r="G1722">
        <v>13</v>
      </c>
      <c r="H1722" s="263"/>
      <c r="J1722" t="s">
        <v>22</v>
      </c>
      <c r="K1722" t="s">
        <v>30</v>
      </c>
      <c r="L1722" t="s">
        <v>33</v>
      </c>
      <c r="M1722" t="s">
        <v>966</v>
      </c>
      <c r="N1722" s="263">
        <f t="shared" si="61"/>
        <v>2.6</v>
      </c>
      <c r="O1722" s="1">
        <f t="shared" si="62"/>
        <v>52</v>
      </c>
      <c r="P1722" t="s">
        <v>965</v>
      </c>
      <c r="R1722" t="s">
        <v>634</v>
      </c>
    </row>
    <row r="1723" spans="1:18">
      <c r="A1723">
        <v>15</v>
      </c>
      <c r="B1723" t="s">
        <v>405</v>
      </c>
      <c r="C1723" t="s">
        <v>483</v>
      </c>
      <c r="G1723">
        <v>14</v>
      </c>
      <c r="H1723" s="263"/>
      <c r="J1723" t="s">
        <v>22</v>
      </c>
      <c r="K1723" t="s">
        <v>30</v>
      </c>
      <c r="L1723" t="s">
        <v>33</v>
      </c>
      <c r="M1723" t="s">
        <v>966</v>
      </c>
      <c r="N1723" s="263">
        <f t="shared" si="61"/>
        <v>2.6</v>
      </c>
      <c r="O1723" s="1">
        <f t="shared" si="62"/>
        <v>52</v>
      </c>
      <c r="P1723" t="s">
        <v>965</v>
      </c>
      <c r="R1723" t="s">
        <v>634</v>
      </c>
    </row>
    <row r="1724" spans="1:18">
      <c r="A1724">
        <v>15</v>
      </c>
      <c r="B1724" t="s">
        <v>405</v>
      </c>
      <c r="C1724" t="s">
        <v>483</v>
      </c>
      <c r="G1724">
        <v>15</v>
      </c>
      <c r="H1724" s="263"/>
      <c r="J1724" t="s">
        <v>22</v>
      </c>
      <c r="K1724" t="s">
        <v>30</v>
      </c>
      <c r="L1724" t="s">
        <v>33</v>
      </c>
      <c r="M1724" t="s">
        <v>966</v>
      </c>
      <c r="N1724" s="263">
        <f t="shared" si="61"/>
        <v>2.6</v>
      </c>
      <c r="O1724" s="1">
        <f t="shared" si="62"/>
        <v>52</v>
      </c>
      <c r="P1724" t="s">
        <v>965</v>
      </c>
      <c r="R1724" t="s">
        <v>634</v>
      </c>
    </row>
    <row r="1725" spans="1:18">
      <c r="A1725">
        <v>15</v>
      </c>
      <c r="B1725" t="s">
        <v>405</v>
      </c>
      <c r="C1725" t="s">
        <v>483</v>
      </c>
      <c r="G1725">
        <v>16</v>
      </c>
      <c r="H1725" s="263"/>
      <c r="J1725" t="s">
        <v>22</v>
      </c>
      <c r="K1725" t="s">
        <v>30</v>
      </c>
      <c r="L1725" t="s">
        <v>33</v>
      </c>
      <c r="M1725" t="s">
        <v>966</v>
      </c>
      <c r="N1725" s="263">
        <f t="shared" si="61"/>
        <v>2.6</v>
      </c>
      <c r="O1725" s="1">
        <f t="shared" si="62"/>
        <v>52</v>
      </c>
      <c r="P1725" t="s">
        <v>965</v>
      </c>
      <c r="R1725" t="s">
        <v>634</v>
      </c>
    </row>
    <row r="1726" spans="1:18">
      <c r="A1726">
        <v>15</v>
      </c>
      <c r="B1726" t="s">
        <v>405</v>
      </c>
      <c r="C1726" t="s">
        <v>483</v>
      </c>
      <c r="G1726">
        <v>17</v>
      </c>
      <c r="H1726" s="263"/>
      <c r="J1726" t="s">
        <v>22</v>
      </c>
      <c r="K1726" t="s">
        <v>30</v>
      </c>
      <c r="L1726" t="s">
        <v>33</v>
      </c>
      <c r="M1726" t="s">
        <v>966</v>
      </c>
      <c r="N1726" s="263">
        <f t="shared" si="61"/>
        <v>2.6</v>
      </c>
      <c r="O1726" s="1">
        <f t="shared" si="62"/>
        <v>52</v>
      </c>
      <c r="P1726" t="s">
        <v>965</v>
      </c>
      <c r="R1726" t="s">
        <v>634</v>
      </c>
    </row>
    <row r="1727" spans="1:18">
      <c r="A1727">
        <v>15</v>
      </c>
      <c r="B1727" t="s">
        <v>405</v>
      </c>
      <c r="C1727" t="s">
        <v>483</v>
      </c>
      <c r="G1727">
        <v>18</v>
      </c>
      <c r="H1727" s="263"/>
      <c r="J1727" t="s">
        <v>22</v>
      </c>
      <c r="K1727" t="s">
        <v>30</v>
      </c>
      <c r="L1727" t="s">
        <v>33</v>
      </c>
      <c r="M1727" t="s">
        <v>966</v>
      </c>
      <c r="N1727" s="263">
        <f t="shared" si="61"/>
        <v>2.6</v>
      </c>
      <c r="O1727" s="1">
        <f t="shared" si="62"/>
        <v>52</v>
      </c>
      <c r="P1727" t="s">
        <v>965</v>
      </c>
      <c r="R1727" t="s">
        <v>634</v>
      </c>
    </row>
    <row r="1728" spans="1:18">
      <c r="A1728">
        <v>15</v>
      </c>
      <c r="B1728" t="s">
        <v>405</v>
      </c>
      <c r="C1728" t="s">
        <v>483</v>
      </c>
      <c r="G1728">
        <v>19</v>
      </c>
      <c r="H1728" s="263"/>
      <c r="J1728" t="s">
        <v>22</v>
      </c>
      <c r="K1728" t="s">
        <v>30</v>
      </c>
      <c r="L1728" t="s">
        <v>33</v>
      </c>
      <c r="M1728" t="s">
        <v>966</v>
      </c>
      <c r="N1728" s="263">
        <f t="shared" si="61"/>
        <v>2.6</v>
      </c>
      <c r="O1728" s="1">
        <f t="shared" si="62"/>
        <v>52</v>
      </c>
      <c r="P1728" t="s">
        <v>965</v>
      </c>
      <c r="R1728" t="s">
        <v>634</v>
      </c>
    </row>
    <row r="1729" spans="1:18">
      <c r="A1729">
        <v>15</v>
      </c>
      <c r="B1729" t="s">
        <v>405</v>
      </c>
      <c r="C1729" t="s">
        <v>483</v>
      </c>
      <c r="G1729">
        <v>20</v>
      </c>
      <c r="H1729" s="263"/>
      <c r="J1729" t="s">
        <v>22</v>
      </c>
      <c r="K1729" t="s">
        <v>30</v>
      </c>
      <c r="L1729" t="s">
        <v>33</v>
      </c>
      <c r="M1729" t="s">
        <v>966</v>
      </c>
      <c r="N1729" s="263">
        <f t="shared" si="61"/>
        <v>2.6</v>
      </c>
      <c r="O1729" s="1">
        <f t="shared" si="62"/>
        <v>52</v>
      </c>
      <c r="P1729" t="s">
        <v>965</v>
      </c>
      <c r="R1729" t="s">
        <v>634</v>
      </c>
    </row>
    <row r="1730" spans="1:18">
      <c r="A1730">
        <v>15</v>
      </c>
      <c r="B1730" t="s">
        <v>405</v>
      </c>
      <c r="C1730" t="s">
        <v>483</v>
      </c>
      <c r="G1730">
        <v>21</v>
      </c>
      <c r="H1730" s="263"/>
      <c r="J1730" t="s">
        <v>22</v>
      </c>
      <c r="K1730" t="s">
        <v>30</v>
      </c>
      <c r="L1730" t="s">
        <v>33</v>
      </c>
      <c r="M1730" t="s">
        <v>966</v>
      </c>
      <c r="N1730" s="263">
        <f t="shared" si="61"/>
        <v>2.6</v>
      </c>
      <c r="O1730" s="1">
        <f t="shared" si="62"/>
        <v>52</v>
      </c>
      <c r="P1730" t="s">
        <v>965</v>
      </c>
      <c r="R1730" t="s">
        <v>634</v>
      </c>
    </row>
    <row r="1731" spans="1:18">
      <c r="A1731">
        <v>15</v>
      </c>
      <c r="B1731" t="s">
        <v>405</v>
      </c>
      <c r="C1731" t="s">
        <v>483</v>
      </c>
      <c r="G1731">
        <v>22</v>
      </c>
      <c r="H1731" s="263"/>
      <c r="J1731" t="s">
        <v>22</v>
      </c>
      <c r="K1731" t="s">
        <v>30</v>
      </c>
      <c r="L1731" t="s">
        <v>33</v>
      </c>
      <c r="M1731" t="s">
        <v>966</v>
      </c>
      <c r="N1731" s="263">
        <f t="shared" si="61"/>
        <v>2.6</v>
      </c>
      <c r="O1731" s="1">
        <f t="shared" si="62"/>
        <v>52</v>
      </c>
      <c r="P1731" t="s">
        <v>965</v>
      </c>
      <c r="R1731" t="s">
        <v>634</v>
      </c>
    </row>
    <row r="1732" spans="1:18" hidden="1">
      <c r="A1732">
        <v>15</v>
      </c>
      <c r="B1732" t="s">
        <v>405</v>
      </c>
      <c r="C1732" t="s">
        <v>483</v>
      </c>
      <c r="G1732">
        <v>4</v>
      </c>
      <c r="J1732" t="s">
        <v>22</v>
      </c>
      <c r="K1732" t="s">
        <v>408</v>
      </c>
      <c r="L1732" t="s">
        <v>33</v>
      </c>
      <c r="M1732" t="s">
        <v>967</v>
      </c>
      <c r="O1732" s="1">
        <v>42.69</v>
      </c>
      <c r="P1732" t="s">
        <v>968</v>
      </c>
      <c r="R1732" t="s">
        <v>634</v>
      </c>
    </row>
    <row r="1733" spans="1:18" hidden="1">
      <c r="A1733">
        <v>15</v>
      </c>
      <c r="B1733" t="s">
        <v>405</v>
      </c>
      <c r="C1733" t="s">
        <v>483</v>
      </c>
      <c r="G1733">
        <v>5</v>
      </c>
      <c r="J1733" t="s">
        <v>22</v>
      </c>
      <c r="K1733" t="s">
        <v>408</v>
      </c>
      <c r="L1733" t="s">
        <v>33</v>
      </c>
      <c r="M1733" t="s">
        <v>967</v>
      </c>
      <c r="O1733" s="1">
        <v>42.69</v>
      </c>
      <c r="P1733" t="s">
        <v>968</v>
      </c>
      <c r="R1733" t="s">
        <v>634</v>
      </c>
    </row>
    <row r="1734" spans="1:18" hidden="1">
      <c r="A1734">
        <v>15</v>
      </c>
      <c r="B1734" t="s">
        <v>405</v>
      </c>
      <c r="C1734" t="s">
        <v>483</v>
      </c>
      <c r="G1734">
        <v>6</v>
      </c>
      <c r="J1734" t="s">
        <v>22</v>
      </c>
      <c r="K1734" t="s">
        <v>408</v>
      </c>
      <c r="L1734" t="s">
        <v>33</v>
      </c>
      <c r="M1734" t="s">
        <v>967</v>
      </c>
      <c r="O1734" s="1">
        <v>42.69</v>
      </c>
      <c r="P1734" t="s">
        <v>968</v>
      </c>
      <c r="R1734" t="s">
        <v>634</v>
      </c>
    </row>
    <row r="1735" spans="1:18" hidden="1">
      <c r="A1735">
        <v>15</v>
      </c>
      <c r="B1735" t="s">
        <v>405</v>
      </c>
      <c r="C1735" t="s">
        <v>483</v>
      </c>
      <c r="G1735">
        <v>7</v>
      </c>
      <c r="J1735" t="s">
        <v>22</v>
      </c>
      <c r="K1735" t="s">
        <v>408</v>
      </c>
      <c r="L1735" t="s">
        <v>33</v>
      </c>
      <c r="M1735" t="s">
        <v>967</v>
      </c>
      <c r="O1735" s="1">
        <v>42.69</v>
      </c>
      <c r="P1735" t="s">
        <v>968</v>
      </c>
      <c r="R1735" t="s">
        <v>634</v>
      </c>
    </row>
    <row r="1736" spans="1:18" hidden="1">
      <c r="A1736">
        <v>15</v>
      </c>
      <c r="B1736" t="s">
        <v>405</v>
      </c>
      <c r="C1736" t="s">
        <v>483</v>
      </c>
      <c r="G1736">
        <v>8</v>
      </c>
      <c r="J1736" t="s">
        <v>22</v>
      </c>
      <c r="K1736" t="s">
        <v>408</v>
      </c>
      <c r="L1736" t="s">
        <v>33</v>
      </c>
      <c r="M1736" t="s">
        <v>967</v>
      </c>
      <c r="O1736" s="1">
        <v>42.69</v>
      </c>
      <c r="P1736" t="s">
        <v>968</v>
      </c>
      <c r="R1736" t="s">
        <v>634</v>
      </c>
    </row>
    <row r="1737" spans="1:18" hidden="1">
      <c r="A1737">
        <v>15</v>
      </c>
      <c r="B1737" t="s">
        <v>405</v>
      </c>
      <c r="C1737" t="s">
        <v>483</v>
      </c>
      <c r="G1737">
        <v>9</v>
      </c>
      <c r="J1737" t="s">
        <v>22</v>
      </c>
      <c r="K1737" t="s">
        <v>408</v>
      </c>
      <c r="L1737" t="s">
        <v>33</v>
      </c>
      <c r="M1737" t="s">
        <v>967</v>
      </c>
      <c r="O1737" s="1">
        <v>42.69</v>
      </c>
      <c r="P1737" t="s">
        <v>968</v>
      </c>
      <c r="R1737" t="s">
        <v>634</v>
      </c>
    </row>
    <row r="1738" spans="1:18" hidden="1">
      <c r="A1738">
        <v>15</v>
      </c>
      <c r="B1738" t="s">
        <v>405</v>
      </c>
      <c r="C1738" t="s">
        <v>483</v>
      </c>
      <c r="G1738">
        <v>10</v>
      </c>
      <c r="J1738" t="s">
        <v>22</v>
      </c>
      <c r="K1738" t="s">
        <v>408</v>
      </c>
      <c r="L1738" t="s">
        <v>33</v>
      </c>
      <c r="M1738" t="s">
        <v>967</v>
      </c>
      <c r="O1738" s="1">
        <v>42.69</v>
      </c>
      <c r="P1738" t="s">
        <v>968</v>
      </c>
      <c r="R1738" t="s">
        <v>634</v>
      </c>
    </row>
    <row r="1739" spans="1:18" hidden="1">
      <c r="A1739">
        <v>15</v>
      </c>
      <c r="B1739" t="s">
        <v>405</v>
      </c>
      <c r="C1739" t="s">
        <v>483</v>
      </c>
      <c r="G1739">
        <v>11</v>
      </c>
      <c r="J1739" t="s">
        <v>22</v>
      </c>
      <c r="K1739" t="s">
        <v>408</v>
      </c>
      <c r="L1739" t="s">
        <v>33</v>
      </c>
      <c r="M1739" t="s">
        <v>967</v>
      </c>
      <c r="O1739" s="1">
        <v>42.69</v>
      </c>
      <c r="P1739" t="s">
        <v>968</v>
      </c>
      <c r="R1739" t="s">
        <v>634</v>
      </c>
    </row>
    <row r="1740" spans="1:18" hidden="1">
      <c r="A1740">
        <v>15</v>
      </c>
      <c r="B1740" t="s">
        <v>405</v>
      </c>
      <c r="C1740" t="s">
        <v>483</v>
      </c>
      <c r="G1740">
        <v>12</v>
      </c>
      <c r="J1740" t="s">
        <v>22</v>
      </c>
      <c r="K1740" t="s">
        <v>408</v>
      </c>
      <c r="L1740" t="s">
        <v>33</v>
      </c>
      <c r="M1740" t="s">
        <v>967</v>
      </c>
      <c r="O1740" s="1">
        <v>42.69</v>
      </c>
      <c r="P1740" t="s">
        <v>968</v>
      </c>
      <c r="R1740" t="s">
        <v>634</v>
      </c>
    </row>
    <row r="1741" spans="1:18" hidden="1">
      <c r="A1741">
        <v>15</v>
      </c>
      <c r="B1741" t="s">
        <v>405</v>
      </c>
      <c r="C1741" t="s">
        <v>483</v>
      </c>
      <c r="G1741">
        <v>13</v>
      </c>
      <c r="J1741" t="s">
        <v>22</v>
      </c>
      <c r="K1741" t="s">
        <v>408</v>
      </c>
      <c r="L1741" t="s">
        <v>33</v>
      </c>
      <c r="M1741" t="s">
        <v>967</v>
      </c>
      <c r="O1741" s="1">
        <v>42.69</v>
      </c>
      <c r="P1741" t="s">
        <v>968</v>
      </c>
      <c r="R1741" t="s">
        <v>634</v>
      </c>
    </row>
    <row r="1742" spans="1:18" hidden="1">
      <c r="A1742">
        <v>15</v>
      </c>
      <c r="B1742" t="s">
        <v>405</v>
      </c>
      <c r="C1742" t="s">
        <v>483</v>
      </c>
      <c r="G1742">
        <v>14</v>
      </c>
      <c r="J1742" t="s">
        <v>22</v>
      </c>
      <c r="K1742" t="s">
        <v>408</v>
      </c>
      <c r="L1742" t="s">
        <v>33</v>
      </c>
      <c r="M1742" t="s">
        <v>967</v>
      </c>
      <c r="O1742" s="1">
        <v>42.69</v>
      </c>
      <c r="P1742" t="s">
        <v>968</v>
      </c>
      <c r="R1742" t="s">
        <v>634</v>
      </c>
    </row>
    <row r="1743" spans="1:18" hidden="1">
      <c r="A1743">
        <v>15</v>
      </c>
      <c r="B1743" t="s">
        <v>405</v>
      </c>
      <c r="C1743" t="s">
        <v>483</v>
      </c>
      <c r="G1743">
        <v>15</v>
      </c>
      <c r="J1743" t="s">
        <v>22</v>
      </c>
      <c r="K1743" t="s">
        <v>408</v>
      </c>
      <c r="L1743" t="s">
        <v>33</v>
      </c>
      <c r="M1743" t="s">
        <v>967</v>
      </c>
      <c r="O1743" s="1">
        <v>42.69</v>
      </c>
      <c r="P1743" t="s">
        <v>968</v>
      </c>
      <c r="R1743" t="s">
        <v>634</v>
      </c>
    </row>
    <row r="1744" spans="1:18" hidden="1">
      <c r="A1744">
        <v>15</v>
      </c>
      <c r="B1744" t="s">
        <v>405</v>
      </c>
      <c r="C1744" t="s">
        <v>483</v>
      </c>
      <c r="G1744">
        <v>16</v>
      </c>
      <c r="J1744" t="s">
        <v>22</v>
      </c>
      <c r="K1744" t="s">
        <v>408</v>
      </c>
      <c r="L1744" t="s">
        <v>33</v>
      </c>
      <c r="M1744" t="s">
        <v>967</v>
      </c>
      <c r="O1744" s="1">
        <v>42.69</v>
      </c>
      <c r="P1744" t="s">
        <v>968</v>
      </c>
      <c r="R1744" t="s">
        <v>634</v>
      </c>
    </row>
    <row r="1745" spans="1:18" hidden="1">
      <c r="A1745">
        <v>15</v>
      </c>
      <c r="B1745" t="s">
        <v>405</v>
      </c>
      <c r="C1745" t="s">
        <v>483</v>
      </c>
      <c r="G1745">
        <v>17</v>
      </c>
      <c r="J1745" t="s">
        <v>22</v>
      </c>
      <c r="K1745" t="s">
        <v>408</v>
      </c>
      <c r="L1745" t="s">
        <v>33</v>
      </c>
      <c r="M1745" t="s">
        <v>967</v>
      </c>
      <c r="O1745" s="1">
        <v>42.69</v>
      </c>
      <c r="P1745" t="s">
        <v>968</v>
      </c>
      <c r="R1745" t="s">
        <v>634</v>
      </c>
    </row>
    <row r="1746" spans="1:18" hidden="1">
      <c r="A1746">
        <v>15</v>
      </c>
      <c r="B1746" t="s">
        <v>405</v>
      </c>
      <c r="C1746" t="s">
        <v>483</v>
      </c>
      <c r="G1746">
        <v>18</v>
      </c>
      <c r="J1746" t="s">
        <v>22</v>
      </c>
      <c r="K1746" t="s">
        <v>408</v>
      </c>
      <c r="L1746" t="s">
        <v>33</v>
      </c>
      <c r="M1746" t="s">
        <v>967</v>
      </c>
      <c r="O1746" s="1">
        <v>42.69</v>
      </c>
      <c r="P1746" t="s">
        <v>968</v>
      </c>
      <c r="R1746" t="s">
        <v>634</v>
      </c>
    </row>
    <row r="1747" spans="1:18" hidden="1">
      <c r="A1747">
        <v>15</v>
      </c>
      <c r="B1747" t="s">
        <v>405</v>
      </c>
      <c r="C1747" t="s">
        <v>483</v>
      </c>
      <c r="G1747">
        <v>19</v>
      </c>
      <c r="J1747" t="s">
        <v>22</v>
      </c>
      <c r="K1747" t="s">
        <v>408</v>
      </c>
      <c r="L1747" t="s">
        <v>33</v>
      </c>
      <c r="M1747" t="s">
        <v>967</v>
      </c>
      <c r="O1747" s="1">
        <v>42.69</v>
      </c>
      <c r="P1747" t="s">
        <v>968</v>
      </c>
      <c r="R1747" t="s">
        <v>634</v>
      </c>
    </row>
    <row r="1748" spans="1:18" hidden="1">
      <c r="A1748">
        <v>15</v>
      </c>
      <c r="B1748" t="s">
        <v>405</v>
      </c>
      <c r="C1748" t="s">
        <v>483</v>
      </c>
      <c r="G1748">
        <v>20</v>
      </c>
      <c r="J1748" t="s">
        <v>22</v>
      </c>
      <c r="K1748" t="s">
        <v>408</v>
      </c>
      <c r="L1748" t="s">
        <v>33</v>
      </c>
      <c r="M1748" t="s">
        <v>967</v>
      </c>
      <c r="O1748" s="1">
        <v>42.69</v>
      </c>
      <c r="P1748" t="s">
        <v>968</v>
      </c>
      <c r="R1748" t="s">
        <v>634</v>
      </c>
    </row>
    <row r="1749" spans="1:18" hidden="1">
      <c r="A1749">
        <v>15</v>
      </c>
      <c r="B1749" t="s">
        <v>405</v>
      </c>
      <c r="C1749" t="s">
        <v>483</v>
      </c>
      <c r="G1749">
        <v>21</v>
      </c>
      <c r="J1749" t="s">
        <v>22</v>
      </c>
      <c r="K1749" t="s">
        <v>408</v>
      </c>
      <c r="L1749" t="s">
        <v>33</v>
      </c>
      <c r="M1749" t="s">
        <v>967</v>
      </c>
      <c r="O1749" s="1">
        <v>42.69</v>
      </c>
      <c r="P1749" t="s">
        <v>968</v>
      </c>
      <c r="R1749" t="s">
        <v>634</v>
      </c>
    </row>
    <row r="1750" spans="1:18" hidden="1">
      <c r="A1750">
        <v>15</v>
      </c>
      <c r="B1750" t="s">
        <v>405</v>
      </c>
      <c r="C1750" t="s">
        <v>483</v>
      </c>
      <c r="G1750">
        <v>22</v>
      </c>
      <c r="J1750" t="s">
        <v>22</v>
      </c>
      <c r="K1750" t="s">
        <v>408</v>
      </c>
      <c r="L1750" t="s">
        <v>33</v>
      </c>
      <c r="M1750" t="s">
        <v>967</v>
      </c>
      <c r="O1750" s="1">
        <v>42.69</v>
      </c>
      <c r="P1750" t="s">
        <v>968</v>
      </c>
      <c r="R1750" t="s">
        <v>634</v>
      </c>
    </row>
    <row r="1751" spans="1:18">
      <c r="A1751">
        <v>15</v>
      </c>
      <c r="B1751" t="s">
        <v>405</v>
      </c>
      <c r="C1751" t="s">
        <v>483</v>
      </c>
      <c r="G1751">
        <v>4</v>
      </c>
      <c r="H1751" s="263"/>
      <c r="J1751" t="s">
        <v>22</v>
      </c>
      <c r="K1751" t="s">
        <v>30</v>
      </c>
      <c r="L1751" t="s">
        <v>33</v>
      </c>
      <c r="M1751" t="s">
        <v>969</v>
      </c>
      <c r="N1751" s="263">
        <f>0.1</f>
        <v>0.1</v>
      </c>
      <c r="O1751" s="1">
        <f>20*0.1</f>
        <v>2</v>
      </c>
      <c r="P1751" t="s">
        <v>972</v>
      </c>
      <c r="R1751" t="s">
        <v>634</v>
      </c>
    </row>
    <row r="1752" spans="1:18">
      <c r="A1752">
        <v>15</v>
      </c>
      <c r="B1752" t="s">
        <v>405</v>
      </c>
      <c r="C1752" t="s">
        <v>483</v>
      </c>
      <c r="G1752">
        <v>5</v>
      </c>
      <c r="H1752" s="263"/>
      <c r="J1752" t="s">
        <v>22</v>
      </c>
      <c r="K1752" t="s">
        <v>30</v>
      </c>
      <c r="L1752" t="s">
        <v>33</v>
      </c>
      <c r="M1752" t="s">
        <v>969</v>
      </c>
      <c r="N1752" s="263">
        <f t="shared" ref="N1752:N1769" si="63">0.1</f>
        <v>0.1</v>
      </c>
      <c r="O1752" s="1">
        <f t="shared" ref="O1752:O1769" si="64">20*0.1</f>
        <v>2</v>
      </c>
      <c r="P1752" t="s">
        <v>972</v>
      </c>
      <c r="R1752" t="s">
        <v>634</v>
      </c>
    </row>
    <row r="1753" spans="1:18">
      <c r="A1753">
        <v>15</v>
      </c>
      <c r="B1753" t="s">
        <v>405</v>
      </c>
      <c r="C1753" t="s">
        <v>483</v>
      </c>
      <c r="G1753">
        <v>6</v>
      </c>
      <c r="H1753" s="263"/>
      <c r="J1753" t="s">
        <v>22</v>
      </c>
      <c r="K1753" t="s">
        <v>30</v>
      </c>
      <c r="L1753" t="s">
        <v>33</v>
      </c>
      <c r="M1753" t="s">
        <v>969</v>
      </c>
      <c r="N1753" s="263">
        <f t="shared" si="63"/>
        <v>0.1</v>
      </c>
      <c r="O1753" s="1">
        <f t="shared" si="64"/>
        <v>2</v>
      </c>
      <c r="P1753" t="s">
        <v>972</v>
      </c>
      <c r="R1753" t="s">
        <v>634</v>
      </c>
    </row>
    <row r="1754" spans="1:18">
      <c r="A1754">
        <v>15</v>
      </c>
      <c r="B1754" t="s">
        <v>405</v>
      </c>
      <c r="C1754" t="s">
        <v>483</v>
      </c>
      <c r="G1754">
        <v>7</v>
      </c>
      <c r="H1754" s="263"/>
      <c r="J1754" t="s">
        <v>22</v>
      </c>
      <c r="K1754" t="s">
        <v>30</v>
      </c>
      <c r="L1754" t="s">
        <v>33</v>
      </c>
      <c r="M1754" t="s">
        <v>969</v>
      </c>
      <c r="N1754" s="263">
        <f t="shared" si="63"/>
        <v>0.1</v>
      </c>
      <c r="O1754" s="1">
        <f t="shared" si="64"/>
        <v>2</v>
      </c>
      <c r="P1754" t="s">
        <v>972</v>
      </c>
      <c r="R1754" t="s">
        <v>634</v>
      </c>
    </row>
    <row r="1755" spans="1:18">
      <c r="A1755">
        <v>15</v>
      </c>
      <c r="B1755" t="s">
        <v>405</v>
      </c>
      <c r="C1755" t="s">
        <v>483</v>
      </c>
      <c r="G1755">
        <v>8</v>
      </c>
      <c r="H1755" s="263"/>
      <c r="J1755" t="s">
        <v>22</v>
      </c>
      <c r="K1755" t="s">
        <v>30</v>
      </c>
      <c r="L1755" t="s">
        <v>33</v>
      </c>
      <c r="M1755" t="s">
        <v>969</v>
      </c>
      <c r="N1755" s="263">
        <f t="shared" si="63"/>
        <v>0.1</v>
      </c>
      <c r="O1755" s="1">
        <f t="shared" si="64"/>
        <v>2</v>
      </c>
      <c r="P1755" t="s">
        <v>972</v>
      </c>
      <c r="R1755" t="s">
        <v>634</v>
      </c>
    </row>
    <row r="1756" spans="1:18">
      <c r="A1756">
        <v>15</v>
      </c>
      <c r="B1756" t="s">
        <v>405</v>
      </c>
      <c r="C1756" t="s">
        <v>483</v>
      </c>
      <c r="G1756">
        <v>9</v>
      </c>
      <c r="H1756" s="263"/>
      <c r="J1756" t="s">
        <v>22</v>
      </c>
      <c r="K1756" t="s">
        <v>30</v>
      </c>
      <c r="L1756" t="s">
        <v>33</v>
      </c>
      <c r="M1756" t="s">
        <v>969</v>
      </c>
      <c r="N1756" s="263">
        <f t="shared" si="63"/>
        <v>0.1</v>
      </c>
      <c r="O1756" s="1">
        <f t="shared" si="64"/>
        <v>2</v>
      </c>
      <c r="P1756" t="s">
        <v>972</v>
      </c>
      <c r="R1756" t="s">
        <v>634</v>
      </c>
    </row>
    <row r="1757" spans="1:18">
      <c r="A1757">
        <v>15</v>
      </c>
      <c r="B1757" t="s">
        <v>405</v>
      </c>
      <c r="C1757" t="s">
        <v>483</v>
      </c>
      <c r="G1757">
        <v>10</v>
      </c>
      <c r="H1757" s="263"/>
      <c r="J1757" t="s">
        <v>22</v>
      </c>
      <c r="K1757" t="s">
        <v>30</v>
      </c>
      <c r="L1757" t="s">
        <v>33</v>
      </c>
      <c r="M1757" t="s">
        <v>969</v>
      </c>
      <c r="N1757" s="263">
        <f t="shared" si="63"/>
        <v>0.1</v>
      </c>
      <c r="O1757" s="1">
        <f t="shared" si="64"/>
        <v>2</v>
      </c>
      <c r="P1757" t="s">
        <v>972</v>
      </c>
      <c r="R1757" t="s">
        <v>634</v>
      </c>
    </row>
    <row r="1758" spans="1:18">
      <c r="A1758">
        <v>15</v>
      </c>
      <c r="B1758" t="s">
        <v>405</v>
      </c>
      <c r="C1758" t="s">
        <v>483</v>
      </c>
      <c r="G1758">
        <v>11</v>
      </c>
      <c r="H1758" s="263"/>
      <c r="J1758" t="s">
        <v>22</v>
      </c>
      <c r="K1758" t="s">
        <v>30</v>
      </c>
      <c r="L1758" t="s">
        <v>33</v>
      </c>
      <c r="M1758" t="s">
        <v>969</v>
      </c>
      <c r="N1758" s="263">
        <f t="shared" si="63"/>
        <v>0.1</v>
      </c>
      <c r="O1758" s="1">
        <f t="shared" si="64"/>
        <v>2</v>
      </c>
      <c r="P1758" t="s">
        <v>972</v>
      </c>
      <c r="R1758" t="s">
        <v>634</v>
      </c>
    </row>
    <row r="1759" spans="1:18">
      <c r="A1759">
        <v>15</v>
      </c>
      <c r="B1759" t="s">
        <v>405</v>
      </c>
      <c r="C1759" t="s">
        <v>483</v>
      </c>
      <c r="G1759">
        <v>12</v>
      </c>
      <c r="H1759" s="263"/>
      <c r="J1759" t="s">
        <v>22</v>
      </c>
      <c r="K1759" t="s">
        <v>30</v>
      </c>
      <c r="L1759" t="s">
        <v>33</v>
      </c>
      <c r="M1759" t="s">
        <v>969</v>
      </c>
      <c r="N1759" s="263">
        <f t="shared" si="63"/>
        <v>0.1</v>
      </c>
      <c r="O1759" s="1">
        <f t="shared" si="64"/>
        <v>2</v>
      </c>
      <c r="P1759" t="s">
        <v>972</v>
      </c>
      <c r="R1759" t="s">
        <v>634</v>
      </c>
    </row>
    <row r="1760" spans="1:18">
      <c r="A1760">
        <v>15</v>
      </c>
      <c r="B1760" t="s">
        <v>405</v>
      </c>
      <c r="C1760" t="s">
        <v>483</v>
      </c>
      <c r="G1760">
        <v>13</v>
      </c>
      <c r="H1760" s="263"/>
      <c r="J1760" t="s">
        <v>22</v>
      </c>
      <c r="K1760" t="s">
        <v>30</v>
      </c>
      <c r="L1760" t="s">
        <v>33</v>
      </c>
      <c r="M1760" t="s">
        <v>969</v>
      </c>
      <c r="N1760" s="263">
        <f t="shared" si="63"/>
        <v>0.1</v>
      </c>
      <c r="O1760" s="1">
        <f t="shared" si="64"/>
        <v>2</v>
      </c>
      <c r="P1760" t="s">
        <v>972</v>
      </c>
      <c r="R1760" t="s">
        <v>634</v>
      </c>
    </row>
    <row r="1761" spans="1:18">
      <c r="A1761">
        <v>15</v>
      </c>
      <c r="B1761" t="s">
        <v>405</v>
      </c>
      <c r="C1761" t="s">
        <v>483</v>
      </c>
      <c r="G1761">
        <v>14</v>
      </c>
      <c r="H1761" s="263"/>
      <c r="J1761" t="s">
        <v>22</v>
      </c>
      <c r="K1761" t="s">
        <v>30</v>
      </c>
      <c r="L1761" t="s">
        <v>33</v>
      </c>
      <c r="M1761" t="s">
        <v>969</v>
      </c>
      <c r="N1761" s="263">
        <f t="shared" si="63"/>
        <v>0.1</v>
      </c>
      <c r="O1761" s="1">
        <f t="shared" si="64"/>
        <v>2</v>
      </c>
      <c r="P1761" t="s">
        <v>972</v>
      </c>
      <c r="R1761" t="s">
        <v>634</v>
      </c>
    </row>
    <row r="1762" spans="1:18">
      <c r="A1762">
        <v>15</v>
      </c>
      <c r="B1762" t="s">
        <v>405</v>
      </c>
      <c r="C1762" t="s">
        <v>483</v>
      </c>
      <c r="G1762">
        <v>15</v>
      </c>
      <c r="H1762" s="263"/>
      <c r="J1762" t="s">
        <v>22</v>
      </c>
      <c r="K1762" t="s">
        <v>30</v>
      </c>
      <c r="L1762" t="s">
        <v>33</v>
      </c>
      <c r="M1762" t="s">
        <v>969</v>
      </c>
      <c r="N1762" s="263">
        <f t="shared" si="63"/>
        <v>0.1</v>
      </c>
      <c r="O1762" s="1">
        <f t="shared" si="64"/>
        <v>2</v>
      </c>
      <c r="P1762" t="s">
        <v>972</v>
      </c>
      <c r="R1762" t="s">
        <v>634</v>
      </c>
    </row>
    <row r="1763" spans="1:18">
      <c r="A1763">
        <v>15</v>
      </c>
      <c r="B1763" t="s">
        <v>405</v>
      </c>
      <c r="C1763" t="s">
        <v>483</v>
      </c>
      <c r="G1763">
        <v>16</v>
      </c>
      <c r="H1763" s="263"/>
      <c r="J1763" t="s">
        <v>22</v>
      </c>
      <c r="K1763" t="s">
        <v>30</v>
      </c>
      <c r="L1763" t="s">
        <v>33</v>
      </c>
      <c r="M1763" t="s">
        <v>969</v>
      </c>
      <c r="N1763" s="263">
        <f t="shared" si="63"/>
        <v>0.1</v>
      </c>
      <c r="O1763" s="1">
        <f t="shared" si="64"/>
        <v>2</v>
      </c>
      <c r="P1763" t="s">
        <v>972</v>
      </c>
      <c r="R1763" t="s">
        <v>634</v>
      </c>
    </row>
    <row r="1764" spans="1:18">
      <c r="A1764">
        <v>15</v>
      </c>
      <c r="B1764" t="s">
        <v>405</v>
      </c>
      <c r="C1764" t="s">
        <v>483</v>
      </c>
      <c r="G1764">
        <v>17</v>
      </c>
      <c r="H1764" s="263"/>
      <c r="J1764" t="s">
        <v>22</v>
      </c>
      <c r="K1764" t="s">
        <v>30</v>
      </c>
      <c r="L1764" t="s">
        <v>33</v>
      </c>
      <c r="M1764" t="s">
        <v>969</v>
      </c>
      <c r="N1764" s="263">
        <f t="shared" si="63"/>
        <v>0.1</v>
      </c>
      <c r="O1764" s="1">
        <f t="shared" si="64"/>
        <v>2</v>
      </c>
      <c r="P1764" t="s">
        <v>972</v>
      </c>
      <c r="R1764" t="s">
        <v>634</v>
      </c>
    </row>
    <row r="1765" spans="1:18">
      <c r="A1765">
        <v>15</v>
      </c>
      <c r="B1765" t="s">
        <v>405</v>
      </c>
      <c r="C1765" t="s">
        <v>483</v>
      </c>
      <c r="G1765">
        <v>18</v>
      </c>
      <c r="H1765" s="263"/>
      <c r="J1765" t="s">
        <v>22</v>
      </c>
      <c r="K1765" t="s">
        <v>30</v>
      </c>
      <c r="L1765" t="s">
        <v>33</v>
      </c>
      <c r="M1765" t="s">
        <v>969</v>
      </c>
      <c r="N1765" s="263">
        <f t="shared" si="63"/>
        <v>0.1</v>
      </c>
      <c r="O1765" s="1">
        <f t="shared" si="64"/>
        <v>2</v>
      </c>
      <c r="P1765" t="s">
        <v>972</v>
      </c>
      <c r="R1765" t="s">
        <v>634</v>
      </c>
    </row>
    <row r="1766" spans="1:18">
      <c r="A1766">
        <v>15</v>
      </c>
      <c r="B1766" t="s">
        <v>405</v>
      </c>
      <c r="C1766" t="s">
        <v>483</v>
      </c>
      <c r="G1766">
        <v>19</v>
      </c>
      <c r="H1766" s="263"/>
      <c r="J1766" t="s">
        <v>22</v>
      </c>
      <c r="K1766" t="s">
        <v>30</v>
      </c>
      <c r="L1766" t="s">
        <v>33</v>
      </c>
      <c r="M1766" t="s">
        <v>969</v>
      </c>
      <c r="N1766" s="263">
        <f t="shared" si="63"/>
        <v>0.1</v>
      </c>
      <c r="O1766" s="1">
        <f t="shared" si="64"/>
        <v>2</v>
      </c>
      <c r="P1766" t="s">
        <v>972</v>
      </c>
      <c r="R1766" t="s">
        <v>634</v>
      </c>
    </row>
    <row r="1767" spans="1:18">
      <c r="A1767">
        <v>15</v>
      </c>
      <c r="B1767" t="s">
        <v>405</v>
      </c>
      <c r="C1767" t="s">
        <v>483</v>
      </c>
      <c r="G1767">
        <v>20</v>
      </c>
      <c r="H1767" s="263"/>
      <c r="J1767" t="s">
        <v>22</v>
      </c>
      <c r="K1767" t="s">
        <v>30</v>
      </c>
      <c r="L1767" t="s">
        <v>33</v>
      </c>
      <c r="M1767" t="s">
        <v>969</v>
      </c>
      <c r="N1767" s="263">
        <f t="shared" si="63"/>
        <v>0.1</v>
      </c>
      <c r="O1767" s="1">
        <f t="shared" si="64"/>
        <v>2</v>
      </c>
      <c r="P1767" t="s">
        <v>972</v>
      </c>
      <c r="R1767" t="s">
        <v>634</v>
      </c>
    </row>
    <row r="1768" spans="1:18">
      <c r="A1768">
        <v>15</v>
      </c>
      <c r="B1768" t="s">
        <v>405</v>
      </c>
      <c r="C1768" t="s">
        <v>483</v>
      </c>
      <c r="G1768">
        <v>21</v>
      </c>
      <c r="H1768" s="263"/>
      <c r="J1768" t="s">
        <v>22</v>
      </c>
      <c r="K1768" t="s">
        <v>30</v>
      </c>
      <c r="L1768" t="s">
        <v>33</v>
      </c>
      <c r="M1768" t="s">
        <v>969</v>
      </c>
      <c r="N1768" s="263">
        <f t="shared" si="63"/>
        <v>0.1</v>
      </c>
      <c r="O1768" s="1">
        <f t="shared" si="64"/>
        <v>2</v>
      </c>
      <c r="P1768" t="s">
        <v>972</v>
      </c>
      <c r="R1768" t="s">
        <v>634</v>
      </c>
    </row>
    <row r="1769" spans="1:18">
      <c r="A1769">
        <v>15</v>
      </c>
      <c r="B1769" t="s">
        <v>405</v>
      </c>
      <c r="C1769" t="s">
        <v>483</v>
      </c>
      <c r="G1769">
        <v>22</v>
      </c>
      <c r="H1769" s="263"/>
      <c r="J1769" t="s">
        <v>22</v>
      </c>
      <c r="K1769" t="s">
        <v>30</v>
      </c>
      <c r="L1769" t="s">
        <v>33</v>
      </c>
      <c r="M1769" t="s">
        <v>969</v>
      </c>
      <c r="N1769" s="263">
        <f t="shared" si="63"/>
        <v>0.1</v>
      </c>
      <c r="O1769" s="1">
        <f t="shared" si="64"/>
        <v>2</v>
      </c>
      <c r="P1769" t="s">
        <v>972</v>
      </c>
      <c r="R1769" t="s">
        <v>634</v>
      </c>
    </row>
    <row r="1770" spans="1:18" hidden="1">
      <c r="A1770">
        <v>15</v>
      </c>
      <c r="B1770" t="s">
        <v>405</v>
      </c>
      <c r="C1770" t="s">
        <v>483</v>
      </c>
      <c r="G1770">
        <v>4</v>
      </c>
      <c r="J1770" t="s">
        <v>22</v>
      </c>
      <c r="K1770" t="s">
        <v>71</v>
      </c>
      <c r="L1770" t="s">
        <v>33</v>
      </c>
      <c r="M1770" t="s">
        <v>970</v>
      </c>
      <c r="O1770" s="1">
        <v>1</v>
      </c>
      <c r="P1770" t="s">
        <v>971</v>
      </c>
      <c r="R1770" t="s">
        <v>634</v>
      </c>
    </row>
    <row r="1771" spans="1:18" hidden="1">
      <c r="A1771">
        <v>15</v>
      </c>
      <c r="B1771" t="s">
        <v>405</v>
      </c>
      <c r="C1771" t="s">
        <v>483</v>
      </c>
      <c r="G1771">
        <v>5</v>
      </c>
      <c r="J1771" t="s">
        <v>22</v>
      </c>
      <c r="K1771" t="s">
        <v>71</v>
      </c>
      <c r="L1771" t="s">
        <v>33</v>
      </c>
      <c r="M1771" t="s">
        <v>970</v>
      </c>
      <c r="O1771" s="1">
        <v>1</v>
      </c>
      <c r="P1771" t="s">
        <v>971</v>
      </c>
      <c r="R1771" t="s">
        <v>634</v>
      </c>
    </row>
    <row r="1772" spans="1:18" hidden="1">
      <c r="A1772">
        <v>15</v>
      </c>
      <c r="B1772" t="s">
        <v>405</v>
      </c>
      <c r="C1772" t="s">
        <v>483</v>
      </c>
      <c r="G1772">
        <v>6</v>
      </c>
      <c r="J1772" t="s">
        <v>22</v>
      </c>
      <c r="K1772" t="s">
        <v>71</v>
      </c>
      <c r="L1772" t="s">
        <v>33</v>
      </c>
      <c r="M1772" t="s">
        <v>970</v>
      </c>
      <c r="O1772" s="1">
        <v>1</v>
      </c>
      <c r="P1772" t="s">
        <v>971</v>
      </c>
      <c r="R1772" t="s">
        <v>634</v>
      </c>
    </row>
    <row r="1773" spans="1:18" hidden="1">
      <c r="A1773">
        <v>15</v>
      </c>
      <c r="B1773" t="s">
        <v>405</v>
      </c>
      <c r="C1773" t="s">
        <v>483</v>
      </c>
      <c r="G1773">
        <v>7</v>
      </c>
      <c r="J1773" t="s">
        <v>22</v>
      </c>
      <c r="K1773" t="s">
        <v>71</v>
      </c>
      <c r="L1773" t="s">
        <v>33</v>
      </c>
      <c r="M1773" t="s">
        <v>970</v>
      </c>
      <c r="O1773" s="1">
        <v>1</v>
      </c>
      <c r="P1773" t="s">
        <v>971</v>
      </c>
      <c r="R1773" t="s">
        <v>634</v>
      </c>
    </row>
    <row r="1774" spans="1:18" hidden="1">
      <c r="A1774">
        <v>15</v>
      </c>
      <c r="B1774" t="s">
        <v>405</v>
      </c>
      <c r="C1774" t="s">
        <v>483</v>
      </c>
      <c r="G1774">
        <v>8</v>
      </c>
      <c r="J1774" t="s">
        <v>22</v>
      </c>
      <c r="K1774" t="s">
        <v>71</v>
      </c>
      <c r="L1774" t="s">
        <v>33</v>
      </c>
      <c r="M1774" t="s">
        <v>970</v>
      </c>
      <c r="O1774" s="1">
        <v>1</v>
      </c>
      <c r="P1774" t="s">
        <v>971</v>
      </c>
      <c r="R1774" t="s">
        <v>634</v>
      </c>
    </row>
    <row r="1775" spans="1:18" hidden="1">
      <c r="A1775">
        <v>15</v>
      </c>
      <c r="B1775" t="s">
        <v>405</v>
      </c>
      <c r="C1775" t="s">
        <v>483</v>
      </c>
      <c r="G1775">
        <v>9</v>
      </c>
      <c r="J1775" t="s">
        <v>22</v>
      </c>
      <c r="K1775" t="s">
        <v>71</v>
      </c>
      <c r="L1775" t="s">
        <v>33</v>
      </c>
      <c r="M1775" t="s">
        <v>970</v>
      </c>
      <c r="O1775" s="1">
        <v>1</v>
      </c>
      <c r="P1775" t="s">
        <v>971</v>
      </c>
      <c r="R1775" t="s">
        <v>634</v>
      </c>
    </row>
    <row r="1776" spans="1:18" hidden="1">
      <c r="A1776">
        <v>15</v>
      </c>
      <c r="B1776" t="s">
        <v>405</v>
      </c>
      <c r="C1776" t="s">
        <v>483</v>
      </c>
      <c r="G1776">
        <v>10</v>
      </c>
      <c r="J1776" t="s">
        <v>22</v>
      </c>
      <c r="K1776" t="s">
        <v>71</v>
      </c>
      <c r="L1776" t="s">
        <v>33</v>
      </c>
      <c r="M1776" t="s">
        <v>970</v>
      </c>
      <c r="O1776" s="1">
        <v>1</v>
      </c>
      <c r="P1776" t="s">
        <v>971</v>
      </c>
      <c r="R1776" t="s">
        <v>634</v>
      </c>
    </row>
    <row r="1777" spans="1:18" hidden="1">
      <c r="A1777">
        <v>15</v>
      </c>
      <c r="B1777" t="s">
        <v>405</v>
      </c>
      <c r="C1777" t="s">
        <v>483</v>
      </c>
      <c r="G1777">
        <v>11</v>
      </c>
      <c r="J1777" t="s">
        <v>22</v>
      </c>
      <c r="K1777" t="s">
        <v>71</v>
      </c>
      <c r="L1777" t="s">
        <v>33</v>
      </c>
      <c r="M1777" t="s">
        <v>970</v>
      </c>
      <c r="O1777" s="1">
        <v>1</v>
      </c>
      <c r="P1777" t="s">
        <v>971</v>
      </c>
      <c r="R1777" t="s">
        <v>634</v>
      </c>
    </row>
    <row r="1778" spans="1:18" hidden="1">
      <c r="A1778">
        <v>15</v>
      </c>
      <c r="B1778" t="s">
        <v>405</v>
      </c>
      <c r="C1778" t="s">
        <v>483</v>
      </c>
      <c r="G1778">
        <v>12</v>
      </c>
      <c r="J1778" t="s">
        <v>22</v>
      </c>
      <c r="K1778" t="s">
        <v>71</v>
      </c>
      <c r="L1778" t="s">
        <v>33</v>
      </c>
      <c r="M1778" t="s">
        <v>970</v>
      </c>
      <c r="O1778" s="1">
        <v>1</v>
      </c>
      <c r="P1778" t="s">
        <v>971</v>
      </c>
      <c r="R1778" t="s">
        <v>634</v>
      </c>
    </row>
    <row r="1779" spans="1:18" hidden="1">
      <c r="A1779">
        <v>15</v>
      </c>
      <c r="B1779" t="s">
        <v>405</v>
      </c>
      <c r="C1779" t="s">
        <v>483</v>
      </c>
      <c r="G1779">
        <v>13</v>
      </c>
      <c r="J1779" t="s">
        <v>22</v>
      </c>
      <c r="K1779" t="s">
        <v>71</v>
      </c>
      <c r="L1779" t="s">
        <v>33</v>
      </c>
      <c r="M1779" t="s">
        <v>970</v>
      </c>
      <c r="O1779" s="1">
        <v>1</v>
      </c>
      <c r="P1779" t="s">
        <v>971</v>
      </c>
      <c r="R1779" t="s">
        <v>634</v>
      </c>
    </row>
    <row r="1780" spans="1:18" hidden="1">
      <c r="A1780">
        <v>15</v>
      </c>
      <c r="B1780" t="s">
        <v>405</v>
      </c>
      <c r="C1780" t="s">
        <v>483</v>
      </c>
      <c r="G1780">
        <v>14</v>
      </c>
      <c r="J1780" t="s">
        <v>22</v>
      </c>
      <c r="K1780" t="s">
        <v>71</v>
      </c>
      <c r="L1780" t="s">
        <v>33</v>
      </c>
      <c r="M1780" t="s">
        <v>970</v>
      </c>
      <c r="O1780" s="1">
        <v>1</v>
      </c>
      <c r="P1780" t="s">
        <v>971</v>
      </c>
      <c r="R1780" t="s">
        <v>634</v>
      </c>
    </row>
    <row r="1781" spans="1:18" hidden="1">
      <c r="A1781">
        <v>15</v>
      </c>
      <c r="B1781" t="s">
        <v>405</v>
      </c>
      <c r="C1781" t="s">
        <v>483</v>
      </c>
      <c r="G1781">
        <v>15</v>
      </c>
      <c r="J1781" t="s">
        <v>22</v>
      </c>
      <c r="K1781" t="s">
        <v>71</v>
      </c>
      <c r="L1781" t="s">
        <v>33</v>
      </c>
      <c r="M1781" t="s">
        <v>970</v>
      </c>
      <c r="O1781" s="1">
        <v>1</v>
      </c>
      <c r="P1781" t="s">
        <v>971</v>
      </c>
      <c r="R1781" t="s">
        <v>634</v>
      </c>
    </row>
    <row r="1782" spans="1:18" hidden="1">
      <c r="A1782">
        <v>15</v>
      </c>
      <c r="B1782" t="s">
        <v>405</v>
      </c>
      <c r="C1782" t="s">
        <v>483</v>
      </c>
      <c r="G1782">
        <v>16</v>
      </c>
      <c r="J1782" t="s">
        <v>22</v>
      </c>
      <c r="K1782" t="s">
        <v>71</v>
      </c>
      <c r="L1782" t="s">
        <v>33</v>
      </c>
      <c r="M1782" t="s">
        <v>970</v>
      </c>
      <c r="O1782" s="1">
        <v>1</v>
      </c>
      <c r="P1782" t="s">
        <v>971</v>
      </c>
      <c r="R1782" t="s">
        <v>634</v>
      </c>
    </row>
    <row r="1783" spans="1:18" hidden="1">
      <c r="A1783">
        <v>15</v>
      </c>
      <c r="B1783" t="s">
        <v>405</v>
      </c>
      <c r="C1783" t="s">
        <v>483</v>
      </c>
      <c r="G1783">
        <v>17</v>
      </c>
      <c r="J1783" t="s">
        <v>22</v>
      </c>
      <c r="K1783" t="s">
        <v>71</v>
      </c>
      <c r="L1783" t="s">
        <v>33</v>
      </c>
      <c r="M1783" t="s">
        <v>970</v>
      </c>
      <c r="O1783" s="1">
        <v>1</v>
      </c>
      <c r="P1783" t="s">
        <v>971</v>
      </c>
      <c r="R1783" t="s">
        <v>634</v>
      </c>
    </row>
    <row r="1784" spans="1:18" hidden="1">
      <c r="A1784">
        <v>15</v>
      </c>
      <c r="B1784" t="s">
        <v>405</v>
      </c>
      <c r="C1784" t="s">
        <v>483</v>
      </c>
      <c r="G1784">
        <v>18</v>
      </c>
      <c r="J1784" t="s">
        <v>22</v>
      </c>
      <c r="K1784" t="s">
        <v>71</v>
      </c>
      <c r="L1784" t="s">
        <v>33</v>
      </c>
      <c r="M1784" t="s">
        <v>970</v>
      </c>
      <c r="O1784" s="1">
        <v>1</v>
      </c>
      <c r="P1784" t="s">
        <v>971</v>
      </c>
      <c r="R1784" t="s">
        <v>634</v>
      </c>
    </row>
    <row r="1785" spans="1:18" hidden="1">
      <c r="A1785">
        <v>15</v>
      </c>
      <c r="B1785" t="s">
        <v>405</v>
      </c>
      <c r="C1785" t="s">
        <v>483</v>
      </c>
      <c r="G1785">
        <v>19</v>
      </c>
      <c r="J1785" t="s">
        <v>22</v>
      </c>
      <c r="K1785" t="s">
        <v>71</v>
      </c>
      <c r="L1785" t="s">
        <v>33</v>
      </c>
      <c r="M1785" t="s">
        <v>970</v>
      </c>
      <c r="O1785" s="1">
        <v>1</v>
      </c>
      <c r="P1785" t="s">
        <v>971</v>
      </c>
      <c r="R1785" t="s">
        <v>634</v>
      </c>
    </row>
    <row r="1786" spans="1:18" hidden="1">
      <c r="A1786">
        <v>15</v>
      </c>
      <c r="B1786" t="s">
        <v>405</v>
      </c>
      <c r="C1786" t="s">
        <v>483</v>
      </c>
      <c r="G1786">
        <v>20</v>
      </c>
      <c r="J1786" t="s">
        <v>22</v>
      </c>
      <c r="K1786" t="s">
        <v>71</v>
      </c>
      <c r="L1786" t="s">
        <v>33</v>
      </c>
      <c r="M1786" t="s">
        <v>970</v>
      </c>
      <c r="O1786" s="1">
        <v>1</v>
      </c>
      <c r="P1786" t="s">
        <v>971</v>
      </c>
      <c r="R1786" t="s">
        <v>634</v>
      </c>
    </row>
    <row r="1787" spans="1:18" hidden="1">
      <c r="A1787">
        <v>15</v>
      </c>
      <c r="B1787" t="s">
        <v>405</v>
      </c>
      <c r="C1787" t="s">
        <v>483</v>
      </c>
      <c r="G1787">
        <v>21</v>
      </c>
      <c r="J1787" t="s">
        <v>22</v>
      </c>
      <c r="K1787" t="s">
        <v>71</v>
      </c>
      <c r="L1787" t="s">
        <v>33</v>
      </c>
      <c r="M1787" t="s">
        <v>970</v>
      </c>
      <c r="O1787" s="1">
        <v>1</v>
      </c>
      <c r="P1787" t="s">
        <v>971</v>
      </c>
      <c r="R1787" t="s">
        <v>634</v>
      </c>
    </row>
    <row r="1788" spans="1:18" hidden="1">
      <c r="A1788">
        <v>15</v>
      </c>
      <c r="B1788" t="s">
        <v>405</v>
      </c>
      <c r="C1788" t="s">
        <v>483</v>
      </c>
      <c r="G1788">
        <v>22</v>
      </c>
      <c r="J1788" t="s">
        <v>22</v>
      </c>
      <c r="K1788" t="s">
        <v>71</v>
      </c>
      <c r="L1788" t="s">
        <v>33</v>
      </c>
      <c r="M1788" t="s">
        <v>970</v>
      </c>
      <c r="O1788" s="1">
        <v>1</v>
      </c>
      <c r="P1788" t="s">
        <v>971</v>
      </c>
      <c r="R1788" t="s">
        <v>634</v>
      </c>
    </row>
    <row r="1789" spans="1:18">
      <c r="A1789">
        <v>15</v>
      </c>
      <c r="B1789" t="s">
        <v>405</v>
      </c>
      <c r="C1789" t="s">
        <v>483</v>
      </c>
      <c r="G1789">
        <v>4</v>
      </c>
      <c r="H1789" s="263"/>
      <c r="J1789" t="s">
        <v>22</v>
      </c>
      <c r="K1789" t="s">
        <v>30</v>
      </c>
      <c r="L1789" t="s">
        <v>33</v>
      </c>
      <c r="M1789" t="s">
        <v>973</v>
      </c>
      <c r="N1789" s="263">
        <f>0.5/5</f>
        <v>0.1</v>
      </c>
      <c r="O1789" s="1">
        <f>20*0.5/5</f>
        <v>2</v>
      </c>
      <c r="P1789" t="s">
        <v>976</v>
      </c>
      <c r="R1789" t="s">
        <v>634</v>
      </c>
    </row>
    <row r="1790" spans="1:18">
      <c r="A1790">
        <v>15</v>
      </c>
      <c r="B1790" t="s">
        <v>405</v>
      </c>
      <c r="C1790" t="s">
        <v>483</v>
      </c>
      <c r="G1790">
        <v>5</v>
      </c>
      <c r="H1790" s="263"/>
      <c r="J1790" t="s">
        <v>22</v>
      </c>
      <c r="K1790" t="s">
        <v>30</v>
      </c>
      <c r="L1790" t="s">
        <v>33</v>
      </c>
      <c r="M1790" t="s">
        <v>973</v>
      </c>
      <c r="N1790" s="263">
        <f t="shared" ref="N1790:N1807" si="65">0.5/5</f>
        <v>0.1</v>
      </c>
      <c r="O1790" s="1">
        <f t="shared" ref="O1790:O1807" si="66">20*0.5/5</f>
        <v>2</v>
      </c>
      <c r="P1790" t="s">
        <v>976</v>
      </c>
      <c r="R1790" t="s">
        <v>634</v>
      </c>
    </row>
    <row r="1791" spans="1:18">
      <c r="A1791">
        <v>15</v>
      </c>
      <c r="B1791" t="s">
        <v>405</v>
      </c>
      <c r="C1791" t="s">
        <v>483</v>
      </c>
      <c r="G1791">
        <v>6</v>
      </c>
      <c r="H1791" s="263"/>
      <c r="J1791" t="s">
        <v>22</v>
      </c>
      <c r="K1791" t="s">
        <v>30</v>
      </c>
      <c r="L1791" t="s">
        <v>33</v>
      </c>
      <c r="M1791" t="s">
        <v>973</v>
      </c>
      <c r="N1791" s="263">
        <f t="shared" si="65"/>
        <v>0.1</v>
      </c>
      <c r="O1791" s="1">
        <f t="shared" si="66"/>
        <v>2</v>
      </c>
      <c r="P1791" t="s">
        <v>976</v>
      </c>
      <c r="R1791" t="s">
        <v>634</v>
      </c>
    </row>
    <row r="1792" spans="1:18">
      <c r="A1792">
        <v>15</v>
      </c>
      <c r="B1792" t="s">
        <v>405</v>
      </c>
      <c r="C1792" t="s">
        <v>483</v>
      </c>
      <c r="G1792">
        <v>7</v>
      </c>
      <c r="H1792" s="263"/>
      <c r="J1792" t="s">
        <v>22</v>
      </c>
      <c r="K1792" t="s">
        <v>30</v>
      </c>
      <c r="L1792" t="s">
        <v>33</v>
      </c>
      <c r="M1792" t="s">
        <v>973</v>
      </c>
      <c r="N1792" s="263">
        <f t="shared" si="65"/>
        <v>0.1</v>
      </c>
      <c r="O1792" s="1">
        <f t="shared" si="66"/>
        <v>2</v>
      </c>
      <c r="P1792" t="s">
        <v>976</v>
      </c>
      <c r="R1792" t="s">
        <v>634</v>
      </c>
    </row>
    <row r="1793" spans="1:18">
      <c r="A1793">
        <v>15</v>
      </c>
      <c r="B1793" t="s">
        <v>405</v>
      </c>
      <c r="C1793" t="s">
        <v>483</v>
      </c>
      <c r="G1793">
        <v>8</v>
      </c>
      <c r="H1793" s="263"/>
      <c r="J1793" t="s">
        <v>22</v>
      </c>
      <c r="K1793" t="s">
        <v>30</v>
      </c>
      <c r="L1793" t="s">
        <v>33</v>
      </c>
      <c r="M1793" t="s">
        <v>973</v>
      </c>
      <c r="N1793" s="263">
        <f t="shared" si="65"/>
        <v>0.1</v>
      </c>
      <c r="O1793" s="1">
        <f t="shared" si="66"/>
        <v>2</v>
      </c>
      <c r="P1793" t="s">
        <v>976</v>
      </c>
      <c r="R1793" t="s">
        <v>634</v>
      </c>
    </row>
    <row r="1794" spans="1:18">
      <c r="A1794">
        <v>15</v>
      </c>
      <c r="B1794" t="s">
        <v>405</v>
      </c>
      <c r="C1794" t="s">
        <v>483</v>
      </c>
      <c r="G1794">
        <v>9</v>
      </c>
      <c r="H1794" s="263"/>
      <c r="J1794" t="s">
        <v>22</v>
      </c>
      <c r="K1794" t="s">
        <v>30</v>
      </c>
      <c r="L1794" t="s">
        <v>33</v>
      </c>
      <c r="M1794" t="s">
        <v>973</v>
      </c>
      <c r="N1794" s="263">
        <f t="shared" si="65"/>
        <v>0.1</v>
      </c>
      <c r="O1794" s="1">
        <f t="shared" si="66"/>
        <v>2</v>
      </c>
      <c r="P1794" t="s">
        <v>976</v>
      </c>
      <c r="R1794" t="s">
        <v>634</v>
      </c>
    </row>
    <row r="1795" spans="1:18">
      <c r="A1795">
        <v>15</v>
      </c>
      <c r="B1795" t="s">
        <v>405</v>
      </c>
      <c r="C1795" t="s">
        <v>483</v>
      </c>
      <c r="G1795">
        <v>10</v>
      </c>
      <c r="H1795" s="263"/>
      <c r="J1795" t="s">
        <v>22</v>
      </c>
      <c r="K1795" t="s">
        <v>30</v>
      </c>
      <c r="L1795" t="s">
        <v>33</v>
      </c>
      <c r="M1795" t="s">
        <v>973</v>
      </c>
      <c r="N1795" s="263">
        <f t="shared" si="65"/>
        <v>0.1</v>
      </c>
      <c r="O1795" s="1">
        <f t="shared" si="66"/>
        <v>2</v>
      </c>
      <c r="P1795" t="s">
        <v>976</v>
      </c>
      <c r="R1795" t="s">
        <v>634</v>
      </c>
    </row>
    <row r="1796" spans="1:18">
      <c r="A1796">
        <v>15</v>
      </c>
      <c r="B1796" t="s">
        <v>405</v>
      </c>
      <c r="C1796" t="s">
        <v>483</v>
      </c>
      <c r="G1796">
        <v>11</v>
      </c>
      <c r="H1796" s="263"/>
      <c r="J1796" t="s">
        <v>22</v>
      </c>
      <c r="K1796" t="s">
        <v>30</v>
      </c>
      <c r="L1796" t="s">
        <v>33</v>
      </c>
      <c r="M1796" t="s">
        <v>973</v>
      </c>
      <c r="N1796" s="263">
        <f t="shared" si="65"/>
        <v>0.1</v>
      </c>
      <c r="O1796" s="1">
        <f t="shared" si="66"/>
        <v>2</v>
      </c>
      <c r="P1796" t="s">
        <v>976</v>
      </c>
      <c r="R1796" t="s">
        <v>634</v>
      </c>
    </row>
    <row r="1797" spans="1:18">
      <c r="A1797">
        <v>15</v>
      </c>
      <c r="B1797" t="s">
        <v>405</v>
      </c>
      <c r="C1797" t="s">
        <v>483</v>
      </c>
      <c r="G1797">
        <v>12</v>
      </c>
      <c r="H1797" s="263"/>
      <c r="J1797" t="s">
        <v>22</v>
      </c>
      <c r="K1797" t="s">
        <v>30</v>
      </c>
      <c r="L1797" t="s">
        <v>33</v>
      </c>
      <c r="M1797" t="s">
        <v>973</v>
      </c>
      <c r="N1797" s="263">
        <f t="shared" si="65"/>
        <v>0.1</v>
      </c>
      <c r="O1797" s="1">
        <f t="shared" si="66"/>
        <v>2</v>
      </c>
      <c r="P1797" t="s">
        <v>976</v>
      </c>
      <c r="R1797" t="s">
        <v>634</v>
      </c>
    </row>
    <row r="1798" spans="1:18">
      <c r="A1798">
        <v>15</v>
      </c>
      <c r="B1798" t="s">
        <v>405</v>
      </c>
      <c r="C1798" t="s">
        <v>483</v>
      </c>
      <c r="G1798">
        <v>13</v>
      </c>
      <c r="H1798" s="263"/>
      <c r="J1798" t="s">
        <v>22</v>
      </c>
      <c r="K1798" t="s">
        <v>30</v>
      </c>
      <c r="L1798" t="s">
        <v>33</v>
      </c>
      <c r="M1798" t="s">
        <v>973</v>
      </c>
      <c r="N1798" s="263">
        <f t="shared" si="65"/>
        <v>0.1</v>
      </c>
      <c r="O1798" s="1">
        <f t="shared" si="66"/>
        <v>2</v>
      </c>
      <c r="P1798" t="s">
        <v>976</v>
      </c>
      <c r="R1798" t="s">
        <v>634</v>
      </c>
    </row>
    <row r="1799" spans="1:18">
      <c r="A1799">
        <v>15</v>
      </c>
      <c r="B1799" t="s">
        <v>405</v>
      </c>
      <c r="C1799" t="s">
        <v>483</v>
      </c>
      <c r="G1799">
        <v>14</v>
      </c>
      <c r="H1799" s="263"/>
      <c r="J1799" t="s">
        <v>22</v>
      </c>
      <c r="K1799" t="s">
        <v>30</v>
      </c>
      <c r="L1799" t="s">
        <v>33</v>
      </c>
      <c r="M1799" t="s">
        <v>973</v>
      </c>
      <c r="N1799" s="263">
        <f t="shared" si="65"/>
        <v>0.1</v>
      </c>
      <c r="O1799" s="1">
        <f t="shared" si="66"/>
        <v>2</v>
      </c>
      <c r="P1799" t="s">
        <v>976</v>
      </c>
      <c r="R1799" t="s">
        <v>634</v>
      </c>
    </row>
    <row r="1800" spans="1:18">
      <c r="A1800">
        <v>15</v>
      </c>
      <c r="B1800" t="s">
        <v>405</v>
      </c>
      <c r="C1800" t="s">
        <v>483</v>
      </c>
      <c r="G1800">
        <v>15</v>
      </c>
      <c r="H1800" s="263"/>
      <c r="J1800" t="s">
        <v>22</v>
      </c>
      <c r="K1800" t="s">
        <v>30</v>
      </c>
      <c r="L1800" t="s">
        <v>33</v>
      </c>
      <c r="M1800" t="s">
        <v>973</v>
      </c>
      <c r="N1800" s="263">
        <f t="shared" si="65"/>
        <v>0.1</v>
      </c>
      <c r="O1800" s="1">
        <f t="shared" si="66"/>
        <v>2</v>
      </c>
      <c r="P1800" t="s">
        <v>976</v>
      </c>
      <c r="R1800" t="s">
        <v>634</v>
      </c>
    </row>
    <row r="1801" spans="1:18">
      <c r="A1801">
        <v>15</v>
      </c>
      <c r="B1801" t="s">
        <v>405</v>
      </c>
      <c r="C1801" t="s">
        <v>483</v>
      </c>
      <c r="G1801">
        <v>16</v>
      </c>
      <c r="H1801" s="263"/>
      <c r="J1801" t="s">
        <v>22</v>
      </c>
      <c r="K1801" t="s">
        <v>30</v>
      </c>
      <c r="L1801" t="s">
        <v>33</v>
      </c>
      <c r="M1801" t="s">
        <v>973</v>
      </c>
      <c r="N1801" s="263">
        <f t="shared" si="65"/>
        <v>0.1</v>
      </c>
      <c r="O1801" s="1">
        <f t="shared" si="66"/>
        <v>2</v>
      </c>
      <c r="P1801" t="s">
        <v>976</v>
      </c>
      <c r="R1801" t="s">
        <v>634</v>
      </c>
    </row>
    <row r="1802" spans="1:18">
      <c r="A1802">
        <v>15</v>
      </c>
      <c r="B1802" t="s">
        <v>405</v>
      </c>
      <c r="C1802" t="s">
        <v>483</v>
      </c>
      <c r="G1802">
        <v>17</v>
      </c>
      <c r="H1802" s="263"/>
      <c r="J1802" t="s">
        <v>22</v>
      </c>
      <c r="K1802" t="s">
        <v>30</v>
      </c>
      <c r="L1802" t="s">
        <v>33</v>
      </c>
      <c r="M1802" t="s">
        <v>973</v>
      </c>
      <c r="N1802" s="263">
        <f t="shared" si="65"/>
        <v>0.1</v>
      </c>
      <c r="O1802" s="1">
        <f t="shared" si="66"/>
        <v>2</v>
      </c>
      <c r="P1802" t="s">
        <v>976</v>
      </c>
      <c r="R1802" t="s">
        <v>634</v>
      </c>
    </row>
    <row r="1803" spans="1:18">
      <c r="A1803">
        <v>15</v>
      </c>
      <c r="B1803" t="s">
        <v>405</v>
      </c>
      <c r="C1803" t="s">
        <v>483</v>
      </c>
      <c r="G1803">
        <v>18</v>
      </c>
      <c r="H1803" s="263"/>
      <c r="J1803" t="s">
        <v>22</v>
      </c>
      <c r="K1803" t="s">
        <v>30</v>
      </c>
      <c r="L1803" t="s">
        <v>33</v>
      </c>
      <c r="M1803" t="s">
        <v>973</v>
      </c>
      <c r="N1803" s="263">
        <f t="shared" si="65"/>
        <v>0.1</v>
      </c>
      <c r="O1803" s="1">
        <f t="shared" si="66"/>
        <v>2</v>
      </c>
      <c r="P1803" t="s">
        <v>976</v>
      </c>
      <c r="R1803" t="s">
        <v>634</v>
      </c>
    </row>
    <row r="1804" spans="1:18">
      <c r="A1804">
        <v>15</v>
      </c>
      <c r="B1804" t="s">
        <v>405</v>
      </c>
      <c r="C1804" t="s">
        <v>483</v>
      </c>
      <c r="G1804">
        <v>19</v>
      </c>
      <c r="H1804" s="263"/>
      <c r="J1804" t="s">
        <v>22</v>
      </c>
      <c r="K1804" t="s">
        <v>30</v>
      </c>
      <c r="L1804" t="s">
        <v>33</v>
      </c>
      <c r="M1804" t="s">
        <v>973</v>
      </c>
      <c r="N1804" s="263">
        <f t="shared" si="65"/>
        <v>0.1</v>
      </c>
      <c r="O1804" s="1">
        <f t="shared" si="66"/>
        <v>2</v>
      </c>
      <c r="P1804" t="s">
        <v>976</v>
      </c>
      <c r="R1804" t="s">
        <v>634</v>
      </c>
    </row>
    <row r="1805" spans="1:18">
      <c r="A1805">
        <v>15</v>
      </c>
      <c r="B1805" t="s">
        <v>405</v>
      </c>
      <c r="C1805" t="s">
        <v>483</v>
      </c>
      <c r="G1805">
        <v>20</v>
      </c>
      <c r="H1805" s="263"/>
      <c r="J1805" t="s">
        <v>22</v>
      </c>
      <c r="K1805" t="s">
        <v>30</v>
      </c>
      <c r="L1805" t="s">
        <v>33</v>
      </c>
      <c r="M1805" t="s">
        <v>973</v>
      </c>
      <c r="N1805" s="263">
        <f t="shared" si="65"/>
        <v>0.1</v>
      </c>
      <c r="O1805" s="1">
        <f t="shared" si="66"/>
        <v>2</v>
      </c>
      <c r="P1805" t="s">
        <v>976</v>
      </c>
      <c r="R1805" t="s">
        <v>634</v>
      </c>
    </row>
    <row r="1806" spans="1:18">
      <c r="A1806">
        <v>15</v>
      </c>
      <c r="B1806" t="s">
        <v>405</v>
      </c>
      <c r="C1806" t="s">
        <v>483</v>
      </c>
      <c r="G1806">
        <v>21</v>
      </c>
      <c r="H1806" s="263"/>
      <c r="J1806" t="s">
        <v>22</v>
      </c>
      <c r="K1806" t="s">
        <v>30</v>
      </c>
      <c r="L1806" t="s">
        <v>33</v>
      </c>
      <c r="M1806" t="s">
        <v>973</v>
      </c>
      <c r="N1806" s="263">
        <f t="shared" si="65"/>
        <v>0.1</v>
      </c>
      <c r="O1806" s="1">
        <f t="shared" si="66"/>
        <v>2</v>
      </c>
      <c r="P1806" t="s">
        <v>976</v>
      </c>
      <c r="R1806" t="s">
        <v>634</v>
      </c>
    </row>
    <row r="1807" spans="1:18">
      <c r="A1807">
        <v>15</v>
      </c>
      <c r="B1807" t="s">
        <v>405</v>
      </c>
      <c r="C1807" t="s">
        <v>483</v>
      </c>
      <c r="G1807">
        <v>22</v>
      </c>
      <c r="H1807" s="263"/>
      <c r="J1807" t="s">
        <v>22</v>
      </c>
      <c r="K1807" t="s">
        <v>30</v>
      </c>
      <c r="L1807" t="s">
        <v>33</v>
      </c>
      <c r="M1807" t="s">
        <v>973</v>
      </c>
      <c r="N1807" s="263">
        <f t="shared" si="65"/>
        <v>0.1</v>
      </c>
      <c r="O1807" s="1">
        <f t="shared" si="66"/>
        <v>2</v>
      </c>
      <c r="P1807" t="s">
        <v>976</v>
      </c>
      <c r="R1807" t="s">
        <v>634</v>
      </c>
    </row>
    <row r="1808" spans="1:18" hidden="1">
      <c r="A1808">
        <v>15</v>
      </c>
      <c r="B1808" t="s">
        <v>405</v>
      </c>
      <c r="C1808" t="s">
        <v>483</v>
      </c>
      <c r="G1808">
        <v>4</v>
      </c>
      <c r="J1808" t="s">
        <v>22</v>
      </c>
      <c r="K1808" t="s">
        <v>71</v>
      </c>
      <c r="L1808" t="s">
        <v>33</v>
      </c>
      <c r="M1808" t="s">
        <v>974</v>
      </c>
      <c r="O1808" s="1">
        <f>2/5</f>
        <v>0.4</v>
      </c>
      <c r="P1808" t="s">
        <v>975</v>
      </c>
      <c r="R1808" t="s">
        <v>634</v>
      </c>
    </row>
    <row r="1809" spans="1:18" hidden="1">
      <c r="A1809">
        <v>15</v>
      </c>
      <c r="B1809" t="s">
        <v>405</v>
      </c>
      <c r="C1809" t="s">
        <v>483</v>
      </c>
      <c r="G1809">
        <v>5</v>
      </c>
      <c r="J1809" t="s">
        <v>22</v>
      </c>
      <c r="K1809" t="s">
        <v>71</v>
      </c>
      <c r="L1809" t="s">
        <v>33</v>
      </c>
      <c r="M1809" t="s">
        <v>974</v>
      </c>
      <c r="O1809" s="1">
        <f t="shared" ref="O1809:O1826" si="67">2/5</f>
        <v>0.4</v>
      </c>
      <c r="P1809" t="s">
        <v>975</v>
      </c>
      <c r="R1809" t="s">
        <v>634</v>
      </c>
    </row>
    <row r="1810" spans="1:18" hidden="1">
      <c r="A1810">
        <v>15</v>
      </c>
      <c r="B1810" t="s">
        <v>405</v>
      </c>
      <c r="C1810" t="s">
        <v>483</v>
      </c>
      <c r="G1810">
        <v>6</v>
      </c>
      <c r="J1810" t="s">
        <v>22</v>
      </c>
      <c r="K1810" t="s">
        <v>71</v>
      </c>
      <c r="L1810" t="s">
        <v>33</v>
      </c>
      <c r="M1810" t="s">
        <v>974</v>
      </c>
      <c r="O1810" s="1">
        <f t="shared" si="67"/>
        <v>0.4</v>
      </c>
      <c r="P1810" t="s">
        <v>975</v>
      </c>
      <c r="R1810" t="s">
        <v>634</v>
      </c>
    </row>
    <row r="1811" spans="1:18" hidden="1">
      <c r="A1811">
        <v>15</v>
      </c>
      <c r="B1811" t="s">
        <v>405</v>
      </c>
      <c r="C1811" t="s">
        <v>483</v>
      </c>
      <c r="G1811">
        <v>7</v>
      </c>
      <c r="J1811" t="s">
        <v>22</v>
      </c>
      <c r="K1811" t="s">
        <v>71</v>
      </c>
      <c r="L1811" t="s">
        <v>33</v>
      </c>
      <c r="M1811" t="s">
        <v>974</v>
      </c>
      <c r="O1811" s="1">
        <f t="shared" si="67"/>
        <v>0.4</v>
      </c>
      <c r="P1811" t="s">
        <v>975</v>
      </c>
      <c r="R1811" t="s">
        <v>634</v>
      </c>
    </row>
    <row r="1812" spans="1:18" hidden="1">
      <c r="A1812">
        <v>15</v>
      </c>
      <c r="B1812" t="s">
        <v>405</v>
      </c>
      <c r="C1812" t="s">
        <v>483</v>
      </c>
      <c r="G1812">
        <v>8</v>
      </c>
      <c r="J1812" t="s">
        <v>22</v>
      </c>
      <c r="K1812" t="s">
        <v>71</v>
      </c>
      <c r="L1812" t="s">
        <v>33</v>
      </c>
      <c r="M1812" t="s">
        <v>974</v>
      </c>
      <c r="O1812" s="1">
        <f t="shared" si="67"/>
        <v>0.4</v>
      </c>
      <c r="P1812" t="s">
        <v>975</v>
      </c>
      <c r="R1812" t="s">
        <v>634</v>
      </c>
    </row>
    <row r="1813" spans="1:18" hidden="1">
      <c r="A1813">
        <v>15</v>
      </c>
      <c r="B1813" t="s">
        <v>405</v>
      </c>
      <c r="C1813" t="s">
        <v>483</v>
      </c>
      <c r="G1813">
        <v>9</v>
      </c>
      <c r="J1813" t="s">
        <v>22</v>
      </c>
      <c r="K1813" t="s">
        <v>71</v>
      </c>
      <c r="L1813" t="s">
        <v>33</v>
      </c>
      <c r="M1813" t="s">
        <v>974</v>
      </c>
      <c r="O1813" s="1">
        <f t="shared" si="67"/>
        <v>0.4</v>
      </c>
      <c r="P1813" t="s">
        <v>975</v>
      </c>
      <c r="R1813" t="s">
        <v>634</v>
      </c>
    </row>
    <row r="1814" spans="1:18" hidden="1">
      <c r="A1814">
        <v>15</v>
      </c>
      <c r="B1814" t="s">
        <v>405</v>
      </c>
      <c r="C1814" t="s">
        <v>483</v>
      </c>
      <c r="G1814">
        <v>10</v>
      </c>
      <c r="J1814" t="s">
        <v>22</v>
      </c>
      <c r="K1814" t="s">
        <v>71</v>
      </c>
      <c r="L1814" t="s">
        <v>33</v>
      </c>
      <c r="M1814" t="s">
        <v>974</v>
      </c>
      <c r="O1814" s="1">
        <f t="shared" si="67"/>
        <v>0.4</v>
      </c>
      <c r="P1814" t="s">
        <v>975</v>
      </c>
      <c r="R1814" t="s">
        <v>634</v>
      </c>
    </row>
    <row r="1815" spans="1:18" hidden="1">
      <c r="A1815">
        <v>15</v>
      </c>
      <c r="B1815" t="s">
        <v>405</v>
      </c>
      <c r="C1815" t="s">
        <v>483</v>
      </c>
      <c r="G1815">
        <v>11</v>
      </c>
      <c r="J1815" t="s">
        <v>22</v>
      </c>
      <c r="K1815" t="s">
        <v>71</v>
      </c>
      <c r="L1815" t="s">
        <v>33</v>
      </c>
      <c r="M1815" t="s">
        <v>974</v>
      </c>
      <c r="O1815" s="1">
        <f t="shared" si="67"/>
        <v>0.4</v>
      </c>
      <c r="P1815" t="s">
        <v>975</v>
      </c>
      <c r="R1815" t="s">
        <v>634</v>
      </c>
    </row>
    <row r="1816" spans="1:18" hidden="1">
      <c r="A1816">
        <v>15</v>
      </c>
      <c r="B1816" t="s">
        <v>405</v>
      </c>
      <c r="C1816" t="s">
        <v>483</v>
      </c>
      <c r="G1816">
        <v>12</v>
      </c>
      <c r="J1816" t="s">
        <v>22</v>
      </c>
      <c r="K1816" t="s">
        <v>71</v>
      </c>
      <c r="L1816" t="s">
        <v>33</v>
      </c>
      <c r="M1816" t="s">
        <v>974</v>
      </c>
      <c r="O1816" s="1">
        <f t="shared" si="67"/>
        <v>0.4</v>
      </c>
      <c r="P1816" t="s">
        <v>975</v>
      </c>
      <c r="R1816" t="s">
        <v>634</v>
      </c>
    </row>
    <row r="1817" spans="1:18" hidden="1">
      <c r="A1817">
        <v>15</v>
      </c>
      <c r="B1817" t="s">
        <v>405</v>
      </c>
      <c r="C1817" t="s">
        <v>483</v>
      </c>
      <c r="G1817">
        <v>13</v>
      </c>
      <c r="J1817" t="s">
        <v>22</v>
      </c>
      <c r="K1817" t="s">
        <v>71</v>
      </c>
      <c r="L1817" t="s">
        <v>33</v>
      </c>
      <c r="M1817" t="s">
        <v>974</v>
      </c>
      <c r="O1817" s="1">
        <f t="shared" si="67"/>
        <v>0.4</v>
      </c>
      <c r="P1817" t="s">
        <v>975</v>
      </c>
      <c r="R1817" t="s">
        <v>634</v>
      </c>
    </row>
    <row r="1818" spans="1:18" hidden="1">
      <c r="A1818">
        <v>15</v>
      </c>
      <c r="B1818" t="s">
        <v>405</v>
      </c>
      <c r="C1818" t="s">
        <v>483</v>
      </c>
      <c r="G1818">
        <v>14</v>
      </c>
      <c r="J1818" t="s">
        <v>22</v>
      </c>
      <c r="K1818" t="s">
        <v>71</v>
      </c>
      <c r="L1818" t="s">
        <v>33</v>
      </c>
      <c r="M1818" t="s">
        <v>974</v>
      </c>
      <c r="O1818" s="1">
        <f t="shared" si="67"/>
        <v>0.4</v>
      </c>
      <c r="P1818" t="s">
        <v>975</v>
      </c>
      <c r="R1818" t="s">
        <v>634</v>
      </c>
    </row>
    <row r="1819" spans="1:18" hidden="1">
      <c r="A1819">
        <v>15</v>
      </c>
      <c r="B1819" t="s">
        <v>405</v>
      </c>
      <c r="C1819" t="s">
        <v>483</v>
      </c>
      <c r="G1819">
        <v>15</v>
      </c>
      <c r="J1819" t="s">
        <v>22</v>
      </c>
      <c r="K1819" t="s">
        <v>71</v>
      </c>
      <c r="L1819" t="s">
        <v>33</v>
      </c>
      <c r="M1819" t="s">
        <v>974</v>
      </c>
      <c r="O1819" s="1">
        <f t="shared" si="67"/>
        <v>0.4</v>
      </c>
      <c r="P1819" t="s">
        <v>975</v>
      </c>
      <c r="R1819" t="s">
        <v>634</v>
      </c>
    </row>
    <row r="1820" spans="1:18" hidden="1">
      <c r="A1820">
        <v>15</v>
      </c>
      <c r="B1820" t="s">
        <v>405</v>
      </c>
      <c r="C1820" t="s">
        <v>483</v>
      </c>
      <c r="G1820">
        <v>16</v>
      </c>
      <c r="J1820" t="s">
        <v>22</v>
      </c>
      <c r="K1820" t="s">
        <v>71</v>
      </c>
      <c r="L1820" t="s">
        <v>33</v>
      </c>
      <c r="M1820" t="s">
        <v>974</v>
      </c>
      <c r="O1820" s="1">
        <f t="shared" si="67"/>
        <v>0.4</v>
      </c>
      <c r="P1820" t="s">
        <v>975</v>
      </c>
      <c r="R1820" t="s">
        <v>634</v>
      </c>
    </row>
    <row r="1821" spans="1:18" hidden="1">
      <c r="A1821">
        <v>15</v>
      </c>
      <c r="B1821" t="s">
        <v>405</v>
      </c>
      <c r="C1821" t="s">
        <v>483</v>
      </c>
      <c r="G1821">
        <v>17</v>
      </c>
      <c r="J1821" t="s">
        <v>22</v>
      </c>
      <c r="K1821" t="s">
        <v>71</v>
      </c>
      <c r="L1821" t="s">
        <v>33</v>
      </c>
      <c r="M1821" t="s">
        <v>974</v>
      </c>
      <c r="O1821" s="1">
        <f t="shared" si="67"/>
        <v>0.4</v>
      </c>
      <c r="P1821" t="s">
        <v>975</v>
      </c>
      <c r="R1821" t="s">
        <v>634</v>
      </c>
    </row>
    <row r="1822" spans="1:18" hidden="1">
      <c r="A1822">
        <v>15</v>
      </c>
      <c r="B1822" t="s">
        <v>405</v>
      </c>
      <c r="C1822" t="s">
        <v>483</v>
      </c>
      <c r="G1822">
        <v>18</v>
      </c>
      <c r="J1822" t="s">
        <v>22</v>
      </c>
      <c r="K1822" t="s">
        <v>71</v>
      </c>
      <c r="L1822" t="s">
        <v>33</v>
      </c>
      <c r="M1822" t="s">
        <v>974</v>
      </c>
      <c r="O1822" s="1">
        <f t="shared" si="67"/>
        <v>0.4</v>
      </c>
      <c r="P1822" t="s">
        <v>975</v>
      </c>
      <c r="R1822" t="s">
        <v>634</v>
      </c>
    </row>
    <row r="1823" spans="1:18" hidden="1">
      <c r="A1823">
        <v>15</v>
      </c>
      <c r="B1823" t="s">
        <v>405</v>
      </c>
      <c r="C1823" t="s">
        <v>483</v>
      </c>
      <c r="G1823">
        <v>19</v>
      </c>
      <c r="J1823" t="s">
        <v>22</v>
      </c>
      <c r="K1823" t="s">
        <v>71</v>
      </c>
      <c r="L1823" t="s">
        <v>33</v>
      </c>
      <c r="M1823" t="s">
        <v>974</v>
      </c>
      <c r="O1823" s="1">
        <f t="shared" si="67"/>
        <v>0.4</v>
      </c>
      <c r="P1823" t="s">
        <v>975</v>
      </c>
      <c r="R1823" t="s">
        <v>634</v>
      </c>
    </row>
    <row r="1824" spans="1:18" hidden="1">
      <c r="A1824">
        <v>15</v>
      </c>
      <c r="B1824" t="s">
        <v>405</v>
      </c>
      <c r="C1824" t="s">
        <v>483</v>
      </c>
      <c r="G1824">
        <v>20</v>
      </c>
      <c r="J1824" t="s">
        <v>22</v>
      </c>
      <c r="K1824" t="s">
        <v>71</v>
      </c>
      <c r="L1824" t="s">
        <v>33</v>
      </c>
      <c r="M1824" t="s">
        <v>974</v>
      </c>
      <c r="O1824" s="1">
        <f t="shared" si="67"/>
        <v>0.4</v>
      </c>
      <c r="P1824" t="s">
        <v>975</v>
      </c>
      <c r="R1824" t="s">
        <v>634</v>
      </c>
    </row>
    <row r="1825" spans="1:18" hidden="1">
      <c r="A1825">
        <v>15</v>
      </c>
      <c r="B1825" t="s">
        <v>405</v>
      </c>
      <c r="C1825" t="s">
        <v>483</v>
      </c>
      <c r="G1825">
        <v>21</v>
      </c>
      <c r="J1825" t="s">
        <v>22</v>
      </c>
      <c r="K1825" t="s">
        <v>71</v>
      </c>
      <c r="L1825" t="s">
        <v>33</v>
      </c>
      <c r="M1825" t="s">
        <v>974</v>
      </c>
      <c r="O1825" s="1">
        <f t="shared" si="67"/>
        <v>0.4</v>
      </c>
      <c r="P1825" t="s">
        <v>975</v>
      </c>
      <c r="R1825" t="s">
        <v>634</v>
      </c>
    </row>
    <row r="1826" spans="1:18" hidden="1">
      <c r="A1826">
        <v>15</v>
      </c>
      <c r="B1826" t="s">
        <v>405</v>
      </c>
      <c r="C1826" t="s">
        <v>483</v>
      </c>
      <c r="G1826">
        <v>22</v>
      </c>
      <c r="J1826" t="s">
        <v>22</v>
      </c>
      <c r="K1826" t="s">
        <v>71</v>
      </c>
      <c r="L1826" t="s">
        <v>33</v>
      </c>
      <c r="M1826" t="s">
        <v>974</v>
      </c>
      <c r="O1826" s="1">
        <f t="shared" si="67"/>
        <v>0.4</v>
      </c>
      <c r="P1826" t="s">
        <v>975</v>
      </c>
      <c r="R1826" t="s">
        <v>634</v>
      </c>
    </row>
    <row r="1827" spans="1:18">
      <c r="A1827">
        <v>15</v>
      </c>
      <c r="B1827" t="s">
        <v>405</v>
      </c>
      <c r="C1827" t="s">
        <v>483</v>
      </c>
      <c r="G1827">
        <v>4</v>
      </c>
      <c r="H1827" s="263"/>
      <c r="J1827" t="s">
        <v>22</v>
      </c>
      <c r="K1827" t="s">
        <v>30</v>
      </c>
      <c r="L1827" t="s">
        <v>33</v>
      </c>
      <c r="M1827" t="s">
        <v>631</v>
      </c>
      <c r="N1827" s="263">
        <v>1.7</v>
      </c>
      <c r="O1827" s="1">
        <f>20*1.7</f>
        <v>34</v>
      </c>
      <c r="P1827" t="s">
        <v>900</v>
      </c>
      <c r="R1827" t="s">
        <v>634</v>
      </c>
    </row>
    <row r="1828" spans="1:18">
      <c r="A1828">
        <v>15</v>
      </c>
      <c r="B1828" t="s">
        <v>405</v>
      </c>
      <c r="C1828" t="s">
        <v>483</v>
      </c>
      <c r="G1828">
        <v>5</v>
      </c>
      <c r="H1828" s="263"/>
      <c r="J1828" t="s">
        <v>22</v>
      </c>
      <c r="K1828" t="s">
        <v>30</v>
      </c>
      <c r="L1828" t="s">
        <v>33</v>
      </c>
      <c r="M1828" t="s">
        <v>631</v>
      </c>
      <c r="N1828" s="263">
        <v>1.7</v>
      </c>
      <c r="O1828" s="1">
        <f t="shared" ref="O1828:O1845" si="68">20*1.7</f>
        <v>34</v>
      </c>
      <c r="P1828" t="s">
        <v>900</v>
      </c>
      <c r="R1828" t="s">
        <v>634</v>
      </c>
    </row>
    <row r="1829" spans="1:18">
      <c r="A1829">
        <v>15</v>
      </c>
      <c r="B1829" t="s">
        <v>405</v>
      </c>
      <c r="C1829" t="s">
        <v>483</v>
      </c>
      <c r="G1829">
        <v>6</v>
      </c>
      <c r="H1829" s="263"/>
      <c r="J1829" t="s">
        <v>22</v>
      </c>
      <c r="K1829" t="s">
        <v>30</v>
      </c>
      <c r="L1829" t="s">
        <v>33</v>
      </c>
      <c r="M1829" t="s">
        <v>631</v>
      </c>
      <c r="N1829" s="263">
        <v>1.7</v>
      </c>
      <c r="O1829" s="1">
        <f t="shared" si="68"/>
        <v>34</v>
      </c>
      <c r="P1829" t="s">
        <v>900</v>
      </c>
      <c r="R1829" t="s">
        <v>634</v>
      </c>
    </row>
    <row r="1830" spans="1:18">
      <c r="A1830">
        <v>15</v>
      </c>
      <c r="B1830" t="s">
        <v>405</v>
      </c>
      <c r="C1830" t="s">
        <v>483</v>
      </c>
      <c r="G1830">
        <v>7</v>
      </c>
      <c r="H1830" s="263"/>
      <c r="J1830" t="s">
        <v>22</v>
      </c>
      <c r="K1830" t="s">
        <v>30</v>
      </c>
      <c r="L1830" t="s">
        <v>33</v>
      </c>
      <c r="M1830" t="s">
        <v>631</v>
      </c>
      <c r="N1830" s="263">
        <v>1.7</v>
      </c>
      <c r="O1830" s="1">
        <f t="shared" si="68"/>
        <v>34</v>
      </c>
      <c r="P1830" t="s">
        <v>900</v>
      </c>
      <c r="R1830" t="s">
        <v>634</v>
      </c>
    </row>
    <row r="1831" spans="1:18">
      <c r="A1831">
        <v>15</v>
      </c>
      <c r="B1831" t="s">
        <v>405</v>
      </c>
      <c r="C1831" t="s">
        <v>483</v>
      </c>
      <c r="G1831">
        <v>8</v>
      </c>
      <c r="H1831" s="263"/>
      <c r="J1831" t="s">
        <v>22</v>
      </c>
      <c r="K1831" t="s">
        <v>30</v>
      </c>
      <c r="L1831" t="s">
        <v>33</v>
      </c>
      <c r="M1831" t="s">
        <v>631</v>
      </c>
      <c r="N1831" s="263">
        <v>1.7</v>
      </c>
      <c r="O1831" s="1">
        <f t="shared" si="68"/>
        <v>34</v>
      </c>
      <c r="P1831" t="s">
        <v>900</v>
      </c>
      <c r="R1831" t="s">
        <v>634</v>
      </c>
    </row>
    <row r="1832" spans="1:18">
      <c r="A1832">
        <v>15</v>
      </c>
      <c r="B1832" t="s">
        <v>405</v>
      </c>
      <c r="C1832" t="s">
        <v>483</v>
      </c>
      <c r="G1832">
        <v>9</v>
      </c>
      <c r="H1832" s="263"/>
      <c r="J1832" t="s">
        <v>22</v>
      </c>
      <c r="K1832" t="s">
        <v>30</v>
      </c>
      <c r="L1832" t="s">
        <v>33</v>
      </c>
      <c r="M1832" t="s">
        <v>631</v>
      </c>
      <c r="N1832" s="263">
        <v>1.7</v>
      </c>
      <c r="O1832" s="1">
        <f t="shared" si="68"/>
        <v>34</v>
      </c>
      <c r="P1832" t="s">
        <v>900</v>
      </c>
      <c r="R1832" t="s">
        <v>634</v>
      </c>
    </row>
    <row r="1833" spans="1:18">
      <c r="A1833">
        <v>15</v>
      </c>
      <c r="B1833" t="s">
        <v>405</v>
      </c>
      <c r="C1833" t="s">
        <v>483</v>
      </c>
      <c r="G1833">
        <v>10</v>
      </c>
      <c r="H1833" s="263"/>
      <c r="J1833" t="s">
        <v>22</v>
      </c>
      <c r="K1833" t="s">
        <v>30</v>
      </c>
      <c r="L1833" t="s">
        <v>33</v>
      </c>
      <c r="M1833" t="s">
        <v>631</v>
      </c>
      <c r="N1833" s="263">
        <v>1.7</v>
      </c>
      <c r="O1833" s="1">
        <f t="shared" si="68"/>
        <v>34</v>
      </c>
      <c r="P1833" t="s">
        <v>900</v>
      </c>
      <c r="R1833" t="s">
        <v>634</v>
      </c>
    </row>
    <row r="1834" spans="1:18">
      <c r="A1834">
        <v>15</v>
      </c>
      <c r="B1834" t="s">
        <v>405</v>
      </c>
      <c r="C1834" t="s">
        <v>483</v>
      </c>
      <c r="G1834">
        <v>11</v>
      </c>
      <c r="H1834" s="263"/>
      <c r="J1834" t="s">
        <v>22</v>
      </c>
      <c r="K1834" t="s">
        <v>30</v>
      </c>
      <c r="L1834" t="s">
        <v>33</v>
      </c>
      <c r="M1834" t="s">
        <v>631</v>
      </c>
      <c r="N1834" s="263">
        <v>1.7</v>
      </c>
      <c r="O1834" s="1">
        <f t="shared" si="68"/>
        <v>34</v>
      </c>
      <c r="P1834" t="s">
        <v>900</v>
      </c>
      <c r="R1834" t="s">
        <v>634</v>
      </c>
    </row>
    <row r="1835" spans="1:18">
      <c r="A1835">
        <v>15</v>
      </c>
      <c r="B1835" t="s">
        <v>405</v>
      </c>
      <c r="C1835" t="s">
        <v>483</v>
      </c>
      <c r="G1835">
        <v>12</v>
      </c>
      <c r="H1835" s="263"/>
      <c r="J1835" t="s">
        <v>22</v>
      </c>
      <c r="K1835" t="s">
        <v>30</v>
      </c>
      <c r="L1835" t="s">
        <v>33</v>
      </c>
      <c r="M1835" t="s">
        <v>631</v>
      </c>
      <c r="N1835" s="263">
        <v>1.7</v>
      </c>
      <c r="O1835" s="1">
        <f t="shared" si="68"/>
        <v>34</v>
      </c>
      <c r="P1835" t="s">
        <v>900</v>
      </c>
      <c r="R1835" t="s">
        <v>634</v>
      </c>
    </row>
    <row r="1836" spans="1:18">
      <c r="A1836">
        <v>15</v>
      </c>
      <c r="B1836" t="s">
        <v>405</v>
      </c>
      <c r="C1836" t="s">
        <v>483</v>
      </c>
      <c r="G1836">
        <v>13</v>
      </c>
      <c r="H1836" s="263"/>
      <c r="J1836" t="s">
        <v>22</v>
      </c>
      <c r="K1836" t="s">
        <v>30</v>
      </c>
      <c r="L1836" t="s">
        <v>33</v>
      </c>
      <c r="M1836" t="s">
        <v>631</v>
      </c>
      <c r="N1836" s="263">
        <v>1.7</v>
      </c>
      <c r="O1836" s="1">
        <f t="shared" si="68"/>
        <v>34</v>
      </c>
      <c r="P1836" t="s">
        <v>900</v>
      </c>
      <c r="R1836" t="s">
        <v>634</v>
      </c>
    </row>
    <row r="1837" spans="1:18">
      <c r="A1837">
        <v>15</v>
      </c>
      <c r="B1837" t="s">
        <v>405</v>
      </c>
      <c r="C1837" t="s">
        <v>483</v>
      </c>
      <c r="G1837">
        <v>14</v>
      </c>
      <c r="H1837" s="263"/>
      <c r="J1837" t="s">
        <v>22</v>
      </c>
      <c r="K1837" t="s">
        <v>30</v>
      </c>
      <c r="L1837" t="s">
        <v>33</v>
      </c>
      <c r="M1837" t="s">
        <v>631</v>
      </c>
      <c r="N1837" s="263">
        <v>1.7</v>
      </c>
      <c r="O1837" s="1">
        <f t="shared" si="68"/>
        <v>34</v>
      </c>
      <c r="P1837" t="s">
        <v>900</v>
      </c>
      <c r="R1837" t="s">
        <v>634</v>
      </c>
    </row>
    <row r="1838" spans="1:18">
      <c r="A1838">
        <v>15</v>
      </c>
      <c r="B1838" t="s">
        <v>405</v>
      </c>
      <c r="C1838" t="s">
        <v>483</v>
      </c>
      <c r="G1838">
        <v>15</v>
      </c>
      <c r="H1838" s="263"/>
      <c r="J1838" t="s">
        <v>22</v>
      </c>
      <c r="K1838" t="s">
        <v>30</v>
      </c>
      <c r="L1838" t="s">
        <v>33</v>
      </c>
      <c r="M1838" t="s">
        <v>631</v>
      </c>
      <c r="N1838" s="263">
        <v>1.7</v>
      </c>
      <c r="O1838" s="1">
        <f t="shared" si="68"/>
        <v>34</v>
      </c>
      <c r="P1838" t="s">
        <v>900</v>
      </c>
      <c r="R1838" t="s">
        <v>634</v>
      </c>
    </row>
    <row r="1839" spans="1:18">
      <c r="A1839">
        <v>15</v>
      </c>
      <c r="B1839" t="s">
        <v>405</v>
      </c>
      <c r="C1839" t="s">
        <v>483</v>
      </c>
      <c r="G1839">
        <v>16</v>
      </c>
      <c r="H1839" s="263"/>
      <c r="J1839" t="s">
        <v>22</v>
      </c>
      <c r="K1839" t="s">
        <v>30</v>
      </c>
      <c r="L1839" t="s">
        <v>33</v>
      </c>
      <c r="M1839" t="s">
        <v>631</v>
      </c>
      <c r="N1839" s="263">
        <v>1.7</v>
      </c>
      <c r="O1839" s="1">
        <f t="shared" si="68"/>
        <v>34</v>
      </c>
      <c r="P1839" t="s">
        <v>900</v>
      </c>
      <c r="R1839" t="s">
        <v>634</v>
      </c>
    </row>
    <row r="1840" spans="1:18">
      <c r="A1840">
        <v>15</v>
      </c>
      <c r="B1840" t="s">
        <v>405</v>
      </c>
      <c r="C1840" t="s">
        <v>483</v>
      </c>
      <c r="G1840">
        <v>17</v>
      </c>
      <c r="H1840" s="263"/>
      <c r="J1840" t="s">
        <v>22</v>
      </c>
      <c r="K1840" t="s">
        <v>30</v>
      </c>
      <c r="L1840" t="s">
        <v>33</v>
      </c>
      <c r="M1840" t="s">
        <v>631</v>
      </c>
      <c r="N1840" s="263">
        <v>1.7</v>
      </c>
      <c r="O1840" s="1">
        <f t="shared" si="68"/>
        <v>34</v>
      </c>
      <c r="P1840" t="s">
        <v>900</v>
      </c>
      <c r="R1840" t="s">
        <v>634</v>
      </c>
    </row>
    <row r="1841" spans="1:18">
      <c r="A1841">
        <v>15</v>
      </c>
      <c r="B1841" t="s">
        <v>405</v>
      </c>
      <c r="C1841" t="s">
        <v>483</v>
      </c>
      <c r="G1841">
        <v>18</v>
      </c>
      <c r="H1841" s="263"/>
      <c r="J1841" t="s">
        <v>22</v>
      </c>
      <c r="K1841" t="s">
        <v>30</v>
      </c>
      <c r="L1841" t="s">
        <v>33</v>
      </c>
      <c r="M1841" t="s">
        <v>631</v>
      </c>
      <c r="N1841" s="263">
        <v>1.7</v>
      </c>
      <c r="O1841" s="1">
        <f t="shared" si="68"/>
        <v>34</v>
      </c>
      <c r="P1841" t="s">
        <v>900</v>
      </c>
      <c r="R1841" t="s">
        <v>634</v>
      </c>
    </row>
    <row r="1842" spans="1:18">
      <c r="A1842">
        <v>15</v>
      </c>
      <c r="B1842" t="s">
        <v>405</v>
      </c>
      <c r="C1842" t="s">
        <v>483</v>
      </c>
      <c r="G1842">
        <v>19</v>
      </c>
      <c r="H1842" s="263"/>
      <c r="J1842" t="s">
        <v>22</v>
      </c>
      <c r="K1842" t="s">
        <v>30</v>
      </c>
      <c r="L1842" t="s">
        <v>33</v>
      </c>
      <c r="M1842" t="s">
        <v>631</v>
      </c>
      <c r="N1842" s="263">
        <v>1.7</v>
      </c>
      <c r="O1842" s="1">
        <f t="shared" si="68"/>
        <v>34</v>
      </c>
      <c r="P1842" t="s">
        <v>900</v>
      </c>
      <c r="R1842" t="s">
        <v>634</v>
      </c>
    </row>
    <row r="1843" spans="1:18">
      <c r="A1843">
        <v>15</v>
      </c>
      <c r="B1843" t="s">
        <v>405</v>
      </c>
      <c r="C1843" t="s">
        <v>483</v>
      </c>
      <c r="G1843">
        <v>20</v>
      </c>
      <c r="H1843" s="263"/>
      <c r="J1843" t="s">
        <v>22</v>
      </c>
      <c r="K1843" t="s">
        <v>30</v>
      </c>
      <c r="L1843" t="s">
        <v>33</v>
      </c>
      <c r="M1843" t="s">
        <v>631</v>
      </c>
      <c r="N1843" s="263">
        <v>1.7</v>
      </c>
      <c r="O1843" s="1">
        <f t="shared" si="68"/>
        <v>34</v>
      </c>
      <c r="P1843" t="s">
        <v>900</v>
      </c>
      <c r="R1843" t="s">
        <v>634</v>
      </c>
    </row>
    <row r="1844" spans="1:18">
      <c r="A1844">
        <v>15</v>
      </c>
      <c r="B1844" t="s">
        <v>405</v>
      </c>
      <c r="C1844" t="s">
        <v>483</v>
      </c>
      <c r="G1844">
        <v>21</v>
      </c>
      <c r="H1844" s="263"/>
      <c r="J1844" t="s">
        <v>22</v>
      </c>
      <c r="K1844" t="s">
        <v>30</v>
      </c>
      <c r="L1844" t="s">
        <v>33</v>
      </c>
      <c r="M1844" t="s">
        <v>631</v>
      </c>
      <c r="N1844" s="263">
        <v>1.7</v>
      </c>
      <c r="O1844" s="1">
        <f t="shared" si="68"/>
        <v>34</v>
      </c>
      <c r="P1844" t="s">
        <v>900</v>
      </c>
      <c r="R1844" t="s">
        <v>634</v>
      </c>
    </row>
    <row r="1845" spans="1:18">
      <c r="A1845">
        <v>15</v>
      </c>
      <c r="B1845" t="s">
        <v>405</v>
      </c>
      <c r="C1845" t="s">
        <v>483</v>
      </c>
      <c r="G1845">
        <v>22</v>
      </c>
      <c r="H1845" s="263"/>
      <c r="J1845" t="s">
        <v>22</v>
      </c>
      <c r="K1845" t="s">
        <v>30</v>
      </c>
      <c r="L1845" t="s">
        <v>33</v>
      </c>
      <c r="M1845" t="s">
        <v>631</v>
      </c>
      <c r="N1845" s="263">
        <v>1.7</v>
      </c>
      <c r="O1845" s="1">
        <f t="shared" si="68"/>
        <v>34</v>
      </c>
      <c r="P1845" t="s">
        <v>900</v>
      </c>
      <c r="R1845" t="s">
        <v>634</v>
      </c>
    </row>
    <row r="1846" spans="1:18" hidden="1">
      <c r="A1846">
        <v>15</v>
      </c>
      <c r="B1846" t="s">
        <v>405</v>
      </c>
      <c r="C1846" t="s">
        <v>483</v>
      </c>
      <c r="G1846">
        <v>4</v>
      </c>
      <c r="J1846" t="s">
        <v>22</v>
      </c>
      <c r="K1846" t="s">
        <v>408</v>
      </c>
      <c r="L1846" t="s">
        <v>33</v>
      </c>
      <c r="M1846" t="s">
        <v>632</v>
      </c>
      <c r="O1846" s="1">
        <v>27.05</v>
      </c>
      <c r="R1846" t="s">
        <v>634</v>
      </c>
    </row>
    <row r="1847" spans="1:18" hidden="1">
      <c r="A1847">
        <v>15</v>
      </c>
      <c r="B1847" t="s">
        <v>405</v>
      </c>
      <c r="C1847" t="s">
        <v>483</v>
      </c>
      <c r="G1847">
        <v>5</v>
      </c>
      <c r="J1847" t="s">
        <v>22</v>
      </c>
      <c r="K1847" t="s">
        <v>408</v>
      </c>
      <c r="L1847" t="s">
        <v>33</v>
      </c>
      <c r="M1847" t="s">
        <v>632</v>
      </c>
      <c r="O1847" s="1">
        <v>27.05</v>
      </c>
      <c r="R1847" t="s">
        <v>634</v>
      </c>
    </row>
    <row r="1848" spans="1:18" hidden="1">
      <c r="A1848">
        <v>15</v>
      </c>
      <c r="B1848" t="s">
        <v>405</v>
      </c>
      <c r="C1848" t="s">
        <v>483</v>
      </c>
      <c r="G1848">
        <v>6</v>
      </c>
      <c r="J1848" t="s">
        <v>22</v>
      </c>
      <c r="K1848" t="s">
        <v>408</v>
      </c>
      <c r="L1848" t="s">
        <v>33</v>
      </c>
      <c r="M1848" t="s">
        <v>632</v>
      </c>
      <c r="O1848" s="1">
        <v>27.05</v>
      </c>
      <c r="R1848" t="s">
        <v>634</v>
      </c>
    </row>
    <row r="1849" spans="1:18" hidden="1">
      <c r="A1849">
        <v>15</v>
      </c>
      <c r="B1849" t="s">
        <v>405</v>
      </c>
      <c r="C1849" t="s">
        <v>483</v>
      </c>
      <c r="G1849">
        <v>7</v>
      </c>
      <c r="J1849" t="s">
        <v>22</v>
      </c>
      <c r="K1849" t="s">
        <v>408</v>
      </c>
      <c r="L1849" t="s">
        <v>33</v>
      </c>
      <c r="M1849" t="s">
        <v>632</v>
      </c>
      <c r="O1849" s="1">
        <v>27.05</v>
      </c>
      <c r="R1849" t="s">
        <v>634</v>
      </c>
    </row>
    <row r="1850" spans="1:18" hidden="1">
      <c r="A1850">
        <v>15</v>
      </c>
      <c r="B1850" t="s">
        <v>405</v>
      </c>
      <c r="C1850" t="s">
        <v>483</v>
      </c>
      <c r="G1850">
        <v>8</v>
      </c>
      <c r="J1850" t="s">
        <v>22</v>
      </c>
      <c r="K1850" t="s">
        <v>408</v>
      </c>
      <c r="L1850" t="s">
        <v>33</v>
      </c>
      <c r="M1850" t="s">
        <v>632</v>
      </c>
      <c r="O1850" s="1">
        <v>27.05</v>
      </c>
      <c r="R1850" t="s">
        <v>634</v>
      </c>
    </row>
    <row r="1851" spans="1:18" hidden="1">
      <c r="A1851">
        <v>15</v>
      </c>
      <c r="B1851" t="s">
        <v>405</v>
      </c>
      <c r="C1851" t="s">
        <v>483</v>
      </c>
      <c r="G1851">
        <v>9</v>
      </c>
      <c r="J1851" t="s">
        <v>22</v>
      </c>
      <c r="K1851" t="s">
        <v>408</v>
      </c>
      <c r="L1851" t="s">
        <v>33</v>
      </c>
      <c r="M1851" t="s">
        <v>632</v>
      </c>
      <c r="O1851" s="1">
        <v>27.05</v>
      </c>
      <c r="R1851" t="s">
        <v>634</v>
      </c>
    </row>
    <row r="1852" spans="1:18" hidden="1">
      <c r="A1852">
        <v>15</v>
      </c>
      <c r="B1852" t="s">
        <v>405</v>
      </c>
      <c r="C1852" t="s">
        <v>483</v>
      </c>
      <c r="G1852">
        <v>10</v>
      </c>
      <c r="J1852" t="s">
        <v>22</v>
      </c>
      <c r="K1852" t="s">
        <v>408</v>
      </c>
      <c r="L1852" t="s">
        <v>33</v>
      </c>
      <c r="M1852" t="s">
        <v>632</v>
      </c>
      <c r="O1852" s="1">
        <v>27.05</v>
      </c>
      <c r="R1852" t="s">
        <v>634</v>
      </c>
    </row>
    <row r="1853" spans="1:18" hidden="1">
      <c r="A1853">
        <v>15</v>
      </c>
      <c r="B1853" t="s">
        <v>405</v>
      </c>
      <c r="C1853" t="s">
        <v>483</v>
      </c>
      <c r="G1853">
        <v>11</v>
      </c>
      <c r="J1853" t="s">
        <v>22</v>
      </c>
      <c r="K1853" t="s">
        <v>408</v>
      </c>
      <c r="L1853" t="s">
        <v>33</v>
      </c>
      <c r="M1853" t="s">
        <v>632</v>
      </c>
      <c r="O1853" s="1">
        <v>27.05</v>
      </c>
      <c r="R1853" t="s">
        <v>634</v>
      </c>
    </row>
    <row r="1854" spans="1:18" hidden="1">
      <c r="A1854">
        <v>15</v>
      </c>
      <c r="B1854" t="s">
        <v>405</v>
      </c>
      <c r="C1854" t="s">
        <v>483</v>
      </c>
      <c r="G1854">
        <v>12</v>
      </c>
      <c r="J1854" t="s">
        <v>22</v>
      </c>
      <c r="K1854" t="s">
        <v>408</v>
      </c>
      <c r="L1854" t="s">
        <v>33</v>
      </c>
      <c r="M1854" t="s">
        <v>632</v>
      </c>
      <c r="O1854" s="1">
        <v>27.05</v>
      </c>
      <c r="R1854" t="s">
        <v>634</v>
      </c>
    </row>
    <row r="1855" spans="1:18" hidden="1">
      <c r="A1855">
        <v>15</v>
      </c>
      <c r="B1855" t="s">
        <v>405</v>
      </c>
      <c r="C1855" t="s">
        <v>483</v>
      </c>
      <c r="G1855">
        <v>13</v>
      </c>
      <c r="J1855" t="s">
        <v>22</v>
      </c>
      <c r="K1855" t="s">
        <v>408</v>
      </c>
      <c r="L1855" t="s">
        <v>33</v>
      </c>
      <c r="M1855" t="s">
        <v>632</v>
      </c>
      <c r="O1855" s="1">
        <v>27.05</v>
      </c>
      <c r="R1855" t="s">
        <v>634</v>
      </c>
    </row>
    <row r="1856" spans="1:18" hidden="1">
      <c r="A1856">
        <v>15</v>
      </c>
      <c r="B1856" t="s">
        <v>405</v>
      </c>
      <c r="C1856" t="s">
        <v>483</v>
      </c>
      <c r="G1856">
        <v>14</v>
      </c>
      <c r="J1856" t="s">
        <v>22</v>
      </c>
      <c r="K1856" t="s">
        <v>408</v>
      </c>
      <c r="L1856" t="s">
        <v>33</v>
      </c>
      <c r="M1856" t="s">
        <v>632</v>
      </c>
      <c r="O1856" s="1">
        <v>27.05</v>
      </c>
      <c r="R1856" t="s">
        <v>634</v>
      </c>
    </row>
    <row r="1857" spans="1:18" hidden="1">
      <c r="A1857">
        <v>15</v>
      </c>
      <c r="B1857" t="s">
        <v>405</v>
      </c>
      <c r="C1857" t="s">
        <v>483</v>
      </c>
      <c r="G1857">
        <v>15</v>
      </c>
      <c r="J1857" t="s">
        <v>22</v>
      </c>
      <c r="K1857" t="s">
        <v>408</v>
      </c>
      <c r="L1857" t="s">
        <v>33</v>
      </c>
      <c r="M1857" t="s">
        <v>632</v>
      </c>
      <c r="O1857" s="1">
        <v>27.05</v>
      </c>
      <c r="R1857" t="s">
        <v>634</v>
      </c>
    </row>
    <row r="1858" spans="1:18" hidden="1">
      <c r="A1858">
        <v>15</v>
      </c>
      <c r="B1858" t="s">
        <v>405</v>
      </c>
      <c r="C1858" t="s">
        <v>483</v>
      </c>
      <c r="G1858">
        <v>16</v>
      </c>
      <c r="J1858" t="s">
        <v>22</v>
      </c>
      <c r="K1858" t="s">
        <v>408</v>
      </c>
      <c r="L1858" t="s">
        <v>33</v>
      </c>
      <c r="M1858" t="s">
        <v>632</v>
      </c>
      <c r="O1858" s="1">
        <v>27.05</v>
      </c>
      <c r="R1858" t="s">
        <v>634</v>
      </c>
    </row>
    <row r="1859" spans="1:18" hidden="1">
      <c r="A1859">
        <v>15</v>
      </c>
      <c r="B1859" t="s">
        <v>405</v>
      </c>
      <c r="C1859" t="s">
        <v>483</v>
      </c>
      <c r="G1859">
        <v>17</v>
      </c>
      <c r="J1859" t="s">
        <v>22</v>
      </c>
      <c r="K1859" t="s">
        <v>408</v>
      </c>
      <c r="L1859" t="s">
        <v>33</v>
      </c>
      <c r="M1859" t="s">
        <v>632</v>
      </c>
      <c r="O1859" s="1">
        <v>27.05</v>
      </c>
      <c r="R1859" t="s">
        <v>634</v>
      </c>
    </row>
    <row r="1860" spans="1:18" hidden="1">
      <c r="A1860">
        <v>15</v>
      </c>
      <c r="B1860" t="s">
        <v>405</v>
      </c>
      <c r="C1860" t="s">
        <v>483</v>
      </c>
      <c r="G1860">
        <v>18</v>
      </c>
      <c r="J1860" t="s">
        <v>22</v>
      </c>
      <c r="K1860" t="s">
        <v>408</v>
      </c>
      <c r="L1860" t="s">
        <v>33</v>
      </c>
      <c r="M1860" t="s">
        <v>632</v>
      </c>
      <c r="O1860" s="1">
        <v>27.05</v>
      </c>
      <c r="R1860" t="s">
        <v>634</v>
      </c>
    </row>
    <row r="1861" spans="1:18" hidden="1">
      <c r="A1861">
        <v>15</v>
      </c>
      <c r="B1861" t="s">
        <v>405</v>
      </c>
      <c r="C1861" t="s">
        <v>483</v>
      </c>
      <c r="G1861">
        <v>19</v>
      </c>
      <c r="J1861" t="s">
        <v>22</v>
      </c>
      <c r="K1861" t="s">
        <v>408</v>
      </c>
      <c r="L1861" t="s">
        <v>33</v>
      </c>
      <c r="M1861" t="s">
        <v>632</v>
      </c>
      <c r="O1861" s="1">
        <v>27.05</v>
      </c>
      <c r="R1861" t="s">
        <v>634</v>
      </c>
    </row>
    <row r="1862" spans="1:18" hidden="1">
      <c r="A1862">
        <v>15</v>
      </c>
      <c r="B1862" t="s">
        <v>405</v>
      </c>
      <c r="C1862" t="s">
        <v>483</v>
      </c>
      <c r="G1862">
        <v>20</v>
      </c>
      <c r="J1862" t="s">
        <v>22</v>
      </c>
      <c r="K1862" t="s">
        <v>408</v>
      </c>
      <c r="L1862" t="s">
        <v>33</v>
      </c>
      <c r="M1862" t="s">
        <v>632</v>
      </c>
      <c r="O1862" s="1">
        <v>27.05</v>
      </c>
      <c r="R1862" t="s">
        <v>634</v>
      </c>
    </row>
    <row r="1863" spans="1:18" hidden="1">
      <c r="A1863">
        <v>15</v>
      </c>
      <c r="B1863" t="s">
        <v>405</v>
      </c>
      <c r="C1863" t="s">
        <v>483</v>
      </c>
      <c r="G1863">
        <v>21</v>
      </c>
      <c r="J1863" t="s">
        <v>22</v>
      </c>
      <c r="K1863" t="s">
        <v>408</v>
      </c>
      <c r="L1863" t="s">
        <v>33</v>
      </c>
      <c r="M1863" t="s">
        <v>632</v>
      </c>
      <c r="O1863" s="1">
        <v>27.05</v>
      </c>
      <c r="R1863" t="s">
        <v>634</v>
      </c>
    </row>
    <row r="1864" spans="1:18" hidden="1">
      <c r="A1864">
        <v>15</v>
      </c>
      <c r="B1864" t="s">
        <v>405</v>
      </c>
      <c r="C1864" t="s">
        <v>483</v>
      </c>
      <c r="G1864">
        <v>22</v>
      </c>
      <c r="J1864" t="s">
        <v>22</v>
      </c>
      <c r="K1864" t="s">
        <v>408</v>
      </c>
      <c r="L1864" t="s">
        <v>33</v>
      </c>
      <c r="M1864" t="s">
        <v>632</v>
      </c>
      <c r="O1864" s="1">
        <v>27.05</v>
      </c>
      <c r="R1864" t="s">
        <v>634</v>
      </c>
    </row>
    <row r="1865" spans="1:18">
      <c r="A1865">
        <v>15</v>
      </c>
      <c r="B1865" t="s">
        <v>405</v>
      </c>
      <c r="C1865" t="s">
        <v>483</v>
      </c>
      <c r="G1865">
        <v>4</v>
      </c>
      <c r="H1865" s="263"/>
      <c r="J1865" t="s">
        <v>22</v>
      </c>
      <c r="K1865" t="s">
        <v>30</v>
      </c>
      <c r="L1865" t="s">
        <v>33</v>
      </c>
      <c r="M1865" t="s">
        <v>493</v>
      </c>
      <c r="N1865" s="263">
        <v>0.3</v>
      </c>
      <c r="O1865" s="1">
        <f>20*0.3</f>
        <v>6</v>
      </c>
      <c r="P1865" t="s">
        <v>899</v>
      </c>
      <c r="R1865" t="s">
        <v>634</v>
      </c>
    </row>
    <row r="1866" spans="1:18">
      <c r="A1866">
        <v>15</v>
      </c>
      <c r="B1866" t="s">
        <v>405</v>
      </c>
      <c r="C1866" t="s">
        <v>483</v>
      </c>
      <c r="G1866">
        <v>5</v>
      </c>
      <c r="H1866" s="263"/>
      <c r="J1866" t="s">
        <v>22</v>
      </c>
      <c r="K1866" t="s">
        <v>30</v>
      </c>
      <c r="L1866" t="s">
        <v>33</v>
      </c>
      <c r="M1866" t="s">
        <v>493</v>
      </c>
      <c r="N1866" s="263">
        <v>0.3</v>
      </c>
      <c r="O1866" s="1">
        <f t="shared" ref="O1866:O1883" si="69">20*0.3</f>
        <v>6</v>
      </c>
      <c r="P1866" t="s">
        <v>899</v>
      </c>
      <c r="R1866" t="s">
        <v>634</v>
      </c>
    </row>
    <row r="1867" spans="1:18">
      <c r="A1867">
        <v>15</v>
      </c>
      <c r="B1867" t="s">
        <v>405</v>
      </c>
      <c r="C1867" t="s">
        <v>483</v>
      </c>
      <c r="G1867">
        <v>6</v>
      </c>
      <c r="H1867" s="263"/>
      <c r="J1867" t="s">
        <v>22</v>
      </c>
      <c r="K1867" t="s">
        <v>30</v>
      </c>
      <c r="L1867" t="s">
        <v>33</v>
      </c>
      <c r="M1867" t="s">
        <v>493</v>
      </c>
      <c r="N1867" s="263">
        <v>0.3</v>
      </c>
      <c r="O1867" s="1">
        <f t="shared" si="69"/>
        <v>6</v>
      </c>
      <c r="P1867" t="s">
        <v>899</v>
      </c>
      <c r="R1867" t="s">
        <v>634</v>
      </c>
    </row>
    <row r="1868" spans="1:18">
      <c r="A1868">
        <v>15</v>
      </c>
      <c r="B1868" t="s">
        <v>405</v>
      </c>
      <c r="C1868" t="s">
        <v>483</v>
      </c>
      <c r="G1868">
        <v>7</v>
      </c>
      <c r="H1868" s="263"/>
      <c r="J1868" t="s">
        <v>22</v>
      </c>
      <c r="K1868" t="s">
        <v>30</v>
      </c>
      <c r="L1868" t="s">
        <v>33</v>
      </c>
      <c r="M1868" t="s">
        <v>493</v>
      </c>
      <c r="N1868" s="263">
        <v>0.3</v>
      </c>
      <c r="O1868" s="1">
        <f t="shared" si="69"/>
        <v>6</v>
      </c>
      <c r="P1868" t="s">
        <v>899</v>
      </c>
      <c r="R1868" t="s">
        <v>634</v>
      </c>
    </row>
    <row r="1869" spans="1:18">
      <c r="A1869">
        <v>15</v>
      </c>
      <c r="B1869" t="s">
        <v>405</v>
      </c>
      <c r="C1869" t="s">
        <v>483</v>
      </c>
      <c r="G1869">
        <v>8</v>
      </c>
      <c r="H1869" s="263"/>
      <c r="J1869" t="s">
        <v>22</v>
      </c>
      <c r="K1869" t="s">
        <v>30</v>
      </c>
      <c r="L1869" t="s">
        <v>33</v>
      </c>
      <c r="M1869" t="s">
        <v>493</v>
      </c>
      <c r="N1869" s="263">
        <v>0.3</v>
      </c>
      <c r="O1869" s="1">
        <f t="shared" si="69"/>
        <v>6</v>
      </c>
      <c r="P1869" t="s">
        <v>899</v>
      </c>
      <c r="R1869" t="s">
        <v>634</v>
      </c>
    </row>
    <row r="1870" spans="1:18">
      <c r="A1870">
        <v>15</v>
      </c>
      <c r="B1870" t="s">
        <v>405</v>
      </c>
      <c r="C1870" t="s">
        <v>483</v>
      </c>
      <c r="G1870">
        <v>9</v>
      </c>
      <c r="H1870" s="263"/>
      <c r="J1870" t="s">
        <v>22</v>
      </c>
      <c r="K1870" t="s">
        <v>30</v>
      </c>
      <c r="L1870" t="s">
        <v>33</v>
      </c>
      <c r="M1870" t="s">
        <v>493</v>
      </c>
      <c r="N1870" s="263">
        <v>0.3</v>
      </c>
      <c r="O1870" s="1">
        <f t="shared" si="69"/>
        <v>6</v>
      </c>
      <c r="P1870" t="s">
        <v>899</v>
      </c>
      <c r="R1870" t="s">
        <v>634</v>
      </c>
    </row>
    <row r="1871" spans="1:18">
      <c r="A1871">
        <v>15</v>
      </c>
      <c r="B1871" t="s">
        <v>405</v>
      </c>
      <c r="C1871" t="s">
        <v>483</v>
      </c>
      <c r="G1871">
        <v>10</v>
      </c>
      <c r="H1871" s="263"/>
      <c r="J1871" t="s">
        <v>22</v>
      </c>
      <c r="K1871" t="s">
        <v>30</v>
      </c>
      <c r="L1871" t="s">
        <v>33</v>
      </c>
      <c r="M1871" t="s">
        <v>493</v>
      </c>
      <c r="N1871" s="263">
        <v>0.3</v>
      </c>
      <c r="O1871" s="1">
        <f t="shared" si="69"/>
        <v>6</v>
      </c>
      <c r="P1871" t="s">
        <v>899</v>
      </c>
      <c r="R1871" t="s">
        <v>634</v>
      </c>
    </row>
    <row r="1872" spans="1:18">
      <c r="A1872">
        <v>15</v>
      </c>
      <c r="B1872" t="s">
        <v>405</v>
      </c>
      <c r="C1872" t="s">
        <v>483</v>
      </c>
      <c r="G1872">
        <v>11</v>
      </c>
      <c r="H1872" s="263"/>
      <c r="J1872" t="s">
        <v>22</v>
      </c>
      <c r="K1872" t="s">
        <v>30</v>
      </c>
      <c r="L1872" t="s">
        <v>33</v>
      </c>
      <c r="M1872" t="s">
        <v>493</v>
      </c>
      <c r="N1872" s="263">
        <v>0.3</v>
      </c>
      <c r="O1872" s="1">
        <f t="shared" si="69"/>
        <v>6</v>
      </c>
      <c r="P1872" t="s">
        <v>899</v>
      </c>
      <c r="R1872" t="s">
        <v>634</v>
      </c>
    </row>
    <row r="1873" spans="1:18">
      <c r="A1873">
        <v>15</v>
      </c>
      <c r="B1873" t="s">
        <v>405</v>
      </c>
      <c r="C1873" t="s">
        <v>483</v>
      </c>
      <c r="G1873">
        <v>12</v>
      </c>
      <c r="H1873" s="263"/>
      <c r="J1873" t="s">
        <v>22</v>
      </c>
      <c r="K1873" t="s">
        <v>30</v>
      </c>
      <c r="L1873" t="s">
        <v>33</v>
      </c>
      <c r="M1873" t="s">
        <v>493</v>
      </c>
      <c r="N1873" s="263">
        <v>0.3</v>
      </c>
      <c r="O1873" s="1">
        <f t="shared" si="69"/>
        <v>6</v>
      </c>
      <c r="P1873" t="s">
        <v>899</v>
      </c>
      <c r="R1873" t="s">
        <v>634</v>
      </c>
    </row>
    <row r="1874" spans="1:18">
      <c r="A1874">
        <v>15</v>
      </c>
      <c r="B1874" t="s">
        <v>405</v>
      </c>
      <c r="C1874" t="s">
        <v>483</v>
      </c>
      <c r="G1874">
        <v>13</v>
      </c>
      <c r="H1874" s="263"/>
      <c r="J1874" t="s">
        <v>22</v>
      </c>
      <c r="K1874" t="s">
        <v>30</v>
      </c>
      <c r="L1874" t="s">
        <v>33</v>
      </c>
      <c r="M1874" t="s">
        <v>493</v>
      </c>
      <c r="N1874" s="263">
        <v>0.3</v>
      </c>
      <c r="O1874" s="1">
        <f t="shared" si="69"/>
        <v>6</v>
      </c>
      <c r="P1874" t="s">
        <v>899</v>
      </c>
      <c r="R1874" t="s">
        <v>634</v>
      </c>
    </row>
    <row r="1875" spans="1:18">
      <c r="A1875">
        <v>15</v>
      </c>
      <c r="B1875" t="s">
        <v>405</v>
      </c>
      <c r="C1875" t="s">
        <v>483</v>
      </c>
      <c r="G1875">
        <v>14</v>
      </c>
      <c r="H1875" s="263"/>
      <c r="J1875" t="s">
        <v>22</v>
      </c>
      <c r="K1875" t="s">
        <v>30</v>
      </c>
      <c r="L1875" t="s">
        <v>33</v>
      </c>
      <c r="M1875" t="s">
        <v>493</v>
      </c>
      <c r="N1875" s="263">
        <v>0.3</v>
      </c>
      <c r="O1875" s="1">
        <f t="shared" si="69"/>
        <v>6</v>
      </c>
      <c r="P1875" t="s">
        <v>899</v>
      </c>
      <c r="R1875" t="s">
        <v>634</v>
      </c>
    </row>
    <row r="1876" spans="1:18">
      <c r="A1876">
        <v>15</v>
      </c>
      <c r="B1876" t="s">
        <v>405</v>
      </c>
      <c r="C1876" t="s">
        <v>483</v>
      </c>
      <c r="G1876">
        <v>15</v>
      </c>
      <c r="H1876" s="263"/>
      <c r="J1876" t="s">
        <v>22</v>
      </c>
      <c r="K1876" t="s">
        <v>30</v>
      </c>
      <c r="L1876" t="s">
        <v>33</v>
      </c>
      <c r="M1876" t="s">
        <v>493</v>
      </c>
      <c r="N1876" s="263">
        <v>0.3</v>
      </c>
      <c r="O1876" s="1">
        <f t="shared" si="69"/>
        <v>6</v>
      </c>
      <c r="P1876" t="s">
        <v>899</v>
      </c>
      <c r="R1876" t="s">
        <v>634</v>
      </c>
    </row>
    <row r="1877" spans="1:18">
      <c r="A1877">
        <v>15</v>
      </c>
      <c r="B1877" t="s">
        <v>405</v>
      </c>
      <c r="C1877" t="s">
        <v>483</v>
      </c>
      <c r="G1877">
        <v>16</v>
      </c>
      <c r="H1877" s="263"/>
      <c r="J1877" t="s">
        <v>22</v>
      </c>
      <c r="K1877" t="s">
        <v>30</v>
      </c>
      <c r="L1877" t="s">
        <v>33</v>
      </c>
      <c r="M1877" t="s">
        <v>493</v>
      </c>
      <c r="N1877" s="263">
        <v>0.3</v>
      </c>
      <c r="O1877" s="1">
        <f t="shared" si="69"/>
        <v>6</v>
      </c>
      <c r="P1877" t="s">
        <v>899</v>
      </c>
      <c r="R1877" t="s">
        <v>634</v>
      </c>
    </row>
    <row r="1878" spans="1:18">
      <c r="A1878">
        <v>15</v>
      </c>
      <c r="B1878" t="s">
        <v>405</v>
      </c>
      <c r="C1878" t="s">
        <v>483</v>
      </c>
      <c r="G1878">
        <v>17</v>
      </c>
      <c r="H1878" s="263"/>
      <c r="J1878" t="s">
        <v>22</v>
      </c>
      <c r="K1878" t="s">
        <v>30</v>
      </c>
      <c r="L1878" t="s">
        <v>33</v>
      </c>
      <c r="M1878" t="s">
        <v>493</v>
      </c>
      <c r="N1878" s="263">
        <v>0.3</v>
      </c>
      <c r="O1878" s="1">
        <f t="shared" si="69"/>
        <v>6</v>
      </c>
      <c r="P1878" t="s">
        <v>899</v>
      </c>
      <c r="R1878" t="s">
        <v>634</v>
      </c>
    </row>
    <row r="1879" spans="1:18">
      <c r="A1879">
        <v>15</v>
      </c>
      <c r="B1879" t="s">
        <v>405</v>
      </c>
      <c r="C1879" t="s">
        <v>483</v>
      </c>
      <c r="G1879">
        <v>18</v>
      </c>
      <c r="H1879" s="263"/>
      <c r="J1879" t="s">
        <v>22</v>
      </c>
      <c r="K1879" t="s">
        <v>30</v>
      </c>
      <c r="L1879" t="s">
        <v>33</v>
      </c>
      <c r="M1879" t="s">
        <v>493</v>
      </c>
      <c r="N1879" s="263">
        <v>0.3</v>
      </c>
      <c r="O1879" s="1">
        <f t="shared" si="69"/>
        <v>6</v>
      </c>
      <c r="P1879" t="s">
        <v>899</v>
      </c>
      <c r="R1879" t="s">
        <v>634</v>
      </c>
    </row>
    <row r="1880" spans="1:18">
      <c r="A1880">
        <v>15</v>
      </c>
      <c r="B1880" t="s">
        <v>405</v>
      </c>
      <c r="C1880" t="s">
        <v>483</v>
      </c>
      <c r="G1880">
        <v>19</v>
      </c>
      <c r="H1880" s="263"/>
      <c r="J1880" t="s">
        <v>22</v>
      </c>
      <c r="K1880" t="s">
        <v>30</v>
      </c>
      <c r="L1880" t="s">
        <v>33</v>
      </c>
      <c r="M1880" t="s">
        <v>493</v>
      </c>
      <c r="N1880" s="263">
        <v>0.3</v>
      </c>
      <c r="O1880" s="1">
        <f t="shared" si="69"/>
        <v>6</v>
      </c>
      <c r="P1880" t="s">
        <v>899</v>
      </c>
      <c r="R1880" t="s">
        <v>634</v>
      </c>
    </row>
    <row r="1881" spans="1:18">
      <c r="A1881">
        <v>15</v>
      </c>
      <c r="B1881" t="s">
        <v>405</v>
      </c>
      <c r="C1881" t="s">
        <v>483</v>
      </c>
      <c r="G1881">
        <v>20</v>
      </c>
      <c r="H1881" s="263"/>
      <c r="J1881" t="s">
        <v>22</v>
      </c>
      <c r="K1881" t="s">
        <v>30</v>
      </c>
      <c r="L1881" t="s">
        <v>33</v>
      </c>
      <c r="M1881" t="s">
        <v>493</v>
      </c>
      <c r="N1881" s="263">
        <v>0.3</v>
      </c>
      <c r="O1881" s="1">
        <f t="shared" si="69"/>
        <v>6</v>
      </c>
      <c r="P1881" t="s">
        <v>899</v>
      </c>
      <c r="R1881" t="s">
        <v>634</v>
      </c>
    </row>
    <row r="1882" spans="1:18">
      <c r="A1882">
        <v>15</v>
      </c>
      <c r="B1882" t="s">
        <v>405</v>
      </c>
      <c r="C1882" t="s">
        <v>483</v>
      </c>
      <c r="G1882">
        <v>21</v>
      </c>
      <c r="H1882" s="263"/>
      <c r="J1882" t="s">
        <v>22</v>
      </c>
      <c r="K1882" t="s">
        <v>30</v>
      </c>
      <c r="L1882" t="s">
        <v>33</v>
      </c>
      <c r="M1882" t="s">
        <v>493</v>
      </c>
      <c r="N1882" s="263">
        <v>0.3</v>
      </c>
      <c r="O1882" s="1">
        <f t="shared" si="69"/>
        <v>6</v>
      </c>
      <c r="P1882" t="s">
        <v>899</v>
      </c>
      <c r="R1882" t="s">
        <v>634</v>
      </c>
    </row>
    <row r="1883" spans="1:18">
      <c r="A1883">
        <v>15</v>
      </c>
      <c r="B1883" t="s">
        <v>405</v>
      </c>
      <c r="C1883" t="s">
        <v>483</v>
      </c>
      <c r="G1883">
        <v>22</v>
      </c>
      <c r="H1883" s="263"/>
      <c r="J1883" t="s">
        <v>22</v>
      </c>
      <c r="K1883" t="s">
        <v>30</v>
      </c>
      <c r="L1883" t="s">
        <v>33</v>
      </c>
      <c r="M1883" t="s">
        <v>493</v>
      </c>
      <c r="N1883" s="263">
        <v>0.3</v>
      </c>
      <c r="O1883" s="1">
        <f t="shared" si="69"/>
        <v>6</v>
      </c>
      <c r="P1883" t="s">
        <v>899</v>
      </c>
      <c r="R1883" t="s">
        <v>634</v>
      </c>
    </row>
    <row r="1884" spans="1:18" hidden="1">
      <c r="A1884">
        <v>15</v>
      </c>
      <c r="B1884" t="s">
        <v>405</v>
      </c>
      <c r="C1884" t="s">
        <v>483</v>
      </c>
      <c r="G1884">
        <v>4</v>
      </c>
      <c r="J1884" t="s">
        <v>22</v>
      </c>
      <c r="K1884" t="s">
        <v>408</v>
      </c>
      <c r="L1884" t="s">
        <v>33</v>
      </c>
      <c r="M1884" t="s">
        <v>494</v>
      </c>
      <c r="O1884" s="1">
        <v>5.14</v>
      </c>
      <c r="R1884" t="s">
        <v>634</v>
      </c>
    </row>
    <row r="1885" spans="1:18" hidden="1">
      <c r="A1885">
        <v>15</v>
      </c>
      <c r="B1885" t="s">
        <v>405</v>
      </c>
      <c r="C1885" t="s">
        <v>483</v>
      </c>
      <c r="G1885">
        <v>5</v>
      </c>
      <c r="J1885" t="s">
        <v>22</v>
      </c>
      <c r="K1885" t="s">
        <v>408</v>
      </c>
      <c r="L1885" t="s">
        <v>33</v>
      </c>
      <c r="M1885" t="s">
        <v>494</v>
      </c>
      <c r="O1885" s="1">
        <v>5.14</v>
      </c>
      <c r="R1885" t="s">
        <v>634</v>
      </c>
    </row>
    <row r="1886" spans="1:18" hidden="1">
      <c r="A1886">
        <v>15</v>
      </c>
      <c r="B1886" t="s">
        <v>405</v>
      </c>
      <c r="C1886" t="s">
        <v>483</v>
      </c>
      <c r="G1886">
        <v>6</v>
      </c>
      <c r="J1886" t="s">
        <v>22</v>
      </c>
      <c r="K1886" t="s">
        <v>408</v>
      </c>
      <c r="L1886" t="s">
        <v>33</v>
      </c>
      <c r="M1886" t="s">
        <v>494</v>
      </c>
      <c r="O1886" s="1">
        <v>5.14</v>
      </c>
      <c r="R1886" t="s">
        <v>634</v>
      </c>
    </row>
    <row r="1887" spans="1:18" hidden="1">
      <c r="A1887">
        <v>15</v>
      </c>
      <c r="B1887" t="s">
        <v>405</v>
      </c>
      <c r="C1887" t="s">
        <v>483</v>
      </c>
      <c r="G1887">
        <v>7</v>
      </c>
      <c r="J1887" t="s">
        <v>22</v>
      </c>
      <c r="K1887" t="s">
        <v>408</v>
      </c>
      <c r="L1887" t="s">
        <v>33</v>
      </c>
      <c r="M1887" t="s">
        <v>494</v>
      </c>
      <c r="O1887" s="1">
        <v>5.14</v>
      </c>
      <c r="R1887" t="s">
        <v>634</v>
      </c>
    </row>
    <row r="1888" spans="1:18" hidden="1">
      <c r="A1888">
        <v>15</v>
      </c>
      <c r="B1888" t="s">
        <v>405</v>
      </c>
      <c r="C1888" t="s">
        <v>483</v>
      </c>
      <c r="G1888">
        <v>8</v>
      </c>
      <c r="J1888" t="s">
        <v>22</v>
      </c>
      <c r="K1888" t="s">
        <v>408</v>
      </c>
      <c r="L1888" t="s">
        <v>33</v>
      </c>
      <c r="M1888" t="s">
        <v>494</v>
      </c>
      <c r="O1888" s="1">
        <v>5.14</v>
      </c>
      <c r="R1888" t="s">
        <v>634</v>
      </c>
    </row>
    <row r="1889" spans="1:18" hidden="1">
      <c r="A1889">
        <v>15</v>
      </c>
      <c r="B1889" t="s">
        <v>405</v>
      </c>
      <c r="C1889" t="s">
        <v>483</v>
      </c>
      <c r="G1889">
        <v>9</v>
      </c>
      <c r="J1889" t="s">
        <v>22</v>
      </c>
      <c r="K1889" t="s">
        <v>408</v>
      </c>
      <c r="L1889" t="s">
        <v>33</v>
      </c>
      <c r="M1889" t="s">
        <v>494</v>
      </c>
      <c r="O1889" s="1">
        <v>5.14</v>
      </c>
      <c r="R1889" t="s">
        <v>634</v>
      </c>
    </row>
    <row r="1890" spans="1:18" hidden="1">
      <c r="A1890">
        <v>15</v>
      </c>
      <c r="B1890" t="s">
        <v>405</v>
      </c>
      <c r="C1890" t="s">
        <v>483</v>
      </c>
      <c r="G1890">
        <v>10</v>
      </c>
      <c r="J1890" t="s">
        <v>22</v>
      </c>
      <c r="K1890" t="s">
        <v>408</v>
      </c>
      <c r="L1890" t="s">
        <v>33</v>
      </c>
      <c r="M1890" t="s">
        <v>494</v>
      </c>
      <c r="O1890" s="1">
        <v>5.14</v>
      </c>
      <c r="R1890" t="s">
        <v>634</v>
      </c>
    </row>
    <row r="1891" spans="1:18" hidden="1">
      <c r="A1891">
        <v>15</v>
      </c>
      <c r="B1891" t="s">
        <v>405</v>
      </c>
      <c r="C1891" t="s">
        <v>483</v>
      </c>
      <c r="G1891">
        <v>11</v>
      </c>
      <c r="J1891" t="s">
        <v>22</v>
      </c>
      <c r="K1891" t="s">
        <v>408</v>
      </c>
      <c r="L1891" t="s">
        <v>33</v>
      </c>
      <c r="M1891" t="s">
        <v>494</v>
      </c>
      <c r="O1891" s="1">
        <v>5.14</v>
      </c>
      <c r="R1891" t="s">
        <v>634</v>
      </c>
    </row>
    <row r="1892" spans="1:18" hidden="1">
      <c r="A1892">
        <v>15</v>
      </c>
      <c r="B1892" t="s">
        <v>405</v>
      </c>
      <c r="C1892" t="s">
        <v>483</v>
      </c>
      <c r="G1892">
        <v>12</v>
      </c>
      <c r="J1892" t="s">
        <v>22</v>
      </c>
      <c r="K1892" t="s">
        <v>408</v>
      </c>
      <c r="L1892" t="s">
        <v>33</v>
      </c>
      <c r="M1892" t="s">
        <v>494</v>
      </c>
      <c r="O1892" s="1">
        <v>5.14</v>
      </c>
      <c r="R1892" t="s">
        <v>634</v>
      </c>
    </row>
    <row r="1893" spans="1:18" hidden="1">
      <c r="A1893">
        <v>15</v>
      </c>
      <c r="B1893" t="s">
        <v>405</v>
      </c>
      <c r="C1893" t="s">
        <v>483</v>
      </c>
      <c r="G1893">
        <v>13</v>
      </c>
      <c r="J1893" t="s">
        <v>22</v>
      </c>
      <c r="K1893" t="s">
        <v>408</v>
      </c>
      <c r="L1893" t="s">
        <v>33</v>
      </c>
      <c r="M1893" t="s">
        <v>494</v>
      </c>
      <c r="O1893" s="1">
        <v>5.14</v>
      </c>
      <c r="R1893" t="s">
        <v>634</v>
      </c>
    </row>
    <row r="1894" spans="1:18" hidden="1">
      <c r="A1894">
        <v>15</v>
      </c>
      <c r="B1894" t="s">
        <v>405</v>
      </c>
      <c r="C1894" t="s">
        <v>483</v>
      </c>
      <c r="G1894">
        <v>14</v>
      </c>
      <c r="J1894" t="s">
        <v>22</v>
      </c>
      <c r="K1894" t="s">
        <v>408</v>
      </c>
      <c r="L1894" t="s">
        <v>33</v>
      </c>
      <c r="M1894" t="s">
        <v>494</v>
      </c>
      <c r="O1894" s="1">
        <v>5.14</v>
      </c>
      <c r="R1894" t="s">
        <v>634</v>
      </c>
    </row>
    <row r="1895" spans="1:18" hidden="1">
      <c r="A1895">
        <v>15</v>
      </c>
      <c r="B1895" t="s">
        <v>405</v>
      </c>
      <c r="C1895" t="s">
        <v>483</v>
      </c>
      <c r="G1895">
        <v>15</v>
      </c>
      <c r="J1895" t="s">
        <v>22</v>
      </c>
      <c r="K1895" t="s">
        <v>408</v>
      </c>
      <c r="L1895" t="s">
        <v>33</v>
      </c>
      <c r="M1895" t="s">
        <v>494</v>
      </c>
      <c r="O1895" s="1">
        <v>5.14</v>
      </c>
      <c r="R1895" t="s">
        <v>634</v>
      </c>
    </row>
    <row r="1896" spans="1:18" hidden="1">
      <c r="A1896">
        <v>15</v>
      </c>
      <c r="B1896" t="s">
        <v>405</v>
      </c>
      <c r="C1896" t="s">
        <v>483</v>
      </c>
      <c r="G1896">
        <v>16</v>
      </c>
      <c r="J1896" t="s">
        <v>22</v>
      </c>
      <c r="K1896" t="s">
        <v>408</v>
      </c>
      <c r="L1896" t="s">
        <v>33</v>
      </c>
      <c r="M1896" t="s">
        <v>494</v>
      </c>
      <c r="O1896" s="1">
        <v>5.14</v>
      </c>
      <c r="R1896" t="s">
        <v>634</v>
      </c>
    </row>
    <row r="1897" spans="1:18" hidden="1">
      <c r="A1897">
        <v>15</v>
      </c>
      <c r="B1897" t="s">
        <v>405</v>
      </c>
      <c r="C1897" t="s">
        <v>483</v>
      </c>
      <c r="G1897">
        <v>17</v>
      </c>
      <c r="J1897" t="s">
        <v>22</v>
      </c>
      <c r="K1897" t="s">
        <v>408</v>
      </c>
      <c r="L1897" t="s">
        <v>33</v>
      </c>
      <c r="M1897" t="s">
        <v>494</v>
      </c>
      <c r="O1897" s="1">
        <v>5.14</v>
      </c>
      <c r="R1897" t="s">
        <v>634</v>
      </c>
    </row>
    <row r="1898" spans="1:18" hidden="1">
      <c r="A1898">
        <v>15</v>
      </c>
      <c r="B1898" t="s">
        <v>405</v>
      </c>
      <c r="C1898" t="s">
        <v>483</v>
      </c>
      <c r="G1898">
        <v>18</v>
      </c>
      <c r="J1898" t="s">
        <v>22</v>
      </c>
      <c r="K1898" t="s">
        <v>408</v>
      </c>
      <c r="L1898" t="s">
        <v>33</v>
      </c>
      <c r="M1898" t="s">
        <v>494</v>
      </c>
      <c r="O1898" s="1">
        <v>5.14</v>
      </c>
      <c r="R1898" t="s">
        <v>634</v>
      </c>
    </row>
    <row r="1899" spans="1:18" hidden="1">
      <c r="A1899">
        <v>15</v>
      </c>
      <c r="B1899" t="s">
        <v>405</v>
      </c>
      <c r="C1899" t="s">
        <v>483</v>
      </c>
      <c r="G1899">
        <v>19</v>
      </c>
      <c r="J1899" t="s">
        <v>22</v>
      </c>
      <c r="K1899" t="s">
        <v>408</v>
      </c>
      <c r="L1899" t="s">
        <v>33</v>
      </c>
      <c r="M1899" t="s">
        <v>494</v>
      </c>
      <c r="O1899" s="1">
        <v>5.14</v>
      </c>
      <c r="R1899" t="s">
        <v>634</v>
      </c>
    </row>
    <row r="1900" spans="1:18" hidden="1">
      <c r="A1900">
        <v>15</v>
      </c>
      <c r="B1900" t="s">
        <v>405</v>
      </c>
      <c r="C1900" t="s">
        <v>483</v>
      </c>
      <c r="G1900">
        <v>20</v>
      </c>
      <c r="J1900" t="s">
        <v>22</v>
      </c>
      <c r="K1900" t="s">
        <v>408</v>
      </c>
      <c r="L1900" t="s">
        <v>33</v>
      </c>
      <c r="M1900" t="s">
        <v>494</v>
      </c>
      <c r="O1900" s="1">
        <v>5.14</v>
      </c>
      <c r="R1900" t="s">
        <v>634</v>
      </c>
    </row>
    <row r="1901" spans="1:18" hidden="1">
      <c r="A1901">
        <v>15</v>
      </c>
      <c r="B1901" t="s">
        <v>405</v>
      </c>
      <c r="C1901" t="s">
        <v>483</v>
      </c>
      <c r="G1901">
        <v>21</v>
      </c>
      <c r="J1901" t="s">
        <v>22</v>
      </c>
      <c r="K1901" t="s">
        <v>408</v>
      </c>
      <c r="L1901" t="s">
        <v>33</v>
      </c>
      <c r="M1901" t="s">
        <v>494</v>
      </c>
      <c r="O1901" s="1">
        <v>5.14</v>
      </c>
      <c r="R1901" t="s">
        <v>634</v>
      </c>
    </row>
    <row r="1902" spans="1:18" hidden="1">
      <c r="A1902">
        <v>15</v>
      </c>
      <c r="B1902" t="s">
        <v>405</v>
      </c>
      <c r="C1902" t="s">
        <v>483</v>
      </c>
      <c r="G1902">
        <v>22</v>
      </c>
      <c r="J1902" t="s">
        <v>22</v>
      </c>
      <c r="K1902" t="s">
        <v>408</v>
      </c>
      <c r="L1902" t="s">
        <v>33</v>
      </c>
      <c r="M1902" t="s">
        <v>494</v>
      </c>
      <c r="O1902" s="1">
        <v>5.14</v>
      </c>
      <c r="R1902" t="s">
        <v>634</v>
      </c>
    </row>
    <row r="1903" spans="1:18" hidden="1">
      <c r="A1903">
        <v>15</v>
      </c>
      <c r="B1903" t="s">
        <v>405</v>
      </c>
      <c r="C1903" t="s">
        <v>483</v>
      </c>
      <c r="G1903">
        <v>4</v>
      </c>
      <c r="J1903" t="s">
        <v>22</v>
      </c>
      <c r="K1903" t="s">
        <v>71</v>
      </c>
      <c r="L1903" t="s">
        <v>33</v>
      </c>
      <c r="M1903" t="s">
        <v>495</v>
      </c>
      <c r="O1903" s="1">
        <f>500*0.15/3</f>
        <v>25</v>
      </c>
      <c r="P1903" t="s">
        <v>977</v>
      </c>
      <c r="R1903" t="s">
        <v>634</v>
      </c>
    </row>
    <row r="1904" spans="1:18" hidden="1">
      <c r="A1904">
        <v>15</v>
      </c>
      <c r="B1904" t="s">
        <v>405</v>
      </c>
      <c r="C1904" t="s">
        <v>483</v>
      </c>
      <c r="G1904">
        <v>5</v>
      </c>
      <c r="J1904" t="s">
        <v>22</v>
      </c>
      <c r="K1904" t="s">
        <v>71</v>
      </c>
      <c r="L1904" t="s">
        <v>33</v>
      </c>
      <c r="M1904" t="s">
        <v>495</v>
      </c>
      <c r="O1904" s="1">
        <f t="shared" ref="O1904:O1921" si="70">500*0.15/3</f>
        <v>25</v>
      </c>
      <c r="P1904" t="s">
        <v>977</v>
      </c>
      <c r="R1904" t="s">
        <v>634</v>
      </c>
    </row>
    <row r="1905" spans="1:18" hidden="1">
      <c r="A1905">
        <v>15</v>
      </c>
      <c r="B1905" t="s">
        <v>405</v>
      </c>
      <c r="C1905" t="s">
        <v>483</v>
      </c>
      <c r="G1905">
        <v>6</v>
      </c>
      <c r="J1905" t="s">
        <v>22</v>
      </c>
      <c r="K1905" t="s">
        <v>71</v>
      </c>
      <c r="L1905" t="s">
        <v>33</v>
      </c>
      <c r="M1905" t="s">
        <v>495</v>
      </c>
      <c r="O1905" s="1">
        <f t="shared" si="70"/>
        <v>25</v>
      </c>
      <c r="P1905" t="s">
        <v>977</v>
      </c>
      <c r="R1905" t="s">
        <v>634</v>
      </c>
    </row>
    <row r="1906" spans="1:18" hidden="1">
      <c r="A1906">
        <v>15</v>
      </c>
      <c r="B1906" t="s">
        <v>405</v>
      </c>
      <c r="C1906" t="s">
        <v>483</v>
      </c>
      <c r="G1906">
        <v>7</v>
      </c>
      <c r="J1906" t="s">
        <v>22</v>
      </c>
      <c r="K1906" t="s">
        <v>71</v>
      </c>
      <c r="L1906" t="s">
        <v>33</v>
      </c>
      <c r="M1906" t="s">
        <v>495</v>
      </c>
      <c r="O1906" s="1">
        <f t="shared" si="70"/>
        <v>25</v>
      </c>
      <c r="P1906" t="s">
        <v>977</v>
      </c>
      <c r="R1906" t="s">
        <v>634</v>
      </c>
    </row>
    <row r="1907" spans="1:18" hidden="1">
      <c r="A1907">
        <v>15</v>
      </c>
      <c r="B1907" t="s">
        <v>405</v>
      </c>
      <c r="C1907" t="s">
        <v>483</v>
      </c>
      <c r="G1907">
        <v>8</v>
      </c>
      <c r="J1907" t="s">
        <v>22</v>
      </c>
      <c r="K1907" t="s">
        <v>71</v>
      </c>
      <c r="L1907" t="s">
        <v>33</v>
      </c>
      <c r="M1907" t="s">
        <v>495</v>
      </c>
      <c r="O1907" s="1">
        <f t="shared" si="70"/>
        <v>25</v>
      </c>
      <c r="P1907" t="s">
        <v>977</v>
      </c>
      <c r="R1907" t="s">
        <v>634</v>
      </c>
    </row>
    <row r="1908" spans="1:18" hidden="1">
      <c r="A1908">
        <v>15</v>
      </c>
      <c r="B1908" t="s">
        <v>405</v>
      </c>
      <c r="C1908" t="s">
        <v>483</v>
      </c>
      <c r="G1908">
        <v>9</v>
      </c>
      <c r="J1908" t="s">
        <v>22</v>
      </c>
      <c r="K1908" t="s">
        <v>71</v>
      </c>
      <c r="L1908" t="s">
        <v>33</v>
      </c>
      <c r="M1908" t="s">
        <v>495</v>
      </c>
      <c r="O1908" s="1">
        <f t="shared" si="70"/>
        <v>25</v>
      </c>
      <c r="P1908" t="s">
        <v>977</v>
      </c>
      <c r="R1908" t="s">
        <v>634</v>
      </c>
    </row>
    <row r="1909" spans="1:18" hidden="1">
      <c r="A1909">
        <v>15</v>
      </c>
      <c r="B1909" t="s">
        <v>405</v>
      </c>
      <c r="C1909" t="s">
        <v>483</v>
      </c>
      <c r="G1909">
        <v>10</v>
      </c>
      <c r="J1909" t="s">
        <v>22</v>
      </c>
      <c r="K1909" t="s">
        <v>71</v>
      </c>
      <c r="L1909" t="s">
        <v>33</v>
      </c>
      <c r="M1909" t="s">
        <v>495</v>
      </c>
      <c r="O1909" s="1">
        <f t="shared" si="70"/>
        <v>25</v>
      </c>
      <c r="P1909" t="s">
        <v>977</v>
      </c>
      <c r="R1909" t="s">
        <v>634</v>
      </c>
    </row>
    <row r="1910" spans="1:18" hidden="1">
      <c r="A1910">
        <v>15</v>
      </c>
      <c r="B1910" t="s">
        <v>405</v>
      </c>
      <c r="C1910" t="s">
        <v>483</v>
      </c>
      <c r="G1910">
        <v>11</v>
      </c>
      <c r="J1910" t="s">
        <v>22</v>
      </c>
      <c r="K1910" t="s">
        <v>71</v>
      </c>
      <c r="L1910" t="s">
        <v>33</v>
      </c>
      <c r="M1910" t="s">
        <v>495</v>
      </c>
      <c r="O1910" s="1">
        <f t="shared" si="70"/>
        <v>25</v>
      </c>
      <c r="P1910" t="s">
        <v>977</v>
      </c>
      <c r="R1910" t="s">
        <v>634</v>
      </c>
    </row>
    <row r="1911" spans="1:18" hidden="1">
      <c r="A1911">
        <v>15</v>
      </c>
      <c r="B1911" t="s">
        <v>405</v>
      </c>
      <c r="C1911" t="s">
        <v>483</v>
      </c>
      <c r="G1911">
        <v>12</v>
      </c>
      <c r="J1911" t="s">
        <v>22</v>
      </c>
      <c r="K1911" t="s">
        <v>71</v>
      </c>
      <c r="L1911" t="s">
        <v>33</v>
      </c>
      <c r="M1911" t="s">
        <v>495</v>
      </c>
      <c r="O1911" s="1">
        <f t="shared" si="70"/>
        <v>25</v>
      </c>
      <c r="P1911" t="s">
        <v>977</v>
      </c>
      <c r="R1911" t="s">
        <v>634</v>
      </c>
    </row>
    <row r="1912" spans="1:18" hidden="1">
      <c r="A1912">
        <v>15</v>
      </c>
      <c r="B1912" t="s">
        <v>405</v>
      </c>
      <c r="C1912" t="s">
        <v>483</v>
      </c>
      <c r="G1912">
        <v>13</v>
      </c>
      <c r="J1912" t="s">
        <v>22</v>
      </c>
      <c r="K1912" t="s">
        <v>71</v>
      </c>
      <c r="L1912" t="s">
        <v>33</v>
      </c>
      <c r="M1912" t="s">
        <v>495</v>
      </c>
      <c r="O1912" s="1">
        <f t="shared" si="70"/>
        <v>25</v>
      </c>
      <c r="P1912" t="s">
        <v>977</v>
      </c>
      <c r="R1912" t="s">
        <v>634</v>
      </c>
    </row>
    <row r="1913" spans="1:18" hidden="1">
      <c r="A1913">
        <v>15</v>
      </c>
      <c r="B1913" t="s">
        <v>405</v>
      </c>
      <c r="C1913" t="s">
        <v>483</v>
      </c>
      <c r="G1913">
        <v>14</v>
      </c>
      <c r="J1913" t="s">
        <v>22</v>
      </c>
      <c r="K1913" t="s">
        <v>71</v>
      </c>
      <c r="L1913" t="s">
        <v>33</v>
      </c>
      <c r="M1913" t="s">
        <v>495</v>
      </c>
      <c r="O1913" s="1">
        <f t="shared" si="70"/>
        <v>25</v>
      </c>
      <c r="P1913" t="s">
        <v>977</v>
      </c>
      <c r="R1913" t="s">
        <v>634</v>
      </c>
    </row>
    <row r="1914" spans="1:18" hidden="1">
      <c r="A1914">
        <v>15</v>
      </c>
      <c r="B1914" t="s">
        <v>405</v>
      </c>
      <c r="C1914" t="s">
        <v>483</v>
      </c>
      <c r="G1914">
        <v>15</v>
      </c>
      <c r="J1914" t="s">
        <v>22</v>
      </c>
      <c r="K1914" t="s">
        <v>71</v>
      </c>
      <c r="L1914" t="s">
        <v>33</v>
      </c>
      <c r="M1914" t="s">
        <v>495</v>
      </c>
      <c r="O1914" s="1">
        <f t="shared" si="70"/>
        <v>25</v>
      </c>
      <c r="P1914" t="s">
        <v>977</v>
      </c>
      <c r="R1914" t="s">
        <v>634</v>
      </c>
    </row>
    <row r="1915" spans="1:18" hidden="1">
      <c r="A1915">
        <v>15</v>
      </c>
      <c r="B1915" t="s">
        <v>405</v>
      </c>
      <c r="C1915" t="s">
        <v>483</v>
      </c>
      <c r="G1915">
        <v>16</v>
      </c>
      <c r="J1915" t="s">
        <v>22</v>
      </c>
      <c r="K1915" t="s">
        <v>71</v>
      </c>
      <c r="L1915" t="s">
        <v>33</v>
      </c>
      <c r="M1915" t="s">
        <v>495</v>
      </c>
      <c r="O1915" s="1">
        <f t="shared" si="70"/>
        <v>25</v>
      </c>
      <c r="P1915" t="s">
        <v>977</v>
      </c>
      <c r="R1915" t="s">
        <v>634</v>
      </c>
    </row>
    <row r="1916" spans="1:18" hidden="1">
      <c r="A1916">
        <v>15</v>
      </c>
      <c r="B1916" t="s">
        <v>405</v>
      </c>
      <c r="C1916" t="s">
        <v>483</v>
      </c>
      <c r="G1916">
        <v>17</v>
      </c>
      <c r="J1916" t="s">
        <v>22</v>
      </c>
      <c r="K1916" t="s">
        <v>71</v>
      </c>
      <c r="L1916" t="s">
        <v>33</v>
      </c>
      <c r="M1916" t="s">
        <v>495</v>
      </c>
      <c r="O1916" s="1">
        <f t="shared" si="70"/>
        <v>25</v>
      </c>
      <c r="P1916" t="s">
        <v>977</v>
      </c>
      <c r="R1916" t="s">
        <v>634</v>
      </c>
    </row>
    <row r="1917" spans="1:18" hidden="1">
      <c r="A1917">
        <v>15</v>
      </c>
      <c r="B1917" t="s">
        <v>405</v>
      </c>
      <c r="C1917" t="s">
        <v>483</v>
      </c>
      <c r="G1917">
        <v>18</v>
      </c>
      <c r="J1917" t="s">
        <v>22</v>
      </c>
      <c r="K1917" t="s">
        <v>71</v>
      </c>
      <c r="L1917" t="s">
        <v>33</v>
      </c>
      <c r="M1917" t="s">
        <v>495</v>
      </c>
      <c r="O1917" s="1">
        <f t="shared" si="70"/>
        <v>25</v>
      </c>
      <c r="P1917" t="s">
        <v>977</v>
      </c>
      <c r="R1917" t="s">
        <v>634</v>
      </c>
    </row>
    <row r="1918" spans="1:18" hidden="1">
      <c r="A1918">
        <v>15</v>
      </c>
      <c r="B1918" t="s">
        <v>405</v>
      </c>
      <c r="C1918" t="s">
        <v>483</v>
      </c>
      <c r="G1918">
        <v>19</v>
      </c>
      <c r="J1918" t="s">
        <v>22</v>
      </c>
      <c r="K1918" t="s">
        <v>71</v>
      </c>
      <c r="L1918" t="s">
        <v>33</v>
      </c>
      <c r="M1918" t="s">
        <v>495</v>
      </c>
      <c r="O1918" s="1">
        <f t="shared" si="70"/>
        <v>25</v>
      </c>
      <c r="P1918" t="s">
        <v>977</v>
      </c>
      <c r="R1918" t="s">
        <v>634</v>
      </c>
    </row>
    <row r="1919" spans="1:18" hidden="1">
      <c r="A1919">
        <v>15</v>
      </c>
      <c r="B1919" t="s">
        <v>405</v>
      </c>
      <c r="C1919" t="s">
        <v>483</v>
      </c>
      <c r="G1919">
        <v>20</v>
      </c>
      <c r="J1919" t="s">
        <v>22</v>
      </c>
      <c r="K1919" t="s">
        <v>71</v>
      </c>
      <c r="L1919" t="s">
        <v>33</v>
      </c>
      <c r="M1919" t="s">
        <v>495</v>
      </c>
      <c r="O1919" s="1">
        <f t="shared" si="70"/>
        <v>25</v>
      </c>
      <c r="P1919" t="s">
        <v>977</v>
      </c>
      <c r="R1919" t="s">
        <v>634</v>
      </c>
    </row>
    <row r="1920" spans="1:18" hidden="1">
      <c r="A1920">
        <v>15</v>
      </c>
      <c r="B1920" t="s">
        <v>405</v>
      </c>
      <c r="C1920" t="s">
        <v>483</v>
      </c>
      <c r="G1920">
        <v>21</v>
      </c>
      <c r="J1920" t="s">
        <v>22</v>
      </c>
      <c r="K1920" t="s">
        <v>71</v>
      </c>
      <c r="L1920" t="s">
        <v>33</v>
      </c>
      <c r="M1920" t="s">
        <v>495</v>
      </c>
      <c r="O1920" s="1">
        <f t="shared" si="70"/>
        <v>25</v>
      </c>
      <c r="P1920" t="s">
        <v>977</v>
      </c>
      <c r="R1920" t="s">
        <v>634</v>
      </c>
    </row>
    <row r="1921" spans="1:18" hidden="1">
      <c r="A1921">
        <v>15</v>
      </c>
      <c r="B1921" t="s">
        <v>405</v>
      </c>
      <c r="C1921" t="s">
        <v>483</v>
      </c>
      <c r="G1921">
        <v>22</v>
      </c>
      <c r="J1921" t="s">
        <v>22</v>
      </c>
      <c r="K1921" t="s">
        <v>71</v>
      </c>
      <c r="L1921" t="s">
        <v>33</v>
      </c>
      <c r="M1921" t="s">
        <v>495</v>
      </c>
      <c r="O1921" s="1">
        <f t="shared" si="70"/>
        <v>25</v>
      </c>
      <c r="P1921" t="s">
        <v>977</v>
      </c>
      <c r="R1921" t="s">
        <v>634</v>
      </c>
    </row>
    <row r="1922" spans="1:18" hidden="1">
      <c r="A1922">
        <v>15</v>
      </c>
      <c r="B1922" t="s">
        <v>405</v>
      </c>
      <c r="C1922" t="s">
        <v>483</v>
      </c>
      <c r="G1922">
        <v>4</v>
      </c>
      <c r="J1922" t="s">
        <v>22</v>
      </c>
      <c r="K1922" t="s">
        <v>26</v>
      </c>
      <c r="L1922" t="s">
        <v>32</v>
      </c>
      <c r="M1922" t="s">
        <v>633</v>
      </c>
      <c r="O1922" s="1">
        <v>109</v>
      </c>
      <c r="R1922" t="s">
        <v>634</v>
      </c>
    </row>
    <row r="1923" spans="1:18" hidden="1">
      <c r="A1923">
        <v>15</v>
      </c>
      <c r="B1923" t="s">
        <v>405</v>
      </c>
      <c r="C1923" t="s">
        <v>483</v>
      </c>
      <c r="G1923">
        <v>5</v>
      </c>
      <c r="J1923" t="s">
        <v>22</v>
      </c>
      <c r="K1923" t="s">
        <v>26</v>
      </c>
      <c r="L1923" t="s">
        <v>32</v>
      </c>
      <c r="M1923" t="s">
        <v>633</v>
      </c>
      <c r="O1923" s="1">
        <v>109</v>
      </c>
      <c r="R1923" t="s">
        <v>634</v>
      </c>
    </row>
    <row r="1924" spans="1:18" hidden="1">
      <c r="A1924">
        <v>15</v>
      </c>
      <c r="B1924" t="s">
        <v>405</v>
      </c>
      <c r="C1924" t="s">
        <v>483</v>
      </c>
      <c r="G1924">
        <v>6</v>
      </c>
      <c r="J1924" t="s">
        <v>22</v>
      </c>
      <c r="K1924" t="s">
        <v>26</v>
      </c>
      <c r="L1924" t="s">
        <v>32</v>
      </c>
      <c r="M1924" t="s">
        <v>633</v>
      </c>
      <c r="O1924" s="1">
        <v>109</v>
      </c>
      <c r="R1924" t="s">
        <v>634</v>
      </c>
    </row>
    <row r="1925" spans="1:18" hidden="1">
      <c r="A1925">
        <v>15</v>
      </c>
      <c r="B1925" t="s">
        <v>405</v>
      </c>
      <c r="C1925" t="s">
        <v>483</v>
      </c>
      <c r="G1925">
        <v>7</v>
      </c>
      <c r="J1925" t="s">
        <v>22</v>
      </c>
      <c r="K1925" t="s">
        <v>26</v>
      </c>
      <c r="L1925" t="s">
        <v>32</v>
      </c>
      <c r="M1925" t="s">
        <v>633</v>
      </c>
      <c r="O1925" s="1">
        <v>109</v>
      </c>
      <c r="R1925" t="s">
        <v>634</v>
      </c>
    </row>
    <row r="1926" spans="1:18" hidden="1">
      <c r="A1926">
        <v>15</v>
      </c>
      <c r="B1926" t="s">
        <v>405</v>
      </c>
      <c r="C1926" t="s">
        <v>483</v>
      </c>
      <c r="G1926">
        <v>8</v>
      </c>
      <c r="J1926" t="s">
        <v>22</v>
      </c>
      <c r="K1926" t="s">
        <v>26</v>
      </c>
      <c r="L1926" t="s">
        <v>32</v>
      </c>
      <c r="M1926" t="s">
        <v>633</v>
      </c>
      <c r="O1926" s="1">
        <v>109</v>
      </c>
      <c r="R1926" t="s">
        <v>634</v>
      </c>
    </row>
    <row r="1927" spans="1:18" hidden="1">
      <c r="A1927">
        <v>15</v>
      </c>
      <c r="B1927" t="s">
        <v>405</v>
      </c>
      <c r="C1927" t="s">
        <v>483</v>
      </c>
      <c r="G1927">
        <v>9</v>
      </c>
      <c r="J1927" t="s">
        <v>22</v>
      </c>
      <c r="K1927" t="s">
        <v>26</v>
      </c>
      <c r="L1927" t="s">
        <v>32</v>
      </c>
      <c r="M1927" t="s">
        <v>633</v>
      </c>
      <c r="O1927" s="1">
        <v>109</v>
      </c>
      <c r="R1927" t="s">
        <v>634</v>
      </c>
    </row>
    <row r="1928" spans="1:18" hidden="1">
      <c r="A1928">
        <v>15</v>
      </c>
      <c r="B1928" t="s">
        <v>405</v>
      </c>
      <c r="C1928" t="s">
        <v>483</v>
      </c>
      <c r="G1928">
        <v>10</v>
      </c>
      <c r="J1928" t="s">
        <v>22</v>
      </c>
      <c r="K1928" t="s">
        <v>26</v>
      </c>
      <c r="L1928" t="s">
        <v>32</v>
      </c>
      <c r="M1928" t="s">
        <v>633</v>
      </c>
      <c r="O1928" s="1">
        <v>109</v>
      </c>
      <c r="R1928" t="s">
        <v>634</v>
      </c>
    </row>
    <row r="1929" spans="1:18" hidden="1">
      <c r="A1929">
        <v>15</v>
      </c>
      <c r="B1929" t="s">
        <v>405</v>
      </c>
      <c r="C1929" t="s">
        <v>483</v>
      </c>
      <c r="G1929">
        <v>11</v>
      </c>
      <c r="J1929" t="s">
        <v>22</v>
      </c>
      <c r="K1929" t="s">
        <v>26</v>
      </c>
      <c r="L1929" t="s">
        <v>32</v>
      </c>
      <c r="M1929" t="s">
        <v>633</v>
      </c>
      <c r="O1929" s="1">
        <v>109</v>
      </c>
      <c r="R1929" t="s">
        <v>634</v>
      </c>
    </row>
    <row r="1930" spans="1:18" hidden="1">
      <c r="A1930">
        <v>15</v>
      </c>
      <c r="B1930" t="s">
        <v>405</v>
      </c>
      <c r="C1930" t="s">
        <v>483</v>
      </c>
      <c r="G1930">
        <v>12</v>
      </c>
      <c r="J1930" t="s">
        <v>22</v>
      </c>
      <c r="K1930" t="s">
        <v>26</v>
      </c>
      <c r="L1930" t="s">
        <v>32</v>
      </c>
      <c r="M1930" t="s">
        <v>633</v>
      </c>
      <c r="O1930" s="1">
        <v>109</v>
      </c>
      <c r="R1930" t="s">
        <v>634</v>
      </c>
    </row>
    <row r="1931" spans="1:18" hidden="1">
      <c r="A1931">
        <v>15</v>
      </c>
      <c r="B1931" t="s">
        <v>405</v>
      </c>
      <c r="C1931" t="s">
        <v>483</v>
      </c>
      <c r="G1931">
        <v>13</v>
      </c>
      <c r="J1931" t="s">
        <v>22</v>
      </c>
      <c r="K1931" t="s">
        <v>26</v>
      </c>
      <c r="L1931" t="s">
        <v>32</v>
      </c>
      <c r="M1931" t="s">
        <v>633</v>
      </c>
      <c r="O1931" s="1">
        <v>109</v>
      </c>
      <c r="R1931" t="s">
        <v>634</v>
      </c>
    </row>
    <row r="1932" spans="1:18" hidden="1">
      <c r="A1932">
        <v>15</v>
      </c>
      <c r="B1932" t="s">
        <v>405</v>
      </c>
      <c r="C1932" t="s">
        <v>483</v>
      </c>
      <c r="G1932">
        <v>14</v>
      </c>
      <c r="J1932" t="s">
        <v>22</v>
      </c>
      <c r="K1932" t="s">
        <v>26</v>
      </c>
      <c r="L1932" t="s">
        <v>32</v>
      </c>
      <c r="M1932" t="s">
        <v>633</v>
      </c>
      <c r="O1932" s="1">
        <v>109</v>
      </c>
      <c r="R1932" t="s">
        <v>634</v>
      </c>
    </row>
    <row r="1933" spans="1:18" hidden="1">
      <c r="A1933">
        <v>15</v>
      </c>
      <c r="B1933" t="s">
        <v>405</v>
      </c>
      <c r="C1933" t="s">
        <v>483</v>
      </c>
      <c r="G1933">
        <v>15</v>
      </c>
      <c r="J1933" t="s">
        <v>22</v>
      </c>
      <c r="K1933" t="s">
        <v>26</v>
      </c>
      <c r="L1933" t="s">
        <v>32</v>
      </c>
      <c r="M1933" t="s">
        <v>633</v>
      </c>
      <c r="O1933" s="1">
        <v>109</v>
      </c>
      <c r="R1933" t="s">
        <v>634</v>
      </c>
    </row>
    <row r="1934" spans="1:18" hidden="1">
      <c r="A1934">
        <v>15</v>
      </c>
      <c r="B1934" t="s">
        <v>405</v>
      </c>
      <c r="C1934" t="s">
        <v>483</v>
      </c>
      <c r="G1934">
        <v>16</v>
      </c>
      <c r="J1934" t="s">
        <v>22</v>
      </c>
      <c r="K1934" t="s">
        <v>26</v>
      </c>
      <c r="L1934" t="s">
        <v>32</v>
      </c>
      <c r="M1934" t="s">
        <v>633</v>
      </c>
      <c r="O1934" s="1">
        <v>109</v>
      </c>
      <c r="R1934" t="s">
        <v>634</v>
      </c>
    </row>
    <row r="1935" spans="1:18" hidden="1">
      <c r="A1935">
        <v>15</v>
      </c>
      <c r="B1935" t="s">
        <v>405</v>
      </c>
      <c r="C1935" t="s">
        <v>483</v>
      </c>
      <c r="G1935">
        <v>17</v>
      </c>
      <c r="J1935" t="s">
        <v>22</v>
      </c>
      <c r="K1935" t="s">
        <v>26</v>
      </c>
      <c r="L1935" t="s">
        <v>32</v>
      </c>
      <c r="M1935" t="s">
        <v>633</v>
      </c>
      <c r="O1935" s="1">
        <v>109</v>
      </c>
      <c r="R1935" t="s">
        <v>634</v>
      </c>
    </row>
    <row r="1936" spans="1:18" hidden="1">
      <c r="A1936">
        <v>15</v>
      </c>
      <c r="B1936" t="s">
        <v>405</v>
      </c>
      <c r="C1936" t="s">
        <v>483</v>
      </c>
      <c r="G1936">
        <v>18</v>
      </c>
      <c r="J1936" t="s">
        <v>22</v>
      </c>
      <c r="K1936" t="s">
        <v>26</v>
      </c>
      <c r="L1936" t="s">
        <v>32</v>
      </c>
      <c r="M1936" t="s">
        <v>633</v>
      </c>
      <c r="O1936" s="1">
        <v>109</v>
      </c>
      <c r="R1936" t="s">
        <v>634</v>
      </c>
    </row>
    <row r="1937" spans="1:18" hidden="1">
      <c r="A1937">
        <v>15</v>
      </c>
      <c r="B1937" t="s">
        <v>405</v>
      </c>
      <c r="C1937" t="s">
        <v>483</v>
      </c>
      <c r="G1937">
        <v>19</v>
      </c>
      <c r="J1937" t="s">
        <v>22</v>
      </c>
      <c r="K1937" t="s">
        <v>26</v>
      </c>
      <c r="L1937" t="s">
        <v>32</v>
      </c>
      <c r="M1937" t="s">
        <v>633</v>
      </c>
      <c r="O1937" s="1">
        <v>109</v>
      </c>
      <c r="R1937" t="s">
        <v>634</v>
      </c>
    </row>
    <row r="1938" spans="1:18" hidden="1">
      <c r="A1938">
        <v>15</v>
      </c>
      <c r="B1938" t="s">
        <v>405</v>
      </c>
      <c r="C1938" t="s">
        <v>483</v>
      </c>
      <c r="G1938">
        <v>20</v>
      </c>
      <c r="J1938" t="s">
        <v>22</v>
      </c>
      <c r="K1938" t="s">
        <v>26</v>
      </c>
      <c r="L1938" t="s">
        <v>32</v>
      </c>
      <c r="M1938" t="s">
        <v>633</v>
      </c>
      <c r="O1938" s="1">
        <v>109</v>
      </c>
      <c r="R1938" t="s">
        <v>634</v>
      </c>
    </row>
    <row r="1939" spans="1:18" hidden="1">
      <c r="A1939">
        <v>15</v>
      </c>
      <c r="B1939" t="s">
        <v>405</v>
      </c>
      <c r="C1939" t="s">
        <v>483</v>
      </c>
      <c r="G1939">
        <v>21</v>
      </c>
      <c r="J1939" t="s">
        <v>22</v>
      </c>
      <c r="K1939" t="s">
        <v>26</v>
      </c>
      <c r="L1939" t="s">
        <v>32</v>
      </c>
      <c r="M1939" t="s">
        <v>633</v>
      </c>
      <c r="O1939" s="1">
        <v>109</v>
      </c>
      <c r="Q1939" t="s">
        <v>941</v>
      </c>
      <c r="R1939" t="s">
        <v>634</v>
      </c>
    </row>
    <row r="1940" spans="1:18" hidden="1">
      <c r="A1940">
        <v>15</v>
      </c>
      <c r="B1940" t="s">
        <v>405</v>
      </c>
      <c r="C1940" t="s">
        <v>483</v>
      </c>
      <c r="G1940">
        <v>22</v>
      </c>
      <c r="J1940" t="s">
        <v>22</v>
      </c>
      <c r="K1940" t="s">
        <v>26</v>
      </c>
      <c r="L1940" t="s">
        <v>32</v>
      </c>
      <c r="M1940" t="s">
        <v>633</v>
      </c>
      <c r="O1940" s="1">
        <v>109</v>
      </c>
      <c r="Q1940" s="1">
        <f>SUM(O117:O1940)</f>
        <v>52487.405000000239</v>
      </c>
      <c r="R1940" t="s">
        <v>634</v>
      </c>
    </row>
    <row r="1941" spans="1:18" hidden="1">
      <c r="Q1941" s="1">
        <f>Q1940/19</f>
        <v>2762.4950000000126</v>
      </c>
    </row>
    <row r="1942" spans="1:18" hidden="1">
      <c r="Q1942" t="s">
        <v>942</v>
      </c>
    </row>
  </sheetData>
  <autoFilter ref="A1:R1942">
    <filterColumn colId="13">
      <filters>
        <filter val="0.1"/>
        <filter val="0.2"/>
        <filter val="0.3"/>
        <filter val="0.4"/>
        <filter val="0.6"/>
        <filter val="0.8"/>
        <filter val="1"/>
        <filter val="1.2"/>
        <filter val="1.25"/>
        <filter val="1.5"/>
        <filter val="1.6"/>
        <filter val="1.7"/>
        <filter val="10"/>
        <filter val="2"/>
        <filter val="2.4"/>
        <filter val="2.5"/>
        <filter val="2.6"/>
        <filter val="3"/>
        <filter val="3.2"/>
        <filter val="4"/>
        <filter val="6"/>
        <filter val="60"/>
      </filters>
    </filterColumn>
  </autoFilter>
  <hyperlinks>
    <hyperlink ref="H6" r:id="rId1"/>
    <hyperlink ref="H5" r:id="rId2" display="PM1707.pdf"/>
    <hyperlink ref="H4" r:id="rId3"/>
    <hyperlink ref="Q47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="80" zoomScaleNormal="80" workbookViewId="0">
      <pane ySplit="1" topLeftCell="A2" activePane="bottomLeft" state="frozen"/>
      <selection pane="bottomLeft" activeCell="M61" sqref="M61"/>
    </sheetView>
  </sheetViews>
  <sheetFormatPr defaultRowHeight="14.5"/>
  <cols>
    <col min="2" max="2" width="19.26953125" bestFit="1" customWidth="1"/>
    <col min="3" max="3" width="19.81640625" bestFit="1" customWidth="1"/>
    <col min="4" max="4" width="17.26953125" bestFit="1" customWidth="1"/>
    <col min="5" max="5" width="17.54296875" bestFit="1" customWidth="1"/>
    <col min="6" max="6" width="13.453125" bestFit="1" customWidth="1"/>
    <col min="7" max="7" width="4.81640625" bestFit="1" customWidth="1"/>
    <col min="8" max="8" width="12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20.81640625" bestFit="1" customWidth="1"/>
    <col min="13" max="13" width="41.1796875" bestFit="1" customWidth="1"/>
    <col min="14" max="14" width="12.81640625" bestFit="1" customWidth="1"/>
    <col min="15" max="15" width="8.81640625" bestFit="1" customWidth="1"/>
    <col min="16" max="16" width="39.453125" bestFit="1" customWidth="1"/>
    <col min="17" max="17" width="11.1796875" bestFit="1" customWidth="1"/>
    <col min="18" max="18" width="66.26953125" bestFit="1" customWidth="1"/>
    <col min="19" max="19" width="27.81640625" customWidth="1"/>
    <col min="24" max="24" width="11.7265625" bestFit="1" customWidth="1"/>
    <col min="25" max="25" width="12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1</v>
      </c>
      <c r="B2" t="s">
        <v>18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1</v>
      </c>
      <c r="B3" t="s">
        <v>18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1</v>
      </c>
      <c r="B4" t="s">
        <v>18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1</v>
      </c>
      <c r="B5" t="s">
        <v>18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1</v>
      </c>
      <c r="B6" t="s">
        <v>18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1</v>
      </c>
      <c r="B7" t="s">
        <v>18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1</v>
      </c>
      <c r="B8" t="s">
        <v>18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1</v>
      </c>
      <c r="B9" t="s">
        <v>18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1</v>
      </c>
      <c r="B10" t="s">
        <v>18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1</v>
      </c>
      <c r="B11" t="s">
        <v>18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1</v>
      </c>
      <c r="B12" t="s">
        <v>18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1</v>
      </c>
      <c r="B13" t="s">
        <v>18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1</v>
      </c>
      <c r="B14" t="s">
        <v>18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1</v>
      </c>
      <c r="B15" t="s">
        <v>18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1</v>
      </c>
      <c r="B16" t="s">
        <v>18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1</v>
      </c>
      <c r="B17" t="s">
        <v>18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1</v>
      </c>
      <c r="B18" t="s">
        <v>18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1</v>
      </c>
      <c r="B19" t="s">
        <v>18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1</v>
      </c>
      <c r="B20" t="s">
        <v>18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1</v>
      </c>
      <c r="B21" t="s">
        <v>18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1</v>
      </c>
      <c r="B22" t="s">
        <v>18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1</v>
      </c>
      <c r="B23" t="s">
        <v>18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1</v>
      </c>
      <c r="B24" t="s">
        <v>18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1</v>
      </c>
      <c r="B25" t="s">
        <v>18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1</v>
      </c>
      <c r="B26" t="s">
        <v>18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1</v>
      </c>
      <c r="B27" t="s">
        <v>18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1</v>
      </c>
      <c r="B28" t="s">
        <v>18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1</v>
      </c>
      <c r="B29" t="s">
        <v>18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1</v>
      </c>
      <c r="B30" t="s">
        <v>18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$U$58*K72</f>
        <v>6.7105263157894723E-2</v>
      </c>
      <c r="O30" s="1">
        <f>$U$58*$U$59*K72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1</v>
      </c>
      <c r="B31" t="s">
        <v>18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 t="shared" ref="N31:N36" si="2">$U$58*K73</f>
        <v>6.7105263157894723E-2</v>
      </c>
      <c r="O31" s="1">
        <f t="shared" ref="O31:O35" si="3">$U$58*$U$59*K73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1</v>
      </c>
      <c r="B32" t="s">
        <v>18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 t="shared" si="2"/>
        <v>6.7105263157894723E-2</v>
      </c>
      <c r="O32" s="1">
        <f t="shared" si="3"/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1</v>
      </c>
      <c r="B33" t="s">
        <v>18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 t="shared" si="2"/>
        <v>6.7105263157894723E-2</v>
      </c>
      <c r="O33" s="1">
        <f t="shared" si="3"/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1</v>
      </c>
      <c r="B34" t="s">
        <v>18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 t="shared" si="2"/>
        <v>6.7105263157894723E-2</v>
      </c>
      <c r="O34" s="1">
        <f t="shared" si="3"/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1</v>
      </c>
      <c r="B35" t="s">
        <v>18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 t="shared" si="2"/>
        <v>6.7105263157894723E-2</v>
      </c>
      <c r="O35" s="1">
        <f t="shared" si="3"/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1</v>
      </c>
      <c r="B36" t="s">
        <v>18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 t="shared" si="2"/>
        <v>6.7105263157894723E-2</v>
      </c>
      <c r="O36" s="1">
        <f>$U$58*$U$59*K78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1</v>
      </c>
      <c r="B37" t="s">
        <v>18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$U$58*K65</f>
        <v>0.2013157894736842</v>
      </c>
      <c r="O37" s="1">
        <f>$U$58*$U$59*K65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1</v>
      </c>
      <c r="B38" t="s">
        <v>18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 t="shared" ref="N38:N39" si="4">$U$58*K66</f>
        <v>0.2013157894736842</v>
      </c>
      <c r="O38" s="1">
        <f t="shared" ref="O38:O39" si="5">$U$58*$U$59*K66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1</v>
      </c>
      <c r="B39" t="s">
        <v>18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 t="shared" si="4"/>
        <v>0.2013157894736842</v>
      </c>
      <c r="O39" s="1">
        <f t="shared" si="5"/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1</v>
      </c>
      <c r="B40" t="s">
        <v>18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$U$58*K79</f>
        <v>6.7105263157894723E-2</v>
      </c>
      <c r="O40" s="1">
        <f>$U$58*$U$59*K79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1</v>
      </c>
      <c r="B41" t="s">
        <v>18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 t="shared" ref="N41:N47" si="6">$U$58*K80</f>
        <v>6.7105263157894723E-2</v>
      </c>
      <c r="O41" s="1">
        <f t="shared" ref="O41:O47" si="7">$U$58*$U$59*K80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1</v>
      </c>
      <c r="B42" t="s">
        <v>18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 t="shared" si="6"/>
        <v>6.7105263157894723E-2</v>
      </c>
      <c r="O42" s="1">
        <f t="shared" si="7"/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1</v>
      </c>
      <c r="B43" t="s">
        <v>18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 t="shared" si="6"/>
        <v>6.7105263157894723E-2</v>
      </c>
      <c r="O43" s="1">
        <f t="shared" si="7"/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1</v>
      </c>
      <c r="B44" t="s">
        <v>18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 t="shared" si="6"/>
        <v>6.7105263157894723E-2</v>
      </c>
      <c r="O44" s="1">
        <f t="shared" si="7"/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1</v>
      </c>
      <c r="B45" t="s">
        <v>18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 t="shared" si="6"/>
        <v>6.7105263157894723E-2</v>
      </c>
      <c r="O45" s="1">
        <f t="shared" si="7"/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1</v>
      </c>
      <c r="B46" t="s">
        <v>18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 t="shared" si="6"/>
        <v>6.7105263157894723E-2</v>
      </c>
      <c r="O46" s="1">
        <f t="shared" si="7"/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1</v>
      </c>
      <c r="B47" t="s">
        <v>18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 t="shared" si="6"/>
        <v>6.7105263157894723E-2</v>
      </c>
      <c r="O47" s="1">
        <f t="shared" si="7"/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1</v>
      </c>
      <c r="B48" t="s">
        <v>18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$U$58*K68</f>
        <v>0.2013157894736842</v>
      </c>
      <c r="O48" s="1">
        <f>$U$58*$U$59*K68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1</v>
      </c>
      <c r="B49" t="s">
        <v>18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 t="shared" ref="N49:N50" si="8">$U$58*K69</f>
        <v>0.2013157894736842</v>
      </c>
      <c r="O49" s="1">
        <f t="shared" ref="O49:O51" si="9">$U$58*$U$59*K69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1</v>
      </c>
      <c r="B50" t="s">
        <v>18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 t="shared" si="8"/>
        <v>0.2013157894736842</v>
      </c>
      <c r="O50" s="1">
        <f t="shared" si="9"/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1</v>
      </c>
      <c r="B51" t="s">
        <v>18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$U$58*K71</f>
        <v>0.2013157894736842</v>
      </c>
      <c r="O51" s="1">
        <f t="shared" si="9"/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1</v>
      </c>
      <c r="B52" t="s">
        <v>18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1</v>
      </c>
      <c r="B53" t="s">
        <v>18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1</v>
      </c>
      <c r="B54" t="s">
        <v>18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10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10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10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10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10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10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10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10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10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10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10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10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10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10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10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10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10"/>
        <v>2.6315789473684209E-2</v>
      </c>
    </row>
    <row r="83" spans="9:25">
      <c r="I83">
        <v>15</v>
      </c>
      <c r="J83">
        <v>1</v>
      </c>
      <c r="K83">
        <f t="shared" si="10"/>
        <v>2.6315789473684209E-2</v>
      </c>
    </row>
    <row r="84" spans="9:25">
      <c r="I84">
        <v>16</v>
      </c>
      <c r="J84">
        <v>1</v>
      </c>
      <c r="K84">
        <f t="shared" si="10"/>
        <v>2.6315789473684209E-2</v>
      </c>
    </row>
    <row r="85" spans="9:25">
      <c r="I85">
        <v>17</v>
      </c>
      <c r="J85">
        <v>1</v>
      </c>
      <c r="K85">
        <f t="shared" si="10"/>
        <v>2.6315789473684209E-2</v>
      </c>
    </row>
    <row r="86" spans="9:25">
      <c r="I86">
        <v>18</v>
      </c>
      <c r="J86">
        <v>1</v>
      </c>
      <c r="K86">
        <f t="shared" si="10"/>
        <v>2.6315789473684209E-2</v>
      </c>
    </row>
    <row r="87" spans="9:25">
      <c r="I87">
        <v>23</v>
      </c>
      <c r="J87">
        <v>1</v>
      </c>
      <c r="K87">
        <f t="shared" si="10"/>
        <v>2.6315789473684209E-2</v>
      </c>
    </row>
    <row r="88" spans="9:25">
      <c r="I88">
        <v>24</v>
      </c>
      <c r="J88">
        <v>1</v>
      </c>
      <c r="K88">
        <f t="shared" si="10"/>
        <v>2.6315789473684209E-2</v>
      </c>
    </row>
    <row r="89" spans="9:25">
      <c r="J89">
        <f>SUM(J65:J88)</f>
        <v>38</v>
      </c>
    </row>
  </sheetData>
  <autoFilter ref="A1:S61"/>
  <hyperlinks>
    <hyperlink ref="S78" r:id="rId1" display="    Expected LDP rate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topLeftCell="F1" zoomScale="80" zoomScaleNormal="80" workbookViewId="0">
      <pane ySplit="1" topLeftCell="A35" activePane="bottomLeft" state="frozen"/>
      <selection pane="bottomLeft" activeCell="L26" sqref="L26"/>
    </sheetView>
  </sheetViews>
  <sheetFormatPr defaultRowHeight="14.5"/>
  <cols>
    <col min="2" max="2" width="19.26953125" bestFit="1" customWidth="1"/>
    <col min="3" max="3" width="16" bestFit="1" customWidth="1"/>
    <col min="7" max="7" width="6.7265625" bestFit="1" customWidth="1"/>
    <col min="8" max="8" width="16.453125" bestFit="1" customWidth="1"/>
    <col min="9" max="9" width="13.7265625" bestFit="1" customWidth="1"/>
    <col min="10" max="10" width="22.26953125" bestFit="1" customWidth="1"/>
    <col min="11" max="11" width="23.1796875" bestFit="1" customWidth="1"/>
    <col min="12" max="12" width="18.1796875" bestFit="1" customWidth="1"/>
    <col min="13" max="13" width="36.54296875" bestFit="1" customWidth="1"/>
    <col min="14" max="14" width="17.81640625" bestFit="1" customWidth="1"/>
    <col min="15" max="15" width="9.54296875" bestFit="1" customWidth="1"/>
    <col min="16" max="16" width="39.26953125" bestFit="1" customWidth="1"/>
    <col min="17" max="17" width="14.54296875" bestFit="1" customWidth="1"/>
    <col min="18" max="18" width="60.7265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35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242</v>
      </c>
      <c r="N2" s="52"/>
      <c r="O2" s="1">
        <f>V7</f>
        <v>3.6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182</v>
      </c>
      <c r="Y2" s="6" t="s">
        <v>81</v>
      </c>
    </row>
    <row r="3" spans="1:25">
      <c r="A3">
        <v>2</v>
      </c>
      <c r="B3" t="s">
        <v>39</v>
      </c>
      <c r="C3" t="s">
        <v>35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N3" s="52"/>
      <c r="O3" s="1">
        <f>W7</f>
        <v>3.9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35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N4" s="52"/>
      <c r="O4" s="1">
        <f>V8</f>
        <v>4.5999999999999996</v>
      </c>
      <c r="R4" t="s">
        <v>40</v>
      </c>
      <c r="S4" s="13"/>
      <c r="T4" s="14"/>
      <c r="U4" s="5"/>
      <c r="V4" s="5"/>
      <c r="W4" s="5"/>
      <c r="X4" s="5"/>
      <c r="Y4" s="5"/>
    </row>
    <row r="5" spans="1:25">
      <c r="A5">
        <v>2</v>
      </c>
      <c r="B5" t="s">
        <v>39</v>
      </c>
      <c r="C5" t="s">
        <v>35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N5" s="52"/>
      <c r="O5" s="1">
        <f>W8</f>
        <v>3.4</v>
      </c>
      <c r="R5" t="s">
        <v>40</v>
      </c>
      <c r="S5" s="15"/>
      <c r="T5" s="15"/>
      <c r="U5" s="5"/>
      <c r="V5" s="16" t="s">
        <v>84</v>
      </c>
      <c r="W5" s="17"/>
      <c r="X5" s="17"/>
      <c r="Y5" s="7" t="s">
        <v>85</v>
      </c>
    </row>
    <row r="6" spans="1:25">
      <c r="A6">
        <v>2</v>
      </c>
      <c r="B6" t="s">
        <v>39</v>
      </c>
      <c r="C6" t="s">
        <v>35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243</v>
      </c>
      <c r="N6" s="52"/>
      <c r="O6" s="1">
        <f>V9</f>
        <v>4.3</v>
      </c>
      <c r="R6" t="s">
        <v>40</v>
      </c>
      <c r="S6" s="17" t="s">
        <v>86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35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243</v>
      </c>
      <c r="N7" s="52"/>
      <c r="O7" s="1">
        <f>W9</f>
        <v>4.4000000000000004</v>
      </c>
      <c r="R7" t="s">
        <v>40</v>
      </c>
      <c r="S7" s="20" t="s">
        <v>89</v>
      </c>
      <c r="T7" s="5"/>
      <c r="U7" s="5"/>
      <c r="V7" s="21">
        <v>3.6</v>
      </c>
      <c r="W7" s="21">
        <v>3.9</v>
      </c>
      <c r="X7" s="22">
        <f>V7+W7</f>
        <v>7.5</v>
      </c>
      <c r="Y7" s="23">
        <f t="shared" ref="Y7:Y16" si="0">X7*$F$8</f>
        <v>0</v>
      </c>
    </row>
    <row r="8" spans="1:25">
      <c r="A8">
        <v>2</v>
      </c>
      <c r="B8" t="s">
        <v>39</v>
      </c>
      <c r="C8" t="s">
        <v>35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244</v>
      </c>
      <c r="N8" s="52"/>
      <c r="O8" s="1">
        <f>V10</f>
        <v>2.7</v>
      </c>
      <c r="R8" t="s">
        <v>40</v>
      </c>
      <c r="S8" s="20" t="s">
        <v>90</v>
      </c>
      <c r="T8" s="5"/>
      <c r="U8" s="5"/>
      <c r="V8" s="21">
        <v>4.5999999999999996</v>
      </c>
      <c r="W8" s="21">
        <v>3.4</v>
      </c>
      <c r="X8" s="22">
        <f t="shared" ref="X8:X15" si="1">V8+W8</f>
        <v>8</v>
      </c>
      <c r="Y8" s="23">
        <f t="shared" si="0"/>
        <v>0</v>
      </c>
    </row>
    <row r="9" spans="1:25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244</v>
      </c>
      <c r="N9" s="52"/>
      <c r="O9" s="1">
        <f>W10</f>
        <v>2.7</v>
      </c>
      <c r="R9" t="s">
        <v>40</v>
      </c>
      <c r="S9" s="20" t="s">
        <v>91</v>
      </c>
      <c r="T9" s="5"/>
      <c r="U9" s="5"/>
      <c r="V9" s="21">
        <v>4.3</v>
      </c>
      <c r="W9" s="21">
        <v>4.4000000000000004</v>
      </c>
      <c r="X9" s="22">
        <f t="shared" si="1"/>
        <v>8.6999999999999993</v>
      </c>
      <c r="Y9" s="23">
        <f t="shared" si="0"/>
        <v>0</v>
      </c>
    </row>
    <row r="10" spans="1:25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245</v>
      </c>
      <c r="N10" s="52"/>
      <c r="O10" s="1">
        <f>V11</f>
        <v>5.9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1"/>
        <v>5.4</v>
      </c>
      <c r="Y10" s="23">
        <f t="shared" si="0"/>
        <v>0</v>
      </c>
    </row>
    <row r="11" spans="1:25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245</v>
      </c>
      <c r="N11" s="52"/>
      <c r="O11" s="1">
        <f>W11</f>
        <v>4.8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1"/>
        <v>10.7</v>
      </c>
      <c r="Y11" s="23">
        <f t="shared" si="0"/>
        <v>0</v>
      </c>
    </row>
    <row r="12" spans="1:25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408</v>
      </c>
      <c r="L12" t="s">
        <v>32</v>
      </c>
      <c r="M12" t="s">
        <v>246</v>
      </c>
      <c r="N12" s="52"/>
      <c r="O12" s="1">
        <f>V12</f>
        <v>2.2000000000000002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 t="shared" si="1"/>
        <v>4.2</v>
      </c>
      <c r="Y12" s="23">
        <f t="shared" si="0"/>
        <v>0</v>
      </c>
    </row>
    <row r="13" spans="1:25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246</v>
      </c>
      <c r="N13" s="52"/>
      <c r="O13" s="1">
        <f>W12</f>
        <v>2</v>
      </c>
      <c r="R13" s="3" t="s">
        <v>40</v>
      </c>
      <c r="S13" s="20" t="s">
        <v>95</v>
      </c>
      <c r="T13" s="5"/>
      <c r="U13" s="5"/>
      <c r="V13" s="21">
        <v>0</v>
      </c>
      <c r="W13" s="21">
        <v>0</v>
      </c>
      <c r="X13" s="22">
        <f t="shared" si="1"/>
        <v>0</v>
      </c>
      <c r="Y13" s="23">
        <f t="shared" si="0"/>
        <v>0</v>
      </c>
    </row>
    <row r="14" spans="1:25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702</v>
      </c>
      <c r="N14" s="52"/>
      <c r="O14" s="1">
        <f>U21/1000*U22</f>
        <v>95.8</v>
      </c>
      <c r="P14" t="s">
        <v>42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2">
        <f t="shared" si="1"/>
        <v>0</v>
      </c>
      <c r="Y14" s="23">
        <f t="shared" si="0"/>
        <v>0</v>
      </c>
    </row>
    <row r="15" spans="1:25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1189</v>
      </c>
      <c r="N15" s="52"/>
      <c r="O15" s="1">
        <f>U24*U25</f>
        <v>70.680000000000007</v>
      </c>
      <c r="P15" t="s">
        <v>51</v>
      </c>
      <c r="R15" s="3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 t="shared" si="1"/>
        <v>0</v>
      </c>
      <c r="Y15" s="25">
        <f t="shared" si="0"/>
        <v>0</v>
      </c>
    </row>
    <row r="16" spans="1:25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1190</v>
      </c>
      <c r="N16" s="52"/>
      <c r="O16" s="1">
        <f>U27*U28</f>
        <v>28.56</v>
      </c>
      <c r="P16" t="s">
        <v>52</v>
      </c>
      <c r="R16" t="s">
        <v>40</v>
      </c>
      <c r="S16" s="15" t="s">
        <v>96</v>
      </c>
      <c r="T16" s="15"/>
      <c r="U16" s="5"/>
      <c r="V16" s="22">
        <f>SUM(V7:V15)</f>
        <v>23.3</v>
      </c>
      <c r="W16" s="22">
        <f>SUM(W7:W15)</f>
        <v>21.2</v>
      </c>
      <c r="X16" s="26">
        <f>SUM(X7:X15)</f>
        <v>44.5</v>
      </c>
      <c r="Y16" s="27">
        <f t="shared" si="0"/>
        <v>0</v>
      </c>
    </row>
    <row r="17" spans="1:25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1191</v>
      </c>
      <c r="N17" s="52"/>
      <c r="O17" s="1">
        <f>U30*U31</f>
        <v>17.05</v>
      </c>
      <c r="P17" t="s">
        <v>53</v>
      </c>
      <c r="R17" t="s">
        <v>40</v>
      </c>
      <c r="S17" s="5" t="s">
        <v>97</v>
      </c>
      <c r="T17" s="5"/>
      <c r="U17" s="5"/>
      <c r="V17" s="23">
        <f>V16*$F$8</f>
        <v>0</v>
      </c>
      <c r="W17" s="23">
        <f>W16*$F$8</f>
        <v>0</v>
      </c>
      <c r="X17" s="27">
        <f>X16*$F$8</f>
        <v>0</v>
      </c>
      <c r="Y17" s="28" t="s">
        <v>98</v>
      </c>
    </row>
    <row r="18" spans="1:25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71</v>
      </c>
      <c r="L18" t="s">
        <v>33</v>
      </c>
      <c r="M18" t="s">
        <v>1192</v>
      </c>
      <c r="N18" s="52"/>
      <c r="O18" s="1">
        <f t="shared" ref="O18:O19" si="2">W32</f>
        <v>5.71</v>
      </c>
      <c r="R18" t="s">
        <v>40</v>
      </c>
      <c r="S18" s="5"/>
      <c r="T18" s="5"/>
      <c r="U18" s="5"/>
      <c r="V18" s="5"/>
      <c r="W18" s="5"/>
      <c r="X18" s="23" t="s">
        <v>99</v>
      </c>
      <c r="Y18" s="5"/>
    </row>
    <row r="19" spans="1:25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1193</v>
      </c>
      <c r="N19" s="52"/>
      <c r="O19" s="1">
        <f t="shared" si="2"/>
        <v>48.36</v>
      </c>
      <c r="R19" t="s">
        <v>40</v>
      </c>
      <c r="S19" s="15" t="s">
        <v>100</v>
      </c>
      <c r="T19" s="15"/>
      <c r="U19" s="5"/>
      <c r="V19" s="5"/>
      <c r="W19" s="5"/>
      <c r="X19" s="5"/>
      <c r="Y19" s="5"/>
    </row>
    <row r="20" spans="1:25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36</v>
      </c>
      <c r="N20" s="52"/>
      <c r="O20" s="1">
        <f>W34</f>
        <v>15.16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U21*U22/1000</f>
        <v>95.8</v>
      </c>
      <c r="X20" s="22">
        <f>W20</f>
        <v>95.8</v>
      </c>
      <c r="Y20" s="23">
        <f>X20*$F$8</f>
        <v>0</v>
      </c>
    </row>
    <row r="21" spans="1:25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25</v>
      </c>
      <c r="K21" t="s">
        <v>26</v>
      </c>
      <c r="L21" t="s">
        <v>33</v>
      </c>
      <c r="M21" t="s">
        <v>27</v>
      </c>
      <c r="N21" s="52"/>
      <c r="O21" s="1">
        <f>W35</f>
        <v>9.5</v>
      </c>
      <c r="R21" t="s">
        <v>40</v>
      </c>
      <c r="S21" s="29" t="s">
        <v>102</v>
      </c>
      <c r="T21" s="29"/>
      <c r="U21" s="30">
        <f>95.8/30</f>
        <v>3.1933333333333334</v>
      </c>
      <c r="V21" s="5"/>
      <c r="W21" s="5"/>
      <c r="X21" s="5"/>
      <c r="Y21" s="5"/>
    </row>
    <row r="22" spans="1:25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25</v>
      </c>
      <c r="K22" t="s">
        <v>26</v>
      </c>
      <c r="L22" t="s">
        <v>33</v>
      </c>
      <c r="M22" t="s">
        <v>28</v>
      </c>
      <c r="N22" s="52"/>
      <c r="O22" s="1">
        <f>W36</f>
        <v>10</v>
      </c>
      <c r="R22" t="s">
        <v>40</v>
      </c>
      <c r="S22" s="29" t="s">
        <v>103</v>
      </c>
      <c r="T22" s="29"/>
      <c r="U22" s="31">
        <v>30000</v>
      </c>
      <c r="V22" s="5"/>
      <c r="W22" s="5"/>
      <c r="X22" s="5"/>
      <c r="Y22" s="5"/>
    </row>
    <row r="23" spans="1:25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26</v>
      </c>
      <c r="L23" s="290" t="s">
        <v>33</v>
      </c>
      <c r="M23" s="290" t="s">
        <v>37</v>
      </c>
      <c r="N23" s="52"/>
      <c r="O23" s="1">
        <f>W37</f>
        <v>12.880800000000001</v>
      </c>
      <c r="P23" t="s">
        <v>54</v>
      </c>
      <c r="R23" t="s">
        <v>40</v>
      </c>
      <c r="S23" s="5" t="s">
        <v>104</v>
      </c>
      <c r="T23" s="5"/>
      <c r="U23" s="5"/>
      <c r="V23" s="28" t="s">
        <v>98</v>
      </c>
      <c r="W23" s="22">
        <f>U24*U25</f>
        <v>70.680000000000007</v>
      </c>
      <c r="X23" s="22">
        <f>W23</f>
        <v>70.680000000000007</v>
      </c>
      <c r="Y23" s="23">
        <f>X23*$F$8</f>
        <v>0</v>
      </c>
    </row>
    <row r="24" spans="1:25">
      <c r="A24">
        <v>2</v>
      </c>
      <c r="B24" t="s">
        <v>39</v>
      </c>
      <c r="C24" t="s">
        <v>35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1199</v>
      </c>
      <c r="N24" s="52"/>
      <c r="O24" s="1">
        <f>V43</f>
        <v>13.1</v>
      </c>
      <c r="R24" t="s">
        <v>40</v>
      </c>
      <c r="S24" s="29" t="s">
        <v>105</v>
      </c>
      <c r="T24" s="29"/>
      <c r="U24" s="30">
        <v>0.38</v>
      </c>
      <c r="V24" s="5"/>
      <c r="W24" s="5"/>
      <c r="X24" s="5"/>
      <c r="Y24" s="5"/>
    </row>
    <row r="25" spans="1:25">
      <c r="A25">
        <v>2</v>
      </c>
      <c r="B25" t="s">
        <v>39</v>
      </c>
      <c r="C25" t="s">
        <v>35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120</v>
      </c>
      <c r="N25" s="52"/>
      <c r="O25" s="1">
        <f>W43</f>
        <v>6.7</v>
      </c>
      <c r="R25" t="s">
        <v>40</v>
      </c>
      <c r="S25" s="29" t="s">
        <v>106</v>
      </c>
      <c r="T25" s="29"/>
      <c r="U25" s="31">
        <v>186</v>
      </c>
      <c r="V25" s="5"/>
      <c r="W25" s="5"/>
      <c r="X25" s="5"/>
      <c r="Y25" s="5"/>
    </row>
    <row r="26" spans="1:25">
      <c r="A26">
        <v>2</v>
      </c>
      <c r="B26" t="s">
        <v>39</v>
      </c>
      <c r="C26" t="s">
        <v>35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1198</v>
      </c>
      <c r="N26" s="52"/>
      <c r="O26" s="1">
        <f>V44</f>
        <v>6.3</v>
      </c>
      <c r="R26" t="s">
        <v>40</v>
      </c>
      <c r="S26" s="5" t="s">
        <v>107</v>
      </c>
      <c r="T26" s="5"/>
      <c r="U26" s="5"/>
      <c r="V26" s="28" t="s">
        <v>98</v>
      </c>
      <c r="W26" s="22">
        <f>U27*U28</f>
        <v>28.56</v>
      </c>
      <c r="X26" s="22">
        <f>W26</f>
        <v>28.56</v>
      </c>
      <c r="Y26" s="23">
        <f>X26*$F$8</f>
        <v>0</v>
      </c>
    </row>
    <row r="27" spans="1:25">
      <c r="A27">
        <v>2</v>
      </c>
      <c r="B27" t="s">
        <v>39</v>
      </c>
      <c r="C27" t="s">
        <v>35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1198</v>
      </c>
      <c r="N27" s="52"/>
      <c r="O27" s="1">
        <f>W44</f>
        <v>3</v>
      </c>
      <c r="R27" t="s">
        <v>40</v>
      </c>
      <c r="S27" s="29" t="s">
        <v>105</v>
      </c>
      <c r="T27" s="29"/>
      <c r="U27" s="30">
        <v>0.42</v>
      </c>
      <c r="V27" s="5"/>
      <c r="W27" s="5"/>
      <c r="X27" s="5"/>
      <c r="Y27" s="5"/>
    </row>
    <row r="28" spans="1:25">
      <c r="A28">
        <v>2</v>
      </c>
      <c r="B28" t="s">
        <v>39</v>
      </c>
      <c r="C28" t="s">
        <v>35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867</v>
      </c>
      <c r="M28" t="s">
        <v>1194</v>
      </c>
      <c r="N28" s="52"/>
      <c r="O28" s="1">
        <f>U46*X2</f>
        <v>7.9439359999999999</v>
      </c>
      <c r="P28" t="s">
        <v>55</v>
      </c>
      <c r="R28" t="s">
        <v>40</v>
      </c>
      <c r="S28" s="29" t="s">
        <v>106</v>
      </c>
      <c r="T28" s="29"/>
      <c r="U28" s="32">
        <v>68</v>
      </c>
      <c r="V28" s="5"/>
      <c r="W28" s="5"/>
      <c r="X28" s="5"/>
      <c r="Y28" s="5"/>
    </row>
    <row r="29" spans="1:25">
      <c r="A29">
        <v>2</v>
      </c>
      <c r="B29" t="s">
        <v>39</v>
      </c>
      <c r="C29" t="s">
        <v>35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1194</v>
      </c>
      <c r="N29" s="52"/>
      <c r="O29" s="1">
        <f>U47*X2</f>
        <v>6.8686800000000003</v>
      </c>
      <c r="P29" t="s">
        <v>55</v>
      </c>
      <c r="R29" t="s">
        <v>40</v>
      </c>
      <c r="S29" s="5" t="s">
        <v>108</v>
      </c>
      <c r="T29" s="5"/>
      <c r="U29" s="5"/>
      <c r="V29" s="28" t="s">
        <v>98</v>
      </c>
      <c r="W29" s="22">
        <f>U30*U31</f>
        <v>17.05</v>
      </c>
      <c r="X29" s="22">
        <f>W29</f>
        <v>17.05</v>
      </c>
      <c r="Y29" s="23">
        <f>X29*$F$8</f>
        <v>0</v>
      </c>
    </row>
    <row r="30" spans="1:25">
      <c r="A30">
        <v>2</v>
      </c>
      <c r="B30" t="s">
        <v>39</v>
      </c>
      <c r="C30" t="s">
        <v>35</v>
      </c>
      <c r="D30" t="s">
        <v>20</v>
      </c>
      <c r="G30">
        <v>1</v>
      </c>
      <c r="I30" t="s">
        <v>21</v>
      </c>
      <c r="J30" t="s">
        <v>29</v>
      </c>
      <c r="K30" t="s">
        <v>408</v>
      </c>
      <c r="L30" t="s">
        <v>867</v>
      </c>
      <c r="M30" t="s">
        <v>1195</v>
      </c>
      <c r="N30" s="52"/>
      <c r="O30" s="1">
        <f>T49*X2</f>
        <v>9.1</v>
      </c>
      <c r="P30" t="s">
        <v>56</v>
      </c>
      <c r="R30" t="s">
        <v>40</v>
      </c>
      <c r="S30" s="29" t="s">
        <v>105</v>
      </c>
      <c r="T30" s="29"/>
      <c r="U30" s="30">
        <v>0.31</v>
      </c>
      <c r="V30" s="5"/>
      <c r="W30" s="5"/>
      <c r="X30" s="5"/>
      <c r="Y30" s="5"/>
    </row>
    <row r="31" spans="1:25">
      <c r="A31">
        <v>2</v>
      </c>
      <c r="B31" t="s">
        <v>39</v>
      </c>
      <c r="C31" t="s">
        <v>35</v>
      </c>
      <c r="D31" t="s">
        <v>20</v>
      </c>
      <c r="G31">
        <v>1</v>
      </c>
      <c r="I31" t="s">
        <v>21</v>
      </c>
      <c r="J31" t="s">
        <v>29</v>
      </c>
      <c r="K31" t="s">
        <v>408</v>
      </c>
      <c r="L31" t="s">
        <v>41</v>
      </c>
      <c r="M31" t="s">
        <v>1195</v>
      </c>
      <c r="N31" s="52"/>
      <c r="O31" s="1">
        <f>U50*X2</f>
        <v>30.139199999999999</v>
      </c>
      <c r="P31" t="s">
        <v>57</v>
      </c>
      <c r="R31" t="s">
        <v>40</v>
      </c>
      <c r="S31" s="29" t="s">
        <v>106</v>
      </c>
      <c r="T31" s="29"/>
      <c r="U31" s="32">
        <v>55</v>
      </c>
      <c r="V31" s="5"/>
      <c r="W31" s="5"/>
      <c r="X31" s="5"/>
      <c r="Y31" s="5"/>
    </row>
    <row r="32" spans="1:25">
      <c r="A32">
        <v>2</v>
      </c>
      <c r="B32" t="s">
        <v>39</v>
      </c>
      <c r="C32" t="s">
        <v>35</v>
      </c>
      <c r="D32" t="s">
        <v>20</v>
      </c>
      <c r="G32">
        <v>1</v>
      </c>
      <c r="I32" t="s">
        <v>21</v>
      </c>
      <c r="J32" t="s">
        <v>29</v>
      </c>
      <c r="K32" t="s">
        <v>408</v>
      </c>
      <c r="L32" t="s">
        <v>32</v>
      </c>
      <c r="M32" t="s">
        <v>1197</v>
      </c>
      <c r="N32" s="52"/>
      <c r="O32" s="1">
        <f>U52*X2</f>
        <v>3.2082960000000003</v>
      </c>
      <c r="P32" t="s">
        <v>58</v>
      </c>
      <c r="R32" t="s">
        <v>40</v>
      </c>
      <c r="S32" s="5" t="s">
        <v>109</v>
      </c>
      <c r="T32" s="5"/>
      <c r="U32" s="5"/>
      <c r="V32" s="28" t="s">
        <v>98</v>
      </c>
      <c r="W32" s="21">
        <v>5.71</v>
      </c>
      <c r="X32" s="33">
        <f t="shared" ref="X32:X37" si="3">W32</f>
        <v>5.71</v>
      </c>
      <c r="Y32" s="23">
        <f t="shared" ref="Y32:Y37" si="4">X32*$F$8</f>
        <v>0</v>
      </c>
    </row>
    <row r="33" spans="1:25">
      <c r="A33">
        <v>2</v>
      </c>
      <c r="B33" t="s">
        <v>39</v>
      </c>
      <c r="C33" t="s">
        <v>35</v>
      </c>
      <c r="D33" t="s">
        <v>20</v>
      </c>
      <c r="G33">
        <v>1</v>
      </c>
      <c r="I33" t="s">
        <v>21</v>
      </c>
      <c r="J33" t="s">
        <v>29</v>
      </c>
      <c r="K33" t="s">
        <v>408</v>
      </c>
      <c r="L33" t="s">
        <v>33</v>
      </c>
      <c r="M33" t="s">
        <v>126</v>
      </c>
      <c r="N33" s="52"/>
      <c r="O33" s="1">
        <f>U53*X2</f>
        <v>3.5167860000000002</v>
      </c>
      <c r="P33" t="s">
        <v>58</v>
      </c>
      <c r="R33" t="s">
        <v>40</v>
      </c>
      <c r="S33" s="5" t="s">
        <v>110</v>
      </c>
      <c r="T33" s="5"/>
      <c r="U33" s="5"/>
      <c r="V33" s="28" t="s">
        <v>98</v>
      </c>
      <c r="W33" s="21">
        <v>48.36</v>
      </c>
      <c r="X33" s="33">
        <f t="shared" si="3"/>
        <v>48.36</v>
      </c>
      <c r="Y33" s="23">
        <f t="shared" si="4"/>
        <v>0</v>
      </c>
    </row>
    <row r="34" spans="1:25">
      <c r="A34">
        <v>2</v>
      </c>
      <c r="B34" t="s">
        <v>39</v>
      </c>
      <c r="C34" t="s">
        <v>35</v>
      </c>
      <c r="D34" t="s">
        <v>20</v>
      </c>
      <c r="G34">
        <v>1</v>
      </c>
      <c r="H34" s="265">
        <v>1</v>
      </c>
      <c r="I34" s="265" t="s">
        <v>21</v>
      </c>
      <c r="J34" s="265" t="s">
        <v>26</v>
      </c>
      <c r="K34" s="265" t="s">
        <v>30</v>
      </c>
      <c r="L34" s="265" t="s">
        <v>33</v>
      </c>
      <c r="M34" s="265" t="s">
        <v>31</v>
      </c>
      <c r="N34" s="315">
        <f>2.8*K72</f>
        <v>7.3684210526315783E-2</v>
      </c>
      <c r="O34" s="279">
        <f t="shared" ref="O34:O40" si="5">$U$60*$U$61*K72</f>
        <v>1.0499999999999998</v>
      </c>
      <c r="P34" s="265" t="s">
        <v>1162</v>
      </c>
      <c r="R34" t="s">
        <v>40</v>
      </c>
      <c r="S34" s="5" t="s">
        <v>111</v>
      </c>
      <c r="T34" s="5"/>
      <c r="U34" s="5"/>
      <c r="V34" s="28" t="s">
        <v>98</v>
      </c>
      <c r="W34" s="21">
        <v>15.16</v>
      </c>
      <c r="X34" s="33">
        <f t="shared" si="3"/>
        <v>15.16</v>
      </c>
      <c r="Y34" s="23">
        <f t="shared" si="4"/>
        <v>0</v>
      </c>
    </row>
    <row r="35" spans="1:25">
      <c r="A35">
        <v>2</v>
      </c>
      <c r="B35" t="s">
        <v>39</v>
      </c>
      <c r="C35" t="s">
        <v>35</v>
      </c>
      <c r="D35" t="s">
        <v>20</v>
      </c>
      <c r="G35">
        <v>1</v>
      </c>
      <c r="H35" s="265">
        <v>2</v>
      </c>
      <c r="I35" s="265" t="s">
        <v>21</v>
      </c>
      <c r="J35" s="265" t="s">
        <v>26</v>
      </c>
      <c r="K35" s="265" t="s">
        <v>30</v>
      </c>
      <c r="L35" s="265" t="s">
        <v>33</v>
      </c>
      <c r="M35" s="265" t="s">
        <v>31</v>
      </c>
      <c r="N35" s="315">
        <f>U60*K73</f>
        <v>7.3684210526315783E-2</v>
      </c>
      <c r="O35" s="279">
        <f t="shared" si="5"/>
        <v>1.0499999999999998</v>
      </c>
      <c r="P35" s="265" t="s">
        <v>1162</v>
      </c>
      <c r="R35" t="s">
        <v>40</v>
      </c>
      <c r="S35" s="5" t="s">
        <v>112</v>
      </c>
      <c r="T35" s="5"/>
      <c r="U35" s="5"/>
      <c r="V35" s="28" t="s">
        <v>98</v>
      </c>
      <c r="W35" s="21">
        <v>9.5</v>
      </c>
      <c r="X35" s="33">
        <f t="shared" si="3"/>
        <v>9.5</v>
      </c>
      <c r="Y35" s="23">
        <f t="shared" si="4"/>
        <v>0</v>
      </c>
    </row>
    <row r="36" spans="1:25">
      <c r="A36">
        <v>2</v>
      </c>
      <c r="B36" t="s">
        <v>39</v>
      </c>
      <c r="C36" t="s">
        <v>35</v>
      </c>
      <c r="D36" t="s">
        <v>20</v>
      </c>
      <c r="G36">
        <v>1</v>
      </c>
      <c r="H36" s="265">
        <v>3</v>
      </c>
      <c r="I36" s="265" t="s">
        <v>21</v>
      </c>
      <c r="J36" s="265" t="s">
        <v>26</v>
      </c>
      <c r="K36" s="265" t="s">
        <v>30</v>
      </c>
      <c r="L36" s="265" t="s">
        <v>33</v>
      </c>
      <c r="M36" s="265" t="s">
        <v>31</v>
      </c>
      <c r="N36" s="315">
        <f>U60*K74</f>
        <v>7.3684210526315783E-2</v>
      </c>
      <c r="O36" s="279">
        <f t="shared" si="5"/>
        <v>1.0499999999999998</v>
      </c>
      <c r="P36" s="265" t="s">
        <v>1162</v>
      </c>
      <c r="R36" t="s">
        <v>40</v>
      </c>
      <c r="S36" s="5" t="s">
        <v>113</v>
      </c>
      <c r="T36" s="5"/>
      <c r="U36" s="5"/>
      <c r="V36" s="28" t="s">
        <v>98</v>
      </c>
      <c r="W36" s="21">
        <v>10</v>
      </c>
      <c r="X36" s="33">
        <f t="shared" si="3"/>
        <v>10</v>
      </c>
      <c r="Y36" s="23">
        <f t="shared" si="4"/>
        <v>0</v>
      </c>
    </row>
    <row r="37" spans="1:25">
      <c r="A37">
        <v>2</v>
      </c>
      <c r="B37" t="s">
        <v>39</v>
      </c>
      <c r="C37" t="s">
        <v>35</v>
      </c>
      <c r="D37" t="s">
        <v>20</v>
      </c>
      <c r="G37">
        <v>1</v>
      </c>
      <c r="H37" s="265">
        <v>4</v>
      </c>
      <c r="I37" s="265" t="s">
        <v>21</v>
      </c>
      <c r="J37" s="265" t="s">
        <v>26</v>
      </c>
      <c r="K37" s="265" t="s">
        <v>30</v>
      </c>
      <c r="L37" s="265" t="s">
        <v>33</v>
      </c>
      <c r="M37" s="265" t="s">
        <v>31</v>
      </c>
      <c r="N37" s="315">
        <f>U60*K75</f>
        <v>7.3684210526315783E-2</v>
      </c>
      <c r="O37" s="279">
        <f t="shared" si="5"/>
        <v>1.0499999999999998</v>
      </c>
      <c r="P37" s="265" t="s">
        <v>1162</v>
      </c>
      <c r="R37" t="s">
        <v>40</v>
      </c>
      <c r="S37" s="5" t="s">
        <v>114</v>
      </c>
      <c r="T37" s="5"/>
      <c r="U37" s="5"/>
      <c r="V37" s="28" t="s">
        <v>98</v>
      </c>
      <c r="W37" s="22">
        <f>(W16+W20+W23+W26+W29+W32+W33+W34+W35+W36)*U38*U39/12</f>
        <v>12.880800000000001</v>
      </c>
      <c r="X37" s="33">
        <f t="shared" si="3"/>
        <v>12.880800000000001</v>
      </c>
      <c r="Y37" s="23">
        <f t="shared" si="4"/>
        <v>0</v>
      </c>
    </row>
    <row r="38" spans="1:25">
      <c r="A38">
        <v>2</v>
      </c>
      <c r="B38" t="s">
        <v>39</v>
      </c>
      <c r="C38" t="s">
        <v>35</v>
      </c>
      <c r="D38" t="s">
        <v>20</v>
      </c>
      <c r="G38">
        <v>1</v>
      </c>
      <c r="H38" s="265">
        <v>5</v>
      </c>
      <c r="I38" s="265" t="s">
        <v>21</v>
      </c>
      <c r="J38" s="265" t="s">
        <v>26</v>
      </c>
      <c r="K38" s="265" t="s">
        <v>30</v>
      </c>
      <c r="L38" s="265" t="s">
        <v>33</v>
      </c>
      <c r="M38" s="265" t="s">
        <v>31</v>
      </c>
      <c r="N38" s="315">
        <f>U60*K76</f>
        <v>7.3684210526315783E-2</v>
      </c>
      <c r="O38" s="279">
        <f t="shared" si="5"/>
        <v>1.0499999999999998</v>
      </c>
      <c r="P38" s="265" t="s">
        <v>1162</v>
      </c>
      <c r="R38" t="s">
        <v>40</v>
      </c>
      <c r="S38" s="29" t="s">
        <v>115</v>
      </c>
      <c r="T38" s="29"/>
      <c r="U38" s="34">
        <v>8</v>
      </c>
      <c r="V38" s="5"/>
      <c r="W38" s="5"/>
      <c r="X38" s="5"/>
      <c r="Y38" s="5"/>
    </row>
    <row r="39" spans="1:25">
      <c r="A39">
        <v>2</v>
      </c>
      <c r="B39" t="s">
        <v>39</v>
      </c>
      <c r="C39" t="s">
        <v>35</v>
      </c>
      <c r="D39" t="s">
        <v>20</v>
      </c>
      <c r="G39">
        <v>1</v>
      </c>
      <c r="H39" s="265">
        <v>6</v>
      </c>
      <c r="I39" s="265" t="s">
        <v>21</v>
      </c>
      <c r="J39" s="265" t="s">
        <v>26</v>
      </c>
      <c r="K39" s="265" t="s">
        <v>30</v>
      </c>
      <c r="L39" s="265" t="s">
        <v>33</v>
      </c>
      <c r="M39" s="265" t="s">
        <v>31</v>
      </c>
      <c r="N39" s="315">
        <f>$U$60*K77</f>
        <v>7.3684210526315783E-2</v>
      </c>
      <c r="O39" s="279">
        <f t="shared" si="5"/>
        <v>1.0499999999999998</v>
      </c>
      <c r="P39" s="265" t="s">
        <v>1162</v>
      </c>
      <c r="R39" t="s">
        <v>40</v>
      </c>
      <c r="S39" s="29" t="s">
        <v>116</v>
      </c>
      <c r="T39" s="29"/>
      <c r="U39" s="35">
        <v>0.06</v>
      </c>
      <c r="V39" s="5"/>
      <c r="W39" s="18"/>
      <c r="X39" s="18" t="s">
        <v>117</v>
      </c>
      <c r="Y39" s="18" t="s">
        <v>117</v>
      </c>
    </row>
    <row r="40" spans="1:25">
      <c r="A40">
        <v>2</v>
      </c>
      <c r="B40" t="s">
        <v>39</v>
      </c>
      <c r="C40" t="s">
        <v>35</v>
      </c>
      <c r="D40" t="s">
        <v>20</v>
      </c>
      <c r="G40">
        <v>1</v>
      </c>
      <c r="H40" s="265">
        <v>7</v>
      </c>
      <c r="I40" s="265" t="s">
        <v>21</v>
      </c>
      <c r="J40" s="265" t="s">
        <v>26</v>
      </c>
      <c r="K40" s="265" t="s">
        <v>30</v>
      </c>
      <c r="L40" s="265" t="s">
        <v>33</v>
      </c>
      <c r="M40" s="265" t="s">
        <v>31</v>
      </c>
      <c r="N40" s="315">
        <f>$U$60*K78</f>
        <v>7.3684210526315783E-2</v>
      </c>
      <c r="O40" s="279">
        <f t="shared" si="5"/>
        <v>1.0499999999999998</v>
      </c>
      <c r="P40" s="265" t="s">
        <v>1162</v>
      </c>
      <c r="R40" t="s">
        <v>40</v>
      </c>
      <c r="S40" s="15" t="s">
        <v>118</v>
      </c>
      <c r="T40" s="15"/>
      <c r="U40" s="5"/>
      <c r="V40" s="28" t="s">
        <v>98</v>
      </c>
      <c r="W40" s="22">
        <f>W20+W23+W26+W29+W32+W33+W34+W35+W36+W37</f>
        <v>313.70080000000007</v>
      </c>
      <c r="X40" s="26">
        <f>W40</f>
        <v>313.70080000000007</v>
      </c>
      <c r="Y40" s="27">
        <f>X40*$F$8</f>
        <v>0</v>
      </c>
    </row>
    <row r="41" spans="1:25">
      <c r="A41">
        <v>2</v>
      </c>
      <c r="B41" t="s">
        <v>39</v>
      </c>
      <c r="C41" t="s">
        <v>35</v>
      </c>
      <c r="D41" t="s">
        <v>20</v>
      </c>
      <c r="G41">
        <v>1</v>
      </c>
      <c r="H41" s="265">
        <v>8</v>
      </c>
      <c r="I41" s="265" t="s">
        <v>21</v>
      </c>
      <c r="J41" s="265" t="s">
        <v>22</v>
      </c>
      <c r="K41" s="265" t="s">
        <v>30</v>
      </c>
      <c r="L41" s="265" t="s">
        <v>33</v>
      </c>
      <c r="M41" s="265" t="s">
        <v>1164</v>
      </c>
      <c r="N41" s="315">
        <f>$U$60*K65</f>
        <v>0.22105263157894733</v>
      </c>
      <c r="O41" s="279">
        <f>$U$60*$U$61*K65</f>
        <v>3.15</v>
      </c>
      <c r="P41" s="265" t="s">
        <v>1163</v>
      </c>
      <c r="R41" t="s">
        <v>40</v>
      </c>
      <c r="S41" s="5"/>
      <c r="T41" s="5"/>
      <c r="U41" s="5"/>
      <c r="V41" s="5"/>
      <c r="W41" s="5"/>
      <c r="X41" s="5"/>
      <c r="Y41" s="5"/>
    </row>
    <row r="42" spans="1:25">
      <c r="A42">
        <v>2</v>
      </c>
      <c r="B42" t="s">
        <v>39</v>
      </c>
      <c r="C42" t="s">
        <v>35</v>
      </c>
      <c r="D42" t="s">
        <v>20</v>
      </c>
      <c r="G42">
        <v>1</v>
      </c>
      <c r="H42" s="265">
        <v>9</v>
      </c>
      <c r="I42" s="265" t="s">
        <v>21</v>
      </c>
      <c r="J42" s="265" t="s">
        <v>22</v>
      </c>
      <c r="K42" s="265" t="s">
        <v>30</v>
      </c>
      <c r="L42" s="265" t="s">
        <v>33</v>
      </c>
      <c r="M42" s="265" t="s">
        <v>1165</v>
      </c>
      <c r="N42" s="315">
        <f t="shared" ref="N42:N43" si="6">$U$60*K66</f>
        <v>0.22105263157894733</v>
      </c>
      <c r="O42" s="279">
        <f>$U$60*$U$61*K66</f>
        <v>3.15</v>
      </c>
      <c r="P42" s="265" t="s">
        <v>1163</v>
      </c>
      <c r="R42" t="s">
        <v>40</v>
      </c>
      <c r="S42" s="15" t="s">
        <v>119</v>
      </c>
      <c r="T42" s="15"/>
      <c r="U42" s="5"/>
      <c r="V42" s="5"/>
      <c r="W42" s="5"/>
      <c r="X42" s="5"/>
      <c r="Y42" s="5"/>
    </row>
    <row r="43" spans="1:25">
      <c r="A43">
        <v>2</v>
      </c>
      <c r="B43" t="s">
        <v>39</v>
      </c>
      <c r="C43" t="s">
        <v>35</v>
      </c>
      <c r="D43" t="s">
        <v>20</v>
      </c>
      <c r="G43">
        <v>1</v>
      </c>
      <c r="H43" s="265">
        <v>10</v>
      </c>
      <c r="I43" s="265" t="s">
        <v>21</v>
      </c>
      <c r="J43" s="265" t="s">
        <v>22</v>
      </c>
      <c r="K43" s="265" t="s">
        <v>30</v>
      </c>
      <c r="L43" s="265" t="s">
        <v>33</v>
      </c>
      <c r="M43" s="265" t="s">
        <v>1165</v>
      </c>
      <c r="N43" s="315">
        <f t="shared" si="6"/>
        <v>0.22105263157894733</v>
      </c>
      <c r="O43" s="279">
        <f>$U$60*$U$61*K67</f>
        <v>3.15</v>
      </c>
      <c r="P43" s="265" t="s">
        <v>1163</v>
      </c>
      <c r="R43" t="s">
        <v>40</v>
      </c>
      <c r="S43" s="20" t="s">
        <v>120</v>
      </c>
      <c r="T43" s="5"/>
      <c r="U43" s="5"/>
      <c r="V43" s="21">
        <v>13.1</v>
      </c>
      <c r="W43" s="21">
        <v>6.7</v>
      </c>
      <c r="X43" s="22">
        <f t="shared" ref="X43:X55" si="7">SUM(V43:W43)</f>
        <v>19.8</v>
      </c>
      <c r="Y43" s="23">
        <f>X43*$F$8</f>
        <v>0</v>
      </c>
    </row>
    <row r="44" spans="1:25">
      <c r="A44">
        <v>2</v>
      </c>
      <c r="B44" t="s">
        <v>39</v>
      </c>
      <c r="C44" t="s">
        <v>35</v>
      </c>
      <c r="D44" t="s">
        <v>20</v>
      </c>
      <c r="G44">
        <v>1</v>
      </c>
      <c r="H44" s="265">
        <v>11</v>
      </c>
      <c r="I44" s="265" t="s">
        <v>21</v>
      </c>
      <c r="J44" s="265" t="s">
        <v>26</v>
      </c>
      <c r="K44" s="265" t="s">
        <v>30</v>
      </c>
      <c r="L44" s="265" t="s">
        <v>33</v>
      </c>
      <c r="M44" s="265" t="s">
        <v>31</v>
      </c>
      <c r="N44" s="315">
        <f t="shared" ref="N44:N51" si="8">$U$60*K79</f>
        <v>7.3684210526315783E-2</v>
      </c>
      <c r="O44" s="279">
        <f t="shared" ref="O44:O51" si="9">$U$60*$U$61*K79</f>
        <v>1.0499999999999998</v>
      </c>
      <c r="P44" s="265" t="s">
        <v>1162</v>
      </c>
      <c r="R44" t="s">
        <v>40</v>
      </c>
      <c r="S44" s="20" t="s">
        <v>121</v>
      </c>
      <c r="T44" s="5"/>
      <c r="U44" s="5"/>
      <c r="V44" s="21">
        <v>6.3</v>
      </c>
      <c r="W44" s="21">
        <v>3</v>
      </c>
      <c r="X44" s="22">
        <f>SUM(V44:W44)</f>
        <v>9.3000000000000007</v>
      </c>
      <c r="Y44" s="23">
        <f>X44*$F$8</f>
        <v>0</v>
      </c>
    </row>
    <row r="45" spans="1:25">
      <c r="A45">
        <v>2</v>
      </c>
      <c r="B45" t="s">
        <v>39</v>
      </c>
      <c r="C45" t="s">
        <v>35</v>
      </c>
      <c r="D45" t="s">
        <v>20</v>
      </c>
      <c r="G45">
        <v>1</v>
      </c>
      <c r="H45" s="265">
        <v>12</v>
      </c>
      <c r="I45" s="265" t="s">
        <v>21</v>
      </c>
      <c r="J45" s="265" t="s">
        <v>26</v>
      </c>
      <c r="K45" s="265" t="s">
        <v>30</v>
      </c>
      <c r="L45" s="265" t="s">
        <v>33</v>
      </c>
      <c r="M45" s="265" t="s">
        <v>31</v>
      </c>
      <c r="N45" s="315">
        <f t="shared" si="8"/>
        <v>7.3684210526315783E-2</v>
      </c>
      <c r="O45" s="279">
        <f t="shared" si="9"/>
        <v>1.0499999999999998</v>
      </c>
      <c r="P45" s="265" t="s">
        <v>1162</v>
      </c>
      <c r="R45" t="s">
        <v>40</v>
      </c>
      <c r="S45" s="36" t="s">
        <v>122</v>
      </c>
      <c r="T45" s="5"/>
      <c r="U45" s="5"/>
      <c r="V45" s="37">
        <f>U46*X2</f>
        <v>7.9439359999999999</v>
      </c>
      <c r="W45" s="37">
        <f>U47*X2</f>
        <v>6.8686800000000003</v>
      </c>
      <c r="X45" s="22">
        <f t="shared" si="7"/>
        <v>14.812616</v>
      </c>
      <c r="Y45" s="23">
        <f>X45*$F$8</f>
        <v>0</v>
      </c>
    </row>
    <row r="46" spans="1:25">
      <c r="A46">
        <v>2</v>
      </c>
      <c r="B46" t="s">
        <v>39</v>
      </c>
      <c r="C46" t="s">
        <v>35</v>
      </c>
      <c r="D46" t="s">
        <v>20</v>
      </c>
      <c r="G46">
        <v>1</v>
      </c>
      <c r="H46" s="265">
        <v>13</v>
      </c>
      <c r="I46" s="265" t="s">
        <v>21</v>
      </c>
      <c r="J46" s="265" t="s">
        <v>26</v>
      </c>
      <c r="K46" s="265" t="s">
        <v>30</v>
      </c>
      <c r="L46" s="265" t="s">
        <v>33</v>
      </c>
      <c r="M46" s="265" t="s">
        <v>31</v>
      </c>
      <c r="N46" s="315">
        <f t="shared" si="8"/>
        <v>7.3684210526315783E-2</v>
      </c>
      <c r="O46" s="279">
        <f t="shared" si="9"/>
        <v>1.0499999999999998</v>
      </c>
      <c r="P46" s="265" t="s">
        <v>1162</v>
      </c>
      <c r="R46" t="s">
        <v>40</v>
      </c>
      <c r="S46" s="29" t="s">
        <v>123</v>
      </c>
      <c r="T46" s="5"/>
      <c r="U46" s="30">
        <v>4.3647999999999999E-2</v>
      </c>
      <c r="V46" s="13"/>
      <c r="W46" s="13"/>
      <c r="X46" s="5"/>
      <c r="Y46" s="5"/>
    </row>
    <row r="47" spans="1:25">
      <c r="A47">
        <v>2</v>
      </c>
      <c r="B47" t="s">
        <v>39</v>
      </c>
      <c r="C47" t="s">
        <v>35</v>
      </c>
      <c r="D47" t="s">
        <v>20</v>
      </c>
      <c r="G47">
        <v>1</v>
      </c>
      <c r="H47" s="265">
        <v>14</v>
      </c>
      <c r="I47" s="265" t="s">
        <v>21</v>
      </c>
      <c r="J47" s="265" t="s">
        <v>26</v>
      </c>
      <c r="K47" s="265" t="s">
        <v>30</v>
      </c>
      <c r="L47" s="265" t="s">
        <v>33</v>
      </c>
      <c r="M47" s="265" t="s">
        <v>31</v>
      </c>
      <c r="N47" s="315">
        <f t="shared" si="8"/>
        <v>7.3684210526315783E-2</v>
      </c>
      <c r="O47" s="279">
        <f t="shared" si="9"/>
        <v>1.0499999999999998</v>
      </c>
      <c r="P47" s="265" t="s">
        <v>1162</v>
      </c>
      <c r="R47" t="s">
        <v>40</v>
      </c>
      <c r="S47" s="29" t="s">
        <v>124</v>
      </c>
      <c r="T47" s="29"/>
      <c r="U47" s="30">
        <v>3.7740000000000003E-2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35</v>
      </c>
      <c r="D48" t="s">
        <v>20</v>
      </c>
      <c r="G48">
        <v>1</v>
      </c>
      <c r="H48" s="265">
        <v>15</v>
      </c>
      <c r="I48" s="265" t="s">
        <v>21</v>
      </c>
      <c r="J48" s="265" t="s">
        <v>26</v>
      </c>
      <c r="K48" s="265" t="s">
        <v>30</v>
      </c>
      <c r="L48" s="265" t="s">
        <v>33</v>
      </c>
      <c r="M48" s="265" t="s">
        <v>31</v>
      </c>
      <c r="N48" s="315">
        <f t="shared" si="8"/>
        <v>7.3684210526315783E-2</v>
      </c>
      <c r="O48" s="279">
        <f t="shared" si="9"/>
        <v>1.0499999999999998</v>
      </c>
      <c r="P48" s="265" t="s">
        <v>1162</v>
      </c>
      <c r="R48" t="s">
        <v>40</v>
      </c>
      <c r="S48" s="36" t="s">
        <v>125</v>
      </c>
      <c r="T48" s="5"/>
      <c r="U48" s="5"/>
      <c r="V48" s="37">
        <f>T49*X2</f>
        <v>9.1</v>
      </c>
      <c r="W48" s="37">
        <f>U50*X2</f>
        <v>30.139199999999999</v>
      </c>
      <c r="X48" s="22">
        <f t="shared" si="7"/>
        <v>39.239199999999997</v>
      </c>
      <c r="Y48" s="23">
        <f>X48*$F$8</f>
        <v>0</v>
      </c>
    </row>
    <row r="49" spans="1:25">
      <c r="A49">
        <v>2</v>
      </c>
      <c r="B49" t="s">
        <v>39</v>
      </c>
      <c r="C49" t="s">
        <v>35</v>
      </c>
      <c r="D49" t="s">
        <v>20</v>
      </c>
      <c r="G49">
        <v>1</v>
      </c>
      <c r="H49" s="265">
        <v>16</v>
      </c>
      <c r="I49" s="265" t="s">
        <v>21</v>
      </c>
      <c r="J49" s="265" t="s">
        <v>26</v>
      </c>
      <c r="K49" s="265" t="s">
        <v>30</v>
      </c>
      <c r="L49" s="265" t="s">
        <v>33</v>
      </c>
      <c r="M49" s="265" t="s">
        <v>31</v>
      </c>
      <c r="N49" s="315">
        <f t="shared" si="8"/>
        <v>7.3684210526315783E-2</v>
      </c>
      <c r="O49" s="279">
        <f t="shared" si="9"/>
        <v>1.0499999999999998</v>
      </c>
      <c r="P49" s="265" t="s">
        <v>1162</v>
      </c>
      <c r="R49" t="s">
        <v>40</v>
      </c>
      <c r="S49" s="5"/>
      <c r="T49" s="30">
        <v>0.05</v>
      </c>
      <c r="U49" s="13"/>
      <c r="V49" s="13"/>
      <c r="W49" s="5"/>
      <c r="X49" s="5"/>
    </row>
    <row r="50" spans="1:25">
      <c r="A50">
        <v>2</v>
      </c>
      <c r="B50" t="s">
        <v>39</v>
      </c>
      <c r="C50" t="s">
        <v>35</v>
      </c>
      <c r="D50" t="s">
        <v>20</v>
      </c>
      <c r="G50">
        <v>1</v>
      </c>
      <c r="H50" s="265">
        <v>17</v>
      </c>
      <c r="I50" s="265" t="s">
        <v>21</v>
      </c>
      <c r="J50" s="265" t="s">
        <v>26</v>
      </c>
      <c r="K50" s="265" t="s">
        <v>30</v>
      </c>
      <c r="L50" s="265" t="s">
        <v>33</v>
      </c>
      <c r="M50" s="265" t="s">
        <v>31</v>
      </c>
      <c r="N50" s="315">
        <f t="shared" si="8"/>
        <v>7.3684210526315783E-2</v>
      </c>
      <c r="O50" s="279">
        <f t="shared" si="9"/>
        <v>1.0499999999999998</v>
      </c>
      <c r="P50" s="265" t="s">
        <v>1162</v>
      </c>
      <c r="R50" t="s">
        <v>40</v>
      </c>
      <c r="S50" s="29" t="s">
        <v>124</v>
      </c>
      <c r="T50" s="29"/>
      <c r="U50" s="30">
        <f>1.38*0.02*6</f>
        <v>0.1656</v>
      </c>
      <c r="V50" s="13"/>
      <c r="W50" s="13"/>
      <c r="X50" s="5"/>
      <c r="Y50" s="5"/>
    </row>
    <row r="51" spans="1:25">
      <c r="A51">
        <v>2</v>
      </c>
      <c r="B51" t="s">
        <v>39</v>
      </c>
      <c r="C51" t="s">
        <v>35</v>
      </c>
      <c r="D51" t="s">
        <v>20</v>
      </c>
      <c r="G51">
        <v>1</v>
      </c>
      <c r="H51" s="265">
        <v>18</v>
      </c>
      <c r="I51" s="265" t="s">
        <v>21</v>
      </c>
      <c r="J51" s="265" t="s">
        <v>26</v>
      </c>
      <c r="K51" s="265" t="s">
        <v>30</v>
      </c>
      <c r="L51" s="265" t="s">
        <v>33</v>
      </c>
      <c r="M51" s="265" t="s">
        <v>31</v>
      </c>
      <c r="N51" s="315">
        <f t="shared" si="8"/>
        <v>7.3684210526315783E-2</v>
      </c>
      <c r="O51" s="279">
        <f t="shared" si="9"/>
        <v>1.0499999999999998</v>
      </c>
      <c r="P51" s="265" t="s">
        <v>1162</v>
      </c>
      <c r="R51" t="s">
        <v>40</v>
      </c>
      <c r="S51" s="36" t="s">
        <v>126</v>
      </c>
      <c r="T51" s="5"/>
      <c r="U51" s="5"/>
      <c r="V51" s="37">
        <f>U52*X2</f>
        <v>3.2082960000000003</v>
      </c>
      <c r="W51" s="37">
        <f>U53*X2</f>
        <v>3.5167860000000002</v>
      </c>
      <c r="X51" s="22">
        <f t="shared" si="7"/>
        <v>6.7250820000000004</v>
      </c>
      <c r="Y51" s="23">
        <f>X51*$F$8</f>
        <v>0</v>
      </c>
    </row>
    <row r="52" spans="1:25">
      <c r="A52">
        <v>2</v>
      </c>
      <c r="B52" t="s">
        <v>39</v>
      </c>
      <c r="C52" t="s">
        <v>35</v>
      </c>
      <c r="D52" t="s">
        <v>20</v>
      </c>
      <c r="G52">
        <v>1</v>
      </c>
      <c r="H52" s="265">
        <v>19</v>
      </c>
      <c r="I52" s="265" t="s">
        <v>21</v>
      </c>
      <c r="J52" s="265" t="s">
        <v>29</v>
      </c>
      <c r="K52" s="265" t="s">
        <v>30</v>
      </c>
      <c r="L52" s="265" t="s">
        <v>33</v>
      </c>
      <c r="M52" s="265" t="s">
        <v>1166</v>
      </c>
      <c r="N52" s="315">
        <f>$U$60*K68</f>
        <v>0.22105263157894733</v>
      </c>
      <c r="O52" s="279">
        <f>$U$60*$U$61*K68</f>
        <v>3.15</v>
      </c>
      <c r="P52" s="265" t="s">
        <v>1163</v>
      </c>
      <c r="R52" t="s">
        <v>40</v>
      </c>
      <c r="S52" s="29" t="s">
        <v>123</v>
      </c>
      <c r="T52" s="5"/>
      <c r="U52" s="30">
        <v>1.7628000000000001E-2</v>
      </c>
      <c r="V52" s="5"/>
      <c r="W52" s="5"/>
      <c r="X52" s="5"/>
      <c r="Y52" s="5"/>
    </row>
    <row r="53" spans="1:25">
      <c r="A53">
        <v>2</v>
      </c>
      <c r="B53" t="s">
        <v>39</v>
      </c>
      <c r="C53" t="s">
        <v>35</v>
      </c>
      <c r="D53" t="s">
        <v>20</v>
      </c>
      <c r="G53">
        <v>1</v>
      </c>
      <c r="H53" s="265">
        <v>20</v>
      </c>
      <c r="I53" s="265" t="s">
        <v>21</v>
      </c>
      <c r="J53" s="265" t="s">
        <v>29</v>
      </c>
      <c r="K53" s="265" t="s">
        <v>30</v>
      </c>
      <c r="L53" s="265" t="s">
        <v>33</v>
      </c>
      <c r="M53" s="265" t="s">
        <v>1166</v>
      </c>
      <c r="N53" s="315">
        <f t="shared" ref="N53:N55" si="10">$U$60*K69</f>
        <v>0.22105263157894733</v>
      </c>
      <c r="O53" s="279">
        <f>$U$60*$U$61*K69</f>
        <v>3.15</v>
      </c>
      <c r="P53" s="265" t="s">
        <v>1163</v>
      </c>
      <c r="R53" t="s">
        <v>40</v>
      </c>
      <c r="S53" s="29" t="s">
        <v>124</v>
      </c>
      <c r="T53" s="29"/>
      <c r="U53" s="30">
        <v>1.9323E-2</v>
      </c>
      <c r="V53" s="5"/>
      <c r="W53" s="5"/>
      <c r="X53" s="5"/>
      <c r="Y53" s="5"/>
    </row>
    <row r="54" spans="1:25">
      <c r="A54">
        <v>2</v>
      </c>
      <c r="B54" t="s">
        <v>39</v>
      </c>
      <c r="C54" t="s">
        <v>35</v>
      </c>
      <c r="D54" t="s">
        <v>20</v>
      </c>
      <c r="G54">
        <v>1</v>
      </c>
      <c r="H54" s="265">
        <v>21</v>
      </c>
      <c r="I54" s="265" t="s">
        <v>21</v>
      </c>
      <c r="J54" s="265" t="s">
        <v>29</v>
      </c>
      <c r="K54" s="265" t="s">
        <v>30</v>
      </c>
      <c r="L54" s="265" t="s">
        <v>33</v>
      </c>
      <c r="M54" s="265" t="s">
        <v>1166</v>
      </c>
      <c r="N54" s="315">
        <f t="shared" si="10"/>
        <v>0.22105263157894733</v>
      </c>
      <c r="O54" s="279">
        <f>$U$60*$U$61*K70</f>
        <v>3.15</v>
      </c>
      <c r="P54" s="265" t="s">
        <v>1163</v>
      </c>
      <c r="R54" t="s">
        <v>40</v>
      </c>
      <c r="S54" s="20" t="s">
        <v>95</v>
      </c>
      <c r="T54" s="5"/>
      <c r="U54" s="5"/>
      <c r="V54" s="21">
        <v>0</v>
      </c>
      <c r="W54" s="21">
        <v>0</v>
      </c>
      <c r="X54" s="38">
        <f t="shared" si="7"/>
        <v>0</v>
      </c>
      <c r="Y54" s="39">
        <f>X54*$F$8</f>
        <v>0</v>
      </c>
    </row>
    <row r="55" spans="1:25">
      <c r="A55">
        <v>2</v>
      </c>
      <c r="B55" t="s">
        <v>39</v>
      </c>
      <c r="C55" t="s">
        <v>35</v>
      </c>
      <c r="D55" t="s">
        <v>20</v>
      </c>
      <c r="G55">
        <v>1</v>
      </c>
      <c r="H55" s="265">
        <v>22</v>
      </c>
      <c r="I55" s="265" t="s">
        <v>21</v>
      </c>
      <c r="J55" s="265" t="s">
        <v>29</v>
      </c>
      <c r="K55" s="265" t="s">
        <v>30</v>
      </c>
      <c r="L55" s="265" t="s">
        <v>33</v>
      </c>
      <c r="M55" s="265" t="s">
        <v>1166</v>
      </c>
      <c r="N55" s="315">
        <f t="shared" si="10"/>
        <v>0.22105263157894733</v>
      </c>
      <c r="O55" s="279">
        <f>$U$60*$U$61*K71</f>
        <v>3.15</v>
      </c>
      <c r="P55" s="265" t="s">
        <v>1163</v>
      </c>
      <c r="R55" t="s">
        <v>40</v>
      </c>
      <c r="S55" s="15" t="s">
        <v>96</v>
      </c>
      <c r="T55" s="15"/>
      <c r="U55" s="5"/>
      <c r="V55" s="22">
        <f>SUM(V43:V54)</f>
        <v>39.652231999999998</v>
      </c>
      <c r="W55" s="22">
        <f>SUM(W43:W54)</f>
        <v>50.224666000000006</v>
      </c>
      <c r="X55" s="26">
        <f t="shared" si="7"/>
        <v>89.876898000000011</v>
      </c>
      <c r="Y55" s="27">
        <f>X55*$F$8</f>
        <v>0</v>
      </c>
    </row>
    <row r="56" spans="1:25">
      <c r="A56">
        <v>2</v>
      </c>
      <c r="B56" t="s">
        <v>39</v>
      </c>
      <c r="C56" t="s">
        <v>35</v>
      </c>
      <c r="D56" t="s">
        <v>20</v>
      </c>
      <c r="G56">
        <v>1</v>
      </c>
      <c r="H56" s="265">
        <v>23</v>
      </c>
      <c r="I56" s="265" t="s">
        <v>21</v>
      </c>
      <c r="J56" s="265" t="s">
        <v>26</v>
      </c>
      <c r="K56" s="265" t="s">
        <v>30</v>
      </c>
      <c r="L56" s="265" t="s">
        <v>33</v>
      </c>
      <c r="M56" s="265" t="s">
        <v>31</v>
      </c>
      <c r="N56" s="315">
        <f>$U$60*K87</f>
        <v>7.3684210526315783E-2</v>
      </c>
      <c r="O56" s="279">
        <f>$U$60*$U$61*K87</f>
        <v>1.0499999999999998</v>
      </c>
      <c r="P56" s="265" t="s">
        <v>1162</v>
      </c>
      <c r="R56" t="s">
        <v>40</v>
      </c>
      <c r="S56" s="5" t="s">
        <v>97</v>
      </c>
      <c r="T56" s="5"/>
      <c r="U56" s="5"/>
      <c r="V56" s="23">
        <f>V55*$F$8</f>
        <v>0</v>
      </c>
      <c r="W56" s="23">
        <f>W55*$F$8</f>
        <v>0</v>
      </c>
      <c r="X56" s="27">
        <f>X55*$F$8</f>
        <v>0</v>
      </c>
      <c r="Y56" s="28" t="s">
        <v>98</v>
      </c>
    </row>
    <row r="57" spans="1:25">
      <c r="A57">
        <v>2</v>
      </c>
      <c r="B57" t="s">
        <v>39</v>
      </c>
      <c r="C57" t="s">
        <v>35</v>
      </c>
      <c r="D57" t="s">
        <v>20</v>
      </c>
      <c r="G57">
        <v>1</v>
      </c>
      <c r="H57" s="265">
        <v>24</v>
      </c>
      <c r="I57" s="265" t="s">
        <v>21</v>
      </c>
      <c r="J57" s="265" t="s">
        <v>26</v>
      </c>
      <c r="K57" s="265" t="s">
        <v>30</v>
      </c>
      <c r="L57" s="265" t="s">
        <v>33</v>
      </c>
      <c r="M57" s="265" t="s">
        <v>31</v>
      </c>
      <c r="N57" s="315">
        <f>$U$60*K88</f>
        <v>7.3684210526315783E-2</v>
      </c>
      <c r="O57" s="279">
        <f>$U$60*$U$61*K88</f>
        <v>1.0499999999999998</v>
      </c>
      <c r="P57" s="265" t="s">
        <v>1162</v>
      </c>
      <c r="R57" t="s">
        <v>40</v>
      </c>
      <c r="S57" s="5"/>
      <c r="T57" s="5"/>
      <c r="U57" s="5"/>
      <c r="V57" s="5"/>
      <c r="W57" s="5"/>
      <c r="X57" s="5"/>
      <c r="Y57" s="5"/>
    </row>
    <row r="58" spans="1:25">
      <c r="A58">
        <v>2</v>
      </c>
      <c r="B58" t="s">
        <v>39</v>
      </c>
      <c r="C58" t="s">
        <v>35</v>
      </c>
      <c r="D58" t="s">
        <v>20</v>
      </c>
      <c r="G58">
        <v>1</v>
      </c>
      <c r="I58" t="s">
        <v>21</v>
      </c>
      <c r="J58" t="s">
        <v>26</v>
      </c>
      <c r="K58" t="s">
        <v>26</v>
      </c>
      <c r="L58" t="s">
        <v>32</v>
      </c>
      <c r="M58" t="s">
        <v>1196</v>
      </c>
      <c r="N58" s="52"/>
      <c r="O58" s="1">
        <f>V68</f>
        <v>223</v>
      </c>
      <c r="P58" t="s">
        <v>50</v>
      </c>
      <c r="R58" t="s">
        <v>40</v>
      </c>
      <c r="S58" s="15" t="s">
        <v>30</v>
      </c>
      <c r="T58" s="15"/>
      <c r="U58" s="5"/>
      <c r="V58" s="22" t="s">
        <v>99</v>
      </c>
      <c r="W58" s="5"/>
      <c r="X58" s="22" t="str">
        <f>V58</f>
        <v xml:space="preserve"> </v>
      </c>
      <c r="Y58" s="23" t="s">
        <v>99</v>
      </c>
    </row>
    <row r="59" spans="1:25">
      <c r="S59" s="5" t="s">
        <v>127</v>
      </c>
      <c r="T59" s="15"/>
      <c r="U59" s="5"/>
      <c r="V59" s="24">
        <f>U60*U61</f>
        <v>39.9</v>
      </c>
      <c r="W59" s="28" t="s">
        <v>98</v>
      </c>
      <c r="X59" s="22">
        <f>V59</f>
        <v>39.9</v>
      </c>
      <c r="Y59" s="23">
        <f>X59*$F$8</f>
        <v>0</v>
      </c>
    </row>
    <row r="60" spans="1:25">
      <c r="S60" s="29" t="s">
        <v>128</v>
      </c>
      <c r="T60" s="29"/>
      <c r="U60" s="34">
        <v>2.8</v>
      </c>
      <c r="V60" s="5"/>
      <c r="W60" s="5"/>
      <c r="X60" s="5"/>
      <c r="Y60" s="5"/>
    </row>
    <row r="61" spans="1:25">
      <c r="S61" s="29" t="s">
        <v>129</v>
      </c>
      <c r="T61" s="29"/>
      <c r="U61" s="30">
        <v>14.25</v>
      </c>
      <c r="V61" s="5"/>
      <c r="W61" s="5"/>
      <c r="X61" s="5"/>
      <c r="Y61" s="5"/>
    </row>
    <row r="62" spans="1:25">
      <c r="S62" s="5" t="s">
        <v>130</v>
      </c>
      <c r="T62" s="29"/>
      <c r="U62" s="40"/>
      <c r="V62" s="28" t="s">
        <v>98</v>
      </c>
      <c r="W62" s="24">
        <f>U63*U64</f>
        <v>0</v>
      </c>
      <c r="X62" s="22">
        <f>W62</f>
        <v>0</v>
      </c>
      <c r="Y62" s="23">
        <f>X62*$F$8</f>
        <v>0</v>
      </c>
    </row>
    <row r="63" spans="1:25">
      <c r="S63" s="29" t="s">
        <v>128</v>
      </c>
      <c r="T63" s="29"/>
      <c r="U63" s="34">
        <v>0</v>
      </c>
      <c r="V63" s="5"/>
      <c r="W63" s="5"/>
      <c r="X63" s="5"/>
      <c r="Y63" s="23" t="s">
        <v>99</v>
      </c>
    </row>
    <row r="64" spans="1:25">
      <c r="J64" t="s">
        <v>1160</v>
      </c>
      <c r="K64" t="s">
        <v>1161</v>
      </c>
      <c r="S64" s="29" t="s">
        <v>129</v>
      </c>
      <c r="T64" s="29"/>
      <c r="U64" s="30">
        <v>0</v>
      </c>
      <c r="V64" s="5"/>
      <c r="W64" s="18"/>
      <c r="X64" s="18" t="s">
        <v>117</v>
      </c>
      <c r="Y64" s="18" t="s">
        <v>117</v>
      </c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118</v>
      </c>
      <c r="T65" s="5"/>
      <c r="U65" s="5"/>
      <c r="V65" s="22">
        <f>V59</f>
        <v>39.9</v>
      </c>
      <c r="W65" s="22">
        <f>W62</f>
        <v>0</v>
      </c>
      <c r="X65" s="26">
        <f>X59+X62</f>
        <v>39.9</v>
      </c>
      <c r="Y65" s="27">
        <f>X65*$F$8</f>
        <v>0</v>
      </c>
    </row>
    <row r="66" spans="8:25">
      <c r="H66" t="s">
        <v>1159</v>
      </c>
      <c r="I66">
        <v>9</v>
      </c>
      <c r="J66">
        <v>3</v>
      </c>
      <c r="K66">
        <f t="shared" ref="K66:K88" si="11">J66/$J$89</f>
        <v>7.8947368421052627E-2</v>
      </c>
      <c r="S66" s="15"/>
      <c r="T66" s="5"/>
      <c r="U66" s="5"/>
      <c r="V66" s="5"/>
      <c r="W66" s="5"/>
      <c r="X66" s="5"/>
      <c r="Y66" s="5"/>
    </row>
    <row r="67" spans="8:25">
      <c r="H67" t="s">
        <v>1159</v>
      </c>
      <c r="I67">
        <v>10</v>
      </c>
      <c r="J67">
        <v>3</v>
      </c>
      <c r="K67">
        <f t="shared" si="11"/>
        <v>7.8947368421052627E-2</v>
      </c>
      <c r="S67" s="15" t="s">
        <v>34</v>
      </c>
      <c r="T67" s="15"/>
      <c r="U67" s="5"/>
      <c r="V67" s="5"/>
      <c r="W67" s="5"/>
      <c r="X67" s="5"/>
      <c r="Y67" s="5"/>
    </row>
    <row r="68" spans="8:25">
      <c r="H68" t="s">
        <v>29</v>
      </c>
      <c r="I68">
        <v>19</v>
      </c>
      <c r="J68">
        <v>3</v>
      </c>
      <c r="K68">
        <f t="shared" si="11"/>
        <v>7.8947368421052627E-2</v>
      </c>
      <c r="S68" s="5" t="s">
        <v>131</v>
      </c>
      <c r="T68" s="5"/>
      <c r="U68" s="5"/>
      <c r="V68" s="21">
        <v>223</v>
      </c>
      <c r="W68" s="28" t="s">
        <v>98</v>
      </c>
      <c r="X68" s="22">
        <f>V68</f>
        <v>223</v>
      </c>
      <c r="Y68" s="23">
        <f>X68*$F$8</f>
        <v>0</v>
      </c>
    </row>
    <row r="69" spans="8:25">
      <c r="H69" t="s">
        <v>29</v>
      </c>
      <c r="I69">
        <v>20</v>
      </c>
      <c r="J69">
        <v>3</v>
      </c>
      <c r="K69">
        <f t="shared" si="11"/>
        <v>7.8947368421052627E-2</v>
      </c>
      <c r="S69" s="5"/>
      <c r="T69" s="5"/>
      <c r="U69" s="5"/>
      <c r="V69" s="5"/>
      <c r="W69" s="5"/>
      <c r="X69" s="5"/>
      <c r="Y69" s="5"/>
    </row>
    <row r="70" spans="8:25">
      <c r="H70" t="s">
        <v>29</v>
      </c>
      <c r="I70">
        <v>21</v>
      </c>
      <c r="J70">
        <v>3</v>
      </c>
      <c r="K70">
        <f t="shared" si="11"/>
        <v>7.8947368421052627E-2</v>
      </c>
      <c r="S70" s="15" t="s">
        <v>132</v>
      </c>
      <c r="T70" s="15"/>
      <c r="U70" s="5"/>
      <c r="V70" s="5"/>
      <c r="W70" s="5"/>
      <c r="X70" s="18" t="s">
        <v>117</v>
      </c>
      <c r="Y70" s="18" t="s">
        <v>117</v>
      </c>
    </row>
    <row r="71" spans="8:25">
      <c r="H71" t="s">
        <v>29</v>
      </c>
      <c r="I71">
        <v>22</v>
      </c>
      <c r="J71">
        <v>3</v>
      </c>
      <c r="K71">
        <f t="shared" si="11"/>
        <v>7.8947368421052627E-2</v>
      </c>
      <c r="S71" s="5" t="s">
        <v>133</v>
      </c>
      <c r="T71" s="5"/>
      <c r="U71" s="5"/>
      <c r="V71" s="22">
        <f>V16+V55+V65+V68</f>
        <v>325.85223199999996</v>
      </c>
      <c r="W71" s="22">
        <f>W16+W40+W55+W65</f>
        <v>385.12546600000007</v>
      </c>
      <c r="X71" s="26">
        <f>X16+X40+X55+X65+X68</f>
        <v>710.97769800000003</v>
      </c>
      <c r="Y71" s="27">
        <f>X71*$F$8</f>
        <v>0</v>
      </c>
    </row>
    <row r="72" spans="8:25">
      <c r="I72">
        <v>1</v>
      </c>
      <c r="J72">
        <v>1</v>
      </c>
      <c r="K72">
        <f t="shared" si="11"/>
        <v>2.6315789473684209E-2</v>
      </c>
      <c r="S72" s="5" t="s">
        <v>134</v>
      </c>
      <c r="T72" s="5"/>
      <c r="U72" s="22"/>
      <c r="V72" s="22">
        <f>IF($F3&gt;0,V71/$F$7,0)</f>
        <v>0</v>
      </c>
      <c r="W72" s="22">
        <f>IF($F3&gt;0,W71/$F$7,0)</f>
        <v>0</v>
      </c>
      <c r="X72" s="22">
        <f>IF($F3&gt;0,X71/$F$7,0)</f>
        <v>0</v>
      </c>
      <c r="Y72" s="28" t="s">
        <v>98</v>
      </c>
    </row>
    <row r="73" spans="8:25">
      <c r="I73">
        <v>2</v>
      </c>
      <c r="J73">
        <v>1</v>
      </c>
      <c r="K73">
        <f t="shared" si="11"/>
        <v>2.6315789473684209E-2</v>
      </c>
      <c r="S73" s="5" t="s">
        <v>135</v>
      </c>
      <c r="T73" s="5"/>
      <c r="U73" s="5"/>
      <c r="V73" s="23">
        <f>V71*$F$8</f>
        <v>0</v>
      </c>
      <c r="W73" s="23">
        <f>W71*$F$8</f>
        <v>0</v>
      </c>
      <c r="X73" s="27">
        <f>X71*$F$8</f>
        <v>0</v>
      </c>
      <c r="Y73" s="28" t="s">
        <v>98</v>
      </c>
    </row>
    <row r="74" spans="8:25">
      <c r="I74">
        <v>3</v>
      </c>
      <c r="J74">
        <v>1</v>
      </c>
      <c r="K74">
        <f t="shared" si="11"/>
        <v>2.6315789473684209E-2</v>
      </c>
      <c r="S74" s="5"/>
      <c r="T74" s="5"/>
      <c r="U74" s="5"/>
      <c r="V74" s="23"/>
      <c r="W74" s="23"/>
      <c r="X74" s="23"/>
      <c r="Y74" s="28"/>
    </row>
    <row r="75" spans="8:25">
      <c r="I75">
        <v>4</v>
      </c>
      <c r="J75">
        <v>1</v>
      </c>
      <c r="K75">
        <f t="shared" si="11"/>
        <v>2.6315789473684209E-2</v>
      </c>
      <c r="S75" s="5"/>
      <c r="T75" s="5"/>
      <c r="U75" s="5"/>
      <c r="V75" s="5"/>
      <c r="W75" s="7" t="s">
        <v>136</v>
      </c>
      <c r="X75" s="6" t="s">
        <v>137</v>
      </c>
      <c r="Y75" s="7" t="s">
        <v>138</v>
      </c>
    </row>
    <row r="76" spans="8:25">
      <c r="I76">
        <v>5</v>
      </c>
      <c r="J76">
        <v>1</v>
      </c>
      <c r="K76">
        <f t="shared" si="11"/>
        <v>2.6315789473684209E-2</v>
      </c>
      <c r="S76" s="5"/>
      <c r="T76" s="5"/>
      <c r="U76" s="5"/>
      <c r="V76" s="19"/>
      <c r="W76" s="19" t="s">
        <v>139</v>
      </c>
      <c r="X76" s="19" t="s">
        <v>140</v>
      </c>
      <c r="Y76" s="19" t="s">
        <v>88</v>
      </c>
    </row>
    <row r="77" spans="8:25">
      <c r="I77">
        <v>6</v>
      </c>
      <c r="J77">
        <v>1</v>
      </c>
      <c r="K77">
        <f t="shared" si="11"/>
        <v>2.6315789473684209E-2</v>
      </c>
      <c r="S77" s="15" t="s">
        <v>141</v>
      </c>
      <c r="T77" s="5"/>
      <c r="U77" s="5"/>
      <c r="V77" s="23" t="s">
        <v>99</v>
      </c>
      <c r="W77" s="23"/>
      <c r="X77" s="23"/>
      <c r="Y77" s="5"/>
    </row>
    <row r="78" spans="8:25">
      <c r="I78">
        <v>7</v>
      </c>
      <c r="J78">
        <v>1</v>
      </c>
      <c r="K78">
        <f t="shared" si="11"/>
        <v>2.6315789473684209E-2</v>
      </c>
      <c r="S78" t="s">
        <v>142</v>
      </c>
      <c r="T78" s="5"/>
      <c r="U78" s="30">
        <v>0</v>
      </c>
      <c r="V78" s="41" t="s">
        <v>99</v>
      </c>
      <c r="W78" s="28" t="s">
        <v>98</v>
      </c>
      <c r="X78" s="22">
        <f>X2*U78</f>
        <v>0</v>
      </c>
      <c r="Y78" s="23">
        <f>X78*X$7</f>
        <v>0</v>
      </c>
    </row>
    <row r="79" spans="8:25">
      <c r="I79">
        <v>11</v>
      </c>
      <c r="J79">
        <v>1</v>
      </c>
      <c r="K79">
        <f t="shared" si="11"/>
        <v>2.6315789473684209E-2</v>
      </c>
      <c r="S79" s="5" t="s">
        <v>143</v>
      </c>
      <c r="T79" s="5"/>
      <c r="U79" s="5"/>
      <c r="V79" s="23" t="s">
        <v>99</v>
      </c>
      <c r="W79" s="28" t="s">
        <v>98</v>
      </c>
      <c r="X79" s="21">
        <v>0</v>
      </c>
      <c r="Y79" s="23">
        <f>X79*X$7</f>
        <v>0</v>
      </c>
    </row>
    <row r="80" spans="8:25">
      <c r="I80">
        <v>12</v>
      </c>
      <c r="J80">
        <v>1</v>
      </c>
      <c r="K80">
        <f t="shared" si="11"/>
        <v>2.6315789473684209E-2</v>
      </c>
      <c r="S80" s="42" t="s">
        <v>144</v>
      </c>
      <c r="T80" s="43"/>
      <c r="U80" s="44">
        <v>0</v>
      </c>
      <c r="V80" s="45"/>
      <c r="W80" s="46" t="s">
        <v>98</v>
      </c>
      <c r="X80" s="47">
        <f>X2*U80</f>
        <v>0</v>
      </c>
      <c r="Y80" s="48">
        <f>X80*X$7</f>
        <v>0</v>
      </c>
    </row>
    <row r="81" spans="9:25">
      <c r="I81">
        <v>13</v>
      </c>
      <c r="J81">
        <v>1</v>
      </c>
      <c r="K81">
        <f t="shared" si="11"/>
        <v>2.6315789473684209E-2</v>
      </c>
      <c r="S81" s="15" t="s">
        <v>145</v>
      </c>
      <c r="T81" s="15"/>
      <c r="U81" s="49"/>
      <c r="V81" s="5"/>
      <c r="W81" s="28" t="s">
        <v>98</v>
      </c>
      <c r="X81" s="26">
        <f>X78+X79+X80</f>
        <v>0</v>
      </c>
      <c r="Y81" s="27">
        <f>X81*X$7</f>
        <v>0</v>
      </c>
    </row>
    <row r="82" spans="9:25">
      <c r="I82">
        <v>14</v>
      </c>
      <c r="J82">
        <v>1</v>
      </c>
      <c r="K82">
        <f t="shared" si="11"/>
        <v>2.6315789473684209E-2</v>
      </c>
      <c r="S82" s="29"/>
      <c r="T82" s="15"/>
      <c r="U82" s="49"/>
      <c r="V82" s="5"/>
      <c r="W82" s="18"/>
      <c r="X82" s="50" t="s">
        <v>117</v>
      </c>
      <c r="Y82" s="51" t="s">
        <v>117</v>
      </c>
    </row>
    <row r="83" spans="9:25">
      <c r="I83">
        <v>15</v>
      </c>
      <c r="J83">
        <v>1</v>
      </c>
      <c r="K83">
        <f t="shared" si="11"/>
        <v>2.6315789473684209E-2</v>
      </c>
      <c r="S83" s="15" t="s">
        <v>146</v>
      </c>
      <c r="T83" s="15"/>
      <c r="U83" s="49"/>
      <c r="V83" s="5"/>
      <c r="W83" s="22">
        <f>X81-W71</f>
        <v>-385.12546600000007</v>
      </c>
      <c r="X83" s="26">
        <f>X81-X71</f>
        <v>-710.97769800000003</v>
      </c>
      <c r="Y83" s="27">
        <f>Y81-Y71</f>
        <v>0</v>
      </c>
    </row>
    <row r="84" spans="9:25">
      <c r="I84">
        <v>16</v>
      </c>
      <c r="J84">
        <v>1</v>
      </c>
      <c r="K84">
        <f t="shared" si="11"/>
        <v>2.6315789473684209E-2</v>
      </c>
    </row>
    <row r="85" spans="9:25">
      <c r="I85">
        <v>17</v>
      </c>
      <c r="J85">
        <v>1</v>
      </c>
      <c r="K85">
        <f t="shared" si="11"/>
        <v>2.6315789473684209E-2</v>
      </c>
    </row>
    <row r="86" spans="9:25">
      <c r="I86">
        <v>18</v>
      </c>
      <c r="J86">
        <v>1</v>
      </c>
      <c r="K86">
        <f t="shared" si="11"/>
        <v>2.6315789473684209E-2</v>
      </c>
    </row>
    <row r="87" spans="9:25">
      <c r="I87">
        <v>23</v>
      </c>
      <c r="J87">
        <v>1</v>
      </c>
      <c r="K87">
        <f t="shared" si="11"/>
        <v>2.6315789473684209E-2</v>
      </c>
    </row>
    <row r="88" spans="9:25">
      <c r="I88">
        <v>24</v>
      </c>
      <c r="J88">
        <v>1</v>
      </c>
      <c r="K88">
        <f t="shared" si="11"/>
        <v>2.6315789473684209E-2</v>
      </c>
    </row>
    <row r="89" spans="9:25">
      <c r="J89">
        <f>SUM(J65:J88)</f>
        <v>38</v>
      </c>
    </row>
  </sheetData>
  <hyperlinks>
    <hyperlink ref="R15" r:id="rId1"/>
    <hyperlink ref="R13" r:id="rId2"/>
    <hyperlink ref="S80" r:id="rId3" display="    Expected LDP rat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="80" zoomScaleNormal="80" workbookViewId="0">
      <pane ySplit="1" topLeftCell="A2" activePane="bottomLeft" state="frozen"/>
      <selection pane="bottomLeft" activeCell="F37" sqref="F37"/>
    </sheetView>
  </sheetViews>
  <sheetFormatPr defaultRowHeight="14.5"/>
  <cols>
    <col min="1" max="1" width="6.1796875" bestFit="1" customWidth="1"/>
    <col min="2" max="2" width="19.1796875" bestFit="1" customWidth="1"/>
    <col min="3" max="3" width="19.81640625" bestFit="1" customWidth="1"/>
    <col min="4" max="4" width="17.26953125" bestFit="1" customWidth="1"/>
    <col min="5" max="5" width="17.54296875" bestFit="1" customWidth="1"/>
    <col min="6" max="6" width="13.453125" bestFit="1" customWidth="1"/>
    <col min="8" max="8" width="12.179687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8.54296875" bestFit="1" customWidth="1"/>
    <col min="13" max="13" width="41.1796875" bestFit="1" customWidth="1"/>
    <col min="14" max="14" width="17.81640625" bestFit="1" customWidth="1"/>
    <col min="15" max="15" width="9.54296875" bestFit="1" customWidth="1"/>
    <col min="16" max="16" width="120.1796875" bestFit="1" customWidth="1"/>
    <col min="17" max="17" width="11.1796875" bestFit="1" customWidth="1"/>
    <col min="18" max="18" width="60.816406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N2" s="52"/>
      <c r="O2" s="1">
        <f>V7</f>
        <v>4.5999999999999996</v>
      </c>
      <c r="R2" t="s">
        <v>40</v>
      </c>
      <c r="S2" s="6" t="s">
        <v>79</v>
      </c>
      <c r="T2" s="5"/>
      <c r="U2" s="5"/>
      <c r="V2" s="5"/>
      <c r="W2" s="7" t="s">
        <v>80</v>
      </c>
      <c r="X2" s="8">
        <v>198</v>
      </c>
      <c r="Y2" s="6" t="s">
        <v>81</v>
      </c>
    </row>
    <row r="3" spans="1:25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N3" s="52"/>
      <c r="O3" s="1">
        <f>W7</f>
        <v>3.4</v>
      </c>
      <c r="R3" t="s">
        <v>40</v>
      </c>
      <c r="S3" s="9" t="s">
        <v>82</v>
      </c>
      <c r="T3" s="10"/>
      <c r="U3" s="11"/>
      <c r="V3" s="5"/>
      <c r="W3" s="7" t="s">
        <v>83</v>
      </c>
      <c r="X3" s="12">
        <v>100</v>
      </c>
      <c r="Y3" s="5"/>
    </row>
    <row r="4" spans="1:25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N4" s="52"/>
      <c r="O4" s="1">
        <f>V8</f>
        <v>4.3</v>
      </c>
      <c r="R4" t="s">
        <v>40</v>
      </c>
      <c r="S4" s="53"/>
      <c r="T4" s="53"/>
      <c r="U4" s="53"/>
      <c r="V4" s="53"/>
      <c r="W4" s="53"/>
      <c r="X4" s="53"/>
      <c r="Y4" s="53"/>
    </row>
    <row r="5" spans="1:25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N5" s="52"/>
      <c r="O5" s="1">
        <f>W8</f>
        <v>4.4000000000000004</v>
      </c>
      <c r="R5" t="s">
        <v>40</v>
      </c>
      <c r="S5" s="15"/>
      <c r="T5" s="15"/>
      <c r="U5" s="5"/>
      <c r="V5" s="16" t="s">
        <v>84</v>
      </c>
      <c r="W5" s="16"/>
      <c r="X5" s="16"/>
      <c r="Y5" s="7" t="s">
        <v>85</v>
      </c>
    </row>
    <row r="6" spans="1:25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N6" s="52"/>
      <c r="O6" s="1">
        <f>V9</f>
        <v>2.7</v>
      </c>
      <c r="R6" t="s">
        <v>40</v>
      </c>
      <c r="S6" s="15" t="s">
        <v>148</v>
      </c>
      <c r="T6" s="5"/>
      <c r="U6" s="5"/>
      <c r="V6" s="18" t="s">
        <v>32</v>
      </c>
      <c r="W6" s="18" t="s">
        <v>33</v>
      </c>
      <c r="X6" s="19" t="s">
        <v>87</v>
      </c>
      <c r="Y6" s="19" t="s">
        <v>88</v>
      </c>
    </row>
    <row r="7" spans="1:25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N7" s="52"/>
      <c r="O7" s="1">
        <f>W9</f>
        <v>2.7</v>
      </c>
      <c r="R7" t="s">
        <v>40</v>
      </c>
      <c r="S7" s="20" t="s">
        <v>90</v>
      </c>
      <c r="T7" s="5"/>
      <c r="U7" s="5"/>
      <c r="V7" s="21">
        <v>4.5999999999999996</v>
      </c>
      <c r="W7" s="21">
        <v>3.4</v>
      </c>
      <c r="X7" s="22">
        <f t="shared" ref="X7:X14" si="0">V7+W7</f>
        <v>8</v>
      </c>
      <c r="Y7" s="23">
        <f t="shared" ref="Y7:Y15" si="1">$F$8*X7</f>
        <v>0</v>
      </c>
    </row>
    <row r="8" spans="1:25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N8" s="52"/>
      <c r="O8" s="1">
        <f>V10</f>
        <v>5.9</v>
      </c>
      <c r="R8" t="s">
        <v>40</v>
      </c>
      <c r="S8" s="20" t="s">
        <v>91</v>
      </c>
      <c r="T8" s="5"/>
      <c r="U8" s="5"/>
      <c r="V8" s="21">
        <v>4.3</v>
      </c>
      <c r="W8" s="21">
        <v>4.4000000000000004</v>
      </c>
      <c r="X8" s="22">
        <f t="shared" si="0"/>
        <v>8.6999999999999993</v>
      </c>
      <c r="Y8" s="23">
        <f t="shared" si="1"/>
        <v>0</v>
      </c>
    </row>
    <row r="9" spans="1:25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N9" s="52"/>
      <c r="O9" s="1">
        <f>W10</f>
        <v>4.8</v>
      </c>
      <c r="R9" t="s">
        <v>40</v>
      </c>
      <c r="S9" s="20" t="s">
        <v>92</v>
      </c>
      <c r="T9" s="5"/>
      <c r="U9" s="5"/>
      <c r="V9" s="21">
        <v>2.7</v>
      </c>
      <c r="W9" s="21">
        <v>2.7</v>
      </c>
      <c r="X9" s="22">
        <f t="shared" si="0"/>
        <v>5.4</v>
      </c>
      <c r="Y9" s="23">
        <f t="shared" si="1"/>
        <v>0</v>
      </c>
    </row>
    <row r="10" spans="1:25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246</v>
      </c>
      <c r="N10" s="52"/>
      <c r="O10" s="1">
        <f>V11</f>
        <v>2.2000000000000002</v>
      </c>
      <c r="R10" t="s">
        <v>40</v>
      </c>
      <c r="S10" s="20" t="s">
        <v>93</v>
      </c>
      <c r="T10" s="5"/>
      <c r="U10" s="5"/>
      <c r="V10" s="21">
        <v>5.9</v>
      </c>
      <c r="W10" s="21">
        <v>4.8</v>
      </c>
      <c r="X10" s="22">
        <f t="shared" si="0"/>
        <v>10.7</v>
      </c>
      <c r="Y10" s="23">
        <f t="shared" si="1"/>
        <v>0</v>
      </c>
    </row>
    <row r="11" spans="1:25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246</v>
      </c>
      <c r="N11" s="52"/>
      <c r="O11" s="1">
        <f>W11</f>
        <v>2</v>
      </c>
      <c r="R11" t="s">
        <v>40</v>
      </c>
      <c r="S11" s="20" t="s">
        <v>94</v>
      </c>
      <c r="T11" s="5"/>
      <c r="U11" s="5"/>
      <c r="V11" s="21">
        <v>2.2000000000000002</v>
      </c>
      <c r="W11" s="21">
        <v>2</v>
      </c>
      <c r="X11" s="22">
        <f t="shared" si="0"/>
        <v>4.2</v>
      </c>
      <c r="Y11" s="23">
        <f t="shared" si="1"/>
        <v>0</v>
      </c>
    </row>
    <row r="12" spans="1:25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N12" s="52"/>
      <c r="O12" s="1">
        <f>U20/1000*U21</f>
        <v>95.8</v>
      </c>
      <c r="P12" t="s">
        <v>42</v>
      </c>
      <c r="R12" t="s">
        <v>40</v>
      </c>
      <c r="S12" s="288" t="s">
        <v>95</v>
      </c>
      <c r="T12" s="5"/>
      <c r="U12" s="5"/>
      <c r="V12" s="21">
        <v>0</v>
      </c>
      <c r="W12" s="21">
        <v>0</v>
      </c>
      <c r="X12" s="22">
        <f t="shared" si="0"/>
        <v>0</v>
      </c>
      <c r="Y12" s="23">
        <f t="shared" si="1"/>
        <v>0</v>
      </c>
    </row>
    <row r="13" spans="1:25">
      <c r="A13">
        <v>2</v>
      </c>
      <c r="B13" t="s">
        <v>39</v>
      </c>
      <c r="C13" t="s">
        <v>19</v>
      </c>
      <c r="D13" t="s">
        <v>20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1201</v>
      </c>
      <c r="N13" s="52"/>
      <c r="O13" s="1">
        <f>U23*U24</f>
        <v>49.78</v>
      </c>
      <c r="P13" t="s">
        <v>43</v>
      </c>
      <c r="R13" t="s">
        <v>40</v>
      </c>
      <c r="S13" s="20" t="s">
        <v>26</v>
      </c>
      <c r="T13" s="5"/>
      <c r="U13" s="5"/>
      <c r="V13" s="21">
        <v>0</v>
      </c>
      <c r="W13" s="21">
        <v>0</v>
      </c>
      <c r="X13" s="22">
        <f t="shared" si="0"/>
        <v>0</v>
      </c>
      <c r="Y13" s="23">
        <f t="shared" si="1"/>
        <v>0</v>
      </c>
    </row>
    <row r="14" spans="1:25">
      <c r="A14">
        <v>2</v>
      </c>
      <c r="B14" t="s">
        <v>39</v>
      </c>
      <c r="C14" t="s">
        <v>19</v>
      </c>
      <c r="D14" t="s">
        <v>20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1200</v>
      </c>
      <c r="N14" s="52"/>
      <c r="O14" s="1">
        <f>U26*U27</f>
        <v>31.08</v>
      </c>
      <c r="P14" t="s">
        <v>44</v>
      </c>
      <c r="R14" t="s">
        <v>40</v>
      </c>
      <c r="S14" s="20" t="s">
        <v>26</v>
      </c>
      <c r="T14" s="5"/>
      <c r="U14" s="5"/>
      <c r="V14" s="21">
        <v>0</v>
      </c>
      <c r="W14" s="21">
        <v>0</v>
      </c>
      <c r="X14" s="24">
        <f t="shared" si="0"/>
        <v>0</v>
      </c>
      <c r="Y14" s="25">
        <f t="shared" si="1"/>
        <v>0</v>
      </c>
    </row>
    <row r="15" spans="1:25">
      <c r="A15">
        <v>2</v>
      </c>
      <c r="B15" t="s">
        <v>39</v>
      </c>
      <c r="C15" t="s">
        <v>19</v>
      </c>
      <c r="D15" t="s">
        <v>20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1191</v>
      </c>
      <c r="N15" s="52"/>
      <c r="O15" s="1">
        <f>U29*U30</f>
        <v>18.29</v>
      </c>
      <c r="P15" t="s">
        <v>45</v>
      </c>
      <c r="R15" t="s">
        <v>40</v>
      </c>
      <c r="S15" s="15" t="s">
        <v>96</v>
      </c>
      <c r="T15" s="15"/>
      <c r="U15" s="5"/>
      <c r="V15" s="22">
        <f>SUM(V7:V14)</f>
        <v>19.7</v>
      </c>
      <c r="W15" s="22">
        <f>SUM(W7:W14)</f>
        <v>17.3</v>
      </c>
      <c r="X15" s="26">
        <f>SUM(X7:X14)</f>
        <v>37</v>
      </c>
      <c r="Y15" s="27">
        <f t="shared" si="1"/>
        <v>0</v>
      </c>
    </row>
    <row r="16" spans="1:25">
      <c r="A16">
        <v>2</v>
      </c>
      <c r="B16" t="s">
        <v>39</v>
      </c>
      <c r="C16" t="s">
        <v>19</v>
      </c>
      <c r="D16" t="s">
        <v>20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66</v>
      </c>
      <c r="N16" s="52"/>
      <c r="O16" s="1">
        <f>W31</f>
        <v>5.71</v>
      </c>
      <c r="R16" t="s">
        <v>40</v>
      </c>
      <c r="S16" s="15" t="s">
        <v>149</v>
      </c>
      <c r="T16" s="15"/>
      <c r="U16" s="5"/>
      <c r="V16" s="23">
        <f>$F$8*V15</f>
        <v>0</v>
      </c>
      <c r="W16" s="23">
        <f>$F$8*W15</f>
        <v>0</v>
      </c>
      <c r="X16" s="27">
        <f>$F$8*X15</f>
        <v>0</v>
      </c>
      <c r="Y16" s="28" t="s">
        <v>98</v>
      </c>
    </row>
    <row r="17" spans="1:25">
      <c r="A17">
        <v>2</v>
      </c>
      <c r="B17" t="s">
        <v>39</v>
      </c>
      <c r="C17" t="s">
        <v>19</v>
      </c>
      <c r="D17" t="s">
        <v>20</v>
      </c>
      <c r="G17">
        <v>1</v>
      </c>
      <c r="I17" t="s">
        <v>21</v>
      </c>
      <c r="J17" t="s">
        <v>22</v>
      </c>
      <c r="K17" t="s">
        <v>71</v>
      </c>
      <c r="L17" t="s">
        <v>33</v>
      </c>
      <c r="M17" t="s">
        <v>1193</v>
      </c>
      <c r="N17" s="52"/>
      <c r="O17" s="1">
        <f>W32</f>
        <v>48.36</v>
      </c>
      <c r="R17" t="s">
        <v>40</v>
      </c>
      <c r="S17" s="5"/>
      <c r="T17" s="5"/>
      <c r="U17" s="5"/>
      <c r="V17" s="5"/>
      <c r="W17" s="5"/>
      <c r="X17" s="5"/>
      <c r="Y17" s="23"/>
    </row>
    <row r="18" spans="1:25">
      <c r="A18">
        <v>2</v>
      </c>
      <c r="B18" t="s">
        <v>39</v>
      </c>
      <c r="C18" t="s">
        <v>19</v>
      </c>
      <c r="D18" t="s">
        <v>20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27</v>
      </c>
      <c r="N18" s="52"/>
      <c r="O18" s="1">
        <f>W33</f>
        <v>9.5</v>
      </c>
      <c r="R18" t="s">
        <v>40</v>
      </c>
      <c r="S18" s="15" t="s">
        <v>100</v>
      </c>
      <c r="T18" s="15"/>
      <c r="U18" s="5"/>
      <c r="V18" s="5"/>
      <c r="W18" s="5"/>
      <c r="X18" s="5"/>
      <c r="Y18" s="23" t="s">
        <v>99</v>
      </c>
    </row>
    <row r="19" spans="1:25">
      <c r="A19">
        <v>2</v>
      </c>
      <c r="B19" t="s">
        <v>39</v>
      </c>
      <c r="C19" t="s">
        <v>19</v>
      </c>
      <c r="D19" t="s">
        <v>20</v>
      </c>
      <c r="G19">
        <v>1</v>
      </c>
      <c r="I19" t="s">
        <v>21</v>
      </c>
      <c r="J19" t="s">
        <v>25</v>
      </c>
      <c r="K19" t="s">
        <v>26</v>
      </c>
      <c r="L19" t="s">
        <v>33</v>
      </c>
      <c r="M19" t="s">
        <v>28</v>
      </c>
      <c r="N19" s="52"/>
      <c r="O19" s="1">
        <f>W34</f>
        <v>10</v>
      </c>
      <c r="R19" t="s">
        <v>40</v>
      </c>
      <c r="S19" s="5" t="s">
        <v>101</v>
      </c>
      <c r="T19" s="5"/>
      <c r="U19" s="5"/>
      <c r="V19" s="28" t="s">
        <v>98</v>
      </c>
      <c r="W19" s="22">
        <f>U20*U21/1000</f>
        <v>95.8</v>
      </c>
      <c r="X19" s="22">
        <f>W19</f>
        <v>95.8</v>
      </c>
      <c r="Y19" s="23">
        <f>$F$8*X19</f>
        <v>0</v>
      </c>
    </row>
    <row r="20" spans="1:25">
      <c r="A20">
        <v>2</v>
      </c>
      <c r="B20" t="s">
        <v>39</v>
      </c>
      <c r="C20" t="s">
        <v>19</v>
      </c>
      <c r="D20" t="s">
        <v>20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N20" s="52"/>
      <c r="O20" s="1">
        <f>V41</f>
        <v>13.1</v>
      </c>
      <c r="R20" t="s">
        <v>40</v>
      </c>
      <c r="S20" s="29" t="s">
        <v>102</v>
      </c>
      <c r="T20" s="29"/>
      <c r="U20" s="30">
        <f>95.8/30</f>
        <v>3.1933333333333334</v>
      </c>
      <c r="V20" s="5"/>
      <c r="W20" s="5"/>
      <c r="X20" s="5"/>
      <c r="Y20" s="23" t="s">
        <v>99</v>
      </c>
    </row>
    <row r="21" spans="1:25">
      <c r="A21">
        <v>2</v>
      </c>
      <c r="B21" t="s">
        <v>39</v>
      </c>
      <c r="C21" t="s">
        <v>19</v>
      </c>
      <c r="D21" t="s">
        <v>20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N21" s="52"/>
      <c r="O21" s="1">
        <f>W41</f>
        <v>6.7</v>
      </c>
      <c r="R21" t="s">
        <v>40</v>
      </c>
      <c r="S21" s="29" t="s">
        <v>103</v>
      </c>
      <c r="T21" s="29"/>
      <c r="U21" s="31">
        <v>30000</v>
      </c>
      <c r="V21" s="5"/>
      <c r="W21" s="5"/>
      <c r="X21" s="5"/>
      <c r="Y21" s="23" t="s">
        <v>99</v>
      </c>
    </row>
    <row r="22" spans="1:25">
      <c r="A22">
        <v>2</v>
      </c>
      <c r="B22" t="s">
        <v>39</v>
      </c>
      <c r="C22" t="s">
        <v>19</v>
      </c>
      <c r="D22" t="s">
        <v>20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N22" s="52"/>
      <c r="O22" s="1">
        <f>V42</f>
        <v>6.3</v>
      </c>
      <c r="R22" t="s">
        <v>40</v>
      </c>
      <c r="S22" s="5" t="s">
        <v>104</v>
      </c>
      <c r="T22" s="5"/>
      <c r="U22" s="5"/>
      <c r="V22" s="28" t="s">
        <v>98</v>
      </c>
      <c r="W22" s="22">
        <f>U23*U24</f>
        <v>49.78</v>
      </c>
      <c r="X22" s="22">
        <f>W22</f>
        <v>49.78</v>
      </c>
      <c r="Y22" s="23">
        <f>$F$8*X22</f>
        <v>0</v>
      </c>
    </row>
    <row r="23" spans="1:25">
      <c r="A23">
        <v>2</v>
      </c>
      <c r="B23" t="s">
        <v>39</v>
      </c>
      <c r="C23" t="s">
        <v>19</v>
      </c>
      <c r="D23" t="s">
        <v>20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N23" s="52"/>
      <c r="O23" s="1">
        <f>W42</f>
        <v>3</v>
      </c>
      <c r="R23" t="s">
        <v>40</v>
      </c>
      <c r="S23" s="29" t="s">
        <v>105</v>
      </c>
      <c r="T23" s="29"/>
      <c r="U23" s="30">
        <v>0.38</v>
      </c>
      <c r="V23" s="5"/>
      <c r="W23" s="5"/>
      <c r="X23" s="5"/>
      <c r="Y23" s="23" t="s">
        <v>99</v>
      </c>
    </row>
    <row r="24" spans="1:25">
      <c r="A24">
        <v>2</v>
      </c>
      <c r="B24" t="s">
        <v>39</v>
      </c>
      <c r="C24" t="s">
        <v>19</v>
      </c>
      <c r="D24" t="s">
        <v>20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N24" s="52"/>
      <c r="O24" s="1">
        <f>U44*X2</f>
        <v>8.6423039999999993</v>
      </c>
      <c r="P24" t="s">
        <v>46</v>
      </c>
      <c r="R24" t="s">
        <v>40</v>
      </c>
      <c r="S24" s="29" t="s">
        <v>106</v>
      </c>
      <c r="T24" s="29"/>
      <c r="U24" s="31">
        <v>131</v>
      </c>
      <c r="V24" s="5"/>
      <c r="W24" s="5"/>
      <c r="X24" s="5"/>
      <c r="Y24" s="23" t="s">
        <v>99</v>
      </c>
    </row>
    <row r="25" spans="1:25">
      <c r="A25">
        <v>2</v>
      </c>
      <c r="B25" t="s">
        <v>39</v>
      </c>
      <c r="C25" t="s">
        <v>19</v>
      </c>
      <c r="D25" t="s">
        <v>20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N25" s="52"/>
      <c r="O25" s="1">
        <f>U45*X2</f>
        <v>7.4725200000000003</v>
      </c>
      <c r="P25" t="s">
        <v>46</v>
      </c>
      <c r="R25" t="s">
        <v>40</v>
      </c>
      <c r="S25" s="5" t="s">
        <v>107</v>
      </c>
      <c r="T25" s="5"/>
      <c r="U25" s="5"/>
      <c r="V25" s="28" t="s">
        <v>98</v>
      </c>
      <c r="W25" s="22">
        <f>U26*U27</f>
        <v>31.08</v>
      </c>
      <c r="X25" s="22">
        <f>W25</f>
        <v>31.08</v>
      </c>
      <c r="Y25" s="23">
        <f>$F$8*X25</f>
        <v>0</v>
      </c>
    </row>
    <row r="26" spans="1:25">
      <c r="A26">
        <v>2</v>
      </c>
      <c r="B26" t="s">
        <v>39</v>
      </c>
      <c r="C26" t="s">
        <v>19</v>
      </c>
      <c r="D26" t="s">
        <v>20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1195</v>
      </c>
      <c r="N26" s="52"/>
      <c r="O26" s="1">
        <f>U47*X2</f>
        <v>9.9</v>
      </c>
      <c r="P26" t="s">
        <v>47</v>
      </c>
      <c r="R26" t="s">
        <v>40</v>
      </c>
      <c r="S26" s="29" t="s">
        <v>105</v>
      </c>
      <c r="T26" s="29"/>
      <c r="U26" s="30">
        <v>0.42</v>
      </c>
      <c r="V26" s="5"/>
      <c r="W26" s="5"/>
      <c r="X26" s="5"/>
      <c r="Y26" s="23" t="s">
        <v>99</v>
      </c>
    </row>
    <row r="27" spans="1:25">
      <c r="A27">
        <v>2</v>
      </c>
      <c r="B27" t="s">
        <v>39</v>
      </c>
      <c r="C27" t="s">
        <v>19</v>
      </c>
      <c r="D27" t="s">
        <v>20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1195</v>
      </c>
      <c r="N27" s="52"/>
      <c r="O27" s="1">
        <f>U48*X2</f>
        <v>32.788800000000002</v>
      </c>
      <c r="P27" t="s">
        <v>48</v>
      </c>
      <c r="R27" t="s">
        <v>40</v>
      </c>
      <c r="S27" s="29" t="s">
        <v>106</v>
      </c>
      <c r="T27" s="29"/>
      <c r="U27" s="32">
        <v>74</v>
      </c>
      <c r="V27" s="5"/>
      <c r="W27" s="5"/>
      <c r="X27" s="5"/>
      <c r="Y27" s="23" t="s">
        <v>99</v>
      </c>
    </row>
    <row r="28" spans="1:25">
      <c r="A28">
        <v>2</v>
      </c>
      <c r="B28" t="s">
        <v>39</v>
      </c>
      <c r="C28" t="s">
        <v>19</v>
      </c>
      <c r="D28" t="s">
        <v>20</v>
      </c>
      <c r="G28">
        <v>1</v>
      </c>
      <c r="I28" t="s">
        <v>21</v>
      </c>
      <c r="J28" t="s">
        <v>29</v>
      </c>
      <c r="K28" t="s">
        <v>408</v>
      </c>
      <c r="L28" t="s">
        <v>32</v>
      </c>
      <c r="M28" t="s">
        <v>1197</v>
      </c>
      <c r="N28" s="52"/>
      <c r="O28" s="1">
        <f>U50*X2</f>
        <v>3.4903440000000003</v>
      </c>
      <c r="P28" t="s">
        <v>49</v>
      </c>
      <c r="R28" t="s">
        <v>40</v>
      </c>
      <c r="S28" s="5" t="s">
        <v>108</v>
      </c>
      <c r="T28" s="5"/>
      <c r="U28" s="5"/>
      <c r="V28" s="28" t="s">
        <v>98</v>
      </c>
      <c r="W28" s="22">
        <f>U29*U30</f>
        <v>18.29</v>
      </c>
      <c r="X28" s="22">
        <f>W28</f>
        <v>18.29</v>
      </c>
      <c r="Y28" s="23">
        <f>$F$8*X28</f>
        <v>0</v>
      </c>
    </row>
    <row r="29" spans="1:25">
      <c r="A29">
        <v>2</v>
      </c>
      <c r="B29" t="s">
        <v>39</v>
      </c>
      <c r="C29" t="s">
        <v>19</v>
      </c>
      <c r="D29" t="s">
        <v>20</v>
      </c>
      <c r="G29">
        <v>1</v>
      </c>
      <c r="I29" t="s">
        <v>21</v>
      </c>
      <c r="J29" t="s">
        <v>29</v>
      </c>
      <c r="K29" t="s">
        <v>408</v>
      </c>
      <c r="L29" t="s">
        <v>33</v>
      </c>
      <c r="M29" t="s">
        <v>1197</v>
      </c>
      <c r="N29" s="52"/>
      <c r="O29" s="1">
        <f>U51*X2</f>
        <v>3.8259539999999999</v>
      </c>
      <c r="P29" t="s">
        <v>49</v>
      </c>
      <c r="R29" t="s">
        <v>40</v>
      </c>
      <c r="S29" s="29" t="s">
        <v>105</v>
      </c>
      <c r="T29" s="29"/>
      <c r="U29" s="30">
        <v>0.31</v>
      </c>
      <c r="V29" s="5"/>
      <c r="W29" s="5"/>
      <c r="X29" s="5"/>
      <c r="Y29" s="23" t="s">
        <v>99</v>
      </c>
    </row>
    <row r="30" spans="1:25">
      <c r="A30">
        <v>2</v>
      </c>
      <c r="B30" t="s">
        <v>39</v>
      </c>
      <c r="C30" t="s">
        <v>19</v>
      </c>
      <c r="D30" t="s">
        <v>20</v>
      </c>
      <c r="G30">
        <v>1</v>
      </c>
      <c r="H30" s="265">
        <v>1</v>
      </c>
      <c r="I30" s="265" t="s">
        <v>21</v>
      </c>
      <c r="J30" s="265" t="s">
        <v>25</v>
      </c>
      <c r="K30" s="265" t="s">
        <v>30</v>
      </c>
      <c r="L30" s="265" t="s">
        <v>33</v>
      </c>
      <c r="M30" s="265" t="s">
        <v>31</v>
      </c>
      <c r="N30" s="315">
        <f>$U$58*[3]Sheet1!D25</f>
        <v>6.7105263157894723E-2</v>
      </c>
      <c r="O30" s="1">
        <f>$U$58*$U$59*[3]Sheet1!D25</f>
        <v>0.95624999999999993</v>
      </c>
      <c r="P30" t="s">
        <v>1167</v>
      </c>
      <c r="R30" t="s">
        <v>40</v>
      </c>
      <c r="S30" s="29" t="s">
        <v>106</v>
      </c>
      <c r="T30" s="29"/>
      <c r="U30" s="32">
        <v>59</v>
      </c>
      <c r="V30" s="5"/>
      <c r="W30" s="5"/>
      <c r="X30" s="5"/>
      <c r="Y30" s="23" t="s">
        <v>99</v>
      </c>
    </row>
    <row r="31" spans="1:25">
      <c r="A31">
        <v>2</v>
      </c>
      <c r="B31" t="s">
        <v>39</v>
      </c>
      <c r="C31" t="s">
        <v>19</v>
      </c>
      <c r="D31" t="s">
        <v>20</v>
      </c>
      <c r="G31">
        <v>1</v>
      </c>
      <c r="H31" s="265">
        <v>2</v>
      </c>
      <c r="I31" s="265" t="s">
        <v>21</v>
      </c>
      <c r="J31" s="265" t="s">
        <v>25</v>
      </c>
      <c r="K31" s="265" t="s">
        <v>30</v>
      </c>
      <c r="L31" s="265" t="s">
        <v>33</v>
      </c>
      <c r="M31" s="265" t="s">
        <v>31</v>
      </c>
      <c r="N31" s="315">
        <f>$U$58*[3]Sheet1!D26</f>
        <v>6.7105263157894723E-2</v>
      </c>
      <c r="O31" s="1">
        <f>$U$58*$U$59*[3]Sheet1!D26</f>
        <v>0.95624999999999993</v>
      </c>
      <c r="P31" t="s">
        <v>1167</v>
      </c>
      <c r="R31" t="s">
        <v>40</v>
      </c>
      <c r="S31" s="5" t="s">
        <v>109</v>
      </c>
      <c r="T31" s="5"/>
      <c r="U31" s="5"/>
      <c r="V31" s="28" t="s">
        <v>98</v>
      </c>
      <c r="W31" s="21">
        <v>5.71</v>
      </c>
      <c r="X31" s="22">
        <f>W31</f>
        <v>5.71</v>
      </c>
      <c r="Y31" s="23">
        <f>$F$8*X31</f>
        <v>0</v>
      </c>
    </row>
    <row r="32" spans="1:25">
      <c r="A32">
        <v>2</v>
      </c>
      <c r="B32" t="s">
        <v>39</v>
      </c>
      <c r="C32" t="s">
        <v>19</v>
      </c>
      <c r="D32" t="s">
        <v>20</v>
      </c>
      <c r="G32">
        <v>1</v>
      </c>
      <c r="H32" s="265">
        <v>3</v>
      </c>
      <c r="I32" s="265" t="s">
        <v>21</v>
      </c>
      <c r="J32" s="265" t="s">
        <v>25</v>
      </c>
      <c r="K32" s="265" t="s">
        <v>30</v>
      </c>
      <c r="L32" s="265" t="s">
        <v>33</v>
      </c>
      <c r="M32" s="265" t="s">
        <v>31</v>
      </c>
      <c r="N32" s="315">
        <f>$U$58*[3]Sheet1!D27</f>
        <v>6.7105263157894723E-2</v>
      </c>
      <c r="O32" s="1">
        <f>$U$58*$U$59*[3]Sheet1!D27</f>
        <v>0.95624999999999993</v>
      </c>
      <c r="P32" t="s">
        <v>1167</v>
      </c>
      <c r="R32" t="s">
        <v>40</v>
      </c>
      <c r="S32" s="5" t="s">
        <v>110</v>
      </c>
      <c r="T32" s="5"/>
      <c r="U32" s="5"/>
      <c r="V32" s="28" t="s">
        <v>98</v>
      </c>
      <c r="W32" s="21">
        <v>48.36</v>
      </c>
      <c r="X32" s="22">
        <f>W32</f>
        <v>48.36</v>
      </c>
      <c r="Y32" s="23">
        <f>$F$8*X32</f>
        <v>0</v>
      </c>
    </row>
    <row r="33" spans="1:25">
      <c r="A33">
        <v>2</v>
      </c>
      <c r="B33" t="s">
        <v>39</v>
      </c>
      <c r="C33" t="s">
        <v>19</v>
      </c>
      <c r="D33" t="s">
        <v>20</v>
      </c>
      <c r="G33">
        <v>1</v>
      </c>
      <c r="H33" s="265">
        <v>4</v>
      </c>
      <c r="I33" s="265" t="s">
        <v>21</v>
      </c>
      <c r="J33" s="265" t="s">
        <v>25</v>
      </c>
      <c r="K33" s="265" t="s">
        <v>30</v>
      </c>
      <c r="L33" s="265" t="s">
        <v>33</v>
      </c>
      <c r="M33" s="265" t="s">
        <v>31</v>
      </c>
      <c r="N33" s="315">
        <f>$U$58*[3]Sheet1!D28</f>
        <v>6.7105263157894723E-2</v>
      </c>
      <c r="O33" s="1">
        <f>$U$58*$U$59*[3]Sheet1!D28</f>
        <v>0.95624999999999993</v>
      </c>
      <c r="P33" t="s">
        <v>1167</v>
      </c>
      <c r="R33" t="s">
        <v>40</v>
      </c>
      <c r="S33" s="5" t="s">
        <v>112</v>
      </c>
      <c r="T33" s="5"/>
      <c r="U33" s="5"/>
      <c r="V33" s="28" t="s">
        <v>98</v>
      </c>
      <c r="W33" s="21">
        <v>9.5</v>
      </c>
      <c r="X33" s="22">
        <f>W33</f>
        <v>9.5</v>
      </c>
      <c r="Y33" s="23">
        <f>$F$8*X33</f>
        <v>0</v>
      </c>
    </row>
    <row r="34" spans="1:25">
      <c r="A34">
        <v>2</v>
      </c>
      <c r="B34" t="s">
        <v>39</v>
      </c>
      <c r="C34" t="s">
        <v>19</v>
      </c>
      <c r="D34" t="s">
        <v>20</v>
      </c>
      <c r="G34">
        <v>1</v>
      </c>
      <c r="H34" s="265">
        <v>5</v>
      </c>
      <c r="I34" s="265" t="s">
        <v>21</v>
      </c>
      <c r="J34" s="265" t="s">
        <v>25</v>
      </c>
      <c r="K34" s="265" t="s">
        <v>30</v>
      </c>
      <c r="L34" s="265" t="s">
        <v>33</v>
      </c>
      <c r="M34" s="265" t="s">
        <v>31</v>
      </c>
      <c r="N34" s="315">
        <f>$U$58*[3]Sheet1!D29</f>
        <v>6.7105263157894723E-2</v>
      </c>
      <c r="O34" s="1">
        <f>$U$58*$U$59*[3]Sheet1!D29</f>
        <v>0.95624999999999993</v>
      </c>
      <c r="P34" t="s">
        <v>1167</v>
      </c>
      <c r="R34" t="s">
        <v>40</v>
      </c>
      <c r="S34" s="5" t="s">
        <v>113</v>
      </c>
      <c r="T34" s="5"/>
      <c r="U34" s="5"/>
      <c r="V34" s="28" t="s">
        <v>98</v>
      </c>
      <c r="W34" s="21">
        <v>10</v>
      </c>
      <c r="X34" s="22">
        <f>W34</f>
        <v>10</v>
      </c>
      <c r="Y34" s="23">
        <f>$F$8*X34</f>
        <v>0</v>
      </c>
    </row>
    <row r="35" spans="1:25">
      <c r="A35">
        <v>2</v>
      </c>
      <c r="B35" t="s">
        <v>39</v>
      </c>
      <c r="C35" t="s">
        <v>19</v>
      </c>
      <c r="D35" t="s">
        <v>20</v>
      </c>
      <c r="G35">
        <v>1</v>
      </c>
      <c r="H35" s="265">
        <v>6</v>
      </c>
      <c r="I35" s="265" t="s">
        <v>21</v>
      </c>
      <c r="J35" s="265" t="s">
        <v>25</v>
      </c>
      <c r="K35" s="265" t="s">
        <v>30</v>
      </c>
      <c r="L35" s="265" t="s">
        <v>33</v>
      </c>
      <c r="M35" s="265" t="s">
        <v>31</v>
      </c>
      <c r="N35" s="315">
        <f>$U$58*[3]Sheet1!D30</f>
        <v>6.7105263157894723E-2</v>
      </c>
      <c r="O35" s="1">
        <f>$U$58*$U$59*[3]Sheet1!D30</f>
        <v>0.95624999999999993</v>
      </c>
      <c r="P35" t="s">
        <v>1167</v>
      </c>
      <c r="R35" t="s">
        <v>40</v>
      </c>
      <c r="S35" s="5" t="s">
        <v>114</v>
      </c>
      <c r="T35" s="5"/>
      <c r="U35" s="5"/>
      <c r="V35" s="28" t="s">
        <v>98</v>
      </c>
      <c r="W35" s="22">
        <f>(W15+W19+W22+W25+W28+W31+W32+W33+W34)*U36*U37/12</f>
        <v>11.4328</v>
      </c>
      <c r="X35" s="22">
        <f>W35</f>
        <v>11.4328</v>
      </c>
      <c r="Y35" s="23">
        <f>$F$8*X35</f>
        <v>0</v>
      </c>
    </row>
    <row r="36" spans="1:25">
      <c r="A36">
        <v>2</v>
      </c>
      <c r="B36" t="s">
        <v>39</v>
      </c>
      <c r="C36" t="s">
        <v>19</v>
      </c>
      <c r="D36" t="s">
        <v>20</v>
      </c>
      <c r="G36">
        <v>1</v>
      </c>
      <c r="H36" s="265">
        <v>7</v>
      </c>
      <c r="I36" s="265" t="s">
        <v>21</v>
      </c>
      <c r="J36" s="265" t="s">
        <v>25</v>
      </c>
      <c r="K36" s="265" t="s">
        <v>30</v>
      </c>
      <c r="L36" s="265" t="s">
        <v>33</v>
      </c>
      <c r="M36" s="265" t="s">
        <v>31</v>
      </c>
      <c r="N36" s="315">
        <f>$U$58*[3]Sheet1!D31</f>
        <v>6.7105263157894723E-2</v>
      </c>
      <c r="O36" s="1">
        <f>$U$58*$U$59*[3]Sheet1!D31</f>
        <v>0.95624999999999993</v>
      </c>
      <c r="P36" t="s">
        <v>1167</v>
      </c>
      <c r="R36" t="s">
        <v>40</v>
      </c>
      <c r="S36" s="29" t="s">
        <v>115</v>
      </c>
      <c r="T36" s="29"/>
      <c r="U36" s="34">
        <v>8</v>
      </c>
      <c r="V36" s="5"/>
      <c r="W36" s="5"/>
      <c r="X36" s="5"/>
      <c r="Y36" s="23" t="s">
        <v>99</v>
      </c>
    </row>
    <row r="37" spans="1:25">
      <c r="A37">
        <v>2</v>
      </c>
      <c r="B37" t="s">
        <v>39</v>
      </c>
      <c r="C37" t="s">
        <v>19</v>
      </c>
      <c r="D37" t="s">
        <v>20</v>
      </c>
      <c r="G37">
        <v>1</v>
      </c>
      <c r="H37" s="265">
        <v>8</v>
      </c>
      <c r="I37" s="265" t="s">
        <v>21</v>
      </c>
      <c r="J37" s="265" t="s">
        <v>22</v>
      </c>
      <c r="K37" s="265" t="s">
        <v>30</v>
      </c>
      <c r="L37" s="265" t="s">
        <v>33</v>
      </c>
      <c r="M37" s="265" t="s">
        <v>1164</v>
      </c>
      <c r="N37" s="315">
        <f>$U$58*[3]Sheet1!D18</f>
        <v>0.2013157894736842</v>
      </c>
      <c r="O37" s="1">
        <f>$U$58*$U$59*[3]Sheet1!D18</f>
        <v>2.8687499999999999</v>
      </c>
      <c r="P37" t="s">
        <v>1168</v>
      </c>
      <c r="R37" t="s">
        <v>40</v>
      </c>
      <c r="S37" s="29" t="s">
        <v>116</v>
      </c>
      <c r="T37" s="29"/>
      <c r="U37" s="35">
        <v>0.06</v>
      </c>
      <c r="V37" s="5"/>
      <c r="W37" s="5"/>
      <c r="X37" s="18" t="s">
        <v>117</v>
      </c>
      <c r="Y37" s="18" t="s">
        <v>117</v>
      </c>
    </row>
    <row r="38" spans="1:25">
      <c r="A38">
        <v>2</v>
      </c>
      <c r="B38" t="s">
        <v>39</v>
      </c>
      <c r="C38" t="s">
        <v>19</v>
      </c>
      <c r="D38" t="s">
        <v>20</v>
      </c>
      <c r="G38">
        <v>1</v>
      </c>
      <c r="H38" s="265">
        <v>9</v>
      </c>
      <c r="I38" s="265" t="s">
        <v>21</v>
      </c>
      <c r="J38" s="265" t="s">
        <v>22</v>
      </c>
      <c r="K38" s="265" t="s">
        <v>30</v>
      </c>
      <c r="L38" s="265" t="s">
        <v>33</v>
      </c>
      <c r="M38" s="265" t="s">
        <v>1165</v>
      </c>
      <c r="N38" s="315">
        <f>$U$58*[3]Sheet1!D19</f>
        <v>0.2013157894736842</v>
      </c>
      <c r="O38" s="1">
        <f>$U$58*$U$59*[3]Sheet1!D19</f>
        <v>2.8687499999999999</v>
      </c>
      <c r="P38" t="s">
        <v>1168</v>
      </c>
      <c r="R38" t="s">
        <v>40</v>
      </c>
      <c r="S38" s="15" t="s">
        <v>118</v>
      </c>
      <c r="T38" s="15"/>
      <c r="U38" s="5"/>
      <c r="V38" s="28" t="s">
        <v>150</v>
      </c>
      <c r="W38" s="22">
        <f>W19+W22+W25+W28+W31+W32+W33+W34+W35</f>
        <v>279.95279999999997</v>
      </c>
      <c r="X38" s="26">
        <f>X19+X22+X25+X28+X31+X32+X33+X34+X35</f>
        <v>279.95279999999997</v>
      </c>
      <c r="Y38" s="27">
        <f>Y19+Y22+Y25+Y28+Y31+Y32+Y33+Y34+Y35</f>
        <v>0</v>
      </c>
    </row>
    <row r="39" spans="1:25">
      <c r="A39">
        <v>2</v>
      </c>
      <c r="B39" t="s">
        <v>39</v>
      </c>
      <c r="C39" t="s">
        <v>19</v>
      </c>
      <c r="D39" t="s">
        <v>20</v>
      </c>
      <c r="G39">
        <v>1</v>
      </c>
      <c r="H39" s="265">
        <v>10</v>
      </c>
      <c r="I39" s="265" t="s">
        <v>21</v>
      </c>
      <c r="J39" s="265" t="s">
        <v>22</v>
      </c>
      <c r="K39" s="265" t="s">
        <v>30</v>
      </c>
      <c r="L39" s="265" t="s">
        <v>33</v>
      </c>
      <c r="M39" s="265" t="s">
        <v>1165</v>
      </c>
      <c r="N39" s="315">
        <f>$U$58*[3]Sheet1!D20</f>
        <v>0.2013157894736842</v>
      </c>
      <c r="O39" s="1">
        <f>$U$58*$U$59*[3]Sheet1!D20</f>
        <v>2.8687499999999999</v>
      </c>
      <c r="P39" t="s">
        <v>1168</v>
      </c>
      <c r="R39" t="s">
        <v>40</v>
      </c>
      <c r="S39" s="5"/>
      <c r="T39" s="5"/>
      <c r="U39" s="5"/>
      <c r="V39" s="5"/>
      <c r="W39" s="5"/>
      <c r="X39" s="5"/>
      <c r="Y39" s="23" t="s">
        <v>99</v>
      </c>
    </row>
    <row r="40" spans="1:25">
      <c r="A40">
        <v>2</v>
      </c>
      <c r="B40" t="s">
        <v>39</v>
      </c>
      <c r="C40" t="s">
        <v>19</v>
      </c>
      <c r="D40" t="s">
        <v>20</v>
      </c>
      <c r="G40">
        <v>1</v>
      </c>
      <c r="H40" s="265">
        <v>11</v>
      </c>
      <c r="I40" s="265" t="s">
        <v>21</v>
      </c>
      <c r="J40" s="265" t="s">
        <v>25</v>
      </c>
      <c r="K40" s="265" t="s">
        <v>30</v>
      </c>
      <c r="L40" s="265" t="s">
        <v>33</v>
      </c>
      <c r="M40" s="265" t="s">
        <v>31</v>
      </c>
      <c r="N40" s="315">
        <f>$U$58*[3]Sheet1!D32</f>
        <v>6.7105263157894723E-2</v>
      </c>
      <c r="O40" s="1">
        <f>$U$58*$U$59*[3]Sheet1!D32</f>
        <v>0.95624999999999993</v>
      </c>
      <c r="P40" t="s">
        <v>1167</v>
      </c>
      <c r="R40" t="s">
        <v>40</v>
      </c>
      <c r="S40" s="15" t="s">
        <v>119</v>
      </c>
      <c r="T40" s="15"/>
      <c r="U40" s="5"/>
      <c r="V40" s="5"/>
      <c r="W40" s="5"/>
      <c r="X40" s="5"/>
      <c r="Y40" s="23" t="s">
        <v>99</v>
      </c>
    </row>
    <row r="41" spans="1:25">
      <c r="A41">
        <v>2</v>
      </c>
      <c r="B41" t="s">
        <v>39</v>
      </c>
      <c r="C41" t="s">
        <v>19</v>
      </c>
      <c r="D41" t="s">
        <v>20</v>
      </c>
      <c r="G41">
        <v>1</v>
      </c>
      <c r="H41" s="265">
        <v>12</v>
      </c>
      <c r="I41" s="265" t="s">
        <v>21</v>
      </c>
      <c r="J41" s="265" t="s">
        <v>25</v>
      </c>
      <c r="K41" s="265" t="s">
        <v>30</v>
      </c>
      <c r="L41" s="265" t="s">
        <v>33</v>
      </c>
      <c r="M41" s="265" t="s">
        <v>31</v>
      </c>
      <c r="N41" s="315">
        <f>$U$58*[3]Sheet1!D33</f>
        <v>6.7105263157894723E-2</v>
      </c>
      <c r="O41" s="1">
        <f>$U$58*$U$59*[3]Sheet1!D33</f>
        <v>0.95624999999999993</v>
      </c>
      <c r="P41" t="s">
        <v>1167</v>
      </c>
      <c r="R41" t="s">
        <v>40</v>
      </c>
      <c r="S41" s="20" t="s">
        <v>120</v>
      </c>
      <c r="T41" s="5"/>
      <c r="U41" s="5"/>
      <c r="V41" s="21">
        <v>13.1</v>
      </c>
      <c r="W41" s="21">
        <v>6.7</v>
      </c>
      <c r="X41" s="22">
        <f>SUM(V41:W41)</f>
        <v>19.8</v>
      </c>
      <c r="Y41" s="23">
        <f>$F$8*X41</f>
        <v>0</v>
      </c>
    </row>
    <row r="42" spans="1:25">
      <c r="A42">
        <v>2</v>
      </c>
      <c r="B42" t="s">
        <v>39</v>
      </c>
      <c r="C42" t="s">
        <v>19</v>
      </c>
      <c r="D42" t="s">
        <v>20</v>
      </c>
      <c r="G42">
        <v>1</v>
      </c>
      <c r="H42" s="265">
        <v>13</v>
      </c>
      <c r="I42" s="265" t="s">
        <v>21</v>
      </c>
      <c r="J42" s="265" t="s">
        <v>25</v>
      </c>
      <c r="K42" s="265" t="s">
        <v>30</v>
      </c>
      <c r="L42" s="265" t="s">
        <v>33</v>
      </c>
      <c r="M42" s="265" t="s">
        <v>31</v>
      </c>
      <c r="N42" s="315">
        <f>$U$58*[3]Sheet1!D34</f>
        <v>6.7105263157894723E-2</v>
      </c>
      <c r="O42" s="1">
        <f>$U$58*$U$59*[3]Sheet1!D34</f>
        <v>0.95624999999999993</v>
      </c>
      <c r="P42" t="s">
        <v>1167</v>
      </c>
      <c r="R42" t="s">
        <v>40</v>
      </c>
      <c r="S42" s="20" t="s">
        <v>121</v>
      </c>
      <c r="T42" s="5"/>
      <c r="U42" s="5"/>
      <c r="V42" s="21">
        <v>6.3</v>
      </c>
      <c r="W42" s="21">
        <v>3</v>
      </c>
      <c r="X42" s="22">
        <f>SUM(V42:W42)</f>
        <v>9.3000000000000007</v>
      </c>
      <c r="Y42" s="23">
        <f>$F$8*X42</f>
        <v>0</v>
      </c>
    </row>
    <row r="43" spans="1:25">
      <c r="A43">
        <v>2</v>
      </c>
      <c r="B43" t="s">
        <v>39</v>
      </c>
      <c r="C43" t="s">
        <v>19</v>
      </c>
      <c r="D43" t="s">
        <v>20</v>
      </c>
      <c r="G43">
        <v>1</v>
      </c>
      <c r="H43" s="265">
        <v>14</v>
      </c>
      <c r="I43" s="265" t="s">
        <v>21</v>
      </c>
      <c r="J43" s="265" t="s">
        <v>25</v>
      </c>
      <c r="K43" s="265" t="s">
        <v>30</v>
      </c>
      <c r="L43" s="265" t="s">
        <v>33</v>
      </c>
      <c r="M43" s="265" t="s">
        <v>31</v>
      </c>
      <c r="N43" s="315">
        <f>$U$58*K82</f>
        <v>6.7105263157894723E-2</v>
      </c>
      <c r="O43" s="1">
        <f>$U$58*$U$59*K82</f>
        <v>0.95624999999999993</v>
      </c>
      <c r="P43" t="s">
        <v>1167</v>
      </c>
      <c r="R43" t="s">
        <v>40</v>
      </c>
      <c r="S43" s="36" t="s">
        <v>122</v>
      </c>
      <c r="T43" s="5"/>
      <c r="U43" s="5"/>
      <c r="V43" s="37">
        <f>U44*X2</f>
        <v>8.6423039999999993</v>
      </c>
      <c r="W43" s="37">
        <f>U45*X2</f>
        <v>7.4725200000000003</v>
      </c>
      <c r="X43" s="22">
        <f>SUM(V43:W43)</f>
        <v>16.114823999999999</v>
      </c>
      <c r="Y43" s="23">
        <f>$F$8*X43</f>
        <v>0</v>
      </c>
    </row>
    <row r="44" spans="1:25">
      <c r="A44">
        <v>2</v>
      </c>
      <c r="B44" t="s">
        <v>39</v>
      </c>
      <c r="C44" t="s">
        <v>19</v>
      </c>
      <c r="D44" t="s">
        <v>20</v>
      </c>
      <c r="G44">
        <v>1</v>
      </c>
      <c r="H44" s="265">
        <v>15</v>
      </c>
      <c r="I44" s="265" t="s">
        <v>21</v>
      </c>
      <c r="J44" s="265" t="s">
        <v>25</v>
      </c>
      <c r="K44" s="265" t="s">
        <v>30</v>
      </c>
      <c r="L44" s="265" t="s">
        <v>33</v>
      </c>
      <c r="M44" s="265" t="s">
        <v>31</v>
      </c>
      <c r="N44" s="315">
        <f>$U$58*K83</f>
        <v>6.7105263157894723E-2</v>
      </c>
      <c r="O44" s="1">
        <f>$U$58*$U$59*K83</f>
        <v>0.95624999999999993</v>
      </c>
      <c r="P44" t="s">
        <v>1167</v>
      </c>
      <c r="R44" t="s">
        <v>40</v>
      </c>
      <c r="S44" s="29" t="s">
        <v>123</v>
      </c>
      <c r="T44" s="5"/>
      <c r="U44" s="30">
        <v>4.3647999999999999E-2</v>
      </c>
      <c r="V44" s="13"/>
      <c r="W44" s="13"/>
      <c r="X44" s="5"/>
      <c r="Y44" s="5"/>
    </row>
    <row r="45" spans="1:25">
      <c r="A45">
        <v>2</v>
      </c>
      <c r="B45" t="s">
        <v>39</v>
      </c>
      <c r="C45" t="s">
        <v>19</v>
      </c>
      <c r="D45" t="s">
        <v>20</v>
      </c>
      <c r="G45">
        <v>1</v>
      </c>
      <c r="H45" s="265">
        <v>16</v>
      </c>
      <c r="I45" s="265" t="s">
        <v>21</v>
      </c>
      <c r="J45" s="265" t="s">
        <v>25</v>
      </c>
      <c r="K45" s="265" t="s">
        <v>30</v>
      </c>
      <c r="L45" s="265" t="s">
        <v>33</v>
      </c>
      <c r="M45" s="265" t="s">
        <v>31</v>
      </c>
      <c r="N45" s="315">
        <f>$U$58*K84</f>
        <v>6.7105263157894723E-2</v>
      </c>
      <c r="O45" s="1">
        <f>$U$58*$U$59*K84</f>
        <v>0.95624999999999993</v>
      </c>
      <c r="P45" t="s">
        <v>1167</v>
      </c>
      <c r="R45" t="s">
        <v>40</v>
      </c>
      <c r="S45" s="29" t="s">
        <v>124</v>
      </c>
      <c r="T45" s="29"/>
      <c r="U45" s="30">
        <v>3.7740000000000003E-2</v>
      </c>
      <c r="V45" s="13"/>
      <c r="W45" s="13"/>
      <c r="X45" s="5"/>
      <c r="Y45" s="5"/>
    </row>
    <row r="46" spans="1:25">
      <c r="A46">
        <v>2</v>
      </c>
      <c r="B46" t="s">
        <v>39</v>
      </c>
      <c r="C46" t="s">
        <v>19</v>
      </c>
      <c r="D46" t="s">
        <v>20</v>
      </c>
      <c r="G46">
        <v>1</v>
      </c>
      <c r="H46" s="265">
        <v>17</v>
      </c>
      <c r="I46" s="265" t="s">
        <v>21</v>
      </c>
      <c r="J46" s="265" t="s">
        <v>25</v>
      </c>
      <c r="K46" s="265" t="s">
        <v>30</v>
      </c>
      <c r="L46" s="265" t="s">
        <v>33</v>
      </c>
      <c r="M46" s="265" t="s">
        <v>31</v>
      </c>
      <c r="N46" s="315">
        <f>$U$58*K85</f>
        <v>6.7105263157894723E-2</v>
      </c>
      <c r="O46" s="1">
        <f>$U$58*$U$59*K85</f>
        <v>0.95624999999999993</v>
      </c>
      <c r="P46" t="s">
        <v>1167</v>
      </c>
      <c r="R46" t="s">
        <v>40</v>
      </c>
      <c r="S46" s="36" t="s">
        <v>125</v>
      </c>
      <c r="T46" s="5"/>
      <c r="U46" s="5"/>
      <c r="V46" s="37">
        <f>U47*X2</f>
        <v>9.9</v>
      </c>
      <c r="W46" s="37">
        <f>U48*X2</f>
        <v>32.788800000000002</v>
      </c>
      <c r="X46" s="22">
        <f>SUM(V46:W46)</f>
        <v>42.688800000000001</v>
      </c>
      <c r="Y46" s="23">
        <f>X46*$F$8</f>
        <v>0</v>
      </c>
    </row>
    <row r="47" spans="1:25">
      <c r="A47">
        <v>2</v>
      </c>
      <c r="B47" t="s">
        <v>39</v>
      </c>
      <c r="C47" t="s">
        <v>19</v>
      </c>
      <c r="D47" t="s">
        <v>20</v>
      </c>
      <c r="G47">
        <v>1</v>
      </c>
      <c r="H47" s="265">
        <v>18</v>
      </c>
      <c r="I47" s="265" t="s">
        <v>21</v>
      </c>
      <c r="J47" s="265" t="s">
        <v>25</v>
      </c>
      <c r="K47" s="265" t="s">
        <v>30</v>
      </c>
      <c r="L47" s="265" t="s">
        <v>33</v>
      </c>
      <c r="M47" s="265" t="s">
        <v>31</v>
      </c>
      <c r="N47" s="315">
        <f>$U$58*K86</f>
        <v>6.7105263157894723E-2</v>
      </c>
      <c r="O47" s="1">
        <f>$U$58*$U$59*K86</f>
        <v>0.95624999999999993</v>
      </c>
      <c r="P47" t="s">
        <v>1167</v>
      </c>
      <c r="R47" t="s">
        <v>40</v>
      </c>
      <c r="S47" s="29" t="s">
        <v>123</v>
      </c>
      <c r="T47" s="5"/>
      <c r="U47" s="30">
        <v>0.05</v>
      </c>
      <c r="V47" s="13"/>
      <c r="W47" s="13"/>
      <c r="X47" s="5"/>
      <c r="Y47" s="5"/>
    </row>
    <row r="48" spans="1:25">
      <c r="A48">
        <v>2</v>
      </c>
      <c r="B48" t="s">
        <v>39</v>
      </c>
      <c r="C48" t="s">
        <v>19</v>
      </c>
      <c r="D48" t="s">
        <v>20</v>
      </c>
      <c r="G48">
        <v>1</v>
      </c>
      <c r="H48" s="265">
        <v>19</v>
      </c>
      <c r="I48" s="265" t="s">
        <v>21</v>
      </c>
      <c r="J48" s="265" t="s">
        <v>29</v>
      </c>
      <c r="K48" s="265" t="s">
        <v>30</v>
      </c>
      <c r="L48" s="265" t="s">
        <v>33</v>
      </c>
      <c r="M48" s="265" t="s">
        <v>1166</v>
      </c>
      <c r="N48" s="315">
        <f>$U$58*[3]Sheet1!D21</f>
        <v>0.2013157894736842</v>
      </c>
      <c r="O48" s="1">
        <f>$U$58*$U$59*[3]Sheet1!D21</f>
        <v>2.8687499999999999</v>
      </c>
      <c r="P48" t="s">
        <v>1168</v>
      </c>
      <c r="R48" t="s">
        <v>40</v>
      </c>
      <c r="S48" s="29" t="s">
        <v>124</v>
      </c>
      <c r="T48" s="29"/>
      <c r="U48" s="30">
        <f>1.38*0.02*6</f>
        <v>0.1656</v>
      </c>
      <c r="V48" s="13"/>
      <c r="W48" s="13"/>
      <c r="X48" s="5"/>
      <c r="Y48" s="5"/>
    </row>
    <row r="49" spans="1:25">
      <c r="A49">
        <v>2</v>
      </c>
      <c r="B49" t="s">
        <v>39</v>
      </c>
      <c r="C49" t="s">
        <v>19</v>
      </c>
      <c r="D49" t="s">
        <v>20</v>
      </c>
      <c r="G49">
        <v>1</v>
      </c>
      <c r="H49" s="265">
        <v>20</v>
      </c>
      <c r="I49" s="265" t="s">
        <v>21</v>
      </c>
      <c r="J49" s="265" t="s">
        <v>29</v>
      </c>
      <c r="K49" s="265" t="s">
        <v>30</v>
      </c>
      <c r="L49" s="265" t="s">
        <v>33</v>
      </c>
      <c r="M49" s="265" t="s">
        <v>1166</v>
      </c>
      <c r="N49" s="315">
        <f>$U$58*[3]Sheet1!D22</f>
        <v>0.2013157894736842</v>
      </c>
      <c r="O49" s="1">
        <f>$U$58*$U$59*[3]Sheet1!D22</f>
        <v>2.8687499999999999</v>
      </c>
      <c r="P49" t="s">
        <v>1168</v>
      </c>
      <c r="R49" t="s">
        <v>40</v>
      </c>
      <c r="S49" s="36" t="s">
        <v>126</v>
      </c>
      <c r="T49" s="5"/>
      <c r="U49" s="5"/>
      <c r="V49" s="37">
        <f>U50*X2</f>
        <v>3.4903440000000003</v>
      </c>
      <c r="W49" s="37">
        <f>U51*X2</f>
        <v>3.8259539999999999</v>
      </c>
      <c r="X49" s="22">
        <f>SUM(V49:W49)</f>
        <v>7.3162979999999997</v>
      </c>
      <c r="Y49" s="23">
        <f>X49*$F$8</f>
        <v>0</v>
      </c>
    </row>
    <row r="50" spans="1:25">
      <c r="A50">
        <v>2</v>
      </c>
      <c r="B50" t="s">
        <v>39</v>
      </c>
      <c r="C50" t="s">
        <v>19</v>
      </c>
      <c r="D50" t="s">
        <v>20</v>
      </c>
      <c r="G50">
        <v>1</v>
      </c>
      <c r="H50" s="265">
        <v>21</v>
      </c>
      <c r="I50" s="265" t="s">
        <v>21</v>
      </c>
      <c r="J50" s="265" t="s">
        <v>29</v>
      </c>
      <c r="K50" s="265" t="s">
        <v>30</v>
      </c>
      <c r="L50" s="265" t="s">
        <v>33</v>
      </c>
      <c r="M50" s="265" t="s">
        <v>1166</v>
      </c>
      <c r="N50" s="315">
        <f>$U$58*[3]Sheet1!D23</f>
        <v>0.2013157894736842</v>
      </c>
      <c r="O50" s="1">
        <f>$U$58*$U$59*[3]Sheet1!D23</f>
        <v>2.8687499999999999</v>
      </c>
      <c r="P50" t="s">
        <v>1168</v>
      </c>
      <c r="R50" t="s">
        <v>40</v>
      </c>
      <c r="S50" s="29" t="s">
        <v>123</v>
      </c>
      <c r="T50" s="5"/>
      <c r="U50" s="30">
        <v>1.7628000000000001E-2</v>
      </c>
      <c r="V50" s="5"/>
      <c r="W50" s="5"/>
      <c r="X50" s="5"/>
      <c r="Y50" s="5"/>
    </row>
    <row r="51" spans="1:25">
      <c r="A51">
        <v>2</v>
      </c>
      <c r="B51" t="s">
        <v>39</v>
      </c>
      <c r="C51" t="s">
        <v>19</v>
      </c>
      <c r="D51" t="s">
        <v>20</v>
      </c>
      <c r="G51">
        <v>1</v>
      </c>
      <c r="H51" s="265">
        <v>22</v>
      </c>
      <c r="I51" s="265" t="s">
        <v>21</v>
      </c>
      <c r="J51" s="265" t="s">
        <v>29</v>
      </c>
      <c r="K51" s="265" t="s">
        <v>30</v>
      </c>
      <c r="L51" s="265" t="s">
        <v>33</v>
      </c>
      <c r="M51" s="265" t="s">
        <v>1166</v>
      </c>
      <c r="N51" s="315">
        <f>$U$58*[3]Sheet1!D24</f>
        <v>0.2013157894736842</v>
      </c>
      <c r="O51" s="1">
        <f>$U$58*$U$59*[3]Sheet1!D24</f>
        <v>2.8687499999999999</v>
      </c>
      <c r="P51" t="s">
        <v>1168</v>
      </c>
      <c r="R51" t="s">
        <v>40</v>
      </c>
      <c r="S51" s="29" t="s">
        <v>124</v>
      </c>
      <c r="T51" s="29"/>
      <c r="U51" s="30">
        <v>1.9323E-2</v>
      </c>
      <c r="V51" s="5"/>
      <c r="W51" s="5"/>
      <c r="X51" s="5"/>
      <c r="Y51" s="5"/>
    </row>
    <row r="52" spans="1:25">
      <c r="A52">
        <v>2</v>
      </c>
      <c r="B52" t="s">
        <v>39</v>
      </c>
      <c r="C52" t="s">
        <v>19</v>
      </c>
      <c r="D52" t="s">
        <v>20</v>
      </c>
      <c r="G52">
        <v>1</v>
      </c>
      <c r="H52" s="265">
        <v>23</v>
      </c>
      <c r="I52" s="265" t="s">
        <v>21</v>
      </c>
      <c r="J52" s="265" t="s">
        <v>25</v>
      </c>
      <c r="K52" s="265" t="s">
        <v>30</v>
      </c>
      <c r="L52" s="265" t="s">
        <v>33</v>
      </c>
      <c r="M52" s="265" t="s">
        <v>31</v>
      </c>
      <c r="N52" s="315">
        <f>$U$58*K87</f>
        <v>6.7105263157894723E-2</v>
      </c>
      <c r="O52" s="1">
        <f>$U$58*$U$59*K87</f>
        <v>0.95624999999999993</v>
      </c>
      <c r="P52" t="s">
        <v>1167</v>
      </c>
      <c r="R52" t="s">
        <v>40</v>
      </c>
      <c r="S52" s="20" t="s">
        <v>95</v>
      </c>
      <c r="T52" s="5"/>
      <c r="U52" s="5"/>
      <c r="V52" s="21">
        <v>0</v>
      </c>
      <c r="W52" s="21">
        <v>0</v>
      </c>
      <c r="X52" s="24">
        <f>SUM(V52:W52)</f>
        <v>0</v>
      </c>
      <c r="Y52" s="25">
        <f>$F$8*X52</f>
        <v>0</v>
      </c>
    </row>
    <row r="53" spans="1:25">
      <c r="A53">
        <v>2</v>
      </c>
      <c r="B53" t="s">
        <v>39</v>
      </c>
      <c r="C53" t="s">
        <v>19</v>
      </c>
      <c r="D53" t="s">
        <v>20</v>
      </c>
      <c r="G53">
        <v>1</v>
      </c>
      <c r="H53" s="265">
        <v>24</v>
      </c>
      <c r="I53" s="265" t="s">
        <v>21</v>
      </c>
      <c r="J53" s="265" t="s">
        <v>25</v>
      </c>
      <c r="K53" s="265" t="s">
        <v>30</v>
      </c>
      <c r="L53" s="265" t="s">
        <v>33</v>
      </c>
      <c r="M53" s="265" t="s">
        <v>31</v>
      </c>
      <c r="N53" s="315">
        <f>$U$58*K88</f>
        <v>6.7105263157894723E-2</v>
      </c>
      <c r="O53" s="1">
        <f>$U$58*$U$59*K88</f>
        <v>0.95624999999999993</v>
      </c>
      <c r="P53" t="s">
        <v>1167</v>
      </c>
      <c r="R53" t="s">
        <v>40</v>
      </c>
      <c r="S53" s="15" t="s">
        <v>96</v>
      </c>
      <c r="T53" s="15"/>
      <c r="U53" s="5"/>
      <c r="V53" s="22">
        <f>SUM(V41:V52)</f>
        <v>41.432648</v>
      </c>
      <c r="W53" s="22">
        <f>SUM(W41:W52)</f>
        <v>53.787274000000004</v>
      </c>
      <c r="X53" s="26">
        <f>SUM(X41:X52)</f>
        <v>95.219922000000011</v>
      </c>
      <c r="Y53" s="27">
        <f>SUM(Y41:Y52)</f>
        <v>0</v>
      </c>
    </row>
    <row r="54" spans="1:25">
      <c r="A54">
        <v>2</v>
      </c>
      <c r="B54" t="s">
        <v>39</v>
      </c>
      <c r="C54" t="s">
        <v>19</v>
      </c>
      <c r="D54" t="s">
        <v>20</v>
      </c>
      <c r="G54">
        <v>1</v>
      </c>
      <c r="I54" t="s">
        <v>21</v>
      </c>
      <c r="J54" t="s">
        <v>25</v>
      </c>
      <c r="K54" t="s">
        <v>26</v>
      </c>
      <c r="L54" t="s">
        <v>32</v>
      </c>
      <c r="M54" t="s">
        <v>1196</v>
      </c>
      <c r="O54" s="1">
        <f>V66</f>
        <v>223</v>
      </c>
      <c r="P54" t="s">
        <v>50</v>
      </c>
      <c r="R54" t="s">
        <v>40</v>
      </c>
      <c r="S54" s="15" t="s">
        <v>149</v>
      </c>
      <c r="T54" s="15"/>
      <c r="U54" s="5"/>
      <c r="V54" s="23">
        <f>$F$8*V53</f>
        <v>0</v>
      </c>
      <c r="W54" s="23">
        <f>$F$8*W53</f>
        <v>0</v>
      </c>
      <c r="X54" s="27">
        <f>$F$8*X53</f>
        <v>0</v>
      </c>
      <c r="Y54" s="28" t="s">
        <v>98</v>
      </c>
    </row>
    <row r="55" spans="1:25">
      <c r="S55" s="5"/>
      <c r="T55" s="5"/>
      <c r="U55" s="5"/>
      <c r="V55" s="5"/>
      <c r="W55" s="5"/>
      <c r="X55" s="5"/>
      <c r="Y55" s="23"/>
    </row>
    <row r="56" spans="1:25">
      <c r="S56" s="15" t="s">
        <v>30</v>
      </c>
      <c r="T56" s="15"/>
      <c r="U56" s="5"/>
      <c r="V56" s="5"/>
      <c r="W56" s="5"/>
      <c r="X56" s="18"/>
      <c r="Y56" s="18"/>
    </row>
    <row r="57" spans="1:25" ht="17.5" customHeight="1">
      <c r="O57" s="1"/>
      <c r="S57" s="5" t="s">
        <v>127</v>
      </c>
      <c r="T57" s="15"/>
      <c r="U57" s="5"/>
      <c r="V57" s="24">
        <f>U58*U59</f>
        <v>36.337499999999999</v>
      </c>
      <c r="W57" s="28" t="s">
        <v>98</v>
      </c>
      <c r="X57" s="22">
        <f>V57</f>
        <v>36.337499999999999</v>
      </c>
      <c r="Y57" s="23">
        <f>$F$8*X57</f>
        <v>0</v>
      </c>
    </row>
    <row r="58" spans="1:25">
      <c r="S58" s="29" t="s">
        <v>128</v>
      </c>
      <c r="T58" s="29"/>
      <c r="U58" s="34">
        <v>2.5499999999999998</v>
      </c>
      <c r="V58" s="5"/>
      <c r="W58" s="5"/>
      <c r="X58" s="5"/>
      <c r="Y58" s="23" t="s">
        <v>99</v>
      </c>
    </row>
    <row r="59" spans="1:25">
      <c r="S59" s="29" t="s">
        <v>129</v>
      </c>
      <c r="T59" s="29"/>
      <c r="U59" s="30">
        <v>14.25</v>
      </c>
      <c r="V59" s="5"/>
      <c r="W59" s="5"/>
      <c r="X59" s="5"/>
      <c r="Y59" s="23" t="s">
        <v>99</v>
      </c>
    </row>
    <row r="60" spans="1:25">
      <c r="H60" t="s">
        <v>988</v>
      </c>
      <c r="S60" s="5" t="s">
        <v>151</v>
      </c>
      <c r="T60" s="29"/>
      <c r="U60" s="40"/>
      <c r="V60" s="28" t="s">
        <v>98</v>
      </c>
      <c r="W60" s="24">
        <f>U61*U62</f>
        <v>0</v>
      </c>
      <c r="X60" s="22">
        <f>W60</f>
        <v>0</v>
      </c>
      <c r="Y60" s="23">
        <f>$F$8*X60</f>
        <v>0</v>
      </c>
    </row>
    <row r="61" spans="1:25">
      <c r="H61" s="3"/>
      <c r="S61" s="29" t="s">
        <v>128</v>
      </c>
      <c r="T61" s="29"/>
      <c r="U61" s="34">
        <v>0</v>
      </c>
      <c r="V61" s="5"/>
      <c r="W61" s="5"/>
      <c r="X61" s="5"/>
      <c r="Y61" s="23"/>
    </row>
    <row r="62" spans="1:25">
      <c r="S62" s="29" t="s">
        <v>129</v>
      </c>
      <c r="T62" s="29"/>
      <c r="U62" s="30">
        <v>0</v>
      </c>
      <c r="V62" s="5"/>
      <c r="W62" s="5"/>
      <c r="X62" s="18" t="s">
        <v>117</v>
      </c>
      <c r="Y62" s="18" t="s">
        <v>117</v>
      </c>
    </row>
    <row r="63" spans="1:25">
      <c r="S63" s="15" t="s">
        <v>118</v>
      </c>
      <c r="T63" s="29"/>
      <c r="U63" s="40"/>
      <c r="V63" s="22">
        <f>V57</f>
        <v>36.337499999999999</v>
      </c>
      <c r="W63" s="22">
        <f>W60</f>
        <v>0</v>
      </c>
      <c r="X63" s="26">
        <f>X57+X60</f>
        <v>36.337499999999999</v>
      </c>
      <c r="Y63" s="27">
        <f>Y57+Y60</f>
        <v>0</v>
      </c>
    </row>
    <row r="64" spans="1:25">
      <c r="J64" t="s">
        <v>1160</v>
      </c>
      <c r="K64" t="s">
        <v>1161</v>
      </c>
      <c r="S64" s="29"/>
      <c r="T64" s="29"/>
      <c r="U64" s="40"/>
      <c r="V64" s="5"/>
      <c r="W64" s="5"/>
      <c r="X64" s="5"/>
      <c r="Y64" s="23"/>
    </row>
    <row r="65" spans="8:25">
      <c r="H65" t="s">
        <v>682</v>
      </c>
      <c r="I65">
        <v>8</v>
      </c>
      <c r="J65">
        <v>3</v>
      </c>
      <c r="K65">
        <f>J65/$J$89</f>
        <v>7.8947368421052627E-2</v>
      </c>
      <c r="S65" s="15" t="s">
        <v>34</v>
      </c>
      <c r="T65" s="15"/>
      <c r="U65" s="5"/>
      <c r="V65" s="5"/>
      <c r="W65" s="5"/>
      <c r="X65" s="5"/>
      <c r="Y65" s="23" t="s">
        <v>99</v>
      </c>
    </row>
    <row r="66" spans="8:25">
      <c r="H66" t="s">
        <v>1159</v>
      </c>
      <c r="I66">
        <v>9</v>
      </c>
      <c r="J66">
        <v>3</v>
      </c>
      <c r="K66">
        <f t="shared" ref="K66:K88" si="2">J66/$J$89</f>
        <v>7.8947368421052627E-2</v>
      </c>
      <c r="S66" s="5" t="s">
        <v>131</v>
      </c>
      <c r="T66" s="5"/>
      <c r="U66" s="5"/>
      <c r="V66" s="21">
        <v>223</v>
      </c>
      <c r="W66" s="28" t="s">
        <v>98</v>
      </c>
      <c r="X66" s="22">
        <f>V66</f>
        <v>223</v>
      </c>
      <c r="Y66" s="23">
        <f>$F$8*X66</f>
        <v>0</v>
      </c>
    </row>
    <row r="67" spans="8:25">
      <c r="H67" t="s">
        <v>1159</v>
      </c>
      <c r="I67">
        <v>10</v>
      </c>
      <c r="J67">
        <v>3</v>
      </c>
      <c r="K67">
        <f t="shared" si="2"/>
        <v>7.8947368421052627E-2</v>
      </c>
      <c r="S67" s="5"/>
      <c r="T67" s="5"/>
      <c r="U67" s="5"/>
      <c r="V67" s="5"/>
      <c r="W67" s="5"/>
      <c r="X67" s="5"/>
      <c r="Y67" s="23" t="s">
        <v>99</v>
      </c>
    </row>
    <row r="68" spans="8:25">
      <c r="H68" t="s">
        <v>29</v>
      </c>
      <c r="I68">
        <v>19</v>
      </c>
      <c r="J68">
        <v>3</v>
      </c>
      <c r="K68">
        <f t="shared" si="2"/>
        <v>7.8947368421052627E-2</v>
      </c>
      <c r="S68" s="15" t="s">
        <v>132</v>
      </c>
      <c r="T68" s="15"/>
      <c r="U68" s="5"/>
      <c r="V68" s="5"/>
      <c r="W68" s="5"/>
      <c r="X68" s="18" t="s">
        <v>117</v>
      </c>
      <c r="Y68" s="18" t="s">
        <v>117</v>
      </c>
    </row>
    <row r="69" spans="8:25">
      <c r="H69" t="s">
        <v>29</v>
      </c>
      <c r="I69">
        <v>20</v>
      </c>
      <c r="J69">
        <v>3</v>
      </c>
      <c r="K69">
        <f t="shared" si="2"/>
        <v>7.8947368421052627E-2</v>
      </c>
      <c r="S69" s="5" t="s">
        <v>133</v>
      </c>
      <c r="T69" s="5"/>
      <c r="U69" s="5"/>
      <c r="V69" s="22">
        <f>V15+V53+V63+V66</f>
        <v>320.47014799999999</v>
      </c>
      <c r="W69" s="22">
        <f>W15+W38+W53+W63</f>
        <v>351.040074</v>
      </c>
      <c r="X69" s="26">
        <f>X15+X38+X53+X63+X66</f>
        <v>671.51022199999989</v>
      </c>
      <c r="Y69" s="27">
        <f>Y15+Y38+Y53+Y63+Y66</f>
        <v>0</v>
      </c>
    </row>
    <row r="70" spans="8:25">
      <c r="H70" t="s">
        <v>29</v>
      </c>
      <c r="I70">
        <v>21</v>
      </c>
      <c r="J70">
        <v>3</v>
      </c>
      <c r="K70">
        <f t="shared" si="2"/>
        <v>7.8947368421052627E-2</v>
      </c>
      <c r="S70" s="5" t="s">
        <v>134</v>
      </c>
      <c r="T70" s="5"/>
      <c r="U70" s="5"/>
      <c r="V70" s="22">
        <f>IF($F$7&gt;0,V69/$F$7,0)</f>
        <v>0</v>
      </c>
      <c r="W70" s="22">
        <f>IF($F$7&gt;0,W69/$F$7,0)</f>
        <v>0</v>
      </c>
      <c r="X70" s="22">
        <f>IF($F$7&gt;0,X69/$F$7,0)</f>
        <v>0</v>
      </c>
      <c r="Y70" s="28" t="s">
        <v>98</v>
      </c>
    </row>
    <row r="71" spans="8:25">
      <c r="H71" t="s">
        <v>29</v>
      </c>
      <c r="I71">
        <v>22</v>
      </c>
      <c r="J71">
        <v>3</v>
      </c>
      <c r="K71">
        <f t="shared" si="2"/>
        <v>7.8947368421052627E-2</v>
      </c>
      <c r="S71" s="5" t="s">
        <v>135</v>
      </c>
      <c r="T71" s="5"/>
      <c r="U71" s="5"/>
      <c r="V71" s="23">
        <f>$F$8*V69</f>
        <v>0</v>
      </c>
      <c r="W71" s="23">
        <f>$F$8*W69</f>
        <v>0</v>
      </c>
      <c r="X71" s="27">
        <f>$F$8*X69</f>
        <v>0</v>
      </c>
      <c r="Y71" s="28" t="s">
        <v>98</v>
      </c>
    </row>
    <row r="72" spans="8:25">
      <c r="I72">
        <v>1</v>
      </c>
      <c r="J72">
        <v>1</v>
      </c>
      <c r="K72">
        <f t="shared" si="2"/>
        <v>2.6315789473684209E-2</v>
      </c>
      <c r="S72" s="5"/>
      <c r="T72" s="5"/>
      <c r="U72" s="5"/>
      <c r="V72" s="23"/>
      <c r="W72" s="23"/>
      <c r="X72" s="23"/>
      <c r="Y72" s="28"/>
    </row>
    <row r="73" spans="8:25">
      <c r="I73">
        <v>2</v>
      </c>
      <c r="J73">
        <v>1</v>
      </c>
      <c r="K73">
        <f t="shared" si="2"/>
        <v>2.6315789473684209E-2</v>
      </c>
      <c r="S73" s="5"/>
      <c r="T73" s="5"/>
      <c r="U73" s="5"/>
      <c r="V73" s="23"/>
      <c r="W73" s="54" t="s">
        <v>136</v>
      </c>
      <c r="X73" s="27" t="s">
        <v>137</v>
      </c>
      <c r="Y73" s="55" t="s">
        <v>138</v>
      </c>
    </row>
    <row r="74" spans="8:25">
      <c r="I74">
        <v>3</v>
      </c>
      <c r="J74">
        <v>1</v>
      </c>
      <c r="K74">
        <f t="shared" si="2"/>
        <v>2.6315789473684209E-2</v>
      </c>
      <c r="S74" s="5"/>
      <c r="T74" s="5"/>
      <c r="U74" s="5"/>
      <c r="V74" s="23"/>
      <c r="W74" s="56" t="s">
        <v>139</v>
      </c>
      <c r="X74" s="56" t="s">
        <v>140</v>
      </c>
      <c r="Y74" s="57" t="s">
        <v>88</v>
      </c>
    </row>
    <row r="75" spans="8:25">
      <c r="I75">
        <v>4</v>
      </c>
      <c r="J75">
        <v>1</v>
      </c>
      <c r="K75">
        <f t="shared" si="2"/>
        <v>2.6315789473684209E-2</v>
      </c>
      <c r="S75" s="6" t="s">
        <v>141</v>
      </c>
      <c r="T75" s="6"/>
      <c r="U75" s="5"/>
      <c r="V75" s="23"/>
      <c r="W75" s="23"/>
      <c r="X75" s="23"/>
      <c r="Y75" s="28"/>
    </row>
    <row r="76" spans="8:25">
      <c r="I76">
        <v>5</v>
      </c>
      <c r="J76">
        <v>1</v>
      </c>
      <c r="K76">
        <f t="shared" si="2"/>
        <v>2.6315789473684209E-2</v>
      </c>
      <c r="S76" t="s">
        <v>142</v>
      </c>
      <c r="T76" s="58"/>
      <c r="U76" s="30">
        <v>0</v>
      </c>
      <c r="V76" s="23"/>
      <c r="W76" s="28" t="s">
        <v>98</v>
      </c>
      <c r="X76" s="22">
        <f>U76*X$7</f>
        <v>0</v>
      </c>
      <c r="Y76" s="59">
        <f>X76*X$8</f>
        <v>0</v>
      </c>
    </row>
    <row r="77" spans="8:25">
      <c r="I77">
        <v>6</v>
      </c>
      <c r="J77">
        <v>1</v>
      </c>
      <c r="K77">
        <f t="shared" si="2"/>
        <v>2.6315789473684209E-2</v>
      </c>
      <c r="S77" s="5" t="s">
        <v>143</v>
      </c>
      <c r="T77" s="58"/>
      <c r="U77" s="5"/>
      <c r="V77" s="23"/>
      <c r="W77" s="28" t="s">
        <v>98</v>
      </c>
      <c r="X77" s="21">
        <v>0</v>
      </c>
      <c r="Y77" s="59">
        <f>X77*X$8</f>
        <v>0</v>
      </c>
    </row>
    <row r="78" spans="8:25">
      <c r="I78">
        <v>7</v>
      </c>
      <c r="J78">
        <v>1</v>
      </c>
      <c r="K78">
        <f t="shared" si="2"/>
        <v>2.6315789473684209E-2</v>
      </c>
      <c r="S78" s="42" t="s">
        <v>144</v>
      </c>
      <c r="T78" s="60"/>
      <c r="U78" s="44">
        <v>0</v>
      </c>
      <c r="V78" s="61"/>
      <c r="W78" s="46" t="s">
        <v>98</v>
      </c>
      <c r="X78" s="47">
        <f>U78*X$7</f>
        <v>0</v>
      </c>
      <c r="Y78" s="48">
        <f>X78*X$8</f>
        <v>0</v>
      </c>
    </row>
    <row r="79" spans="8:25">
      <c r="I79">
        <v>11</v>
      </c>
      <c r="J79">
        <v>1</v>
      </c>
      <c r="K79">
        <f t="shared" si="2"/>
        <v>2.6315789473684209E-2</v>
      </c>
      <c r="S79" s="6" t="s">
        <v>145</v>
      </c>
      <c r="T79" s="6"/>
      <c r="U79" s="5"/>
      <c r="V79" s="23"/>
      <c r="W79" s="28" t="s">
        <v>98</v>
      </c>
      <c r="X79" s="26">
        <f>X76+X77+X78</f>
        <v>0</v>
      </c>
      <c r="Y79" s="27">
        <f>Y76+Y77+Y78</f>
        <v>0</v>
      </c>
    </row>
    <row r="80" spans="8:25">
      <c r="I80">
        <v>12</v>
      </c>
      <c r="J80">
        <v>1</v>
      </c>
      <c r="K80">
        <f t="shared" si="2"/>
        <v>2.6315789473684209E-2</v>
      </c>
      <c r="S80" s="58"/>
      <c r="T80" s="58"/>
      <c r="U80" s="5"/>
      <c r="V80" s="23"/>
      <c r="W80" s="51"/>
      <c r="X80" s="51" t="s">
        <v>117</v>
      </c>
      <c r="Y80" s="51" t="s">
        <v>117</v>
      </c>
    </row>
    <row r="81" spans="9:25">
      <c r="I81">
        <v>13</v>
      </c>
      <c r="J81">
        <v>1</v>
      </c>
      <c r="K81">
        <f t="shared" si="2"/>
        <v>2.6315789473684209E-2</v>
      </c>
      <c r="S81" s="6" t="s">
        <v>146</v>
      </c>
      <c r="T81" s="6"/>
      <c r="U81" s="5"/>
      <c r="V81" s="23"/>
      <c r="W81" s="22">
        <f>X79-W69</f>
        <v>-351.040074</v>
      </c>
      <c r="X81" s="26">
        <f>X79-X69</f>
        <v>-671.51022199999989</v>
      </c>
      <c r="Y81" s="27">
        <f>Y79-Y69</f>
        <v>0</v>
      </c>
    </row>
    <row r="82" spans="9:25">
      <c r="I82">
        <v>14</v>
      </c>
      <c r="J82">
        <v>1</v>
      </c>
      <c r="K82">
        <f t="shared" si="2"/>
        <v>2.6315789473684209E-2</v>
      </c>
    </row>
    <row r="83" spans="9:25">
      <c r="I83">
        <v>15</v>
      </c>
      <c r="J83">
        <v>1</v>
      </c>
      <c r="K83">
        <f t="shared" si="2"/>
        <v>2.6315789473684209E-2</v>
      </c>
    </row>
    <row r="84" spans="9:25">
      <c r="I84">
        <v>16</v>
      </c>
      <c r="J84">
        <v>1</v>
      </c>
      <c r="K84">
        <f t="shared" si="2"/>
        <v>2.6315789473684209E-2</v>
      </c>
    </row>
    <row r="85" spans="9:25">
      <c r="I85">
        <v>17</v>
      </c>
      <c r="J85">
        <v>1</v>
      </c>
      <c r="K85">
        <f t="shared" si="2"/>
        <v>2.6315789473684209E-2</v>
      </c>
    </row>
    <row r="86" spans="9:25">
      <c r="I86">
        <v>18</v>
      </c>
      <c r="J86">
        <v>1</v>
      </c>
      <c r="K86">
        <f t="shared" si="2"/>
        <v>2.6315789473684209E-2</v>
      </c>
    </row>
    <row r="87" spans="9:25">
      <c r="I87">
        <v>23</v>
      </c>
      <c r="J87">
        <v>1</v>
      </c>
      <c r="K87">
        <f t="shared" si="2"/>
        <v>2.6315789473684209E-2</v>
      </c>
    </row>
    <row r="88" spans="9:25">
      <c r="I88">
        <v>24</v>
      </c>
      <c r="J88">
        <v>1</v>
      </c>
      <c r="K88">
        <f t="shared" si="2"/>
        <v>2.6315789473684209E-2</v>
      </c>
    </row>
    <row r="89" spans="9:25">
      <c r="J89">
        <f>SUM(J65:J88)</f>
        <v>38</v>
      </c>
    </row>
  </sheetData>
  <hyperlinks>
    <hyperlink ref="S78" r:id="rId1" display="    Expected LDP rat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zoomScale="80" zoomScaleNormal="80" workbookViewId="0">
      <pane ySplit="1" topLeftCell="A2" activePane="bottomLeft" state="frozen"/>
      <selection pane="bottomLeft" sqref="A1:R1"/>
    </sheetView>
  </sheetViews>
  <sheetFormatPr defaultRowHeight="14.5"/>
  <cols>
    <col min="1" max="1" width="6.54296875" bestFit="1" customWidth="1"/>
    <col min="2" max="2" width="23.453125" bestFit="1" customWidth="1"/>
    <col min="3" max="3" width="19.81640625" bestFit="1" customWidth="1"/>
    <col min="7" max="7" width="8" bestFit="1" customWidth="1"/>
    <col min="8" max="8" width="12.453125" bestFit="1" customWidth="1"/>
    <col min="9" max="9" width="10.26953125" bestFit="1" customWidth="1"/>
    <col min="10" max="10" width="16.7265625" bestFit="1" customWidth="1"/>
    <col min="11" max="11" width="17.26953125" bestFit="1" customWidth="1"/>
    <col min="12" max="12" width="14.453125" bestFit="1" customWidth="1"/>
    <col min="13" max="13" width="45.7265625" bestFit="1" customWidth="1"/>
    <col min="14" max="14" width="13.453125" bestFit="1" customWidth="1"/>
    <col min="15" max="15" width="10.1796875" bestFit="1" customWidth="1"/>
    <col min="16" max="16" width="47.81640625" bestFit="1" customWidth="1"/>
    <col min="17" max="17" width="11.26953125" bestFit="1" customWidth="1"/>
    <col min="18" max="18" width="66.26953125" bestFit="1" customWidth="1"/>
    <col min="19" max="19" width="34.1796875" customWidth="1"/>
    <col min="21" max="21" width="7.81640625" bestFit="1" customWidth="1"/>
    <col min="24" max="24" width="11" bestFit="1" customWidth="1"/>
    <col min="25" max="25" width="11.26953125" bestFit="1" customWidth="1"/>
  </cols>
  <sheetData>
    <row r="1" spans="1:2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25" s="2" customFormat="1">
      <c r="A2">
        <v>3</v>
      </c>
      <c r="B2" t="s">
        <v>815</v>
      </c>
      <c r="C2" t="s">
        <v>835</v>
      </c>
      <c r="G2" s="2">
        <v>1</v>
      </c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O2" s="271">
        <f>V8</f>
        <v>3.6</v>
      </c>
      <c r="R2" t="s">
        <v>40</v>
      </c>
    </row>
    <row r="3" spans="1:25">
      <c r="A3">
        <v>3</v>
      </c>
      <c r="B3" t="s">
        <v>815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25">
      <c r="A4">
        <v>3</v>
      </c>
      <c r="B4" t="s">
        <v>815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25">
      <c r="A5">
        <v>3</v>
      </c>
      <c r="B5" t="s">
        <v>815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25">
      <c r="A6">
        <v>3</v>
      </c>
      <c r="B6" t="s">
        <v>815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25">
      <c r="A7">
        <v>3</v>
      </c>
      <c r="B7" t="s">
        <v>815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25">
      <c r="A8">
        <v>3</v>
      </c>
      <c r="B8" t="s">
        <v>815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25">
      <c r="A9">
        <v>3</v>
      </c>
      <c r="B9" t="s">
        <v>815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25">
      <c r="A10">
        <v>3</v>
      </c>
      <c r="B10" t="s">
        <v>815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25">
      <c r="A11">
        <v>3</v>
      </c>
      <c r="B11" t="s">
        <v>815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25">
      <c r="A12">
        <v>3</v>
      </c>
      <c r="B12" t="s">
        <v>815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702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25">
      <c r="A13">
        <v>3</v>
      </c>
      <c r="B13" t="s">
        <v>815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1200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25">
      <c r="A14">
        <v>3</v>
      </c>
      <c r="B14" t="s">
        <v>815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1191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25">
      <c r="A15">
        <v>3</v>
      </c>
      <c r="B15" t="s">
        <v>815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25">
      <c r="A16">
        <v>3</v>
      </c>
      <c r="B16" t="s">
        <v>815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3</v>
      </c>
      <c r="B17" t="s">
        <v>815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3</v>
      </c>
      <c r="B18" t="s">
        <v>815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3</v>
      </c>
      <c r="B19" t="s">
        <v>815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3</v>
      </c>
      <c r="B20" t="s">
        <v>815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3</v>
      </c>
      <c r="B21" t="s">
        <v>815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120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3</v>
      </c>
      <c r="B22" t="s">
        <v>815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3</v>
      </c>
      <c r="B23" t="s">
        <v>815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1198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3</v>
      </c>
      <c r="B24" t="s">
        <v>815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122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3</v>
      </c>
      <c r="B25" t="s">
        <v>815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3</v>
      </c>
      <c r="B26" t="s">
        <v>815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3</v>
      </c>
      <c r="B27" t="s">
        <v>815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3</v>
      </c>
      <c r="B28" t="s">
        <v>815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3</v>
      </c>
      <c r="B29" t="s">
        <v>815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3</v>
      </c>
      <c r="B30" t="s">
        <v>815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3</v>
      </c>
      <c r="B31" t="s">
        <v>815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3</v>
      </c>
      <c r="B32" t="s">
        <v>815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3</v>
      </c>
      <c r="B33" t="s">
        <v>815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3</v>
      </c>
      <c r="B34" t="s">
        <v>815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3</v>
      </c>
      <c r="B35" t="s">
        <v>815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3</v>
      </c>
      <c r="B36" t="s">
        <v>815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815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3</v>
      </c>
      <c r="B38" t="s">
        <v>815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3</v>
      </c>
      <c r="B39" t="s">
        <v>815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3</v>
      </c>
      <c r="B40" t="s">
        <v>815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3</v>
      </c>
      <c r="B41" t="s">
        <v>815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3</v>
      </c>
      <c r="B42" t="s">
        <v>815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3</v>
      </c>
      <c r="B43" t="s">
        <v>815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3</v>
      </c>
      <c r="B44" t="s">
        <v>815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3</v>
      </c>
      <c r="B45" t="s">
        <v>815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3</v>
      </c>
      <c r="B46" t="s">
        <v>815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3</v>
      </c>
      <c r="B47" t="s">
        <v>815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3</v>
      </c>
      <c r="B48" t="s">
        <v>815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3</v>
      </c>
      <c r="B49" t="s">
        <v>815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3</v>
      </c>
      <c r="B50" t="s">
        <v>815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3</v>
      </c>
      <c r="B51" t="s">
        <v>815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3</v>
      </c>
      <c r="B52" t="s">
        <v>815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3</v>
      </c>
      <c r="B53" t="s">
        <v>815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S60"/>
  <hyperlinks>
    <hyperlink ref="S74" r:id="rId1" display="    Expected LDP rate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C1" zoomScale="80" zoomScaleNormal="80" workbookViewId="0">
      <pane ySplit="1" topLeftCell="A2" activePane="bottomLeft" state="frozen"/>
      <selection pane="bottomLeft" activeCell="L15" sqref="L15"/>
    </sheetView>
  </sheetViews>
  <sheetFormatPr defaultRowHeight="14.5"/>
  <cols>
    <col min="2" max="2" width="23.26953125" bestFit="1" customWidth="1"/>
    <col min="4" max="4" width="22.81640625" bestFit="1" customWidth="1"/>
    <col min="9" max="9" width="13.1796875" bestFit="1" customWidth="1"/>
    <col min="10" max="10" width="19.54296875" bestFit="1" customWidth="1"/>
    <col min="11" max="11" width="20.1796875" bestFit="1" customWidth="1"/>
    <col min="12" max="12" width="17.26953125" bestFit="1" customWidth="1"/>
    <col min="13" max="13" width="36.54296875" bestFit="1" customWidth="1"/>
    <col min="14" max="14" width="13.453125" customWidth="1"/>
    <col min="16" max="16" width="47.81640625" bestFit="1" customWidth="1"/>
    <col min="18" max="18" width="66.26953125" bestFit="1" customWidth="1"/>
    <col min="24" max="24" width="11.7265625" customWidth="1"/>
    <col min="25" max="25" width="12" bestFit="1" customWidth="1"/>
    <col min="27" max="27" width="36.54296875" bestFit="1" customWidth="1"/>
    <col min="28" max="28" width="17.81640625" bestFit="1" customWidth="1"/>
    <col min="29" max="29" width="9.54296875" bestFit="1" customWidth="1"/>
    <col min="31" max="31" width="14.54296875" bestFit="1" customWidth="1"/>
    <col min="32" max="32" width="60.7265625" bestFit="1" customWidth="1"/>
    <col min="38" max="38" width="11.7265625" bestFit="1" customWidth="1"/>
    <col min="39" max="39" width="12" bestFit="1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  <c r="AG1" s="2"/>
      <c r="AH1" s="2"/>
      <c r="AI1" s="2"/>
      <c r="AJ1" s="2"/>
      <c r="AK1" s="2"/>
      <c r="AL1" s="2"/>
      <c r="AM1" s="2"/>
    </row>
    <row r="2" spans="1:39">
      <c r="A2">
        <v>4</v>
      </c>
      <c r="B2" t="s">
        <v>817</v>
      </c>
      <c r="C2" t="s">
        <v>835</v>
      </c>
      <c r="D2" s="2"/>
      <c r="E2" s="2"/>
      <c r="F2" s="2"/>
      <c r="G2" s="203">
        <v>1</v>
      </c>
      <c r="H2" s="2"/>
      <c r="I2" t="s">
        <v>21</v>
      </c>
      <c r="J2" t="s">
        <v>22</v>
      </c>
      <c r="K2" t="s">
        <v>408</v>
      </c>
      <c r="L2" s="203" t="s">
        <v>32</v>
      </c>
      <c r="M2" s="203" t="s">
        <v>242</v>
      </c>
      <c r="N2" s="2"/>
      <c r="O2" s="271">
        <f>V8</f>
        <v>3.6</v>
      </c>
      <c r="P2" s="2"/>
      <c r="Q2" s="2"/>
      <c r="R2" t="s">
        <v>40</v>
      </c>
      <c r="S2" s="2"/>
      <c r="T2" s="2"/>
      <c r="U2" s="2"/>
      <c r="V2" s="2"/>
      <c r="W2" s="2"/>
      <c r="X2" s="2"/>
      <c r="Y2" s="2"/>
    </row>
    <row r="3" spans="1:39">
      <c r="A3">
        <v>4</v>
      </c>
      <c r="B3" t="s">
        <v>817</v>
      </c>
      <c r="C3" t="s">
        <v>835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242</v>
      </c>
      <c r="O3" s="1">
        <f>W8</f>
        <v>3.9</v>
      </c>
      <c r="R3" t="s">
        <v>40</v>
      </c>
      <c r="S3" s="6" t="s">
        <v>79</v>
      </c>
      <c r="T3" s="5"/>
      <c r="U3" s="5"/>
      <c r="V3" s="5"/>
      <c r="W3" s="7" t="s">
        <v>80</v>
      </c>
      <c r="X3" s="8">
        <v>56</v>
      </c>
      <c r="Y3" s="6" t="s">
        <v>81</v>
      </c>
    </row>
    <row r="4" spans="1:39">
      <c r="A4">
        <v>4</v>
      </c>
      <c r="B4" t="s">
        <v>817</v>
      </c>
      <c r="C4" t="s">
        <v>835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233</v>
      </c>
      <c r="O4" s="1">
        <f>V9</f>
        <v>4.5999999999999996</v>
      </c>
      <c r="R4" t="s">
        <v>40</v>
      </c>
      <c r="S4" s="9" t="s">
        <v>82</v>
      </c>
      <c r="T4" s="10"/>
      <c r="U4" s="11"/>
      <c r="V4" s="5"/>
      <c r="W4" s="7" t="s">
        <v>83</v>
      </c>
      <c r="X4" s="12">
        <v>100</v>
      </c>
      <c r="Y4" s="5"/>
    </row>
    <row r="5" spans="1:39">
      <c r="A5">
        <v>4</v>
      </c>
      <c r="B5" t="s">
        <v>817</v>
      </c>
      <c r="C5" t="s">
        <v>835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233</v>
      </c>
      <c r="O5" s="1">
        <f>W9</f>
        <v>3.4</v>
      </c>
      <c r="R5" t="s">
        <v>40</v>
      </c>
      <c r="S5" s="273"/>
      <c r="T5" s="273"/>
      <c r="U5" s="5"/>
      <c r="V5" s="5"/>
      <c r="W5" s="5"/>
      <c r="X5" s="5"/>
      <c r="Y5" s="5"/>
    </row>
    <row r="6" spans="1:39">
      <c r="A6">
        <v>4</v>
      </c>
      <c r="B6" t="s">
        <v>817</v>
      </c>
      <c r="C6" t="s">
        <v>835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244</v>
      </c>
      <c r="O6" s="1">
        <f>V10</f>
        <v>2.7</v>
      </c>
      <c r="R6" t="s">
        <v>40</v>
      </c>
      <c r="S6" s="272"/>
      <c r="T6" s="15"/>
      <c r="U6" s="5"/>
      <c r="V6" s="269" t="s">
        <v>84</v>
      </c>
      <c r="W6" s="269"/>
      <c r="X6" s="269"/>
      <c r="Y6" s="7" t="s">
        <v>85</v>
      </c>
    </row>
    <row r="7" spans="1:39">
      <c r="A7">
        <v>4</v>
      </c>
      <c r="B7" t="s">
        <v>817</v>
      </c>
      <c r="C7" t="s">
        <v>835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244</v>
      </c>
      <c r="O7" s="1">
        <f>W10</f>
        <v>2.7</v>
      </c>
      <c r="R7" t="s">
        <v>40</v>
      </c>
      <c r="S7" s="15" t="s">
        <v>148</v>
      </c>
      <c r="T7" s="5"/>
      <c r="U7" s="5"/>
      <c r="V7" s="18" t="s">
        <v>32</v>
      </c>
      <c r="W7" s="18" t="s">
        <v>33</v>
      </c>
      <c r="X7" s="19" t="s">
        <v>87</v>
      </c>
      <c r="Y7" s="19" t="s">
        <v>88</v>
      </c>
    </row>
    <row r="8" spans="1:39">
      <c r="A8">
        <v>4</v>
      </c>
      <c r="B8" t="s">
        <v>817</v>
      </c>
      <c r="C8" t="s">
        <v>835</v>
      </c>
      <c r="G8">
        <v>1</v>
      </c>
      <c r="I8" t="s">
        <v>21</v>
      </c>
      <c r="J8" t="s">
        <v>22</v>
      </c>
      <c r="K8" t="s">
        <v>408</v>
      </c>
      <c r="L8" t="s">
        <v>32</v>
      </c>
      <c r="M8" t="s">
        <v>245</v>
      </c>
      <c r="O8" s="1">
        <f>V11</f>
        <v>5.9</v>
      </c>
      <c r="R8" t="s">
        <v>40</v>
      </c>
      <c r="S8" s="20" t="s">
        <v>89</v>
      </c>
      <c r="T8" s="15"/>
      <c r="U8" s="5"/>
      <c r="V8" s="21">
        <v>3.6</v>
      </c>
      <c r="W8" s="21">
        <v>3.9</v>
      </c>
      <c r="X8" s="22">
        <f t="shared" ref="X8:X14" si="0">V8+W8</f>
        <v>7.5</v>
      </c>
      <c r="Y8" s="23">
        <f t="shared" ref="Y8:Y15" si="1">$F$9*X8</f>
        <v>0</v>
      </c>
    </row>
    <row r="9" spans="1:39">
      <c r="A9">
        <v>4</v>
      </c>
      <c r="B9" t="s">
        <v>817</v>
      </c>
      <c r="C9" t="s">
        <v>835</v>
      </c>
      <c r="G9">
        <v>1</v>
      </c>
      <c r="I9" t="s">
        <v>21</v>
      </c>
      <c r="J9" t="s">
        <v>22</v>
      </c>
      <c r="K9" t="s">
        <v>408</v>
      </c>
      <c r="L9" t="s">
        <v>33</v>
      </c>
      <c r="M9" t="s">
        <v>245</v>
      </c>
      <c r="O9" s="1">
        <f>W11</f>
        <v>4.8</v>
      </c>
      <c r="R9" t="s">
        <v>40</v>
      </c>
      <c r="S9" s="20" t="s">
        <v>90</v>
      </c>
      <c r="T9" s="5"/>
      <c r="U9" s="5"/>
      <c r="V9" s="21">
        <v>4.5999999999999996</v>
      </c>
      <c r="W9" s="21">
        <v>3.4</v>
      </c>
      <c r="X9" s="22">
        <f t="shared" si="0"/>
        <v>8</v>
      </c>
      <c r="Y9" s="23">
        <f t="shared" si="1"/>
        <v>0</v>
      </c>
    </row>
    <row r="10" spans="1:39">
      <c r="A10">
        <v>4</v>
      </c>
      <c r="B10" t="s">
        <v>817</v>
      </c>
      <c r="C10" t="s">
        <v>835</v>
      </c>
      <c r="G10">
        <v>1</v>
      </c>
      <c r="I10" t="s">
        <v>21</v>
      </c>
      <c r="J10" t="s">
        <v>22</v>
      </c>
      <c r="K10" t="s">
        <v>408</v>
      </c>
      <c r="L10" t="s">
        <v>32</v>
      </c>
      <c r="M10" t="s">
        <v>838</v>
      </c>
      <c r="O10" s="1">
        <f>V12</f>
        <v>2.2000000000000002</v>
      </c>
      <c r="P10" t="s">
        <v>836</v>
      </c>
      <c r="R10" t="s">
        <v>40</v>
      </c>
      <c r="S10" s="20" t="s">
        <v>92</v>
      </c>
      <c r="T10" s="5"/>
      <c r="U10" s="5"/>
      <c r="V10" s="21">
        <v>2.7</v>
      </c>
      <c r="W10" s="21">
        <v>2.7</v>
      </c>
      <c r="X10" s="22">
        <f t="shared" si="0"/>
        <v>5.4</v>
      </c>
      <c r="Y10" s="23">
        <f t="shared" si="1"/>
        <v>0</v>
      </c>
    </row>
    <row r="11" spans="1:39">
      <c r="A11">
        <v>4</v>
      </c>
      <c r="B11" t="s">
        <v>817</v>
      </c>
      <c r="C11" t="s">
        <v>835</v>
      </c>
      <c r="G11">
        <v>1</v>
      </c>
      <c r="I11" t="s">
        <v>21</v>
      </c>
      <c r="J11" t="s">
        <v>22</v>
      </c>
      <c r="K11" t="s">
        <v>408</v>
      </c>
      <c r="L11" t="s">
        <v>33</v>
      </c>
      <c r="M11" t="s">
        <v>838</v>
      </c>
      <c r="O11" s="1">
        <f>W12</f>
        <v>2</v>
      </c>
      <c r="P11" t="s">
        <v>837</v>
      </c>
      <c r="R11" t="s">
        <v>40</v>
      </c>
      <c r="S11" s="20" t="s">
        <v>93</v>
      </c>
      <c r="T11" s="5"/>
      <c r="U11" s="5"/>
      <c r="V11" s="21">
        <v>5.9</v>
      </c>
      <c r="W11" s="21">
        <v>4.8</v>
      </c>
      <c r="X11" s="22">
        <f t="shared" si="0"/>
        <v>10.7</v>
      </c>
      <c r="Y11" s="23">
        <f t="shared" si="1"/>
        <v>0</v>
      </c>
    </row>
    <row r="12" spans="1:39">
      <c r="A12">
        <v>4</v>
      </c>
      <c r="B12" t="s">
        <v>817</v>
      </c>
      <c r="C12" t="s">
        <v>835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24</v>
      </c>
      <c r="O12" s="1">
        <f>U21*U22</f>
        <v>50.8</v>
      </c>
      <c r="P12" t="s">
        <v>839</v>
      </c>
      <c r="R12" t="s">
        <v>40</v>
      </c>
      <c r="S12" s="20" t="s">
        <v>94</v>
      </c>
      <c r="T12" s="5"/>
      <c r="U12" s="5"/>
      <c r="V12" s="21">
        <v>2.2000000000000002</v>
      </c>
      <c r="W12" s="21">
        <v>2</v>
      </c>
      <c r="X12" s="22">
        <f>V12+W12</f>
        <v>4.2</v>
      </c>
      <c r="Y12" s="23">
        <f>$F$9*X12</f>
        <v>0</v>
      </c>
    </row>
    <row r="13" spans="1:39">
      <c r="A13">
        <v>4</v>
      </c>
      <c r="B13" t="s">
        <v>817</v>
      </c>
      <c r="C13" t="s">
        <v>835</v>
      </c>
      <c r="G13">
        <v>1</v>
      </c>
      <c r="I13" t="s">
        <v>21</v>
      </c>
      <c r="J13" t="s">
        <v>22</v>
      </c>
      <c r="K13" t="s">
        <v>71</v>
      </c>
      <c r="L13" t="s">
        <v>33</v>
      </c>
      <c r="M13" t="s">
        <v>1190</v>
      </c>
      <c r="O13" s="1">
        <f>U24*U25</f>
        <v>18.899999999999999</v>
      </c>
      <c r="P13" t="s">
        <v>840</v>
      </c>
      <c r="R13" t="s">
        <v>40</v>
      </c>
      <c r="S13" s="20" t="s">
        <v>94</v>
      </c>
      <c r="T13" s="5"/>
      <c r="U13" s="5"/>
      <c r="V13" s="21">
        <v>2.2000000000000002</v>
      </c>
      <c r="W13" s="21">
        <v>2</v>
      </c>
      <c r="X13" s="22">
        <f t="shared" si="0"/>
        <v>4.2</v>
      </c>
      <c r="Y13" s="23">
        <f t="shared" si="1"/>
        <v>0</v>
      </c>
    </row>
    <row r="14" spans="1:39">
      <c r="A14">
        <v>4</v>
      </c>
      <c r="B14" t="s">
        <v>817</v>
      </c>
      <c r="C14" t="s">
        <v>835</v>
      </c>
      <c r="G14">
        <v>1</v>
      </c>
      <c r="I14" t="s">
        <v>21</v>
      </c>
      <c r="J14" t="s">
        <v>22</v>
      </c>
      <c r="K14" t="s">
        <v>71</v>
      </c>
      <c r="L14" t="s">
        <v>33</v>
      </c>
      <c r="M14" t="s">
        <v>74</v>
      </c>
      <c r="O14" s="1">
        <f>U27*U28</f>
        <v>26.04</v>
      </c>
      <c r="P14" t="s">
        <v>841</v>
      </c>
      <c r="R14" t="s">
        <v>40</v>
      </c>
      <c r="S14" s="20" t="s">
        <v>95</v>
      </c>
      <c r="T14" s="5"/>
      <c r="U14" s="5"/>
      <c r="V14" s="21">
        <v>0</v>
      </c>
      <c r="W14" s="21">
        <v>0</v>
      </c>
      <c r="X14" s="22">
        <f t="shared" si="0"/>
        <v>0</v>
      </c>
      <c r="Y14" s="23">
        <f t="shared" si="1"/>
        <v>0</v>
      </c>
    </row>
    <row r="15" spans="1:39">
      <c r="A15">
        <v>4</v>
      </c>
      <c r="B15" t="s">
        <v>817</v>
      </c>
      <c r="C15" t="s">
        <v>835</v>
      </c>
      <c r="G15">
        <v>1</v>
      </c>
      <c r="I15" t="s">
        <v>21</v>
      </c>
      <c r="J15" t="s">
        <v>22</v>
      </c>
      <c r="K15" t="s">
        <v>71</v>
      </c>
      <c r="L15" t="s">
        <v>33</v>
      </c>
      <c r="M15" t="s">
        <v>66</v>
      </c>
      <c r="O15" s="1">
        <f>W29</f>
        <v>5.71</v>
      </c>
      <c r="R15" t="s">
        <v>40</v>
      </c>
      <c r="S15" s="20" t="s">
        <v>26</v>
      </c>
      <c r="T15" s="5"/>
      <c r="U15" s="5"/>
      <c r="V15" s="21">
        <v>0</v>
      </c>
      <c r="W15" s="21">
        <v>0</v>
      </c>
      <c r="X15" s="24">
        <f>V15+W15</f>
        <v>0</v>
      </c>
      <c r="Y15" s="25">
        <f t="shared" si="1"/>
        <v>0</v>
      </c>
    </row>
    <row r="16" spans="1:39">
      <c r="A16">
        <v>4</v>
      </c>
      <c r="B16" t="s">
        <v>817</v>
      </c>
      <c r="C16" t="s">
        <v>835</v>
      </c>
      <c r="G16">
        <v>1</v>
      </c>
      <c r="I16" t="s">
        <v>21</v>
      </c>
      <c r="J16" t="s">
        <v>22</v>
      </c>
      <c r="K16" t="s">
        <v>71</v>
      </c>
      <c r="L16" t="s">
        <v>33</v>
      </c>
      <c r="M16" t="s">
        <v>65</v>
      </c>
      <c r="O16" s="1">
        <f>W30</f>
        <v>55.57</v>
      </c>
      <c r="R16" t="s">
        <v>40</v>
      </c>
      <c r="S16" s="15" t="s">
        <v>96</v>
      </c>
      <c r="T16" s="15"/>
      <c r="U16" s="5"/>
      <c r="V16" s="22">
        <f>SUM(V8:V15)</f>
        <v>21.199999999999996</v>
      </c>
      <c r="W16" s="22">
        <f>SUM(W8:W15)</f>
        <v>18.8</v>
      </c>
      <c r="X16" s="26">
        <f>SUM(X8:X15)</f>
        <v>40</v>
      </c>
      <c r="Y16" s="27">
        <f>SUM(Y8:Y15)</f>
        <v>0</v>
      </c>
    </row>
    <row r="17" spans="1:25">
      <c r="A17">
        <v>4</v>
      </c>
      <c r="B17" t="s">
        <v>817</v>
      </c>
      <c r="C17" t="s">
        <v>835</v>
      </c>
      <c r="G17">
        <v>1</v>
      </c>
      <c r="I17" t="s">
        <v>21</v>
      </c>
      <c r="J17" t="s">
        <v>25</v>
      </c>
      <c r="K17" t="s">
        <v>26</v>
      </c>
      <c r="L17" t="s">
        <v>33</v>
      </c>
      <c r="M17" t="s">
        <v>27</v>
      </c>
      <c r="O17" s="1">
        <f>W31</f>
        <v>8.8000000000000007</v>
      </c>
      <c r="R17" t="s">
        <v>40</v>
      </c>
      <c r="S17" s="15" t="s">
        <v>149</v>
      </c>
      <c r="T17" s="15"/>
      <c r="U17" s="5"/>
      <c r="V17" s="23">
        <f>$F$9*V16</f>
        <v>0</v>
      </c>
      <c r="W17" s="23">
        <f>$F$9*W16</f>
        <v>0</v>
      </c>
      <c r="X17" s="27">
        <f>$F$9*X16</f>
        <v>0</v>
      </c>
      <c r="Y17" s="28" t="s">
        <v>98</v>
      </c>
    </row>
    <row r="18" spans="1:25">
      <c r="A18">
        <v>4</v>
      </c>
      <c r="B18" t="s">
        <v>817</v>
      </c>
      <c r="C18" t="s">
        <v>835</v>
      </c>
      <c r="G18">
        <v>1</v>
      </c>
      <c r="I18" t="s">
        <v>21</v>
      </c>
      <c r="J18" t="s">
        <v>25</v>
      </c>
      <c r="K18" t="s">
        <v>26</v>
      </c>
      <c r="L18" t="s">
        <v>33</v>
      </c>
      <c r="M18" t="s">
        <v>28</v>
      </c>
      <c r="O18" s="1">
        <f>W32</f>
        <v>10</v>
      </c>
      <c r="R18" t="s">
        <v>40</v>
      </c>
      <c r="S18" s="5"/>
      <c r="T18" s="5"/>
      <c r="U18" s="5"/>
      <c r="V18" s="23"/>
      <c r="W18" s="23"/>
      <c r="X18" s="23"/>
      <c r="Y18" s="23"/>
    </row>
    <row r="19" spans="1:25">
      <c r="A19">
        <v>4</v>
      </c>
      <c r="B19" t="s">
        <v>817</v>
      </c>
      <c r="C19" t="s">
        <v>835</v>
      </c>
      <c r="G19">
        <v>1</v>
      </c>
      <c r="I19" t="s">
        <v>21</v>
      </c>
      <c r="J19" t="s">
        <v>25</v>
      </c>
      <c r="K19" t="s">
        <v>26</v>
      </c>
      <c r="L19" s="290" t="s">
        <v>33</v>
      </c>
      <c r="M19" s="290" t="s">
        <v>37</v>
      </c>
      <c r="O19" s="1">
        <f>W33</f>
        <v>7.7847999999999997</v>
      </c>
      <c r="P19" t="s">
        <v>54</v>
      </c>
      <c r="R19" t="s">
        <v>40</v>
      </c>
      <c r="S19" s="15" t="s">
        <v>100</v>
      </c>
      <c r="T19" s="15"/>
      <c r="U19" s="5"/>
      <c r="V19" s="5"/>
      <c r="W19" s="5"/>
      <c r="X19" s="5"/>
      <c r="Y19" s="23" t="s">
        <v>99</v>
      </c>
    </row>
    <row r="20" spans="1:25">
      <c r="A20">
        <v>4</v>
      </c>
      <c r="B20" t="s">
        <v>817</v>
      </c>
      <c r="C20" t="s">
        <v>835</v>
      </c>
      <c r="G20">
        <v>1</v>
      </c>
      <c r="I20" t="s">
        <v>21</v>
      </c>
      <c r="J20" t="s">
        <v>29</v>
      </c>
      <c r="K20" t="s">
        <v>408</v>
      </c>
      <c r="L20" t="s">
        <v>32</v>
      </c>
      <c r="M20" t="s">
        <v>1199</v>
      </c>
      <c r="O20" s="1">
        <f>V40</f>
        <v>8.4</v>
      </c>
      <c r="R20" t="s">
        <v>40</v>
      </c>
      <c r="S20" s="5" t="s">
        <v>101</v>
      </c>
      <c r="T20" s="5"/>
      <c r="U20" s="5"/>
      <c r="V20" s="28" t="s">
        <v>98</v>
      </c>
      <c r="W20" s="22">
        <f>U21*U22</f>
        <v>50.8</v>
      </c>
      <c r="X20" s="22">
        <f>W20</f>
        <v>50.8</v>
      </c>
      <c r="Y20" s="23">
        <f>$F$9*X20</f>
        <v>0</v>
      </c>
    </row>
    <row r="21" spans="1:25">
      <c r="A21">
        <v>4</v>
      </c>
      <c r="B21" t="s">
        <v>817</v>
      </c>
      <c r="C21" t="s">
        <v>835</v>
      </c>
      <c r="G21">
        <v>1</v>
      </c>
      <c r="I21" t="s">
        <v>21</v>
      </c>
      <c r="J21" t="s">
        <v>29</v>
      </c>
      <c r="K21" t="s">
        <v>408</v>
      </c>
      <c r="L21" t="s">
        <v>33</v>
      </c>
      <c r="M21" t="s">
        <v>1199</v>
      </c>
      <c r="O21" s="1">
        <f>W40</f>
        <v>4.0999999999999996</v>
      </c>
      <c r="R21" t="s">
        <v>40</v>
      </c>
      <c r="S21" s="29" t="s">
        <v>833</v>
      </c>
      <c r="T21" s="29"/>
      <c r="U21" s="30">
        <v>50.8</v>
      </c>
      <c r="V21" s="5"/>
      <c r="W21" s="5"/>
      <c r="X21" s="5"/>
      <c r="Y21" s="23" t="s">
        <v>99</v>
      </c>
    </row>
    <row r="22" spans="1:25">
      <c r="A22">
        <v>4</v>
      </c>
      <c r="B22" t="s">
        <v>817</v>
      </c>
      <c r="C22" t="s">
        <v>835</v>
      </c>
      <c r="G22">
        <v>1</v>
      </c>
      <c r="I22" t="s">
        <v>21</v>
      </c>
      <c r="J22" t="s">
        <v>29</v>
      </c>
      <c r="K22" t="s">
        <v>408</v>
      </c>
      <c r="L22" t="s">
        <v>32</v>
      </c>
      <c r="M22" t="s">
        <v>1198</v>
      </c>
      <c r="O22" s="1">
        <f>V41</f>
        <v>6.3</v>
      </c>
      <c r="R22" t="s">
        <v>40</v>
      </c>
      <c r="S22" s="29" t="s">
        <v>834</v>
      </c>
      <c r="T22" s="29"/>
      <c r="U22" s="126">
        <v>1</v>
      </c>
      <c r="V22" s="5"/>
      <c r="W22" s="5"/>
      <c r="X22" s="5"/>
      <c r="Y22" s="23" t="s">
        <v>99</v>
      </c>
    </row>
    <row r="23" spans="1:25">
      <c r="A23">
        <v>4</v>
      </c>
      <c r="B23" t="s">
        <v>817</v>
      </c>
      <c r="C23" t="s">
        <v>835</v>
      </c>
      <c r="G23">
        <v>1</v>
      </c>
      <c r="I23" t="s">
        <v>21</v>
      </c>
      <c r="J23" t="s">
        <v>29</v>
      </c>
      <c r="K23" t="s">
        <v>408</v>
      </c>
      <c r="L23" t="s">
        <v>33</v>
      </c>
      <c r="M23" t="s">
        <v>121</v>
      </c>
      <c r="O23" s="1">
        <f>W41</f>
        <v>3</v>
      </c>
      <c r="R23" t="s">
        <v>40</v>
      </c>
      <c r="S23" s="5" t="s">
        <v>107</v>
      </c>
      <c r="T23" s="5"/>
      <c r="U23" s="5"/>
      <c r="V23" s="28" t="s">
        <v>98</v>
      </c>
      <c r="W23" s="22">
        <f>U24*U25</f>
        <v>18.899999999999999</v>
      </c>
      <c r="X23" s="22">
        <f>W23</f>
        <v>18.899999999999999</v>
      </c>
      <c r="Y23" s="23">
        <f>$F$9*X23</f>
        <v>0</v>
      </c>
    </row>
    <row r="24" spans="1:25">
      <c r="A24">
        <v>4</v>
      </c>
      <c r="B24" t="s">
        <v>817</v>
      </c>
      <c r="C24" t="s">
        <v>835</v>
      </c>
      <c r="G24">
        <v>1</v>
      </c>
      <c r="I24" t="s">
        <v>21</v>
      </c>
      <c r="J24" t="s">
        <v>29</v>
      </c>
      <c r="K24" t="s">
        <v>408</v>
      </c>
      <c r="L24" t="s">
        <v>32</v>
      </c>
      <c r="M24" t="s">
        <v>1194</v>
      </c>
      <c r="O24" s="1">
        <f>U43*X3</f>
        <v>2.4443035764612357</v>
      </c>
      <c r="P24" t="s">
        <v>842</v>
      </c>
      <c r="R24" t="s">
        <v>40</v>
      </c>
      <c r="S24" s="29" t="s">
        <v>105</v>
      </c>
      <c r="T24" s="29"/>
      <c r="U24" s="30">
        <v>0.42</v>
      </c>
      <c r="V24" s="5"/>
      <c r="W24" s="5"/>
      <c r="X24" s="5"/>
      <c r="Y24" s="23" t="s">
        <v>99</v>
      </c>
    </row>
    <row r="25" spans="1:25">
      <c r="A25">
        <v>4</v>
      </c>
      <c r="B25" t="s">
        <v>817</v>
      </c>
      <c r="C25" t="s">
        <v>835</v>
      </c>
      <c r="G25">
        <v>1</v>
      </c>
      <c r="I25" t="s">
        <v>21</v>
      </c>
      <c r="J25" t="s">
        <v>29</v>
      </c>
      <c r="K25" t="s">
        <v>408</v>
      </c>
      <c r="L25" t="s">
        <v>33</v>
      </c>
      <c r="M25" t="s">
        <v>1194</v>
      </c>
      <c r="O25" s="1">
        <f>U44*X3</f>
        <v>2.113433237654323</v>
      </c>
      <c r="P25" t="s">
        <v>843</v>
      </c>
      <c r="R25" t="s">
        <v>40</v>
      </c>
      <c r="S25" s="29" t="s">
        <v>106</v>
      </c>
      <c r="T25" s="29"/>
      <c r="U25" s="32">
        <v>45</v>
      </c>
      <c r="V25" s="5"/>
      <c r="W25" s="5"/>
      <c r="X25" s="5"/>
      <c r="Y25" s="23" t="s">
        <v>99</v>
      </c>
    </row>
    <row r="26" spans="1:25">
      <c r="A26">
        <v>4</v>
      </c>
      <c r="B26" t="s">
        <v>817</v>
      </c>
      <c r="C26" t="s">
        <v>835</v>
      </c>
      <c r="G26">
        <v>1</v>
      </c>
      <c r="I26" t="s">
        <v>21</v>
      </c>
      <c r="J26" t="s">
        <v>29</v>
      </c>
      <c r="K26" t="s">
        <v>408</v>
      </c>
      <c r="L26" t="s">
        <v>32</v>
      </c>
      <c r="M26" t="s">
        <v>1197</v>
      </c>
      <c r="O26" s="1">
        <f>U46*X3</f>
        <v>0.98715966993067772</v>
      </c>
      <c r="P26" t="s">
        <v>844</v>
      </c>
      <c r="R26" t="s">
        <v>40</v>
      </c>
      <c r="S26" s="5" t="s">
        <v>108</v>
      </c>
      <c r="T26" s="5"/>
      <c r="U26" s="5"/>
      <c r="V26" s="28" t="s">
        <v>98</v>
      </c>
      <c r="W26" s="22">
        <f>U27*U28</f>
        <v>26.04</v>
      </c>
      <c r="X26" s="22">
        <f>W26</f>
        <v>26.04</v>
      </c>
      <c r="Y26" s="23">
        <f>$F$9*X26</f>
        <v>0</v>
      </c>
    </row>
    <row r="27" spans="1:25">
      <c r="A27">
        <v>4</v>
      </c>
      <c r="B27" t="s">
        <v>817</v>
      </c>
      <c r="C27" t="s">
        <v>835</v>
      </c>
      <c r="G27">
        <v>1</v>
      </c>
      <c r="I27" t="s">
        <v>21</v>
      </c>
      <c r="J27" t="s">
        <v>29</v>
      </c>
      <c r="K27" t="s">
        <v>408</v>
      </c>
      <c r="L27" t="s">
        <v>33</v>
      </c>
      <c r="M27" t="s">
        <v>1197</v>
      </c>
      <c r="O27" s="1">
        <f>U47*X3</f>
        <v>1.0820823976695881</v>
      </c>
      <c r="P27" t="s">
        <v>845</v>
      </c>
      <c r="R27" t="s">
        <v>40</v>
      </c>
      <c r="S27" s="29" t="s">
        <v>105</v>
      </c>
      <c r="T27" s="29"/>
      <c r="U27" s="30">
        <v>0.31</v>
      </c>
      <c r="V27" s="5"/>
      <c r="W27" s="5"/>
      <c r="X27" s="5"/>
      <c r="Y27" s="23" t="s">
        <v>99</v>
      </c>
    </row>
    <row r="28" spans="1:25">
      <c r="A28">
        <v>4</v>
      </c>
      <c r="B28" t="s">
        <v>817</v>
      </c>
      <c r="C28" t="s">
        <v>835</v>
      </c>
      <c r="G28">
        <v>1</v>
      </c>
      <c r="H28" s="314">
        <v>1</v>
      </c>
      <c r="I28" t="s">
        <v>21</v>
      </c>
      <c r="J28" t="s">
        <v>25</v>
      </c>
      <c r="K28" t="s">
        <v>30</v>
      </c>
      <c r="L28" t="s">
        <v>33</v>
      </c>
      <c r="M28" t="s">
        <v>31</v>
      </c>
      <c r="N28" s="265">
        <f>$U$54*D58</f>
        <v>5.1162790697674425E-2</v>
      </c>
      <c r="O28" s="279">
        <f>$U$55*$U$54*D58</f>
        <v>0.72906976744186047</v>
      </c>
      <c r="P28" t="s">
        <v>1169</v>
      </c>
      <c r="R28" t="s">
        <v>40</v>
      </c>
      <c r="S28" s="29" t="s">
        <v>106</v>
      </c>
      <c r="T28" s="29"/>
      <c r="U28" s="32">
        <v>84</v>
      </c>
      <c r="V28" s="5"/>
      <c r="W28" s="5"/>
      <c r="X28" s="5"/>
      <c r="Y28" s="23" t="s">
        <v>99</v>
      </c>
    </row>
    <row r="29" spans="1:25">
      <c r="A29">
        <v>4</v>
      </c>
      <c r="B29" t="s">
        <v>817</v>
      </c>
      <c r="C29" t="s">
        <v>835</v>
      </c>
      <c r="G29">
        <v>1</v>
      </c>
      <c r="H29" s="314">
        <v>2</v>
      </c>
      <c r="I29" t="s">
        <v>21</v>
      </c>
      <c r="J29" t="s">
        <v>25</v>
      </c>
      <c r="K29" t="s">
        <v>30</v>
      </c>
      <c r="L29" t="s">
        <v>33</v>
      </c>
      <c r="M29" t="s">
        <v>31</v>
      </c>
      <c r="N29" s="265">
        <f t="shared" ref="N29:N52" si="2">$U$54*D59</f>
        <v>5.1162790697674425E-2</v>
      </c>
      <c r="O29" s="279">
        <f t="shared" ref="O29:O52" si="3">$U$55*$U$54*D59</f>
        <v>0.72906976744186047</v>
      </c>
      <c r="P29" t="s">
        <v>1169</v>
      </c>
      <c r="R29" t="s">
        <v>40</v>
      </c>
      <c r="S29" s="5" t="s">
        <v>109</v>
      </c>
      <c r="T29" s="5"/>
      <c r="U29" s="5"/>
      <c r="V29" s="28" t="s">
        <v>98</v>
      </c>
      <c r="W29" s="21">
        <v>5.71</v>
      </c>
      <c r="X29" s="22">
        <f>W29</f>
        <v>5.71</v>
      </c>
      <c r="Y29" s="23">
        <f>$F$9*X29</f>
        <v>0</v>
      </c>
    </row>
    <row r="30" spans="1:25">
      <c r="A30">
        <v>4</v>
      </c>
      <c r="B30" t="s">
        <v>817</v>
      </c>
      <c r="C30" t="s">
        <v>835</v>
      </c>
      <c r="G30">
        <v>1</v>
      </c>
      <c r="H30" s="314">
        <v>3</v>
      </c>
      <c r="I30" t="s">
        <v>21</v>
      </c>
      <c r="J30" t="s">
        <v>25</v>
      </c>
      <c r="K30" t="s">
        <v>30</v>
      </c>
      <c r="L30" t="s">
        <v>33</v>
      </c>
      <c r="M30" t="s">
        <v>31</v>
      </c>
      <c r="N30" s="265">
        <f t="shared" si="2"/>
        <v>5.1162790697674425E-2</v>
      </c>
      <c r="O30" s="279">
        <f t="shared" si="3"/>
        <v>0.72906976744186047</v>
      </c>
      <c r="P30" t="s">
        <v>1169</v>
      </c>
      <c r="R30" t="s">
        <v>40</v>
      </c>
      <c r="S30" s="5" t="s">
        <v>110</v>
      </c>
      <c r="T30" s="5"/>
      <c r="U30" s="5"/>
      <c r="V30" s="28" t="s">
        <v>98</v>
      </c>
      <c r="W30" s="21">
        <v>55.57</v>
      </c>
      <c r="X30" s="22">
        <f>W30</f>
        <v>55.57</v>
      </c>
      <c r="Y30" s="23">
        <f>$F$9*X30</f>
        <v>0</v>
      </c>
    </row>
    <row r="31" spans="1:25">
      <c r="A31">
        <v>4</v>
      </c>
      <c r="B31" t="s">
        <v>817</v>
      </c>
      <c r="C31" t="s">
        <v>835</v>
      </c>
      <c r="G31">
        <v>1</v>
      </c>
      <c r="H31" s="314">
        <v>4</v>
      </c>
      <c r="I31" t="s">
        <v>21</v>
      </c>
      <c r="J31" t="s">
        <v>25</v>
      </c>
      <c r="K31" t="s">
        <v>30</v>
      </c>
      <c r="L31" t="s">
        <v>33</v>
      </c>
      <c r="M31" t="s">
        <v>31</v>
      </c>
      <c r="N31" s="265">
        <f t="shared" si="2"/>
        <v>5.1162790697674425E-2</v>
      </c>
      <c r="O31" s="279">
        <f t="shared" si="3"/>
        <v>0.72906976744186047</v>
      </c>
      <c r="P31" t="s">
        <v>1169</v>
      </c>
      <c r="R31" t="s">
        <v>40</v>
      </c>
      <c r="S31" s="5" t="s">
        <v>112</v>
      </c>
      <c r="T31" s="5"/>
      <c r="U31" s="5"/>
      <c r="V31" s="28" t="s">
        <v>98</v>
      </c>
      <c r="W31" s="21">
        <v>8.8000000000000007</v>
      </c>
      <c r="X31" s="22">
        <f>W31</f>
        <v>8.8000000000000007</v>
      </c>
      <c r="Y31" s="23">
        <f>$F$9*X31</f>
        <v>0</v>
      </c>
    </row>
    <row r="32" spans="1:25">
      <c r="A32">
        <v>4</v>
      </c>
      <c r="B32" t="s">
        <v>817</v>
      </c>
      <c r="C32" t="s">
        <v>835</v>
      </c>
      <c r="G32">
        <v>1</v>
      </c>
      <c r="H32" s="314">
        <v>5</v>
      </c>
      <c r="I32" t="s">
        <v>21</v>
      </c>
      <c r="J32" t="s">
        <v>25</v>
      </c>
      <c r="K32" t="s">
        <v>30</v>
      </c>
      <c r="L32" t="s">
        <v>33</v>
      </c>
      <c r="M32" t="s">
        <v>31</v>
      </c>
      <c r="N32" s="265">
        <f t="shared" si="2"/>
        <v>5.1162790697674425E-2</v>
      </c>
      <c r="O32" s="279">
        <f t="shared" si="3"/>
        <v>0.72906976744186047</v>
      </c>
      <c r="P32" t="s">
        <v>1169</v>
      </c>
      <c r="R32" t="s">
        <v>40</v>
      </c>
      <c r="S32" s="5" t="s">
        <v>113</v>
      </c>
      <c r="T32" s="5"/>
      <c r="U32" s="5"/>
      <c r="V32" s="28" t="s">
        <v>98</v>
      </c>
      <c r="W32" s="21">
        <v>10</v>
      </c>
      <c r="X32" s="22">
        <f>W32</f>
        <v>10</v>
      </c>
      <c r="Y32" s="23">
        <f>$F$9*X32</f>
        <v>0</v>
      </c>
    </row>
    <row r="33" spans="1:25">
      <c r="A33">
        <v>4</v>
      </c>
      <c r="B33" t="s">
        <v>817</v>
      </c>
      <c r="C33" t="s">
        <v>835</v>
      </c>
      <c r="G33">
        <v>1</v>
      </c>
      <c r="H33" s="314">
        <v>6</v>
      </c>
      <c r="I33" t="s">
        <v>21</v>
      </c>
      <c r="J33" t="s">
        <v>25</v>
      </c>
      <c r="K33" t="s">
        <v>30</v>
      </c>
      <c r="L33" t="s">
        <v>33</v>
      </c>
      <c r="M33" t="s">
        <v>31</v>
      </c>
      <c r="N33" s="265">
        <f t="shared" si="2"/>
        <v>5.1162790697674425E-2</v>
      </c>
      <c r="O33" s="279">
        <f t="shared" si="3"/>
        <v>0.72906976744186047</v>
      </c>
      <c r="P33" t="s">
        <v>1169</v>
      </c>
      <c r="R33" t="s">
        <v>40</v>
      </c>
      <c r="S33" s="5" t="s">
        <v>114</v>
      </c>
      <c r="T33" s="5"/>
      <c r="U33" s="5"/>
      <c r="V33" s="28" t="s">
        <v>98</v>
      </c>
      <c r="W33" s="22">
        <f>(W16+W20+W23+W26+W29+W30+W31+W32)*$U34*$U35/12</f>
        <v>7.7847999999999997</v>
      </c>
      <c r="X33" s="22">
        <f>(W16+X20+X23+X26+X29+X30+X31+X32)*$C58*$C59/12</f>
        <v>16.218333333333334</v>
      </c>
      <c r="Y33" s="23">
        <f>(W17+Y20+Y23+Y26+Y29+Y30+Y31+Y32)*$C58*$C59/12</f>
        <v>0</v>
      </c>
    </row>
    <row r="34" spans="1:25">
      <c r="A34">
        <v>4</v>
      </c>
      <c r="B34" t="s">
        <v>817</v>
      </c>
      <c r="C34" t="s">
        <v>835</v>
      </c>
      <c r="G34">
        <v>1</v>
      </c>
      <c r="H34" s="314">
        <v>7</v>
      </c>
      <c r="I34" t="s">
        <v>21</v>
      </c>
      <c r="J34" t="s">
        <v>22</v>
      </c>
      <c r="K34" t="s">
        <v>30</v>
      </c>
      <c r="L34" t="s">
        <v>33</v>
      </c>
      <c r="M34" t="s">
        <v>1165</v>
      </c>
      <c r="N34" s="265">
        <f t="shared" si="2"/>
        <v>0.15348837209302327</v>
      </c>
      <c r="O34" s="279">
        <f t="shared" si="3"/>
        <v>2.1872093023255816</v>
      </c>
      <c r="P34" t="s">
        <v>1170</v>
      </c>
      <c r="R34" t="s">
        <v>40</v>
      </c>
      <c r="S34" s="29" t="s">
        <v>115</v>
      </c>
      <c r="T34" s="29"/>
      <c r="U34" s="34">
        <v>8</v>
      </c>
      <c r="V34" s="41" t="s">
        <v>99</v>
      </c>
      <c r="W34" s="5"/>
      <c r="X34" s="5"/>
      <c r="Y34" s="23" t="s">
        <v>99</v>
      </c>
    </row>
    <row r="35" spans="1:25">
      <c r="A35">
        <v>4</v>
      </c>
      <c r="B35" t="s">
        <v>817</v>
      </c>
      <c r="C35" t="s">
        <v>835</v>
      </c>
      <c r="G35">
        <v>1</v>
      </c>
      <c r="H35" s="314">
        <v>8</v>
      </c>
      <c r="I35" t="s">
        <v>21</v>
      </c>
      <c r="J35" t="s">
        <v>25</v>
      </c>
      <c r="K35" t="s">
        <v>30</v>
      </c>
      <c r="L35" t="s">
        <v>33</v>
      </c>
      <c r="M35" t="s">
        <v>1164</v>
      </c>
      <c r="N35" s="265">
        <f t="shared" si="2"/>
        <v>0.15348837209302327</v>
      </c>
      <c r="O35" s="279">
        <f t="shared" si="3"/>
        <v>2.1872093023255816</v>
      </c>
      <c r="P35" t="s">
        <v>1170</v>
      </c>
      <c r="R35" t="s">
        <v>40</v>
      </c>
      <c r="S35" s="29" t="s">
        <v>116</v>
      </c>
      <c r="T35" s="29"/>
      <c r="U35" s="35">
        <v>0.06</v>
      </c>
      <c r="V35" s="5"/>
      <c r="W35" s="5"/>
      <c r="X35" s="18" t="s">
        <v>117</v>
      </c>
      <c r="Y35" s="18" t="s">
        <v>117</v>
      </c>
    </row>
    <row r="36" spans="1:25">
      <c r="A36">
        <v>4</v>
      </c>
      <c r="B36" t="s">
        <v>817</v>
      </c>
      <c r="C36" t="s">
        <v>835</v>
      </c>
      <c r="G36">
        <v>1</v>
      </c>
      <c r="H36" s="314">
        <v>9</v>
      </c>
      <c r="I36" t="s">
        <v>21</v>
      </c>
      <c r="J36" t="s">
        <v>25</v>
      </c>
      <c r="K36" t="s">
        <v>30</v>
      </c>
      <c r="L36" t="s">
        <v>33</v>
      </c>
      <c r="M36" t="s">
        <v>1164</v>
      </c>
      <c r="N36" s="265">
        <f t="shared" si="2"/>
        <v>0.15348837209302327</v>
      </c>
      <c r="O36" s="279">
        <f t="shared" si="3"/>
        <v>2.1872093023255816</v>
      </c>
      <c r="P36" t="s">
        <v>1170</v>
      </c>
      <c r="R36" t="s">
        <v>40</v>
      </c>
      <c r="S36" s="15" t="s">
        <v>118</v>
      </c>
      <c r="T36" s="15"/>
      <c r="U36" s="5"/>
      <c r="V36" s="28" t="s">
        <v>98</v>
      </c>
      <c r="W36" s="22">
        <f>W20+W23+W26+W29+W30+W31+W32+W33</f>
        <v>183.60479999999998</v>
      </c>
      <c r="X36" s="26">
        <f>X20+X23+X26+X29+X30+X31+X32+X33</f>
        <v>192.03833333333333</v>
      </c>
      <c r="Y36" s="27">
        <f>Y20+Y23+Y26+Y29+Y30+Y31+Y32+Y33</f>
        <v>0</v>
      </c>
    </row>
    <row r="37" spans="1:25">
      <c r="A37">
        <v>4</v>
      </c>
      <c r="B37" t="s">
        <v>817</v>
      </c>
      <c r="C37" t="s">
        <v>835</v>
      </c>
      <c r="G37">
        <v>1</v>
      </c>
      <c r="H37" s="314">
        <v>9</v>
      </c>
      <c r="I37" t="s">
        <v>21</v>
      </c>
      <c r="J37" t="s">
        <v>25</v>
      </c>
      <c r="K37" t="s">
        <v>30</v>
      </c>
      <c r="L37" t="s">
        <v>33</v>
      </c>
      <c r="M37" t="s">
        <v>1165</v>
      </c>
      <c r="N37" s="265">
        <f t="shared" si="2"/>
        <v>0.15348837209302327</v>
      </c>
      <c r="O37" s="279">
        <f t="shared" si="3"/>
        <v>2.1872093023255816</v>
      </c>
      <c r="P37" t="s">
        <v>1170</v>
      </c>
      <c r="R37" t="s">
        <v>40</v>
      </c>
      <c r="S37" s="15"/>
      <c r="T37" s="15"/>
      <c r="U37" s="5"/>
      <c r="V37" s="28"/>
      <c r="W37" s="22"/>
      <c r="X37" s="26"/>
      <c r="Y37" s="27"/>
    </row>
    <row r="38" spans="1:25">
      <c r="A38">
        <v>4</v>
      </c>
      <c r="B38" t="s">
        <v>817</v>
      </c>
      <c r="C38" t="s">
        <v>835</v>
      </c>
      <c r="G38">
        <v>1</v>
      </c>
      <c r="H38" s="314">
        <v>10</v>
      </c>
      <c r="I38" t="s">
        <v>21</v>
      </c>
      <c r="J38" t="s">
        <v>25</v>
      </c>
      <c r="K38" t="s">
        <v>30</v>
      </c>
      <c r="L38" t="s">
        <v>33</v>
      </c>
      <c r="M38" t="s">
        <v>31</v>
      </c>
      <c r="N38" s="265">
        <f t="shared" si="2"/>
        <v>5.1162790697674425E-2</v>
      </c>
      <c r="O38" s="279">
        <f t="shared" si="3"/>
        <v>0.72906976744186047</v>
      </c>
      <c r="P38" t="s">
        <v>1169</v>
      </c>
      <c r="R38" t="s">
        <v>40</v>
      </c>
      <c r="S38" s="15" t="s">
        <v>119</v>
      </c>
      <c r="T38" s="15"/>
      <c r="U38" s="5"/>
      <c r="V38" s="5"/>
      <c r="W38" s="5"/>
      <c r="X38" s="5"/>
      <c r="Y38" s="23" t="s">
        <v>99</v>
      </c>
    </row>
    <row r="39" spans="1:25">
      <c r="A39">
        <v>4</v>
      </c>
      <c r="B39" t="s">
        <v>817</v>
      </c>
      <c r="C39" t="s">
        <v>835</v>
      </c>
      <c r="G39">
        <v>1</v>
      </c>
      <c r="H39" s="314">
        <v>11</v>
      </c>
      <c r="I39" t="s">
        <v>21</v>
      </c>
      <c r="J39" t="s">
        <v>25</v>
      </c>
      <c r="K39" t="s">
        <v>30</v>
      </c>
      <c r="L39" t="s">
        <v>33</v>
      </c>
      <c r="M39" t="s">
        <v>31</v>
      </c>
      <c r="N39" s="265">
        <f t="shared" si="2"/>
        <v>5.1162790697674425E-2</v>
      </c>
      <c r="O39" s="279">
        <f t="shared" si="3"/>
        <v>0.72906976744186047</v>
      </c>
      <c r="P39" t="s">
        <v>1169</v>
      </c>
      <c r="R39" t="s">
        <v>40</v>
      </c>
      <c r="S39" s="15"/>
      <c r="T39" s="15"/>
      <c r="U39" s="5"/>
      <c r="V39" s="5"/>
      <c r="W39" s="5"/>
      <c r="X39" s="5"/>
      <c r="Y39" s="23"/>
    </row>
    <row r="40" spans="1:25">
      <c r="A40">
        <v>4</v>
      </c>
      <c r="B40" t="s">
        <v>817</v>
      </c>
      <c r="C40" t="s">
        <v>835</v>
      </c>
      <c r="G40">
        <v>1</v>
      </c>
      <c r="H40" s="314">
        <v>12</v>
      </c>
      <c r="I40" t="s">
        <v>21</v>
      </c>
      <c r="J40" t="s">
        <v>25</v>
      </c>
      <c r="K40" t="s">
        <v>30</v>
      </c>
      <c r="L40" t="s">
        <v>33</v>
      </c>
      <c r="M40" t="s">
        <v>1165</v>
      </c>
      <c r="N40" s="265">
        <f t="shared" si="2"/>
        <v>0.15348837209302327</v>
      </c>
      <c r="O40" s="279">
        <f t="shared" si="3"/>
        <v>2.1872093023255816</v>
      </c>
      <c r="P40" t="s">
        <v>1170</v>
      </c>
      <c r="R40" t="s">
        <v>40</v>
      </c>
      <c r="S40" s="20" t="s">
        <v>120</v>
      </c>
      <c r="T40" s="5"/>
      <c r="U40" s="5"/>
      <c r="V40" s="21">
        <v>8.4</v>
      </c>
      <c r="W40" s="21">
        <v>4.0999999999999996</v>
      </c>
      <c r="X40" s="22">
        <f>SUM(V40:W40)</f>
        <v>12.5</v>
      </c>
      <c r="Y40" s="23">
        <f>$F$9*X40</f>
        <v>0</v>
      </c>
    </row>
    <row r="41" spans="1:25">
      <c r="A41">
        <v>4</v>
      </c>
      <c r="B41" t="s">
        <v>817</v>
      </c>
      <c r="C41" t="s">
        <v>835</v>
      </c>
      <c r="G41">
        <v>1</v>
      </c>
      <c r="H41" s="314">
        <v>13</v>
      </c>
      <c r="I41" t="s">
        <v>21</v>
      </c>
      <c r="J41" t="s">
        <v>25</v>
      </c>
      <c r="K41" t="s">
        <v>30</v>
      </c>
      <c r="L41" t="s">
        <v>33</v>
      </c>
      <c r="M41" t="s">
        <v>1165</v>
      </c>
      <c r="N41" s="265">
        <f t="shared" si="2"/>
        <v>0.15348837209302327</v>
      </c>
      <c r="O41" s="279">
        <f t="shared" si="3"/>
        <v>2.1872093023255816</v>
      </c>
      <c r="P41" t="s">
        <v>1170</v>
      </c>
      <c r="R41" t="s">
        <v>40</v>
      </c>
      <c r="S41" s="20" t="s">
        <v>121</v>
      </c>
      <c r="T41" s="5"/>
      <c r="U41" s="5"/>
      <c r="V41" s="21">
        <v>6.3</v>
      </c>
      <c r="W41" s="21">
        <v>3</v>
      </c>
      <c r="X41" s="22">
        <f>SUM(V41:W41)</f>
        <v>9.3000000000000007</v>
      </c>
      <c r="Y41" s="23">
        <f>$F$9*X41</f>
        <v>0</v>
      </c>
    </row>
    <row r="42" spans="1:25">
      <c r="A42">
        <v>4</v>
      </c>
      <c r="B42" t="s">
        <v>817</v>
      </c>
      <c r="C42" t="s">
        <v>835</v>
      </c>
      <c r="G42">
        <v>1</v>
      </c>
      <c r="H42" s="314">
        <v>14</v>
      </c>
      <c r="I42" t="s">
        <v>21</v>
      </c>
      <c r="J42" t="s">
        <v>25</v>
      </c>
      <c r="K42" t="s">
        <v>30</v>
      </c>
      <c r="L42" t="s">
        <v>33</v>
      </c>
      <c r="M42" t="s">
        <v>31</v>
      </c>
      <c r="N42" s="265">
        <f t="shared" si="2"/>
        <v>5.1162790697674425E-2</v>
      </c>
      <c r="O42" s="279">
        <f t="shared" si="3"/>
        <v>0.72906976744186047</v>
      </c>
      <c r="P42" t="s">
        <v>1169</v>
      </c>
      <c r="R42" t="s">
        <v>40</v>
      </c>
      <c r="S42" s="36" t="s">
        <v>122</v>
      </c>
      <c r="T42" s="5"/>
      <c r="U42" s="5"/>
      <c r="V42" s="37">
        <f>U43*X3</f>
        <v>2.4443035764612357</v>
      </c>
      <c r="W42" s="37">
        <f>U44*X3</f>
        <v>2.113433237654323</v>
      </c>
      <c r="X42" s="22">
        <f>SUM(V42:W42)</f>
        <v>4.5577368141155592</v>
      </c>
      <c r="Y42" s="23">
        <f>$F$9*X42</f>
        <v>0</v>
      </c>
    </row>
    <row r="43" spans="1:25">
      <c r="A43">
        <v>4</v>
      </c>
      <c r="B43" t="s">
        <v>817</v>
      </c>
      <c r="C43" t="s">
        <v>835</v>
      </c>
      <c r="G43">
        <v>1</v>
      </c>
      <c r="H43" s="314">
        <v>15</v>
      </c>
      <c r="I43" t="s">
        <v>21</v>
      </c>
      <c r="J43" t="s">
        <v>25</v>
      </c>
      <c r="K43" t="s">
        <v>30</v>
      </c>
      <c r="L43" t="s">
        <v>33</v>
      </c>
      <c r="M43" t="s">
        <v>31</v>
      </c>
      <c r="N43" s="265">
        <f t="shared" si="2"/>
        <v>5.1162790697674425E-2</v>
      </c>
      <c r="O43" s="279">
        <f t="shared" si="3"/>
        <v>0.72906976744186047</v>
      </c>
      <c r="P43" t="s">
        <v>1169</v>
      </c>
      <c r="R43" t="s">
        <v>40</v>
      </c>
      <c r="S43" s="29" t="s">
        <v>123</v>
      </c>
      <c r="T43" s="5"/>
      <c r="U43" s="30">
        <v>4.3648278151093498E-2</v>
      </c>
      <c r="V43" s="13"/>
      <c r="W43" s="13"/>
      <c r="X43" s="5"/>
      <c r="Y43" s="5"/>
    </row>
    <row r="44" spans="1:25">
      <c r="A44">
        <v>4</v>
      </c>
      <c r="B44" t="s">
        <v>817</v>
      </c>
      <c r="C44" t="s">
        <v>835</v>
      </c>
      <c r="G44">
        <v>1</v>
      </c>
      <c r="H44" s="314">
        <v>16</v>
      </c>
      <c r="I44" t="s">
        <v>21</v>
      </c>
      <c r="J44" t="s">
        <v>25</v>
      </c>
      <c r="K44" t="s">
        <v>30</v>
      </c>
      <c r="L44" t="s">
        <v>33</v>
      </c>
      <c r="M44" t="s">
        <v>31</v>
      </c>
      <c r="N44" s="265">
        <f t="shared" si="2"/>
        <v>5.1162790697674425E-2</v>
      </c>
      <c r="O44" s="279">
        <f t="shared" si="3"/>
        <v>0.72906976744186047</v>
      </c>
      <c r="P44" t="s">
        <v>1169</v>
      </c>
      <c r="R44" t="s">
        <v>40</v>
      </c>
      <c r="S44" s="29" t="s">
        <v>124</v>
      </c>
      <c r="T44" s="29"/>
      <c r="U44" s="30">
        <v>3.7739879243827198E-2</v>
      </c>
      <c r="V44" s="13"/>
      <c r="W44" s="13"/>
      <c r="X44" s="5"/>
      <c r="Y44" s="5"/>
    </row>
    <row r="45" spans="1:25">
      <c r="A45">
        <v>4</v>
      </c>
      <c r="B45" t="s">
        <v>817</v>
      </c>
      <c r="C45" t="s">
        <v>835</v>
      </c>
      <c r="G45">
        <v>1</v>
      </c>
      <c r="H45" s="314">
        <v>17</v>
      </c>
      <c r="I45" t="s">
        <v>21</v>
      </c>
      <c r="J45" t="s">
        <v>25</v>
      </c>
      <c r="K45" t="s">
        <v>30</v>
      </c>
      <c r="L45" t="s">
        <v>33</v>
      </c>
      <c r="M45" t="s">
        <v>31</v>
      </c>
      <c r="N45" s="265">
        <f t="shared" si="2"/>
        <v>5.1162790697674425E-2</v>
      </c>
      <c r="O45" s="279">
        <f t="shared" si="3"/>
        <v>0.72906976744186047</v>
      </c>
      <c r="P45" t="s">
        <v>1169</v>
      </c>
      <c r="R45" t="s">
        <v>40</v>
      </c>
      <c r="S45" s="36" t="s">
        <v>126</v>
      </c>
      <c r="T45" s="5"/>
      <c r="U45" s="5"/>
      <c r="V45" s="37">
        <f>U46*X3</f>
        <v>0.98715966993067772</v>
      </c>
      <c r="W45" s="37">
        <f>U47*X3</f>
        <v>1.0820823976695881</v>
      </c>
      <c r="X45" s="22">
        <f>SUM(V45:W45)</f>
        <v>2.0692420676002659</v>
      </c>
      <c r="Y45" s="23">
        <f>X45*$F$9</f>
        <v>0</v>
      </c>
    </row>
    <row r="46" spans="1:25">
      <c r="A46">
        <v>4</v>
      </c>
      <c r="B46" t="s">
        <v>817</v>
      </c>
      <c r="C46" t="s">
        <v>835</v>
      </c>
      <c r="G46">
        <v>1</v>
      </c>
      <c r="H46" s="314">
        <v>18</v>
      </c>
      <c r="I46" t="s">
        <v>21</v>
      </c>
      <c r="J46" t="s">
        <v>29</v>
      </c>
      <c r="K46" t="s">
        <v>30</v>
      </c>
      <c r="L46" t="s">
        <v>33</v>
      </c>
      <c r="M46" t="s">
        <v>1166</v>
      </c>
      <c r="N46" s="265">
        <f t="shared" si="2"/>
        <v>0.15348837209302327</v>
      </c>
      <c r="O46" s="279">
        <f t="shared" si="3"/>
        <v>2.1872093023255816</v>
      </c>
      <c r="P46" t="s">
        <v>1170</v>
      </c>
      <c r="R46" t="s">
        <v>40</v>
      </c>
      <c r="S46" s="29" t="s">
        <v>123</v>
      </c>
      <c r="T46" s="5"/>
      <c r="U46" s="30">
        <v>1.7627851248762101E-2</v>
      </c>
      <c r="V46" s="5"/>
      <c r="W46" s="5"/>
      <c r="X46" s="5"/>
      <c r="Y46" s="5"/>
    </row>
    <row r="47" spans="1:25">
      <c r="A47">
        <v>4</v>
      </c>
      <c r="B47" t="s">
        <v>817</v>
      </c>
      <c r="C47" t="s">
        <v>835</v>
      </c>
      <c r="G47">
        <v>1</v>
      </c>
      <c r="H47" s="314">
        <v>19</v>
      </c>
      <c r="I47" t="s">
        <v>21</v>
      </c>
      <c r="J47" t="s">
        <v>29</v>
      </c>
      <c r="K47" t="s">
        <v>30</v>
      </c>
      <c r="L47" t="s">
        <v>33</v>
      </c>
      <c r="M47" t="s">
        <v>1166</v>
      </c>
      <c r="N47" s="265">
        <f t="shared" si="2"/>
        <v>0.15348837209302327</v>
      </c>
      <c r="O47" s="279">
        <f t="shared" si="3"/>
        <v>2.1872093023255816</v>
      </c>
      <c r="P47" t="s">
        <v>1170</v>
      </c>
      <c r="R47" t="s">
        <v>40</v>
      </c>
      <c r="S47" s="29" t="s">
        <v>124</v>
      </c>
      <c r="T47" s="29"/>
      <c r="U47" s="30">
        <v>1.93228999583855E-2</v>
      </c>
      <c r="V47" s="5"/>
      <c r="W47" s="5"/>
      <c r="X47" s="5"/>
      <c r="Y47" s="5"/>
    </row>
    <row r="48" spans="1:25">
      <c r="A48">
        <v>4</v>
      </c>
      <c r="B48" t="s">
        <v>817</v>
      </c>
      <c r="C48" t="s">
        <v>835</v>
      </c>
      <c r="G48">
        <v>1</v>
      </c>
      <c r="H48" s="314">
        <v>20</v>
      </c>
      <c r="I48" t="s">
        <v>21</v>
      </c>
      <c r="J48" t="s">
        <v>29</v>
      </c>
      <c r="K48" t="s">
        <v>30</v>
      </c>
      <c r="L48" t="s">
        <v>33</v>
      </c>
      <c r="M48" t="s">
        <v>1166</v>
      </c>
      <c r="N48" s="265">
        <f t="shared" si="2"/>
        <v>0.15348837209302327</v>
      </c>
      <c r="O48" s="279">
        <f t="shared" si="3"/>
        <v>2.1872093023255816</v>
      </c>
      <c r="P48" t="s">
        <v>1170</v>
      </c>
      <c r="R48" t="s">
        <v>40</v>
      </c>
      <c r="S48" s="20" t="s">
        <v>95</v>
      </c>
      <c r="T48" s="5"/>
      <c r="U48" s="5"/>
      <c r="V48" s="21">
        <v>0</v>
      </c>
      <c r="W48" s="21">
        <v>0</v>
      </c>
      <c r="X48" s="24">
        <f>SUM(V48:W48)</f>
        <v>0</v>
      </c>
      <c r="Y48" s="25">
        <f>$F$9*X48</f>
        <v>0</v>
      </c>
    </row>
    <row r="49" spans="1:25">
      <c r="A49">
        <v>4</v>
      </c>
      <c r="B49" t="s">
        <v>817</v>
      </c>
      <c r="C49" t="s">
        <v>835</v>
      </c>
      <c r="G49">
        <v>1</v>
      </c>
      <c r="H49" s="314">
        <v>21</v>
      </c>
      <c r="I49" t="s">
        <v>21</v>
      </c>
      <c r="J49" t="s">
        <v>25</v>
      </c>
      <c r="K49" t="s">
        <v>30</v>
      </c>
      <c r="L49" t="s">
        <v>33</v>
      </c>
      <c r="M49" t="s">
        <v>31</v>
      </c>
      <c r="N49" s="265">
        <f t="shared" si="2"/>
        <v>5.1162790697674425E-2</v>
      </c>
      <c r="O49" s="279">
        <f t="shared" si="3"/>
        <v>0.72906976744186047</v>
      </c>
      <c r="P49" t="s">
        <v>1169</v>
      </c>
      <c r="R49" t="s">
        <v>40</v>
      </c>
      <c r="S49" s="15" t="s">
        <v>96</v>
      </c>
      <c r="T49" s="15"/>
      <c r="U49" s="5"/>
      <c r="V49" s="22">
        <f>SUM(V40:V48)</f>
        <v>18.13146324639191</v>
      </c>
      <c r="W49" s="22">
        <f>SUM(W40:W48)</f>
        <v>10.295515635323911</v>
      </c>
      <c r="X49" s="26">
        <f>SUM(X40:X48)</f>
        <v>28.426978881715826</v>
      </c>
      <c r="Y49" s="27">
        <f>SUM(Y40:Y48)</f>
        <v>0</v>
      </c>
    </row>
    <row r="50" spans="1:25">
      <c r="A50">
        <v>4</v>
      </c>
      <c r="B50" t="s">
        <v>817</v>
      </c>
      <c r="C50" t="s">
        <v>835</v>
      </c>
      <c r="G50">
        <v>1</v>
      </c>
      <c r="H50" s="314">
        <v>22</v>
      </c>
      <c r="I50" t="s">
        <v>21</v>
      </c>
      <c r="J50" t="s">
        <v>25</v>
      </c>
      <c r="K50" t="s">
        <v>30</v>
      </c>
      <c r="L50" t="s">
        <v>33</v>
      </c>
      <c r="M50" t="s">
        <v>31</v>
      </c>
      <c r="N50" s="265">
        <f t="shared" si="2"/>
        <v>5.1162790697674425E-2</v>
      </c>
      <c r="O50" s="279">
        <f t="shared" si="3"/>
        <v>0.72906976744186047</v>
      </c>
      <c r="P50" t="s">
        <v>1169</v>
      </c>
      <c r="R50" t="s">
        <v>40</v>
      </c>
      <c r="S50" s="15" t="s">
        <v>149</v>
      </c>
      <c r="T50" s="15"/>
      <c r="U50" s="5"/>
      <c r="V50" s="23">
        <f>$F$9*V49</f>
        <v>0</v>
      </c>
      <c r="W50" s="23">
        <f>$F$9*W49</f>
        <v>0</v>
      </c>
      <c r="X50" s="27">
        <f>$F$9*X49</f>
        <v>0</v>
      </c>
      <c r="Y50" s="28" t="s">
        <v>98</v>
      </c>
    </row>
    <row r="51" spans="1:25">
      <c r="A51">
        <v>4</v>
      </c>
      <c r="B51" t="s">
        <v>817</v>
      </c>
      <c r="C51" t="s">
        <v>835</v>
      </c>
      <c r="G51">
        <v>1</v>
      </c>
      <c r="H51" s="314">
        <v>23</v>
      </c>
      <c r="I51" t="s">
        <v>21</v>
      </c>
      <c r="J51" t="s">
        <v>25</v>
      </c>
      <c r="K51" t="s">
        <v>30</v>
      </c>
      <c r="L51" t="s">
        <v>33</v>
      </c>
      <c r="M51" t="s">
        <v>31</v>
      </c>
      <c r="N51" s="265">
        <f t="shared" si="2"/>
        <v>5.1162790697674425E-2</v>
      </c>
      <c r="O51" s="279">
        <f t="shared" si="3"/>
        <v>0.72906976744186047</v>
      </c>
      <c r="P51" t="s">
        <v>1169</v>
      </c>
      <c r="R51" t="s">
        <v>40</v>
      </c>
      <c r="S51" s="5"/>
      <c r="T51" s="5"/>
      <c r="U51" s="5"/>
      <c r="V51" s="23"/>
      <c r="W51" s="23"/>
      <c r="X51" s="23"/>
      <c r="Y51" s="23"/>
    </row>
    <row r="52" spans="1:25">
      <c r="A52">
        <v>4</v>
      </c>
      <c r="B52" t="s">
        <v>817</v>
      </c>
      <c r="C52" t="s">
        <v>835</v>
      </c>
      <c r="G52">
        <v>1</v>
      </c>
      <c r="H52" s="314">
        <v>24</v>
      </c>
      <c r="I52" t="s">
        <v>21</v>
      </c>
      <c r="J52" t="s">
        <v>25</v>
      </c>
      <c r="K52" t="s">
        <v>30</v>
      </c>
      <c r="L52" t="s">
        <v>33</v>
      </c>
      <c r="M52" t="s">
        <v>31</v>
      </c>
      <c r="N52" s="265">
        <f t="shared" si="2"/>
        <v>5.1162790697674425E-2</v>
      </c>
      <c r="O52" s="279">
        <f t="shared" si="3"/>
        <v>0.72906976744186047</v>
      </c>
      <c r="P52" t="s">
        <v>1169</v>
      </c>
      <c r="R52" t="s">
        <v>40</v>
      </c>
      <c r="S52" s="15" t="s">
        <v>30</v>
      </c>
      <c r="T52" s="15"/>
      <c r="U52" s="5"/>
      <c r="V52" s="5"/>
      <c r="W52" s="5"/>
      <c r="X52" s="5"/>
      <c r="Y52" s="5"/>
    </row>
    <row r="53" spans="1:25">
      <c r="A53">
        <v>4</v>
      </c>
      <c r="B53" t="s">
        <v>817</v>
      </c>
      <c r="C53" t="s">
        <v>835</v>
      </c>
      <c r="G53">
        <v>1</v>
      </c>
      <c r="I53" t="s">
        <v>21</v>
      </c>
      <c r="J53" t="s">
        <v>25</v>
      </c>
      <c r="K53" t="s">
        <v>26</v>
      </c>
      <c r="L53" t="s">
        <v>32</v>
      </c>
      <c r="M53" t="s">
        <v>1196</v>
      </c>
      <c r="O53" s="1">
        <f>V62</f>
        <v>223</v>
      </c>
      <c r="P53" t="s">
        <v>50</v>
      </c>
      <c r="R53" t="s">
        <v>40</v>
      </c>
      <c r="S53" s="5" t="s">
        <v>127</v>
      </c>
      <c r="T53" s="15"/>
      <c r="U53" s="5"/>
      <c r="V53" s="24">
        <f>U54*U55</f>
        <v>31.35</v>
      </c>
      <c r="W53" s="28" t="s">
        <v>98</v>
      </c>
      <c r="X53" s="22">
        <f>V53</f>
        <v>31.35</v>
      </c>
      <c r="Y53" s="23">
        <f>$F$9*X53</f>
        <v>0</v>
      </c>
    </row>
    <row r="54" spans="1:25">
      <c r="S54" s="29" t="s">
        <v>128</v>
      </c>
      <c r="T54" s="29"/>
      <c r="U54" s="34">
        <v>2.2000000000000002</v>
      </c>
      <c r="V54" s="5"/>
      <c r="W54" s="5"/>
      <c r="X54" s="5"/>
      <c r="Y54" s="23" t="s">
        <v>99</v>
      </c>
    </row>
    <row r="55" spans="1:25">
      <c r="S55" s="29" t="s">
        <v>129</v>
      </c>
      <c r="T55" s="29"/>
      <c r="U55" s="30">
        <v>14.25</v>
      </c>
      <c r="V55" s="5"/>
      <c r="W55" s="5"/>
      <c r="X55" s="5"/>
      <c r="Y55" s="23" t="s">
        <v>99</v>
      </c>
    </row>
    <row r="56" spans="1:25">
      <c r="N56">
        <f>SUM(N28:N52)</f>
        <v>2.2000000000000011</v>
      </c>
      <c r="S56" s="5" t="s">
        <v>130</v>
      </c>
      <c r="T56" s="29"/>
      <c r="U56" s="40"/>
      <c r="V56" s="28" t="s">
        <v>98</v>
      </c>
      <c r="W56" s="24">
        <f>U57*U58</f>
        <v>0</v>
      </c>
      <c r="X56" s="22">
        <f>W56</f>
        <v>0</v>
      </c>
      <c r="Y56" s="23">
        <f>$F$9*X56</f>
        <v>0</v>
      </c>
    </row>
    <row r="57" spans="1:25">
      <c r="C57" t="s">
        <v>1171</v>
      </c>
      <c r="D57" t="s">
        <v>1161</v>
      </c>
      <c r="S57" s="29" t="s">
        <v>128</v>
      </c>
      <c r="T57" s="29"/>
      <c r="U57" s="34">
        <v>0</v>
      </c>
      <c r="V57" s="5"/>
      <c r="W57" s="5"/>
      <c r="X57" s="5"/>
      <c r="Y57" s="23" t="s">
        <v>99</v>
      </c>
    </row>
    <row r="58" spans="1:25">
      <c r="B58">
        <v>1</v>
      </c>
      <c r="C58">
        <v>1</v>
      </c>
      <c r="D58">
        <f>C58/$C$83</f>
        <v>2.3255813953488372E-2</v>
      </c>
      <c r="S58" s="29" t="s">
        <v>129</v>
      </c>
      <c r="T58" s="29"/>
      <c r="U58" s="30">
        <v>0</v>
      </c>
      <c r="V58" s="5"/>
      <c r="W58" s="5"/>
      <c r="X58" s="18" t="s">
        <v>117</v>
      </c>
      <c r="Y58" s="18" t="s">
        <v>117</v>
      </c>
    </row>
    <row r="59" spans="1:25">
      <c r="B59">
        <v>2</v>
      </c>
      <c r="C59">
        <v>1</v>
      </c>
      <c r="D59">
        <f t="shared" ref="D59:D82" si="4">C59/$C$83</f>
        <v>2.3255813953488372E-2</v>
      </c>
      <c r="S59" s="15" t="s">
        <v>118</v>
      </c>
      <c r="T59" s="29"/>
      <c r="U59" s="40"/>
      <c r="V59" s="22">
        <f>V53</f>
        <v>31.35</v>
      </c>
      <c r="W59" s="22">
        <f>W56</f>
        <v>0</v>
      </c>
      <c r="X59" s="26">
        <f>X53+X56</f>
        <v>31.35</v>
      </c>
      <c r="Y59" s="27">
        <f>Y53+Y56</f>
        <v>0</v>
      </c>
    </row>
    <row r="60" spans="1:25">
      <c r="B60">
        <v>3</v>
      </c>
      <c r="C60">
        <v>1</v>
      </c>
      <c r="D60">
        <f t="shared" si="4"/>
        <v>2.3255813953488372E-2</v>
      </c>
      <c r="S60" s="29"/>
      <c r="T60" s="29"/>
      <c r="U60" s="40"/>
      <c r="V60" s="5"/>
      <c r="W60" s="5"/>
      <c r="X60" s="5"/>
      <c r="Y60" s="23"/>
    </row>
    <row r="61" spans="1:25">
      <c r="B61">
        <v>4</v>
      </c>
      <c r="C61">
        <v>1</v>
      </c>
      <c r="D61">
        <f t="shared" si="4"/>
        <v>2.3255813953488372E-2</v>
      </c>
      <c r="S61" s="15" t="s">
        <v>34</v>
      </c>
      <c r="T61" s="15"/>
      <c r="U61" s="5"/>
      <c r="V61" s="5"/>
      <c r="W61" s="5"/>
      <c r="X61" s="5"/>
      <c r="Y61" s="23" t="s">
        <v>99</v>
      </c>
    </row>
    <row r="62" spans="1:25">
      <c r="B62">
        <v>5</v>
      </c>
      <c r="C62">
        <v>1</v>
      </c>
      <c r="D62">
        <f t="shared" si="4"/>
        <v>2.3255813953488372E-2</v>
      </c>
      <c r="S62" s="5" t="s">
        <v>131</v>
      </c>
      <c r="T62" s="5"/>
      <c r="U62" s="5"/>
      <c r="V62" s="21">
        <v>223</v>
      </c>
      <c r="W62" s="28" t="s">
        <v>98</v>
      </c>
      <c r="X62" s="22">
        <f>V62</f>
        <v>223</v>
      </c>
      <c r="Y62" s="23">
        <f>$F$9*X62</f>
        <v>0</v>
      </c>
    </row>
    <row r="63" spans="1:25">
      <c r="B63">
        <v>6</v>
      </c>
      <c r="C63">
        <v>1</v>
      </c>
      <c r="D63">
        <f t="shared" si="4"/>
        <v>2.3255813953488372E-2</v>
      </c>
      <c r="S63" s="5"/>
      <c r="T63" s="5"/>
      <c r="U63" s="5"/>
      <c r="V63" s="5"/>
      <c r="W63" s="5"/>
      <c r="X63" s="5"/>
      <c r="Y63" s="23" t="s">
        <v>99</v>
      </c>
    </row>
    <row r="64" spans="1:25">
      <c r="B64">
        <v>7</v>
      </c>
      <c r="C64">
        <v>3</v>
      </c>
      <c r="D64">
        <f t="shared" si="4"/>
        <v>6.9767441860465115E-2</v>
      </c>
      <c r="F64" t="s">
        <v>1159</v>
      </c>
      <c r="S64" s="15" t="s">
        <v>132</v>
      </c>
      <c r="T64" s="15"/>
      <c r="U64" s="5"/>
      <c r="V64" s="5"/>
      <c r="W64" s="5"/>
      <c r="X64" s="18" t="s">
        <v>117</v>
      </c>
      <c r="Y64" s="18" t="s">
        <v>117</v>
      </c>
    </row>
    <row r="65" spans="2:25">
      <c r="B65">
        <v>8</v>
      </c>
      <c r="C65">
        <v>3</v>
      </c>
      <c r="D65">
        <f t="shared" si="4"/>
        <v>6.9767441860465115E-2</v>
      </c>
      <c r="E65" t="s">
        <v>682</v>
      </c>
      <c r="S65" s="5" t="s">
        <v>133</v>
      </c>
      <c r="T65" s="5"/>
      <c r="U65" s="5"/>
      <c r="V65" s="22">
        <f>V16+V49+V59+V62</f>
        <v>293.6814632463919</v>
      </c>
      <c r="W65" s="22">
        <f>W16+W36+W49+W59</f>
        <v>212.7003156353239</v>
      </c>
      <c r="X65" s="26">
        <f>X16+X36+X49+X59+X62</f>
        <v>514.81531221504918</v>
      </c>
      <c r="Y65" s="27">
        <f>Y16+Y36+Y49+Y59+Y62</f>
        <v>0</v>
      </c>
    </row>
    <row r="66" spans="2:25">
      <c r="B66">
        <v>9</v>
      </c>
      <c r="C66">
        <v>3</v>
      </c>
      <c r="D66">
        <f t="shared" si="4"/>
        <v>6.9767441860465115E-2</v>
      </c>
      <c r="E66" t="s">
        <v>682</v>
      </c>
      <c r="F66" t="s">
        <v>1159</v>
      </c>
      <c r="S66" s="5" t="s">
        <v>134</v>
      </c>
      <c r="T66" s="5"/>
      <c r="U66" s="5"/>
      <c r="V66" s="22">
        <f>IF($F3&gt;0,V65/$F$8,0)</f>
        <v>0</v>
      </c>
      <c r="W66" s="22">
        <f>IF($F3&gt;0,W65/$F$8,0)</f>
        <v>0</v>
      </c>
      <c r="X66" s="22">
        <f>IF($F3&gt;0,X65/$F$8,0)</f>
        <v>0</v>
      </c>
      <c r="Y66" s="28" t="s">
        <v>98</v>
      </c>
    </row>
    <row r="67" spans="2:25">
      <c r="B67">
        <v>9</v>
      </c>
      <c r="C67">
        <v>3</v>
      </c>
      <c r="D67">
        <f t="shared" si="4"/>
        <v>6.9767441860465115E-2</v>
      </c>
      <c r="S67" s="5" t="s">
        <v>135</v>
      </c>
      <c r="T67" s="5"/>
      <c r="U67" s="5"/>
      <c r="V67" s="23">
        <f>$F$9*V65</f>
        <v>0</v>
      </c>
      <c r="W67" s="23">
        <f>$F$9*W65</f>
        <v>0</v>
      </c>
      <c r="X67" s="27">
        <f>$F$9*X65</f>
        <v>0</v>
      </c>
      <c r="Y67" s="28" t="s">
        <v>98</v>
      </c>
    </row>
    <row r="68" spans="2:25">
      <c r="B68">
        <v>10</v>
      </c>
      <c r="C68">
        <v>1</v>
      </c>
      <c r="D68">
        <f t="shared" si="4"/>
        <v>2.3255813953488372E-2</v>
      </c>
      <c r="S68" s="5"/>
      <c r="T68" s="5"/>
      <c r="U68" s="5"/>
      <c r="V68" s="23"/>
      <c r="W68" s="23"/>
      <c r="X68" s="23"/>
      <c r="Y68" s="23"/>
    </row>
    <row r="69" spans="2:25">
      <c r="B69">
        <v>11</v>
      </c>
      <c r="C69">
        <v>1</v>
      </c>
      <c r="D69">
        <f t="shared" si="4"/>
        <v>2.3255813953488372E-2</v>
      </c>
      <c r="S69" s="5"/>
      <c r="T69" s="5"/>
      <c r="U69" s="5"/>
      <c r="V69" s="23"/>
      <c r="W69" s="54" t="s">
        <v>136</v>
      </c>
      <c r="X69" s="27" t="s">
        <v>137</v>
      </c>
      <c r="Y69" s="54" t="s">
        <v>138</v>
      </c>
    </row>
    <row r="70" spans="2:25">
      <c r="B70">
        <v>12</v>
      </c>
      <c r="C70">
        <v>3</v>
      </c>
      <c r="D70">
        <f t="shared" si="4"/>
        <v>6.9767441860465115E-2</v>
      </c>
      <c r="E70" t="s">
        <v>1159</v>
      </c>
      <c r="S70" s="5"/>
      <c r="T70" s="5"/>
      <c r="U70" s="5"/>
      <c r="V70" s="23"/>
      <c r="W70" s="56" t="s">
        <v>139</v>
      </c>
      <c r="X70" s="56" t="s">
        <v>140</v>
      </c>
      <c r="Y70" s="56" t="s">
        <v>88</v>
      </c>
    </row>
    <row r="71" spans="2:25">
      <c r="B71">
        <v>13</v>
      </c>
      <c r="C71">
        <v>3</v>
      </c>
      <c r="D71">
        <f t="shared" si="4"/>
        <v>6.9767441860465115E-2</v>
      </c>
      <c r="E71" t="s">
        <v>1159</v>
      </c>
      <c r="S71" s="15" t="s">
        <v>141</v>
      </c>
      <c r="T71" s="5"/>
      <c r="U71" s="5"/>
      <c r="V71" s="23"/>
      <c r="W71" s="56"/>
      <c r="X71" s="56"/>
      <c r="Y71" s="56"/>
    </row>
    <row r="72" spans="2:25">
      <c r="B72">
        <v>14</v>
      </c>
      <c r="C72">
        <v>1</v>
      </c>
      <c r="D72">
        <f t="shared" si="4"/>
        <v>2.3255813953488372E-2</v>
      </c>
      <c r="S72" t="s">
        <v>142</v>
      </c>
      <c r="T72" s="5"/>
      <c r="U72" s="30">
        <v>0</v>
      </c>
      <c r="V72" s="23"/>
      <c r="W72" s="28" t="s">
        <v>98</v>
      </c>
      <c r="X72" s="41">
        <f>U72*X3</f>
        <v>0</v>
      </c>
      <c r="Y72" s="270">
        <f>$F$9*X72</f>
        <v>0</v>
      </c>
    </row>
    <row r="73" spans="2:25">
      <c r="B73">
        <v>15</v>
      </c>
      <c r="C73">
        <v>1</v>
      </c>
      <c r="D73">
        <f t="shared" si="4"/>
        <v>2.3255813953488372E-2</v>
      </c>
      <c r="S73" s="5" t="s">
        <v>143</v>
      </c>
      <c r="T73" s="5"/>
      <c r="U73" s="5"/>
      <c r="V73" s="23"/>
      <c r="W73" s="28" t="s">
        <v>98</v>
      </c>
      <c r="X73" s="21">
        <v>0</v>
      </c>
      <c r="Y73" s="270">
        <f>$F$9*X73</f>
        <v>0</v>
      </c>
    </row>
    <row r="74" spans="2:25">
      <c r="B74">
        <v>16</v>
      </c>
      <c r="C74">
        <v>1</v>
      </c>
      <c r="D74">
        <f t="shared" si="4"/>
        <v>2.3255813953488372E-2</v>
      </c>
      <c r="S74" s="42" t="s">
        <v>144</v>
      </c>
      <c r="T74" s="45"/>
      <c r="U74" s="44">
        <v>0</v>
      </c>
      <c r="V74" s="61"/>
      <c r="W74" s="46" t="s">
        <v>98</v>
      </c>
      <c r="X74" s="47">
        <f>X3*U74</f>
        <v>0</v>
      </c>
      <c r="Y74" s="48">
        <f>$F$9*X74</f>
        <v>0</v>
      </c>
    </row>
    <row r="75" spans="2:25">
      <c r="B75">
        <v>17</v>
      </c>
      <c r="C75">
        <v>1</v>
      </c>
      <c r="D75">
        <f t="shared" si="4"/>
        <v>2.3255813953488372E-2</v>
      </c>
      <c r="S75" s="15" t="s">
        <v>145</v>
      </c>
      <c r="T75" s="5"/>
      <c r="U75" s="5"/>
      <c r="V75" s="23"/>
      <c r="W75" s="28" t="s">
        <v>98</v>
      </c>
      <c r="X75" s="26">
        <f>X72+X73+X74</f>
        <v>0</v>
      </c>
      <c r="Y75" s="27">
        <f>Y72+Y73+Y74</f>
        <v>0</v>
      </c>
    </row>
    <row r="76" spans="2:25">
      <c r="B76">
        <v>18</v>
      </c>
      <c r="C76">
        <v>3</v>
      </c>
      <c r="D76">
        <f t="shared" si="4"/>
        <v>6.9767441860465115E-2</v>
      </c>
      <c r="E76" t="s">
        <v>29</v>
      </c>
      <c r="S76" s="15"/>
      <c r="T76" s="5"/>
      <c r="U76" s="5"/>
      <c r="V76" s="23"/>
      <c r="W76" s="18"/>
      <c r="X76" s="51" t="s">
        <v>117</v>
      </c>
      <c r="Y76" s="51" t="s">
        <v>117</v>
      </c>
    </row>
    <row r="77" spans="2:25">
      <c r="B77">
        <v>19</v>
      </c>
      <c r="C77">
        <v>3</v>
      </c>
      <c r="D77">
        <f t="shared" si="4"/>
        <v>6.9767441860465115E-2</v>
      </c>
      <c r="E77" t="s">
        <v>29</v>
      </c>
      <c r="S77" s="15" t="s">
        <v>146</v>
      </c>
      <c r="T77" s="5"/>
      <c r="U77" s="5"/>
      <c r="V77" s="23"/>
      <c r="W77" s="22">
        <f>X75-W65</f>
        <v>-212.7003156353239</v>
      </c>
      <c r="X77" s="26">
        <f>X75-X65</f>
        <v>-514.81531221504918</v>
      </c>
      <c r="Y77" s="27">
        <f>Y75-Y65</f>
        <v>0</v>
      </c>
    </row>
    <row r="78" spans="2:25">
      <c r="B78">
        <v>20</v>
      </c>
      <c r="C78">
        <v>3</v>
      </c>
      <c r="D78">
        <f t="shared" si="4"/>
        <v>6.9767441860465115E-2</v>
      </c>
      <c r="E78" t="s">
        <v>29</v>
      </c>
    </row>
    <row r="79" spans="2:25">
      <c r="B79">
        <v>21</v>
      </c>
      <c r="C79">
        <v>1</v>
      </c>
      <c r="D79">
        <f t="shared" si="4"/>
        <v>2.3255813953488372E-2</v>
      </c>
    </row>
    <row r="80" spans="2:25">
      <c r="B80">
        <v>22</v>
      </c>
      <c r="C80">
        <v>1</v>
      </c>
      <c r="D80">
        <f t="shared" si="4"/>
        <v>2.3255813953488372E-2</v>
      </c>
    </row>
    <row r="81" spans="2:4">
      <c r="B81">
        <v>23</v>
      </c>
      <c r="C81">
        <v>1</v>
      </c>
      <c r="D81">
        <f t="shared" si="4"/>
        <v>2.3255813953488372E-2</v>
      </c>
    </row>
    <row r="82" spans="2:4">
      <c r="B82">
        <v>24</v>
      </c>
      <c r="C82">
        <v>1</v>
      </c>
      <c r="D82">
        <f t="shared" si="4"/>
        <v>2.3255813953488372E-2</v>
      </c>
    </row>
    <row r="83" spans="2:4">
      <c r="C83">
        <f>SUM(C58:C82)</f>
        <v>43</v>
      </c>
    </row>
  </sheetData>
  <autoFilter ref="A1:R1"/>
  <hyperlinks>
    <hyperlink ref="S74" r:id="rId1" display="    Expected LDP rate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zoomScale="80" zoomScaleNormal="80" workbookViewId="0">
      <pane ySplit="1" topLeftCell="A2" activePane="bottomLeft" state="frozen"/>
      <selection pane="bottomLeft" activeCell="L12" sqref="L12"/>
    </sheetView>
  </sheetViews>
  <sheetFormatPr defaultRowHeight="14.5"/>
  <cols>
    <col min="1" max="1" width="6.1796875" bestFit="1" customWidth="1"/>
    <col min="2" max="2" width="19.1796875" bestFit="1" customWidth="1"/>
    <col min="3" max="4" width="19.81640625" bestFit="1" customWidth="1"/>
    <col min="5" max="5" width="20.26953125" bestFit="1" customWidth="1"/>
    <col min="6" max="6" width="16.453125" bestFit="1" customWidth="1"/>
    <col min="8" max="8" width="12.453125" bestFit="1" customWidth="1"/>
    <col min="9" max="9" width="13.1796875" bestFit="1" customWidth="1"/>
    <col min="10" max="10" width="19.54296875" bestFit="1" customWidth="1"/>
    <col min="11" max="11" width="20.1796875" bestFit="1" customWidth="1"/>
    <col min="12" max="12" width="17.26953125" bestFit="1" customWidth="1"/>
    <col min="13" max="13" width="26.54296875" bestFit="1" customWidth="1"/>
    <col min="14" max="14" width="13.453125" bestFit="1" customWidth="1"/>
    <col min="15" max="15" width="10.1796875" bestFit="1" customWidth="1"/>
    <col min="16" max="16" width="101" bestFit="1" customWidth="1"/>
    <col min="17" max="17" width="25.81640625" customWidth="1"/>
    <col min="18" max="18" width="66.2695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408</v>
      </c>
      <c r="L2" t="s">
        <v>32</v>
      </c>
      <c r="M2" t="s">
        <v>233</v>
      </c>
      <c r="O2" s="1">
        <v>-4.7</v>
      </c>
      <c r="P2" t="s">
        <v>1204</v>
      </c>
      <c r="Q2" t="s">
        <v>1203</v>
      </c>
      <c r="R2" t="s">
        <v>40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408</v>
      </c>
      <c r="L3" t="s">
        <v>33</v>
      </c>
      <c r="M3" t="s">
        <v>233</v>
      </c>
      <c r="O3" s="1">
        <v>-3.5</v>
      </c>
      <c r="P3" t="s">
        <v>1204</v>
      </c>
      <c r="Q3" t="s">
        <v>1203</v>
      </c>
      <c r="R3" t="s">
        <v>40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408</v>
      </c>
      <c r="L4" t="s">
        <v>32</v>
      </c>
      <c r="M4" t="s">
        <v>243</v>
      </c>
      <c r="O4" s="1">
        <v>1.2667600000000001</v>
      </c>
      <c r="P4" t="s">
        <v>1209</v>
      </c>
      <c r="Q4" t="s">
        <v>1203</v>
      </c>
      <c r="R4" t="s">
        <v>40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408</v>
      </c>
      <c r="L5" t="s">
        <v>33</v>
      </c>
      <c r="M5" t="s">
        <v>243</v>
      </c>
      <c r="O5" s="1">
        <v>1.29555</v>
      </c>
      <c r="P5" t="s">
        <v>1209</v>
      </c>
      <c r="Q5" t="s">
        <v>1203</v>
      </c>
      <c r="R5" t="s">
        <v>40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32</v>
      </c>
      <c r="M6" t="s">
        <v>246</v>
      </c>
      <c r="O6" s="1">
        <v>1.4667399999999999</v>
      </c>
      <c r="P6" t="s">
        <v>1212</v>
      </c>
      <c r="Q6" t="s">
        <v>1203</v>
      </c>
      <c r="R6" t="s">
        <v>40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408</v>
      </c>
      <c r="L7" t="s">
        <v>33</v>
      </c>
      <c r="M7" t="s">
        <v>246</v>
      </c>
      <c r="O7" s="1">
        <v>1.3333999999999999</v>
      </c>
      <c r="P7" t="s">
        <v>1212</v>
      </c>
      <c r="Q7" t="s">
        <v>1203</v>
      </c>
      <c r="R7" t="s">
        <v>40</v>
      </c>
    </row>
    <row r="8" spans="1:18" ht="29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22</v>
      </c>
      <c r="K8" t="s">
        <v>71</v>
      </c>
      <c r="L8" t="s">
        <v>33</v>
      </c>
      <c r="M8" t="s">
        <v>1189</v>
      </c>
      <c r="O8" s="1">
        <v>11.314469999999998</v>
      </c>
      <c r="P8" s="319" t="s">
        <v>1217</v>
      </c>
      <c r="Q8" t="s">
        <v>1216</v>
      </c>
      <c r="R8" t="s">
        <v>40</v>
      </c>
    </row>
    <row r="9" spans="1:18" ht="29">
      <c r="A9">
        <v>2</v>
      </c>
      <c r="B9" t="s">
        <v>39</v>
      </c>
      <c r="C9" t="s">
        <v>19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1200</v>
      </c>
      <c r="O9" s="1">
        <v>-2.6520000000000001</v>
      </c>
      <c r="P9" s="319" t="s">
        <v>1220</v>
      </c>
      <c r="Q9" t="s">
        <v>1219</v>
      </c>
      <c r="R9" t="s">
        <v>40</v>
      </c>
    </row>
    <row r="10" spans="1:18">
      <c r="A10">
        <v>2</v>
      </c>
      <c r="B10" t="s">
        <v>39</v>
      </c>
      <c r="C10" t="s">
        <v>19</v>
      </c>
      <c r="D10" t="s">
        <v>20</v>
      </c>
      <c r="G10">
        <v>1</v>
      </c>
      <c r="I10" t="s">
        <v>21</v>
      </c>
      <c r="J10" t="s">
        <v>22</v>
      </c>
      <c r="K10" t="s">
        <v>71</v>
      </c>
      <c r="L10" t="s">
        <v>33</v>
      </c>
      <c r="M10" t="s">
        <v>1193</v>
      </c>
      <c r="O10" s="1">
        <v>18.6676</v>
      </c>
      <c r="P10" t="s">
        <v>1212</v>
      </c>
      <c r="Q10" t="s">
        <v>1222</v>
      </c>
      <c r="R10" t="s">
        <v>40</v>
      </c>
    </row>
    <row r="11" spans="1:18">
      <c r="A11">
        <v>2</v>
      </c>
      <c r="B11" t="s">
        <v>39</v>
      </c>
      <c r="C11" t="s">
        <v>19</v>
      </c>
      <c r="D11" t="s">
        <v>20</v>
      </c>
      <c r="G11">
        <v>1</v>
      </c>
      <c r="I11" t="s">
        <v>21</v>
      </c>
      <c r="J11" t="s">
        <v>22</v>
      </c>
      <c r="K11" t="s">
        <v>71</v>
      </c>
      <c r="L11" t="s">
        <v>33</v>
      </c>
      <c r="M11" t="s">
        <v>1193</v>
      </c>
      <c r="O11" s="1">
        <v>23.667849999999998</v>
      </c>
      <c r="P11" t="s">
        <v>1223</v>
      </c>
      <c r="Q11" t="s">
        <v>1222</v>
      </c>
      <c r="R11" t="s">
        <v>40</v>
      </c>
    </row>
    <row r="12" spans="1:18" ht="29">
      <c r="A12">
        <v>2</v>
      </c>
      <c r="B12" t="s">
        <v>39</v>
      </c>
      <c r="C12" t="s">
        <v>19</v>
      </c>
      <c r="D12" t="s">
        <v>20</v>
      </c>
      <c r="G12">
        <v>1</v>
      </c>
      <c r="I12" t="s">
        <v>21</v>
      </c>
      <c r="J12" t="s">
        <v>25</v>
      </c>
      <c r="K12" t="s">
        <v>30</v>
      </c>
      <c r="L12" t="s">
        <v>33</v>
      </c>
      <c r="M12" t="s">
        <v>31</v>
      </c>
      <c r="O12" s="1">
        <v>-4.09185</v>
      </c>
      <c r="P12" s="319" t="s">
        <v>1225</v>
      </c>
      <c r="Q12" t="s">
        <v>1224</v>
      </c>
      <c r="R12" t="s">
        <v>40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32</v>
      </c>
      <c r="M13" t="s">
        <v>233</v>
      </c>
      <c r="O13" s="1">
        <v>-4.7</v>
      </c>
      <c r="P13" t="s">
        <v>1204</v>
      </c>
      <c r="Q13" t="s">
        <v>1203</v>
      </c>
      <c r="R13" t="s">
        <v>40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408</v>
      </c>
      <c r="L14" t="s">
        <v>33</v>
      </c>
      <c r="M14" t="s">
        <v>233</v>
      </c>
      <c r="O14" s="1">
        <v>-3.5</v>
      </c>
      <c r="P14" t="s">
        <v>1204</v>
      </c>
      <c r="Q14" t="s">
        <v>1203</v>
      </c>
      <c r="R14" t="s">
        <v>40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22</v>
      </c>
      <c r="K15" t="s">
        <v>408</v>
      </c>
      <c r="L15" t="s">
        <v>32</v>
      </c>
      <c r="M15" t="s">
        <v>243</v>
      </c>
      <c r="O15" s="1">
        <v>1.2667600000000001</v>
      </c>
      <c r="P15" t="s">
        <v>1209</v>
      </c>
      <c r="Q15" t="s">
        <v>1203</v>
      </c>
      <c r="R15" t="s">
        <v>40</v>
      </c>
    </row>
    <row r="16" spans="1:18">
      <c r="A16">
        <v>2</v>
      </c>
      <c r="B16" t="s">
        <v>39</v>
      </c>
      <c r="C16" t="s">
        <v>35</v>
      </c>
      <c r="D16" t="s">
        <v>20</v>
      </c>
      <c r="G16">
        <v>1</v>
      </c>
      <c r="I16" t="s">
        <v>21</v>
      </c>
      <c r="J16" t="s">
        <v>22</v>
      </c>
      <c r="K16" t="s">
        <v>408</v>
      </c>
      <c r="L16" t="s">
        <v>33</v>
      </c>
      <c r="M16" t="s">
        <v>243</v>
      </c>
      <c r="O16" s="1">
        <v>1.29555</v>
      </c>
      <c r="P16" t="s">
        <v>1209</v>
      </c>
      <c r="Q16" t="s">
        <v>1203</v>
      </c>
      <c r="R16" t="s">
        <v>40</v>
      </c>
    </row>
    <row r="17" spans="1:19">
      <c r="A17">
        <v>2</v>
      </c>
      <c r="B17" t="s">
        <v>39</v>
      </c>
      <c r="C17" t="s">
        <v>35</v>
      </c>
      <c r="D17" t="s">
        <v>20</v>
      </c>
      <c r="G17">
        <v>1</v>
      </c>
      <c r="I17" t="s">
        <v>21</v>
      </c>
      <c r="J17" t="s">
        <v>22</v>
      </c>
      <c r="K17" t="s">
        <v>408</v>
      </c>
      <c r="L17" t="s">
        <v>32</v>
      </c>
      <c r="M17" t="s">
        <v>246</v>
      </c>
      <c r="O17" s="1">
        <v>1.4667399999999999</v>
      </c>
      <c r="P17" t="s">
        <v>1212</v>
      </c>
      <c r="Q17" t="s">
        <v>1203</v>
      </c>
      <c r="R17" t="s">
        <v>40</v>
      </c>
    </row>
    <row r="18" spans="1:19">
      <c r="A18">
        <v>2</v>
      </c>
      <c r="B18" t="s">
        <v>39</v>
      </c>
      <c r="C18" t="s">
        <v>35</v>
      </c>
      <c r="D18" t="s">
        <v>20</v>
      </c>
      <c r="G18">
        <v>1</v>
      </c>
      <c r="I18" t="s">
        <v>21</v>
      </c>
      <c r="J18" t="s">
        <v>22</v>
      </c>
      <c r="K18" t="s">
        <v>408</v>
      </c>
      <c r="L18" t="s">
        <v>33</v>
      </c>
      <c r="M18" t="s">
        <v>246</v>
      </c>
      <c r="O18" s="1">
        <v>1.3333999999999999</v>
      </c>
      <c r="P18" t="s">
        <v>1212</v>
      </c>
      <c r="Q18" t="s">
        <v>1203</v>
      </c>
      <c r="R18" t="s">
        <v>40</v>
      </c>
    </row>
    <row r="19" spans="1:19" ht="29">
      <c r="A19">
        <v>2</v>
      </c>
      <c r="B19" t="s">
        <v>39</v>
      </c>
      <c r="C19" t="s">
        <v>35</v>
      </c>
      <c r="D19" t="s">
        <v>20</v>
      </c>
      <c r="G19">
        <v>1</v>
      </c>
      <c r="I19" t="s">
        <v>21</v>
      </c>
      <c r="J19" t="s">
        <v>22</v>
      </c>
      <c r="K19" t="s">
        <v>71</v>
      </c>
      <c r="L19" t="s">
        <v>33</v>
      </c>
      <c r="M19" t="s">
        <v>1189</v>
      </c>
      <c r="O19" s="1">
        <v>11.314469999999998</v>
      </c>
      <c r="P19" s="319" t="s">
        <v>1217</v>
      </c>
      <c r="Q19" t="s">
        <v>1216</v>
      </c>
      <c r="R19" t="s">
        <v>40</v>
      </c>
    </row>
    <row r="20" spans="1:19" ht="29">
      <c r="A20">
        <v>2</v>
      </c>
      <c r="B20" t="s">
        <v>39</v>
      </c>
      <c r="C20" t="s">
        <v>35</v>
      </c>
      <c r="D20" t="s">
        <v>20</v>
      </c>
      <c r="G20">
        <v>1</v>
      </c>
      <c r="I20" t="s">
        <v>21</v>
      </c>
      <c r="J20" t="s">
        <v>22</v>
      </c>
      <c r="K20" t="s">
        <v>71</v>
      </c>
      <c r="L20" t="s">
        <v>33</v>
      </c>
      <c r="M20" t="s">
        <v>1200</v>
      </c>
      <c r="O20" s="1">
        <v>-2.6520000000000001</v>
      </c>
      <c r="P20" s="319" t="s">
        <v>1220</v>
      </c>
      <c r="Q20" t="s">
        <v>1219</v>
      </c>
      <c r="R20" t="s">
        <v>40</v>
      </c>
    </row>
    <row r="21" spans="1:19">
      <c r="A21">
        <v>2</v>
      </c>
      <c r="B21" t="s">
        <v>39</v>
      </c>
      <c r="C21" t="s">
        <v>35</v>
      </c>
      <c r="D21" t="s">
        <v>20</v>
      </c>
      <c r="G21">
        <v>1</v>
      </c>
      <c r="I21" t="s">
        <v>21</v>
      </c>
      <c r="J21" t="s">
        <v>22</v>
      </c>
      <c r="K21" t="s">
        <v>71</v>
      </c>
      <c r="L21" t="s">
        <v>33</v>
      </c>
      <c r="M21" t="s">
        <v>1193</v>
      </c>
      <c r="O21" s="1">
        <v>18.6676</v>
      </c>
      <c r="P21" t="s">
        <v>1212</v>
      </c>
      <c r="Q21" t="s">
        <v>1222</v>
      </c>
      <c r="R21" t="s">
        <v>40</v>
      </c>
    </row>
    <row r="22" spans="1:19">
      <c r="A22">
        <v>2</v>
      </c>
      <c r="B22" t="s">
        <v>39</v>
      </c>
      <c r="C22" t="s">
        <v>35</v>
      </c>
      <c r="D22" t="s">
        <v>20</v>
      </c>
      <c r="G22">
        <v>1</v>
      </c>
      <c r="I22" t="s">
        <v>21</v>
      </c>
      <c r="J22" t="s">
        <v>22</v>
      </c>
      <c r="K22" t="s">
        <v>71</v>
      </c>
      <c r="L22" t="s">
        <v>33</v>
      </c>
      <c r="M22" t="s">
        <v>1193</v>
      </c>
      <c r="O22" s="1">
        <v>23.667849999999998</v>
      </c>
      <c r="P22" t="s">
        <v>1223</v>
      </c>
      <c r="Q22" t="s">
        <v>1222</v>
      </c>
      <c r="R22" t="s">
        <v>40</v>
      </c>
    </row>
    <row r="23" spans="1:19" ht="29">
      <c r="A23">
        <v>2</v>
      </c>
      <c r="B23" t="s">
        <v>39</v>
      </c>
      <c r="C23" t="s">
        <v>35</v>
      </c>
      <c r="D23" t="s">
        <v>20</v>
      </c>
      <c r="G23">
        <v>1</v>
      </c>
      <c r="I23" t="s">
        <v>21</v>
      </c>
      <c r="J23" t="s">
        <v>25</v>
      </c>
      <c r="K23" t="s">
        <v>30</v>
      </c>
      <c r="L23" t="s">
        <v>32</v>
      </c>
      <c r="M23" t="s">
        <v>31</v>
      </c>
      <c r="O23" s="1">
        <v>-4.09185</v>
      </c>
      <c r="P23" s="319" t="s">
        <v>1225</v>
      </c>
      <c r="Q23" t="s">
        <v>1224</v>
      </c>
      <c r="R23" t="s">
        <v>40</v>
      </c>
    </row>
    <row r="30" spans="1:19">
      <c r="A30">
        <v>2</v>
      </c>
      <c r="B30" t="s">
        <v>39</v>
      </c>
      <c r="C30" t="s">
        <v>19</v>
      </c>
      <c r="D30" t="s">
        <v>20</v>
      </c>
      <c r="E30">
        <v>2</v>
      </c>
      <c r="G30">
        <v>1</v>
      </c>
      <c r="I30" t="s">
        <v>21</v>
      </c>
      <c r="J30" t="s">
        <v>22</v>
      </c>
      <c r="K30" t="s">
        <v>23</v>
      </c>
      <c r="M30" t="s">
        <v>1202</v>
      </c>
      <c r="O30" s="1">
        <v>-4.7</v>
      </c>
      <c r="P30" t="s">
        <v>1204</v>
      </c>
      <c r="Q30" t="s">
        <v>1203</v>
      </c>
      <c r="R30" t="s">
        <v>40</v>
      </c>
      <c r="S30" t="s">
        <v>1205</v>
      </c>
    </row>
    <row r="31" spans="1:19">
      <c r="A31">
        <v>2</v>
      </c>
      <c r="B31" t="s">
        <v>39</v>
      </c>
      <c r="C31" t="s">
        <v>19</v>
      </c>
      <c r="D31" t="s">
        <v>20</v>
      </c>
      <c r="E31">
        <v>2</v>
      </c>
      <c r="G31">
        <v>1</v>
      </c>
      <c r="I31" t="s">
        <v>21</v>
      </c>
      <c r="J31" t="s">
        <v>22</v>
      </c>
      <c r="K31" t="s">
        <v>23</v>
      </c>
      <c r="M31" t="s">
        <v>1206</v>
      </c>
      <c r="O31" s="1">
        <v>-3.5</v>
      </c>
      <c r="P31" t="s">
        <v>1204</v>
      </c>
      <c r="Q31" t="s">
        <v>1203</v>
      </c>
      <c r="R31" t="s">
        <v>40</v>
      </c>
      <c r="S31" t="s">
        <v>1207</v>
      </c>
    </row>
    <row r="32" spans="1:19" ht="29">
      <c r="A32">
        <v>2</v>
      </c>
      <c r="B32" t="s">
        <v>39</v>
      </c>
      <c r="C32" t="s">
        <v>19</v>
      </c>
      <c r="D32" t="s">
        <v>20</v>
      </c>
      <c r="E32">
        <v>2</v>
      </c>
      <c r="G32">
        <v>1</v>
      </c>
      <c r="I32" t="s">
        <v>21</v>
      </c>
      <c r="J32" t="s">
        <v>22</v>
      </c>
      <c r="K32" t="s">
        <v>23</v>
      </c>
      <c r="M32" t="s">
        <v>1208</v>
      </c>
      <c r="O32" s="1">
        <v>1.197594904</v>
      </c>
      <c r="P32" s="319" t="s">
        <v>1226</v>
      </c>
      <c r="Q32" t="s">
        <v>1203</v>
      </c>
      <c r="R32" t="s">
        <v>40</v>
      </c>
      <c r="S32" t="s">
        <v>1207</v>
      </c>
    </row>
    <row r="33" spans="1:19" ht="29">
      <c r="A33">
        <v>2</v>
      </c>
      <c r="B33" t="s">
        <v>39</v>
      </c>
      <c r="C33" t="s">
        <v>19</v>
      </c>
      <c r="D33" t="s">
        <v>20</v>
      </c>
      <c r="E33">
        <v>2</v>
      </c>
      <c r="G33">
        <v>1</v>
      </c>
      <c r="I33" t="s">
        <v>21</v>
      </c>
      <c r="J33" t="s">
        <v>22</v>
      </c>
      <c r="K33" t="s">
        <v>23</v>
      </c>
      <c r="M33" t="s">
        <v>1210</v>
      </c>
      <c r="O33" s="1">
        <v>1.2248129700000001</v>
      </c>
      <c r="P33" s="319" t="s">
        <v>1226</v>
      </c>
      <c r="Q33" t="s">
        <v>1203</v>
      </c>
      <c r="R33" t="s">
        <v>40</v>
      </c>
      <c r="S33" t="s">
        <v>1207</v>
      </c>
    </row>
    <row r="34" spans="1:19" ht="29">
      <c r="A34">
        <v>2</v>
      </c>
      <c r="B34" t="s">
        <v>39</v>
      </c>
      <c r="C34" t="s">
        <v>19</v>
      </c>
      <c r="D34" t="s">
        <v>20</v>
      </c>
      <c r="E34">
        <v>2</v>
      </c>
      <c r="G34">
        <v>1</v>
      </c>
      <c r="I34" t="s">
        <v>21</v>
      </c>
      <c r="J34" t="s">
        <v>22</v>
      </c>
      <c r="K34" t="s">
        <v>23</v>
      </c>
      <c r="M34" t="s">
        <v>1211</v>
      </c>
      <c r="O34" s="1">
        <v>1.386655996</v>
      </c>
      <c r="P34" s="319" t="s">
        <v>1227</v>
      </c>
      <c r="Q34" t="s">
        <v>1203</v>
      </c>
      <c r="R34" t="s">
        <v>40</v>
      </c>
      <c r="S34" t="s">
        <v>1207</v>
      </c>
    </row>
    <row r="35" spans="1:19" ht="29">
      <c r="A35">
        <v>2</v>
      </c>
      <c r="B35" t="s">
        <v>39</v>
      </c>
      <c r="C35" t="s">
        <v>19</v>
      </c>
      <c r="D35" t="s">
        <v>20</v>
      </c>
      <c r="E35">
        <v>2</v>
      </c>
      <c r="G35">
        <v>1</v>
      </c>
      <c r="I35" t="s">
        <v>21</v>
      </c>
      <c r="J35" t="s">
        <v>22</v>
      </c>
      <c r="K35" t="s">
        <v>23</v>
      </c>
      <c r="M35" t="s">
        <v>1213</v>
      </c>
      <c r="O35" s="1">
        <v>1.2605963599999999</v>
      </c>
      <c r="P35" s="319" t="s">
        <v>1227</v>
      </c>
      <c r="Q35" t="s">
        <v>1203</v>
      </c>
      <c r="R35" t="s">
        <v>40</v>
      </c>
      <c r="S35" t="s">
        <v>1207</v>
      </c>
    </row>
    <row r="36" spans="1:19" ht="43.5">
      <c r="A36">
        <v>2</v>
      </c>
      <c r="B36" t="s">
        <v>39</v>
      </c>
      <c r="C36" t="s">
        <v>19</v>
      </c>
      <c r="D36" t="s">
        <v>20</v>
      </c>
      <c r="E36">
        <v>2</v>
      </c>
      <c r="G36">
        <v>1</v>
      </c>
      <c r="I36" t="s">
        <v>21</v>
      </c>
      <c r="J36" t="s">
        <v>22</v>
      </c>
      <c r="K36" t="s">
        <v>1214</v>
      </c>
      <c r="M36" t="s">
        <v>1215</v>
      </c>
      <c r="O36" s="1">
        <v>10.696699937999998</v>
      </c>
      <c r="P36" s="319" t="s">
        <v>1228</v>
      </c>
      <c r="Q36" t="s">
        <v>1216</v>
      </c>
      <c r="R36" t="s">
        <v>40</v>
      </c>
      <c r="S36" t="s">
        <v>1207</v>
      </c>
    </row>
    <row r="37" spans="1:19" ht="43.5">
      <c r="A37">
        <v>2</v>
      </c>
      <c r="B37" t="s">
        <v>39</v>
      </c>
      <c r="C37" t="s">
        <v>19</v>
      </c>
      <c r="D37" t="s">
        <v>20</v>
      </c>
      <c r="E37">
        <v>2</v>
      </c>
      <c r="G37">
        <v>1</v>
      </c>
      <c r="I37" t="s">
        <v>21</v>
      </c>
      <c r="J37" t="s">
        <v>22</v>
      </c>
      <c r="K37" t="s">
        <v>1214</v>
      </c>
      <c r="M37" t="s">
        <v>1218</v>
      </c>
      <c r="O37" s="1">
        <v>-2.5072008000000001</v>
      </c>
      <c r="P37" s="319" t="s">
        <v>1229</v>
      </c>
      <c r="Q37" t="s">
        <v>1219</v>
      </c>
      <c r="R37" t="s">
        <v>40</v>
      </c>
      <c r="S37" t="s">
        <v>1207</v>
      </c>
    </row>
    <row r="38" spans="1:19" ht="29">
      <c r="A38">
        <v>2</v>
      </c>
      <c r="B38" t="s">
        <v>39</v>
      </c>
      <c r="C38" t="s">
        <v>19</v>
      </c>
      <c r="D38" t="s">
        <v>20</v>
      </c>
      <c r="E38">
        <v>2</v>
      </c>
      <c r="G38">
        <v>1</v>
      </c>
      <c r="I38" t="s">
        <v>21</v>
      </c>
      <c r="J38" t="s">
        <v>22</v>
      </c>
      <c r="K38" t="s">
        <v>1214</v>
      </c>
      <c r="M38" t="s">
        <v>1221</v>
      </c>
      <c r="O38" s="1">
        <v>17.648349039999999</v>
      </c>
      <c r="P38" s="319" t="s">
        <v>1227</v>
      </c>
      <c r="Q38" t="s">
        <v>1222</v>
      </c>
      <c r="R38" t="s">
        <v>40</v>
      </c>
      <c r="S38" t="s">
        <v>1207</v>
      </c>
    </row>
    <row r="39" spans="1:19" ht="29">
      <c r="A39">
        <v>2</v>
      </c>
      <c r="B39" t="s">
        <v>39</v>
      </c>
      <c r="C39" t="s">
        <v>19</v>
      </c>
      <c r="D39" t="s">
        <v>20</v>
      </c>
      <c r="E39">
        <v>2</v>
      </c>
      <c r="G39">
        <v>1</v>
      </c>
      <c r="I39" t="s">
        <v>21</v>
      </c>
      <c r="J39" t="s">
        <v>22</v>
      </c>
      <c r="K39" t="s">
        <v>1214</v>
      </c>
      <c r="M39" t="s">
        <v>1221</v>
      </c>
      <c r="O39" s="1">
        <v>22.375585389999998</v>
      </c>
      <c r="P39" s="319" t="s">
        <v>1230</v>
      </c>
      <c r="Q39" t="s">
        <v>1222</v>
      </c>
      <c r="R39" t="s">
        <v>40</v>
      </c>
      <c r="S39" t="s">
        <v>1207</v>
      </c>
    </row>
    <row r="40" spans="1:19" ht="43.5">
      <c r="A40">
        <v>2</v>
      </c>
      <c r="B40" t="s">
        <v>39</v>
      </c>
      <c r="C40" t="s">
        <v>19</v>
      </c>
      <c r="D40" t="s">
        <v>20</v>
      </c>
      <c r="E40">
        <v>2</v>
      </c>
      <c r="G40">
        <v>1</v>
      </c>
      <c r="I40" t="s">
        <v>21</v>
      </c>
      <c r="J40" t="s">
        <v>25</v>
      </c>
      <c r="K40" t="s">
        <v>30</v>
      </c>
      <c r="M40" t="s">
        <v>31</v>
      </c>
      <c r="O40" s="1">
        <v>-3.8684349899999999</v>
      </c>
      <c r="P40" s="319" t="s">
        <v>1231</v>
      </c>
      <c r="Q40" t="s">
        <v>1224</v>
      </c>
      <c r="R40" t="s">
        <v>40</v>
      </c>
      <c r="S40" t="s">
        <v>1207</v>
      </c>
    </row>
    <row r="41" spans="1:19">
      <c r="A41">
        <v>2</v>
      </c>
      <c r="B41" t="s">
        <v>39</v>
      </c>
      <c r="C41" t="s">
        <v>19</v>
      </c>
      <c r="D41" t="s">
        <v>20</v>
      </c>
      <c r="E41">
        <v>3</v>
      </c>
      <c r="G41">
        <v>1</v>
      </c>
      <c r="I41" t="s">
        <v>21</v>
      </c>
      <c r="J41" t="s">
        <v>22</v>
      </c>
      <c r="K41" t="s">
        <v>23</v>
      </c>
      <c r="M41" t="s">
        <v>1202</v>
      </c>
      <c r="O41" s="1">
        <v>-4.7</v>
      </c>
      <c r="P41" t="s">
        <v>1204</v>
      </c>
      <c r="Q41" t="s">
        <v>1203</v>
      </c>
      <c r="R41" t="s">
        <v>40</v>
      </c>
      <c r="S41" t="s">
        <v>1205</v>
      </c>
    </row>
    <row r="42" spans="1:19">
      <c r="A42">
        <v>2</v>
      </c>
      <c r="B42" t="s">
        <v>39</v>
      </c>
      <c r="C42" t="s">
        <v>19</v>
      </c>
      <c r="D42" t="s">
        <v>20</v>
      </c>
      <c r="E42">
        <v>3</v>
      </c>
      <c r="G42">
        <v>1</v>
      </c>
      <c r="I42" t="s">
        <v>21</v>
      </c>
      <c r="J42" t="s">
        <v>22</v>
      </c>
      <c r="K42" t="s">
        <v>23</v>
      </c>
      <c r="M42" t="s">
        <v>1206</v>
      </c>
      <c r="O42" s="1">
        <v>-3.5</v>
      </c>
      <c r="P42" t="s">
        <v>1204</v>
      </c>
      <c r="Q42" t="s">
        <v>1203</v>
      </c>
      <c r="R42" t="s">
        <v>40</v>
      </c>
      <c r="S42" t="s">
        <v>1207</v>
      </c>
    </row>
    <row r="43" spans="1:19" ht="29">
      <c r="A43">
        <v>2</v>
      </c>
      <c r="B43" t="s">
        <v>39</v>
      </c>
      <c r="C43" t="s">
        <v>19</v>
      </c>
      <c r="D43" t="s">
        <v>20</v>
      </c>
      <c r="E43">
        <v>3</v>
      </c>
      <c r="G43">
        <v>1</v>
      </c>
      <c r="I43" t="s">
        <v>21</v>
      </c>
      <c r="J43" t="s">
        <v>22</v>
      </c>
      <c r="K43" t="s">
        <v>23</v>
      </c>
      <c r="M43" t="s">
        <v>1208</v>
      </c>
      <c r="O43" s="1">
        <v>1.1834071920000002</v>
      </c>
      <c r="P43" s="319" t="s">
        <v>1232</v>
      </c>
      <c r="Q43" t="s">
        <v>1203</v>
      </c>
      <c r="R43" t="s">
        <v>40</v>
      </c>
      <c r="S43" t="s">
        <v>1207</v>
      </c>
    </row>
    <row r="44" spans="1:19" ht="29">
      <c r="A44">
        <v>2</v>
      </c>
      <c r="B44" t="s">
        <v>39</v>
      </c>
      <c r="C44" t="s">
        <v>19</v>
      </c>
      <c r="D44" t="s">
        <v>20</v>
      </c>
      <c r="E44">
        <v>3</v>
      </c>
      <c r="G44">
        <v>1</v>
      </c>
      <c r="I44" t="s">
        <v>21</v>
      </c>
      <c r="J44" t="s">
        <v>22</v>
      </c>
      <c r="K44" t="s">
        <v>23</v>
      </c>
      <c r="M44" t="s">
        <v>1210</v>
      </c>
      <c r="O44" s="1">
        <v>1.21030281</v>
      </c>
      <c r="P44" s="319" t="s">
        <v>1232</v>
      </c>
      <c r="Q44" t="s">
        <v>1203</v>
      </c>
      <c r="R44" t="s">
        <v>40</v>
      </c>
      <c r="S44" t="s">
        <v>1207</v>
      </c>
    </row>
    <row r="45" spans="1:19" ht="29">
      <c r="A45">
        <v>2</v>
      </c>
      <c r="B45" t="s">
        <v>39</v>
      </c>
      <c r="C45" t="s">
        <v>19</v>
      </c>
      <c r="D45" t="s">
        <v>20</v>
      </c>
      <c r="E45">
        <v>3</v>
      </c>
      <c r="G45">
        <v>1</v>
      </c>
      <c r="I45" t="s">
        <v>21</v>
      </c>
      <c r="J45" t="s">
        <v>22</v>
      </c>
      <c r="K45" t="s">
        <v>23</v>
      </c>
      <c r="M45" t="s">
        <v>1211</v>
      </c>
      <c r="O45" s="1">
        <v>1.3702285080000001</v>
      </c>
      <c r="P45" s="319" t="s">
        <v>1233</v>
      </c>
      <c r="Q45" t="s">
        <v>1203</v>
      </c>
      <c r="R45" t="s">
        <v>40</v>
      </c>
      <c r="S45" t="s">
        <v>1207</v>
      </c>
    </row>
    <row r="46" spans="1:19" ht="29">
      <c r="A46">
        <v>2</v>
      </c>
      <c r="B46" t="s">
        <v>39</v>
      </c>
      <c r="C46" t="s">
        <v>19</v>
      </c>
      <c r="D46" t="s">
        <v>20</v>
      </c>
      <c r="E46">
        <v>3</v>
      </c>
      <c r="G46">
        <v>1</v>
      </c>
      <c r="I46" t="s">
        <v>21</v>
      </c>
      <c r="J46" t="s">
        <v>22</v>
      </c>
      <c r="K46" t="s">
        <v>23</v>
      </c>
      <c r="M46" t="s">
        <v>1213</v>
      </c>
      <c r="O46" s="1">
        <v>1.2456622799999999</v>
      </c>
      <c r="P46" s="319" t="s">
        <v>1233</v>
      </c>
      <c r="Q46" t="s">
        <v>1203</v>
      </c>
      <c r="R46" t="s">
        <v>40</v>
      </c>
      <c r="S46" t="s">
        <v>1207</v>
      </c>
    </row>
    <row r="47" spans="1:19" ht="43.5">
      <c r="A47">
        <v>2</v>
      </c>
      <c r="B47" t="s">
        <v>39</v>
      </c>
      <c r="C47" t="s">
        <v>19</v>
      </c>
      <c r="D47" t="s">
        <v>20</v>
      </c>
      <c r="E47">
        <v>3</v>
      </c>
      <c r="G47">
        <v>1</v>
      </c>
      <c r="I47" t="s">
        <v>21</v>
      </c>
      <c r="J47" t="s">
        <v>22</v>
      </c>
      <c r="K47" t="s">
        <v>1214</v>
      </c>
      <c r="M47" t="s">
        <v>1215</v>
      </c>
      <c r="O47" s="1">
        <v>10.569977873999999</v>
      </c>
      <c r="P47" s="319" t="s">
        <v>1234</v>
      </c>
      <c r="Q47" t="s">
        <v>1216</v>
      </c>
      <c r="R47" t="s">
        <v>40</v>
      </c>
      <c r="S47" t="s">
        <v>1207</v>
      </c>
    </row>
    <row r="48" spans="1:19" ht="43.5">
      <c r="A48">
        <v>2</v>
      </c>
      <c r="B48" t="s">
        <v>39</v>
      </c>
      <c r="C48" t="s">
        <v>19</v>
      </c>
      <c r="D48" t="s">
        <v>20</v>
      </c>
      <c r="E48">
        <v>3</v>
      </c>
      <c r="G48">
        <v>1</v>
      </c>
      <c r="I48" t="s">
        <v>21</v>
      </c>
      <c r="J48" t="s">
        <v>22</v>
      </c>
      <c r="K48" t="s">
        <v>1214</v>
      </c>
      <c r="M48" t="s">
        <v>1218</v>
      </c>
      <c r="O48" s="1">
        <v>-2.4774984</v>
      </c>
      <c r="P48" s="319" t="s">
        <v>1235</v>
      </c>
      <c r="Q48" t="s">
        <v>1219</v>
      </c>
      <c r="R48" t="s">
        <v>40</v>
      </c>
      <c r="S48" t="s">
        <v>1207</v>
      </c>
    </row>
    <row r="49" spans="1:19" ht="29">
      <c r="A49">
        <v>2</v>
      </c>
      <c r="B49" t="s">
        <v>39</v>
      </c>
      <c r="C49" t="s">
        <v>19</v>
      </c>
      <c r="D49" t="s">
        <v>20</v>
      </c>
      <c r="E49">
        <v>3</v>
      </c>
      <c r="G49">
        <v>1</v>
      </c>
      <c r="I49" t="s">
        <v>21</v>
      </c>
      <c r="J49" t="s">
        <v>22</v>
      </c>
      <c r="K49" t="s">
        <v>1214</v>
      </c>
      <c r="M49" t="s">
        <v>1221</v>
      </c>
      <c r="O49" s="1">
        <v>17.439271919999999</v>
      </c>
      <c r="P49" s="319" t="s">
        <v>1233</v>
      </c>
      <c r="Q49" t="s">
        <v>1222</v>
      </c>
      <c r="R49" t="s">
        <v>40</v>
      </c>
      <c r="S49" t="s">
        <v>1207</v>
      </c>
    </row>
    <row r="50" spans="1:19" ht="29">
      <c r="A50">
        <v>2</v>
      </c>
      <c r="B50" t="s">
        <v>39</v>
      </c>
      <c r="C50" t="s">
        <v>19</v>
      </c>
      <c r="D50" t="s">
        <v>20</v>
      </c>
      <c r="E50">
        <v>3</v>
      </c>
      <c r="G50">
        <v>1</v>
      </c>
      <c r="I50" t="s">
        <v>21</v>
      </c>
      <c r="J50" t="s">
        <v>22</v>
      </c>
      <c r="K50" t="s">
        <v>1214</v>
      </c>
      <c r="M50" t="s">
        <v>1221</v>
      </c>
      <c r="O50" s="1">
        <v>22.11050547</v>
      </c>
      <c r="P50" s="319" t="s">
        <v>1236</v>
      </c>
      <c r="Q50" t="s">
        <v>1222</v>
      </c>
      <c r="R50" t="s">
        <v>40</v>
      </c>
      <c r="S50" t="s">
        <v>1207</v>
      </c>
    </row>
    <row r="51" spans="1:19" ht="43.5">
      <c r="A51">
        <v>2</v>
      </c>
      <c r="B51" t="s">
        <v>39</v>
      </c>
      <c r="C51" t="s">
        <v>19</v>
      </c>
      <c r="D51" t="s">
        <v>20</v>
      </c>
      <c r="E51">
        <v>3</v>
      </c>
      <c r="G51">
        <v>1</v>
      </c>
      <c r="I51" t="s">
        <v>21</v>
      </c>
      <c r="J51" t="s">
        <v>25</v>
      </c>
      <c r="K51" t="s">
        <v>30</v>
      </c>
      <c r="M51" t="s">
        <v>31</v>
      </c>
      <c r="O51" s="1">
        <v>-3.8226062700000001</v>
      </c>
      <c r="P51" s="319" t="s">
        <v>1237</v>
      </c>
      <c r="Q51" t="s">
        <v>1224</v>
      </c>
      <c r="R51" t="s">
        <v>40</v>
      </c>
      <c r="S51" t="s">
        <v>1207</v>
      </c>
    </row>
    <row r="52" spans="1:19">
      <c r="A52">
        <v>2</v>
      </c>
      <c r="B52" t="s">
        <v>39</v>
      </c>
      <c r="C52" t="s">
        <v>19</v>
      </c>
      <c r="D52" t="s">
        <v>20</v>
      </c>
      <c r="E52">
        <v>4</v>
      </c>
      <c r="G52">
        <v>1</v>
      </c>
      <c r="I52" t="s">
        <v>21</v>
      </c>
      <c r="J52" t="s">
        <v>22</v>
      </c>
      <c r="K52" t="s">
        <v>23</v>
      </c>
      <c r="M52" t="s">
        <v>1202</v>
      </c>
      <c r="O52" s="1">
        <v>-4.7</v>
      </c>
      <c r="P52" t="s">
        <v>1204</v>
      </c>
      <c r="Q52" t="s">
        <v>1203</v>
      </c>
      <c r="R52" t="s">
        <v>40</v>
      </c>
      <c r="S52" t="s">
        <v>1205</v>
      </c>
    </row>
    <row r="53" spans="1:19">
      <c r="A53">
        <v>2</v>
      </c>
      <c r="B53" t="s">
        <v>39</v>
      </c>
      <c r="C53" t="s">
        <v>19</v>
      </c>
      <c r="D53" t="s">
        <v>20</v>
      </c>
      <c r="E53">
        <v>4</v>
      </c>
      <c r="G53">
        <v>1</v>
      </c>
      <c r="I53" t="s">
        <v>21</v>
      </c>
      <c r="J53" t="s">
        <v>22</v>
      </c>
      <c r="K53" t="s">
        <v>23</v>
      </c>
      <c r="M53" t="s">
        <v>1206</v>
      </c>
      <c r="O53" s="1">
        <v>-3.5</v>
      </c>
      <c r="P53" t="s">
        <v>1204</v>
      </c>
      <c r="Q53" t="s">
        <v>1203</v>
      </c>
      <c r="R53" t="s">
        <v>40</v>
      </c>
      <c r="S53" t="s">
        <v>1207</v>
      </c>
    </row>
    <row r="54" spans="1:19" ht="29">
      <c r="A54">
        <v>2</v>
      </c>
      <c r="B54" t="s">
        <v>39</v>
      </c>
      <c r="C54" t="s">
        <v>19</v>
      </c>
      <c r="D54" t="s">
        <v>20</v>
      </c>
      <c r="E54">
        <v>4</v>
      </c>
      <c r="G54">
        <v>1</v>
      </c>
      <c r="I54" t="s">
        <v>21</v>
      </c>
      <c r="J54" t="s">
        <v>22</v>
      </c>
      <c r="K54" t="s">
        <v>23</v>
      </c>
      <c r="M54" t="s">
        <v>1208</v>
      </c>
      <c r="O54" s="1">
        <v>1.1628856800000003</v>
      </c>
      <c r="P54" s="319" t="s">
        <v>1238</v>
      </c>
      <c r="Q54" t="s">
        <v>1203</v>
      </c>
      <c r="R54" t="s">
        <v>40</v>
      </c>
      <c r="S54" t="s">
        <v>1207</v>
      </c>
    </row>
    <row r="55" spans="1:19" ht="29">
      <c r="A55">
        <v>2</v>
      </c>
      <c r="B55" t="s">
        <v>39</v>
      </c>
      <c r="C55" t="s">
        <v>19</v>
      </c>
      <c r="D55" t="s">
        <v>20</v>
      </c>
      <c r="E55">
        <v>4</v>
      </c>
      <c r="G55">
        <v>1</v>
      </c>
      <c r="I55" t="s">
        <v>21</v>
      </c>
      <c r="J55" t="s">
        <v>22</v>
      </c>
      <c r="K55" t="s">
        <v>23</v>
      </c>
      <c r="M55" t="s">
        <v>1210</v>
      </c>
      <c r="O55" s="1">
        <v>1.1893149000000001</v>
      </c>
      <c r="P55" s="319" t="s">
        <v>1238</v>
      </c>
      <c r="Q55" t="s">
        <v>1203</v>
      </c>
      <c r="R55" t="s">
        <v>40</v>
      </c>
      <c r="S55" t="s">
        <v>1207</v>
      </c>
    </row>
    <row r="56" spans="1:19" ht="29">
      <c r="A56">
        <v>2</v>
      </c>
      <c r="B56" t="s">
        <v>39</v>
      </c>
      <c r="C56" t="s">
        <v>19</v>
      </c>
      <c r="D56" t="s">
        <v>20</v>
      </c>
      <c r="E56">
        <v>4</v>
      </c>
      <c r="G56">
        <v>1</v>
      </c>
      <c r="I56" t="s">
        <v>21</v>
      </c>
      <c r="J56" t="s">
        <v>22</v>
      </c>
      <c r="K56" t="s">
        <v>23</v>
      </c>
      <c r="M56" t="s">
        <v>1211</v>
      </c>
      <c r="O56" s="1">
        <v>1.3464673199999999</v>
      </c>
      <c r="P56" s="319" t="s">
        <v>1239</v>
      </c>
      <c r="Q56" t="s">
        <v>1203</v>
      </c>
      <c r="R56" t="s">
        <v>40</v>
      </c>
      <c r="S56" t="s">
        <v>1207</v>
      </c>
    </row>
    <row r="57" spans="1:19" ht="29">
      <c r="A57">
        <v>2</v>
      </c>
      <c r="B57" t="s">
        <v>39</v>
      </c>
      <c r="C57" t="s">
        <v>19</v>
      </c>
      <c r="D57" t="s">
        <v>20</v>
      </c>
      <c r="E57">
        <v>4</v>
      </c>
      <c r="G57">
        <v>1</v>
      </c>
      <c r="I57" t="s">
        <v>21</v>
      </c>
      <c r="J57" t="s">
        <v>22</v>
      </c>
      <c r="K57" t="s">
        <v>23</v>
      </c>
      <c r="M57" t="s">
        <v>1213</v>
      </c>
      <c r="O57" s="1">
        <v>1.2240612</v>
      </c>
      <c r="P57" s="319" t="s">
        <v>1239</v>
      </c>
      <c r="Q57" t="s">
        <v>1203</v>
      </c>
      <c r="R57" t="s">
        <v>40</v>
      </c>
      <c r="S57" t="s">
        <v>1207</v>
      </c>
    </row>
    <row r="58" spans="1:19" ht="43.5">
      <c r="A58">
        <v>2</v>
      </c>
      <c r="B58" t="s">
        <v>39</v>
      </c>
      <c r="C58" t="s">
        <v>19</v>
      </c>
      <c r="D58" t="s">
        <v>20</v>
      </c>
      <c r="E58">
        <v>4</v>
      </c>
      <c r="G58">
        <v>1</v>
      </c>
      <c r="I58" t="s">
        <v>21</v>
      </c>
      <c r="J58" t="s">
        <v>22</v>
      </c>
      <c r="K58" t="s">
        <v>1214</v>
      </c>
      <c r="M58" t="s">
        <v>1215</v>
      </c>
      <c r="O58" s="1">
        <v>10.386683459999999</v>
      </c>
      <c r="P58" s="319" t="s">
        <v>1240</v>
      </c>
      <c r="Q58" t="s">
        <v>1216</v>
      </c>
      <c r="R58" t="s">
        <v>40</v>
      </c>
      <c r="S58" t="s">
        <v>1207</v>
      </c>
    </row>
    <row r="59" spans="1:19" ht="43.5">
      <c r="A59">
        <v>2</v>
      </c>
      <c r="B59" t="s">
        <v>39</v>
      </c>
      <c r="C59" t="s">
        <v>19</v>
      </c>
      <c r="D59" t="s">
        <v>20</v>
      </c>
      <c r="E59">
        <v>4</v>
      </c>
      <c r="G59">
        <v>1</v>
      </c>
      <c r="I59" t="s">
        <v>21</v>
      </c>
      <c r="J59" t="s">
        <v>22</v>
      </c>
      <c r="K59" t="s">
        <v>1214</v>
      </c>
      <c r="M59" t="s">
        <v>1218</v>
      </c>
      <c r="O59" s="1">
        <v>-2.434536</v>
      </c>
      <c r="P59" s="319" t="s">
        <v>1241</v>
      </c>
      <c r="Q59" t="s">
        <v>1219</v>
      </c>
      <c r="R59" t="s">
        <v>40</v>
      </c>
      <c r="S59" t="s">
        <v>1207</v>
      </c>
    </row>
    <row r="60" spans="1:19" ht="29">
      <c r="A60">
        <v>2</v>
      </c>
      <c r="B60" t="s">
        <v>39</v>
      </c>
      <c r="C60" t="s">
        <v>19</v>
      </c>
      <c r="D60" t="s">
        <v>20</v>
      </c>
      <c r="E60">
        <v>4</v>
      </c>
      <c r="G60">
        <v>1</v>
      </c>
      <c r="I60" t="s">
        <v>21</v>
      </c>
      <c r="J60" t="s">
        <v>22</v>
      </c>
      <c r="K60" t="s">
        <v>1214</v>
      </c>
      <c r="M60" t="s">
        <v>1221</v>
      </c>
      <c r="O60" s="1">
        <v>17.1368568</v>
      </c>
      <c r="P60" s="319" t="s">
        <v>1239</v>
      </c>
      <c r="Q60" t="s">
        <v>1222</v>
      </c>
      <c r="R60" t="s">
        <v>40</v>
      </c>
      <c r="S60" t="s">
        <v>1207</v>
      </c>
    </row>
    <row r="61" spans="1:19" ht="29">
      <c r="A61">
        <v>2</v>
      </c>
      <c r="B61" t="s">
        <v>39</v>
      </c>
      <c r="C61" t="s">
        <v>19</v>
      </c>
      <c r="D61" t="s">
        <v>20</v>
      </c>
      <c r="E61">
        <v>4</v>
      </c>
      <c r="G61">
        <v>1</v>
      </c>
      <c r="I61" t="s">
        <v>21</v>
      </c>
      <c r="J61" t="s">
        <v>22</v>
      </c>
      <c r="K61" t="s">
        <v>1214</v>
      </c>
      <c r="M61" t="s">
        <v>1221</v>
      </c>
      <c r="O61" s="1">
        <v>21.7270863</v>
      </c>
      <c r="P61" s="319" t="s">
        <v>1242</v>
      </c>
      <c r="Q61" t="s">
        <v>1222</v>
      </c>
      <c r="R61" t="s">
        <v>40</v>
      </c>
      <c r="S61" t="s">
        <v>1207</v>
      </c>
    </row>
    <row r="62" spans="1:19" ht="43.5">
      <c r="A62">
        <v>2</v>
      </c>
      <c r="B62" t="s">
        <v>39</v>
      </c>
      <c r="C62" t="s">
        <v>19</v>
      </c>
      <c r="D62" t="s">
        <v>20</v>
      </c>
      <c r="E62">
        <v>4</v>
      </c>
      <c r="G62">
        <v>1</v>
      </c>
      <c r="I62" t="s">
        <v>21</v>
      </c>
      <c r="J62" t="s">
        <v>25</v>
      </c>
      <c r="K62" t="s">
        <v>30</v>
      </c>
      <c r="M62" t="s">
        <v>31</v>
      </c>
      <c r="O62" s="1">
        <v>-3.7563183000000002</v>
      </c>
      <c r="P62" s="319" t="s">
        <v>1243</v>
      </c>
      <c r="Q62" t="s">
        <v>1224</v>
      </c>
      <c r="R62" t="s">
        <v>40</v>
      </c>
      <c r="S62" t="s">
        <v>1207</v>
      </c>
    </row>
    <row r="63" spans="1:19">
      <c r="A63">
        <v>2</v>
      </c>
      <c r="B63" t="s">
        <v>39</v>
      </c>
      <c r="C63" t="s">
        <v>19</v>
      </c>
      <c r="D63" t="s">
        <v>20</v>
      </c>
      <c r="E63">
        <v>5</v>
      </c>
      <c r="G63">
        <v>1</v>
      </c>
      <c r="I63" t="s">
        <v>21</v>
      </c>
      <c r="J63" t="s">
        <v>22</v>
      </c>
      <c r="K63" t="s">
        <v>23</v>
      </c>
      <c r="M63" t="s">
        <v>1202</v>
      </c>
      <c r="O63" s="1">
        <v>-4.7</v>
      </c>
      <c r="P63" t="s">
        <v>1204</v>
      </c>
      <c r="Q63" t="s">
        <v>1203</v>
      </c>
      <c r="R63" t="s">
        <v>40</v>
      </c>
      <c r="S63" t="s">
        <v>1205</v>
      </c>
    </row>
    <row r="64" spans="1:19">
      <c r="A64">
        <v>2</v>
      </c>
      <c r="B64" t="s">
        <v>39</v>
      </c>
      <c r="C64" t="s">
        <v>19</v>
      </c>
      <c r="D64" t="s">
        <v>20</v>
      </c>
      <c r="E64">
        <v>5</v>
      </c>
      <c r="G64">
        <v>1</v>
      </c>
      <c r="I64" t="s">
        <v>21</v>
      </c>
      <c r="J64" t="s">
        <v>22</v>
      </c>
      <c r="K64" t="s">
        <v>23</v>
      </c>
      <c r="M64" t="s">
        <v>1206</v>
      </c>
      <c r="O64" s="1">
        <v>-3.5</v>
      </c>
      <c r="P64" t="s">
        <v>1204</v>
      </c>
      <c r="Q64" t="s">
        <v>1203</v>
      </c>
      <c r="R64" t="s">
        <v>40</v>
      </c>
      <c r="S64" t="s">
        <v>1207</v>
      </c>
    </row>
    <row r="65" spans="1:19" ht="29">
      <c r="A65">
        <v>2</v>
      </c>
      <c r="B65" t="s">
        <v>39</v>
      </c>
      <c r="C65" t="s">
        <v>19</v>
      </c>
      <c r="D65" t="s">
        <v>20</v>
      </c>
      <c r="E65">
        <v>5</v>
      </c>
      <c r="G65">
        <v>1</v>
      </c>
      <c r="I65" t="s">
        <v>21</v>
      </c>
      <c r="J65" t="s">
        <v>22</v>
      </c>
      <c r="K65" t="s">
        <v>23</v>
      </c>
      <c r="M65" t="s">
        <v>1208</v>
      </c>
      <c r="O65" s="1">
        <v>1.197594904</v>
      </c>
      <c r="P65" s="319" t="s">
        <v>1244</v>
      </c>
      <c r="Q65" t="s">
        <v>1203</v>
      </c>
      <c r="R65" t="s">
        <v>40</v>
      </c>
      <c r="S65" t="s">
        <v>1207</v>
      </c>
    </row>
    <row r="66" spans="1:19" ht="29">
      <c r="A66">
        <v>2</v>
      </c>
      <c r="B66" t="s">
        <v>39</v>
      </c>
      <c r="C66" t="s">
        <v>19</v>
      </c>
      <c r="D66" t="s">
        <v>20</v>
      </c>
      <c r="E66">
        <v>5</v>
      </c>
      <c r="G66">
        <v>1</v>
      </c>
      <c r="I66" t="s">
        <v>21</v>
      </c>
      <c r="J66" t="s">
        <v>22</v>
      </c>
      <c r="K66" t="s">
        <v>23</v>
      </c>
      <c r="M66" t="s">
        <v>1210</v>
      </c>
      <c r="O66" s="1">
        <v>1.2248129700000001</v>
      </c>
      <c r="P66" s="319" t="s">
        <v>1244</v>
      </c>
      <c r="Q66" t="s">
        <v>1203</v>
      </c>
      <c r="R66" t="s">
        <v>40</v>
      </c>
      <c r="S66" t="s">
        <v>1207</v>
      </c>
    </row>
    <row r="67" spans="1:19" ht="29">
      <c r="A67">
        <v>2</v>
      </c>
      <c r="B67" t="s">
        <v>39</v>
      </c>
      <c r="C67" t="s">
        <v>19</v>
      </c>
      <c r="D67" t="s">
        <v>20</v>
      </c>
      <c r="E67">
        <v>5</v>
      </c>
      <c r="G67">
        <v>1</v>
      </c>
      <c r="I67" t="s">
        <v>21</v>
      </c>
      <c r="J67" t="s">
        <v>22</v>
      </c>
      <c r="K67" t="s">
        <v>23</v>
      </c>
      <c r="M67" t="s">
        <v>1211</v>
      </c>
      <c r="O67" s="1">
        <v>1.386655996</v>
      </c>
      <c r="P67" s="319" t="s">
        <v>1245</v>
      </c>
      <c r="Q67" t="s">
        <v>1203</v>
      </c>
      <c r="R67" t="s">
        <v>40</v>
      </c>
      <c r="S67" t="s">
        <v>1207</v>
      </c>
    </row>
    <row r="68" spans="1:19" ht="29">
      <c r="A68">
        <v>2</v>
      </c>
      <c r="B68" t="s">
        <v>39</v>
      </c>
      <c r="C68" t="s">
        <v>19</v>
      </c>
      <c r="D68" t="s">
        <v>20</v>
      </c>
      <c r="E68">
        <v>5</v>
      </c>
      <c r="G68">
        <v>1</v>
      </c>
      <c r="I68" t="s">
        <v>21</v>
      </c>
      <c r="J68" t="s">
        <v>22</v>
      </c>
      <c r="K68" t="s">
        <v>23</v>
      </c>
      <c r="M68" t="s">
        <v>1213</v>
      </c>
      <c r="O68" s="1">
        <v>1.2605963599999999</v>
      </c>
      <c r="P68" s="319" t="s">
        <v>1245</v>
      </c>
      <c r="Q68" t="s">
        <v>1203</v>
      </c>
      <c r="R68" t="s">
        <v>40</v>
      </c>
      <c r="S68" t="s">
        <v>1207</v>
      </c>
    </row>
    <row r="69" spans="1:19" ht="43.5">
      <c r="A69">
        <v>2</v>
      </c>
      <c r="B69" t="s">
        <v>39</v>
      </c>
      <c r="C69" t="s">
        <v>19</v>
      </c>
      <c r="D69" t="s">
        <v>20</v>
      </c>
      <c r="E69">
        <v>5</v>
      </c>
      <c r="G69">
        <v>1</v>
      </c>
      <c r="I69" t="s">
        <v>21</v>
      </c>
      <c r="J69" t="s">
        <v>22</v>
      </c>
      <c r="K69" t="s">
        <v>1214</v>
      </c>
      <c r="M69" t="s">
        <v>1215</v>
      </c>
      <c r="O69" s="1">
        <v>10.696699937999998</v>
      </c>
      <c r="P69" s="319" t="s">
        <v>1246</v>
      </c>
      <c r="Q69" t="s">
        <v>1216</v>
      </c>
      <c r="R69" t="s">
        <v>40</v>
      </c>
      <c r="S69" t="s">
        <v>1207</v>
      </c>
    </row>
    <row r="70" spans="1:19" ht="43.5">
      <c r="A70">
        <v>2</v>
      </c>
      <c r="B70" t="s">
        <v>39</v>
      </c>
      <c r="C70" t="s">
        <v>19</v>
      </c>
      <c r="D70" t="s">
        <v>20</v>
      </c>
      <c r="E70">
        <v>5</v>
      </c>
      <c r="G70">
        <v>1</v>
      </c>
      <c r="I70" t="s">
        <v>21</v>
      </c>
      <c r="J70" t="s">
        <v>22</v>
      </c>
      <c r="K70" t="s">
        <v>1214</v>
      </c>
      <c r="M70" t="s">
        <v>1218</v>
      </c>
      <c r="O70" s="1">
        <v>-2.5072008000000001</v>
      </c>
      <c r="P70" s="319" t="s">
        <v>1247</v>
      </c>
      <c r="Q70" t="s">
        <v>1219</v>
      </c>
      <c r="R70" t="s">
        <v>40</v>
      </c>
      <c r="S70" t="s">
        <v>1207</v>
      </c>
    </row>
    <row r="71" spans="1:19" ht="29">
      <c r="A71">
        <v>2</v>
      </c>
      <c r="B71" t="s">
        <v>39</v>
      </c>
      <c r="C71" t="s">
        <v>19</v>
      </c>
      <c r="D71" t="s">
        <v>20</v>
      </c>
      <c r="E71">
        <v>5</v>
      </c>
      <c r="G71">
        <v>1</v>
      </c>
      <c r="I71" t="s">
        <v>21</v>
      </c>
      <c r="J71" t="s">
        <v>22</v>
      </c>
      <c r="K71" t="s">
        <v>1214</v>
      </c>
      <c r="M71" t="s">
        <v>1221</v>
      </c>
      <c r="O71" s="1">
        <v>17.648349039999999</v>
      </c>
      <c r="P71" s="319" t="s">
        <v>1245</v>
      </c>
      <c r="Q71" t="s">
        <v>1222</v>
      </c>
      <c r="R71" t="s">
        <v>40</v>
      </c>
      <c r="S71" t="s">
        <v>1207</v>
      </c>
    </row>
    <row r="72" spans="1:19" ht="29">
      <c r="A72">
        <v>2</v>
      </c>
      <c r="B72" t="s">
        <v>39</v>
      </c>
      <c r="C72" t="s">
        <v>19</v>
      </c>
      <c r="D72" t="s">
        <v>20</v>
      </c>
      <c r="E72">
        <v>5</v>
      </c>
      <c r="G72">
        <v>1</v>
      </c>
      <c r="I72" t="s">
        <v>21</v>
      </c>
      <c r="J72" t="s">
        <v>22</v>
      </c>
      <c r="K72" t="s">
        <v>1214</v>
      </c>
      <c r="M72" t="s">
        <v>1221</v>
      </c>
      <c r="O72" s="1">
        <v>22.375585389999998</v>
      </c>
      <c r="P72" s="319" t="s">
        <v>1248</v>
      </c>
      <c r="Q72" t="s">
        <v>1222</v>
      </c>
      <c r="R72" t="s">
        <v>40</v>
      </c>
      <c r="S72" t="s">
        <v>1207</v>
      </c>
    </row>
    <row r="73" spans="1:19" ht="43.5">
      <c r="A73">
        <v>2</v>
      </c>
      <c r="B73" t="s">
        <v>39</v>
      </c>
      <c r="C73" t="s">
        <v>19</v>
      </c>
      <c r="D73" t="s">
        <v>20</v>
      </c>
      <c r="E73">
        <v>5</v>
      </c>
      <c r="G73">
        <v>1</v>
      </c>
      <c r="I73" t="s">
        <v>21</v>
      </c>
      <c r="J73" t="s">
        <v>25</v>
      </c>
      <c r="K73" t="s">
        <v>30</v>
      </c>
      <c r="M73" t="s">
        <v>31</v>
      </c>
      <c r="O73" s="1">
        <v>-3.8684349899999999</v>
      </c>
      <c r="P73" s="319" t="s">
        <v>1249</v>
      </c>
      <c r="Q73" t="s">
        <v>1224</v>
      </c>
      <c r="R73" t="s">
        <v>40</v>
      </c>
      <c r="S73" t="s">
        <v>1207</v>
      </c>
    </row>
    <row r="74" spans="1:19">
      <c r="A74">
        <v>2</v>
      </c>
      <c r="B74" t="s">
        <v>39</v>
      </c>
      <c r="C74" t="s">
        <v>19</v>
      </c>
      <c r="D74" t="s">
        <v>1250</v>
      </c>
      <c r="G74">
        <v>1</v>
      </c>
      <c r="I74" t="s">
        <v>21</v>
      </c>
      <c r="J74" t="s">
        <v>22</v>
      </c>
      <c r="K74" t="s">
        <v>23</v>
      </c>
      <c r="M74" t="s">
        <v>1202</v>
      </c>
      <c r="O74" s="1">
        <v>-4.7</v>
      </c>
      <c r="P74" t="s">
        <v>1204</v>
      </c>
      <c r="Q74" t="s">
        <v>1203</v>
      </c>
      <c r="R74" t="s">
        <v>40</v>
      </c>
      <c r="S74" t="s">
        <v>1205</v>
      </c>
    </row>
    <row r="75" spans="1:19">
      <c r="A75">
        <v>2</v>
      </c>
      <c r="B75" t="s">
        <v>39</v>
      </c>
      <c r="C75" t="s">
        <v>19</v>
      </c>
      <c r="D75" t="s">
        <v>1250</v>
      </c>
      <c r="G75">
        <v>1</v>
      </c>
      <c r="I75" t="s">
        <v>21</v>
      </c>
      <c r="J75" t="s">
        <v>22</v>
      </c>
      <c r="K75" t="s">
        <v>23</v>
      </c>
      <c r="M75" t="s">
        <v>1206</v>
      </c>
      <c r="O75" s="1">
        <v>-3.5</v>
      </c>
      <c r="P75" t="s">
        <v>1204</v>
      </c>
      <c r="Q75" t="s">
        <v>1203</v>
      </c>
      <c r="R75" t="s">
        <v>40</v>
      </c>
      <c r="S75" t="s">
        <v>1207</v>
      </c>
    </row>
    <row r="76" spans="1:19" ht="29">
      <c r="A76">
        <v>2</v>
      </c>
      <c r="B76" t="s">
        <v>39</v>
      </c>
      <c r="C76" t="s">
        <v>19</v>
      </c>
      <c r="D76" t="s">
        <v>1250</v>
      </c>
      <c r="G76">
        <v>1</v>
      </c>
      <c r="I76" t="s">
        <v>21</v>
      </c>
      <c r="J76" t="s">
        <v>22</v>
      </c>
      <c r="K76" t="s">
        <v>23</v>
      </c>
      <c r="M76" t="s">
        <v>1208</v>
      </c>
      <c r="O76" s="1">
        <v>0.66504900000000011</v>
      </c>
      <c r="P76" s="319" t="s">
        <v>1252</v>
      </c>
      <c r="Q76" t="s">
        <v>1203</v>
      </c>
      <c r="R76" t="s">
        <v>40</v>
      </c>
      <c r="S76" t="s">
        <v>1207</v>
      </c>
    </row>
    <row r="77" spans="1:19" ht="29">
      <c r="A77">
        <v>2</v>
      </c>
      <c r="B77" t="s">
        <v>39</v>
      </c>
      <c r="C77" t="s">
        <v>19</v>
      </c>
      <c r="D77" t="s">
        <v>1250</v>
      </c>
      <c r="G77">
        <v>1</v>
      </c>
      <c r="I77" t="s">
        <v>21</v>
      </c>
      <c r="J77" t="s">
        <v>22</v>
      </c>
      <c r="K77" t="s">
        <v>23</v>
      </c>
      <c r="M77" t="s">
        <v>1210</v>
      </c>
      <c r="O77" s="1">
        <v>0.68016375000000007</v>
      </c>
      <c r="P77" s="319" t="s">
        <v>1252</v>
      </c>
      <c r="Q77" t="s">
        <v>1203</v>
      </c>
      <c r="R77" t="s">
        <v>40</v>
      </c>
      <c r="S77" t="s">
        <v>1207</v>
      </c>
    </row>
    <row r="78" spans="1:19" ht="29">
      <c r="A78">
        <v>2</v>
      </c>
      <c r="B78" t="s">
        <v>39</v>
      </c>
      <c r="C78" t="s">
        <v>19</v>
      </c>
      <c r="D78" t="s">
        <v>1250</v>
      </c>
      <c r="G78">
        <v>1</v>
      </c>
      <c r="I78" t="s">
        <v>21</v>
      </c>
      <c r="J78" t="s">
        <v>22</v>
      </c>
      <c r="K78" t="s">
        <v>23</v>
      </c>
      <c r="M78" t="s">
        <v>1211</v>
      </c>
      <c r="O78" s="1">
        <v>0.77003849999999996</v>
      </c>
      <c r="P78" s="319" t="s">
        <v>1253</v>
      </c>
      <c r="Q78" t="s">
        <v>1203</v>
      </c>
      <c r="R78" t="s">
        <v>40</v>
      </c>
      <c r="S78" t="s">
        <v>1207</v>
      </c>
    </row>
    <row r="79" spans="1:19" ht="29">
      <c r="A79">
        <v>2</v>
      </c>
      <c r="B79" t="s">
        <v>39</v>
      </c>
      <c r="C79" t="s">
        <v>19</v>
      </c>
      <c r="D79" t="s">
        <v>1250</v>
      </c>
      <c r="G79">
        <v>1</v>
      </c>
      <c r="I79" t="s">
        <v>21</v>
      </c>
      <c r="J79" t="s">
        <v>22</v>
      </c>
      <c r="K79" t="s">
        <v>23</v>
      </c>
      <c r="M79" t="s">
        <v>1213</v>
      </c>
      <c r="O79" s="1">
        <v>0.70003499999999996</v>
      </c>
      <c r="P79" s="319" t="s">
        <v>1253</v>
      </c>
      <c r="Q79" t="s">
        <v>1203</v>
      </c>
      <c r="R79" t="s">
        <v>40</v>
      </c>
      <c r="S79" t="s">
        <v>1207</v>
      </c>
    </row>
    <row r="80" spans="1:19" ht="43.5">
      <c r="A80">
        <v>2</v>
      </c>
      <c r="B80" t="s">
        <v>39</v>
      </c>
      <c r="C80" t="s">
        <v>19</v>
      </c>
      <c r="D80" t="s">
        <v>1250</v>
      </c>
      <c r="G80">
        <v>1</v>
      </c>
      <c r="I80" t="s">
        <v>21</v>
      </c>
      <c r="J80" t="s">
        <v>22</v>
      </c>
      <c r="K80" t="s">
        <v>1214</v>
      </c>
      <c r="M80" t="s">
        <v>1215</v>
      </c>
      <c r="O80" s="1">
        <v>5.9400967499999995</v>
      </c>
      <c r="P80" s="319" t="s">
        <v>1254</v>
      </c>
      <c r="Q80" t="s">
        <v>1216</v>
      </c>
      <c r="R80" t="s">
        <v>40</v>
      </c>
      <c r="S80" t="s">
        <v>1207</v>
      </c>
    </row>
    <row r="81" spans="1:19" ht="43.5">
      <c r="A81">
        <v>2</v>
      </c>
      <c r="B81" t="s">
        <v>39</v>
      </c>
      <c r="C81" t="s">
        <v>19</v>
      </c>
      <c r="D81" t="s">
        <v>1250</v>
      </c>
      <c r="G81">
        <v>1</v>
      </c>
      <c r="I81" t="s">
        <v>21</v>
      </c>
      <c r="J81" t="s">
        <v>22</v>
      </c>
      <c r="K81" t="s">
        <v>1214</v>
      </c>
      <c r="M81" t="s">
        <v>1218</v>
      </c>
      <c r="O81" s="1">
        <v>-1.3923000000000001</v>
      </c>
      <c r="P81" s="319" t="s">
        <v>1255</v>
      </c>
      <c r="Q81" t="s">
        <v>1219</v>
      </c>
      <c r="R81" t="s">
        <v>40</v>
      </c>
      <c r="S81" t="s">
        <v>1207</v>
      </c>
    </row>
    <row r="82" spans="1:19" ht="29">
      <c r="A82">
        <v>2</v>
      </c>
      <c r="B82" t="s">
        <v>39</v>
      </c>
      <c r="C82" t="s">
        <v>19</v>
      </c>
      <c r="D82" t="s">
        <v>1250</v>
      </c>
      <c r="G82">
        <v>1</v>
      </c>
      <c r="I82" t="s">
        <v>21</v>
      </c>
      <c r="J82" t="s">
        <v>22</v>
      </c>
      <c r="K82" t="s">
        <v>1214</v>
      </c>
      <c r="M82" t="s">
        <v>1221</v>
      </c>
      <c r="O82" s="1">
        <v>9.8004899999999999</v>
      </c>
      <c r="P82" s="319" t="s">
        <v>1253</v>
      </c>
      <c r="Q82" t="s">
        <v>1222</v>
      </c>
      <c r="R82" t="s">
        <v>40</v>
      </c>
      <c r="S82" t="s">
        <v>1207</v>
      </c>
    </row>
    <row r="83" spans="1:19" ht="29">
      <c r="A83">
        <v>2</v>
      </c>
      <c r="B83" t="s">
        <v>39</v>
      </c>
      <c r="C83" t="s">
        <v>19</v>
      </c>
      <c r="D83" t="s">
        <v>1250</v>
      </c>
      <c r="G83">
        <v>1</v>
      </c>
      <c r="I83" t="s">
        <v>21</v>
      </c>
      <c r="J83" t="s">
        <v>22</v>
      </c>
      <c r="K83" t="s">
        <v>1214</v>
      </c>
      <c r="M83" t="s">
        <v>1221</v>
      </c>
      <c r="O83" s="1">
        <v>12.425621249999999</v>
      </c>
      <c r="P83" s="319" t="s">
        <v>1256</v>
      </c>
      <c r="Q83" t="s">
        <v>1222</v>
      </c>
      <c r="R83" t="s">
        <v>40</v>
      </c>
      <c r="S83" t="s">
        <v>1207</v>
      </c>
    </row>
    <row r="84" spans="1:19" ht="43.5">
      <c r="A84">
        <v>2</v>
      </c>
      <c r="B84" t="s">
        <v>39</v>
      </c>
      <c r="C84" t="s">
        <v>19</v>
      </c>
      <c r="D84" t="s">
        <v>1250</v>
      </c>
      <c r="G84">
        <v>1</v>
      </c>
      <c r="I84" t="s">
        <v>21</v>
      </c>
      <c r="J84" t="s">
        <v>25</v>
      </c>
      <c r="K84" t="s">
        <v>30</v>
      </c>
      <c r="M84" t="s">
        <v>31</v>
      </c>
      <c r="O84" s="1">
        <v>-2.1482212500000002</v>
      </c>
      <c r="P84" s="319" t="s">
        <v>1257</v>
      </c>
      <c r="Q84" t="s">
        <v>1224</v>
      </c>
      <c r="R84" t="s">
        <v>40</v>
      </c>
      <c r="S84" t="s">
        <v>1207</v>
      </c>
    </row>
    <row r="85" spans="1:19">
      <c r="A85">
        <v>2</v>
      </c>
      <c r="B85" t="s">
        <v>39</v>
      </c>
      <c r="C85" t="s">
        <v>35</v>
      </c>
      <c r="D85" t="s">
        <v>20</v>
      </c>
      <c r="F85" t="s">
        <v>1251</v>
      </c>
      <c r="G85">
        <v>1</v>
      </c>
      <c r="I85" t="s">
        <v>21</v>
      </c>
      <c r="J85" t="s">
        <v>22</v>
      </c>
      <c r="K85" t="s">
        <v>23</v>
      </c>
      <c r="M85" t="s">
        <v>1202</v>
      </c>
      <c r="O85" s="1">
        <v>-4.7</v>
      </c>
      <c r="P85" t="s">
        <v>1204</v>
      </c>
      <c r="Q85" t="s">
        <v>1203</v>
      </c>
      <c r="R85" t="s">
        <v>40</v>
      </c>
      <c r="S85" t="s">
        <v>1205</v>
      </c>
    </row>
    <row r="86" spans="1:19">
      <c r="A86">
        <v>2</v>
      </c>
      <c r="B86" t="s">
        <v>39</v>
      </c>
      <c r="C86" t="s">
        <v>35</v>
      </c>
      <c r="D86" t="s">
        <v>20</v>
      </c>
      <c r="F86" t="s">
        <v>1251</v>
      </c>
      <c r="G86">
        <v>1</v>
      </c>
      <c r="I86" t="s">
        <v>21</v>
      </c>
      <c r="J86" t="s">
        <v>22</v>
      </c>
      <c r="K86" t="s">
        <v>23</v>
      </c>
      <c r="M86" t="s">
        <v>1206</v>
      </c>
      <c r="O86" s="1">
        <v>-3.5</v>
      </c>
      <c r="P86" t="s">
        <v>1204</v>
      </c>
      <c r="Q86" t="s">
        <v>1203</v>
      </c>
      <c r="R86" t="s">
        <v>40</v>
      </c>
      <c r="S86" t="s">
        <v>1207</v>
      </c>
    </row>
    <row r="87" spans="1:19">
      <c r="A87">
        <v>2</v>
      </c>
      <c r="B87" t="s">
        <v>39</v>
      </c>
      <c r="C87" t="s">
        <v>35</v>
      </c>
      <c r="D87" t="s">
        <v>20</v>
      </c>
      <c r="F87" t="s">
        <v>1251</v>
      </c>
      <c r="G87">
        <v>1</v>
      </c>
      <c r="I87" t="s">
        <v>21</v>
      </c>
      <c r="J87" t="s">
        <v>22</v>
      </c>
      <c r="K87" t="s">
        <v>23</v>
      </c>
      <c r="M87" t="s">
        <v>1208</v>
      </c>
      <c r="O87" s="1">
        <v>1.2667600000000001</v>
      </c>
      <c r="P87" t="s">
        <v>1209</v>
      </c>
      <c r="Q87" t="s">
        <v>1203</v>
      </c>
      <c r="R87" t="s">
        <v>40</v>
      </c>
      <c r="S87" t="s">
        <v>1207</v>
      </c>
    </row>
    <row r="88" spans="1:19">
      <c r="A88">
        <v>2</v>
      </c>
      <c r="B88" t="s">
        <v>39</v>
      </c>
      <c r="C88" t="s">
        <v>35</v>
      </c>
      <c r="D88" t="s">
        <v>20</v>
      </c>
      <c r="F88" t="s">
        <v>1251</v>
      </c>
      <c r="G88">
        <v>1</v>
      </c>
      <c r="I88" t="s">
        <v>21</v>
      </c>
      <c r="J88" t="s">
        <v>22</v>
      </c>
      <c r="K88" t="s">
        <v>23</v>
      </c>
      <c r="M88" t="s">
        <v>1210</v>
      </c>
      <c r="O88" s="1">
        <v>1.29555</v>
      </c>
      <c r="P88" t="s">
        <v>1209</v>
      </c>
      <c r="Q88" t="s">
        <v>1203</v>
      </c>
      <c r="R88" t="s">
        <v>40</v>
      </c>
      <c r="S88" t="s">
        <v>1207</v>
      </c>
    </row>
    <row r="89" spans="1:19">
      <c r="A89">
        <v>2</v>
      </c>
      <c r="B89" t="s">
        <v>39</v>
      </c>
      <c r="C89" t="s">
        <v>35</v>
      </c>
      <c r="D89" t="s">
        <v>20</v>
      </c>
      <c r="F89" t="s">
        <v>1251</v>
      </c>
      <c r="G89">
        <v>1</v>
      </c>
      <c r="I89" t="s">
        <v>21</v>
      </c>
      <c r="J89" t="s">
        <v>22</v>
      </c>
      <c r="K89" t="s">
        <v>23</v>
      </c>
      <c r="M89" t="s">
        <v>1211</v>
      </c>
      <c r="O89" s="1">
        <v>1.4667399999999999</v>
      </c>
      <c r="P89" t="s">
        <v>1212</v>
      </c>
      <c r="Q89" t="s">
        <v>1203</v>
      </c>
      <c r="R89" t="s">
        <v>40</v>
      </c>
      <c r="S89" t="s">
        <v>1207</v>
      </c>
    </row>
    <row r="90" spans="1:19">
      <c r="A90">
        <v>2</v>
      </c>
      <c r="B90" t="s">
        <v>39</v>
      </c>
      <c r="C90" t="s">
        <v>35</v>
      </c>
      <c r="D90" t="s">
        <v>20</v>
      </c>
      <c r="F90" t="s">
        <v>1251</v>
      </c>
      <c r="G90">
        <v>1</v>
      </c>
      <c r="I90" t="s">
        <v>21</v>
      </c>
      <c r="J90" t="s">
        <v>22</v>
      </c>
      <c r="K90" t="s">
        <v>23</v>
      </c>
      <c r="M90" t="s">
        <v>1213</v>
      </c>
      <c r="O90" s="1">
        <v>1.3333999999999999</v>
      </c>
      <c r="P90" t="s">
        <v>1212</v>
      </c>
      <c r="Q90" t="s">
        <v>1203</v>
      </c>
      <c r="R90" t="s">
        <v>40</v>
      </c>
      <c r="S90" t="s">
        <v>1207</v>
      </c>
    </row>
    <row r="91" spans="1:19" ht="29">
      <c r="A91">
        <v>2</v>
      </c>
      <c r="B91" t="s">
        <v>39</v>
      </c>
      <c r="C91" t="s">
        <v>35</v>
      </c>
      <c r="D91" t="s">
        <v>20</v>
      </c>
      <c r="F91" t="s">
        <v>1251</v>
      </c>
      <c r="G91">
        <v>1</v>
      </c>
      <c r="I91" t="s">
        <v>21</v>
      </c>
      <c r="J91" t="s">
        <v>22</v>
      </c>
      <c r="K91" t="s">
        <v>1214</v>
      </c>
      <c r="M91" t="s">
        <v>1215</v>
      </c>
      <c r="O91" s="1">
        <v>11.314469999999998</v>
      </c>
      <c r="P91" s="319" t="s">
        <v>1217</v>
      </c>
      <c r="Q91" t="s">
        <v>1216</v>
      </c>
      <c r="R91" t="s">
        <v>40</v>
      </c>
      <c r="S91" t="s">
        <v>1207</v>
      </c>
    </row>
    <row r="92" spans="1:19" ht="29">
      <c r="A92">
        <v>2</v>
      </c>
      <c r="B92" t="s">
        <v>39</v>
      </c>
      <c r="C92" t="s">
        <v>35</v>
      </c>
      <c r="D92" t="s">
        <v>20</v>
      </c>
      <c r="F92" t="s">
        <v>1251</v>
      </c>
      <c r="G92">
        <v>1</v>
      </c>
      <c r="I92" t="s">
        <v>21</v>
      </c>
      <c r="J92" t="s">
        <v>22</v>
      </c>
      <c r="K92" t="s">
        <v>1214</v>
      </c>
      <c r="M92" t="s">
        <v>1218</v>
      </c>
      <c r="O92" s="1">
        <v>-2.6520000000000001</v>
      </c>
      <c r="P92" s="319" t="s">
        <v>1220</v>
      </c>
      <c r="Q92" t="s">
        <v>1219</v>
      </c>
      <c r="R92" t="s">
        <v>40</v>
      </c>
      <c r="S92" t="s">
        <v>1207</v>
      </c>
    </row>
    <row r="93" spans="1:19">
      <c r="A93">
        <v>2</v>
      </c>
      <c r="B93" t="s">
        <v>39</v>
      </c>
      <c r="C93" t="s">
        <v>35</v>
      </c>
      <c r="D93" t="s">
        <v>20</v>
      </c>
      <c r="F93" t="s">
        <v>1251</v>
      </c>
      <c r="G93">
        <v>1</v>
      </c>
      <c r="I93" t="s">
        <v>21</v>
      </c>
      <c r="J93" t="s">
        <v>22</v>
      </c>
      <c r="K93" t="s">
        <v>1214</v>
      </c>
      <c r="M93" t="s">
        <v>1221</v>
      </c>
      <c r="O93" s="1">
        <v>18.6676</v>
      </c>
      <c r="P93" t="s">
        <v>1212</v>
      </c>
      <c r="Q93" t="s">
        <v>1222</v>
      </c>
      <c r="R93" t="s">
        <v>40</v>
      </c>
      <c r="S93" t="s">
        <v>1207</v>
      </c>
    </row>
    <row r="94" spans="1:19">
      <c r="A94">
        <v>2</v>
      </c>
      <c r="B94" t="s">
        <v>39</v>
      </c>
      <c r="C94" t="s">
        <v>35</v>
      </c>
      <c r="D94" t="s">
        <v>20</v>
      </c>
      <c r="F94" t="s">
        <v>1251</v>
      </c>
      <c r="G94">
        <v>1</v>
      </c>
      <c r="I94" t="s">
        <v>21</v>
      </c>
      <c r="J94" t="s">
        <v>22</v>
      </c>
      <c r="K94" t="s">
        <v>1214</v>
      </c>
      <c r="M94" t="s">
        <v>1221</v>
      </c>
      <c r="O94" s="1">
        <v>23.667849999999998</v>
      </c>
      <c r="P94" t="s">
        <v>1223</v>
      </c>
      <c r="Q94" t="s">
        <v>1222</v>
      </c>
      <c r="R94" t="s">
        <v>40</v>
      </c>
      <c r="S94" t="s">
        <v>1207</v>
      </c>
    </row>
    <row r="95" spans="1:19" ht="29">
      <c r="A95">
        <v>2</v>
      </c>
      <c r="B95" t="s">
        <v>39</v>
      </c>
      <c r="C95" t="s">
        <v>35</v>
      </c>
      <c r="D95" t="s">
        <v>20</v>
      </c>
      <c r="F95" t="s">
        <v>1251</v>
      </c>
      <c r="G95">
        <v>1</v>
      </c>
      <c r="I95" t="s">
        <v>21</v>
      </c>
      <c r="J95" t="s">
        <v>25</v>
      </c>
      <c r="K95" t="s">
        <v>30</v>
      </c>
      <c r="M95" t="s">
        <v>31</v>
      </c>
      <c r="O95" s="1">
        <v>-4.09185</v>
      </c>
      <c r="P95" s="319" t="s">
        <v>1225</v>
      </c>
      <c r="Q95" t="s">
        <v>1224</v>
      </c>
      <c r="R95" t="s">
        <v>40</v>
      </c>
      <c r="S95" t="s">
        <v>1207</v>
      </c>
    </row>
    <row r="96" spans="1:19">
      <c r="A96">
        <v>2</v>
      </c>
      <c r="B96" t="s">
        <v>39</v>
      </c>
      <c r="C96" t="s">
        <v>35</v>
      </c>
      <c r="D96" t="s">
        <v>20</v>
      </c>
      <c r="G96">
        <v>1</v>
      </c>
      <c r="I96" t="s">
        <v>21</v>
      </c>
      <c r="J96" t="s">
        <v>22</v>
      </c>
      <c r="K96" t="s">
        <v>23</v>
      </c>
      <c r="M96" t="s">
        <v>1202</v>
      </c>
      <c r="O96" s="1">
        <v>-4.7</v>
      </c>
      <c r="P96" t="s">
        <v>1204</v>
      </c>
      <c r="Q96" t="s">
        <v>1203</v>
      </c>
      <c r="R96" t="s">
        <v>40</v>
      </c>
      <c r="S96" t="s">
        <v>1205</v>
      </c>
    </row>
    <row r="97" spans="1:19">
      <c r="A97">
        <v>2</v>
      </c>
      <c r="B97" t="s">
        <v>39</v>
      </c>
      <c r="C97" t="s">
        <v>35</v>
      </c>
      <c r="D97" t="s">
        <v>20</v>
      </c>
      <c r="G97">
        <v>1</v>
      </c>
      <c r="I97" t="s">
        <v>21</v>
      </c>
      <c r="J97" t="s">
        <v>22</v>
      </c>
      <c r="K97" t="s">
        <v>23</v>
      </c>
      <c r="M97" t="s">
        <v>1206</v>
      </c>
      <c r="O97" s="1">
        <v>-3.5</v>
      </c>
      <c r="P97" t="s">
        <v>1204</v>
      </c>
      <c r="Q97" t="s">
        <v>1203</v>
      </c>
      <c r="R97" t="s">
        <v>40</v>
      </c>
      <c r="S97" t="s">
        <v>1207</v>
      </c>
    </row>
    <row r="98" spans="1:19">
      <c r="A98">
        <v>2</v>
      </c>
      <c r="B98" t="s">
        <v>39</v>
      </c>
      <c r="C98" t="s">
        <v>35</v>
      </c>
      <c r="D98" t="s">
        <v>20</v>
      </c>
      <c r="G98">
        <v>1</v>
      </c>
      <c r="I98" t="s">
        <v>21</v>
      </c>
      <c r="J98" t="s">
        <v>22</v>
      </c>
      <c r="K98" t="s">
        <v>23</v>
      </c>
      <c r="M98" t="s">
        <v>1208</v>
      </c>
      <c r="O98" s="1">
        <v>1.1400840000000001</v>
      </c>
      <c r="P98" t="s">
        <v>1209</v>
      </c>
      <c r="Q98" t="s">
        <v>1203</v>
      </c>
      <c r="R98" t="s">
        <v>40</v>
      </c>
      <c r="S98" t="s">
        <v>1207</v>
      </c>
    </row>
    <row r="99" spans="1:19">
      <c r="A99">
        <v>2</v>
      </c>
      <c r="B99" t="s">
        <v>39</v>
      </c>
      <c r="C99" t="s">
        <v>35</v>
      </c>
      <c r="D99" t="s">
        <v>20</v>
      </c>
      <c r="G99">
        <v>1</v>
      </c>
      <c r="I99" t="s">
        <v>21</v>
      </c>
      <c r="J99" t="s">
        <v>22</v>
      </c>
      <c r="K99" t="s">
        <v>23</v>
      </c>
      <c r="M99" t="s">
        <v>1210</v>
      </c>
      <c r="O99" s="1">
        <v>1.1659950000000001</v>
      </c>
      <c r="P99" t="s">
        <v>1209</v>
      </c>
      <c r="Q99" t="s">
        <v>1203</v>
      </c>
      <c r="R99" t="s">
        <v>40</v>
      </c>
      <c r="S99" t="s">
        <v>1207</v>
      </c>
    </row>
    <row r="100" spans="1:19">
      <c r="A100">
        <v>2</v>
      </c>
      <c r="B100" t="s">
        <v>39</v>
      </c>
      <c r="C100" t="s">
        <v>35</v>
      </c>
      <c r="D100" t="s">
        <v>20</v>
      </c>
      <c r="G100">
        <v>1</v>
      </c>
      <c r="I100" t="s">
        <v>21</v>
      </c>
      <c r="J100" t="s">
        <v>22</v>
      </c>
      <c r="K100" t="s">
        <v>23</v>
      </c>
      <c r="M100" t="s">
        <v>1211</v>
      </c>
      <c r="O100" s="1">
        <v>1.320066</v>
      </c>
      <c r="P100" t="s">
        <v>1212</v>
      </c>
      <c r="Q100" t="s">
        <v>1203</v>
      </c>
      <c r="R100" t="s">
        <v>40</v>
      </c>
      <c r="S100" t="s">
        <v>1207</v>
      </c>
    </row>
    <row r="101" spans="1:19">
      <c r="A101">
        <v>2</v>
      </c>
      <c r="B101" t="s">
        <v>39</v>
      </c>
      <c r="C101" t="s">
        <v>35</v>
      </c>
      <c r="D101" t="s">
        <v>20</v>
      </c>
      <c r="G101">
        <v>1</v>
      </c>
      <c r="I101" t="s">
        <v>21</v>
      </c>
      <c r="J101" t="s">
        <v>22</v>
      </c>
      <c r="K101" t="s">
        <v>23</v>
      </c>
      <c r="M101" t="s">
        <v>1213</v>
      </c>
      <c r="O101" s="1">
        <v>1.2000599999999999</v>
      </c>
      <c r="P101" t="s">
        <v>1212</v>
      </c>
      <c r="Q101" t="s">
        <v>1203</v>
      </c>
      <c r="R101" t="s">
        <v>40</v>
      </c>
      <c r="S101" t="s">
        <v>1207</v>
      </c>
    </row>
    <row r="102" spans="1:19" ht="29">
      <c r="A102">
        <v>2</v>
      </c>
      <c r="B102" t="s">
        <v>39</v>
      </c>
      <c r="C102" t="s">
        <v>35</v>
      </c>
      <c r="D102" t="s">
        <v>20</v>
      </c>
      <c r="G102">
        <v>1</v>
      </c>
      <c r="I102" t="s">
        <v>21</v>
      </c>
      <c r="J102" t="s">
        <v>22</v>
      </c>
      <c r="K102" t="s">
        <v>1214</v>
      </c>
      <c r="M102" t="s">
        <v>1215</v>
      </c>
      <c r="O102" s="1">
        <v>10.183022999999999</v>
      </c>
      <c r="P102" s="319" t="s">
        <v>1217</v>
      </c>
      <c r="Q102" t="s">
        <v>1216</v>
      </c>
      <c r="R102" t="s">
        <v>40</v>
      </c>
      <c r="S102" t="s">
        <v>1207</v>
      </c>
    </row>
    <row r="103" spans="1:19" ht="29">
      <c r="A103">
        <v>2</v>
      </c>
      <c r="B103" t="s">
        <v>39</v>
      </c>
      <c r="C103" t="s">
        <v>35</v>
      </c>
      <c r="D103" t="s">
        <v>20</v>
      </c>
      <c r="G103">
        <v>1</v>
      </c>
      <c r="I103" t="s">
        <v>21</v>
      </c>
      <c r="J103" t="s">
        <v>22</v>
      </c>
      <c r="K103" t="s">
        <v>1214</v>
      </c>
      <c r="M103" t="s">
        <v>1218</v>
      </c>
      <c r="O103" s="1">
        <v>-2.3868</v>
      </c>
      <c r="P103" s="319" t="s">
        <v>1220</v>
      </c>
      <c r="Q103" t="s">
        <v>1219</v>
      </c>
      <c r="R103" t="s">
        <v>40</v>
      </c>
      <c r="S103" t="s">
        <v>1207</v>
      </c>
    </row>
    <row r="104" spans="1:19">
      <c r="A104">
        <v>2</v>
      </c>
      <c r="B104" t="s">
        <v>39</v>
      </c>
      <c r="C104" t="s">
        <v>35</v>
      </c>
      <c r="D104" t="s">
        <v>20</v>
      </c>
      <c r="G104">
        <v>1</v>
      </c>
      <c r="I104" t="s">
        <v>21</v>
      </c>
      <c r="J104" t="s">
        <v>22</v>
      </c>
      <c r="K104" t="s">
        <v>1214</v>
      </c>
      <c r="M104" t="s">
        <v>1221</v>
      </c>
      <c r="O104" s="1">
        <v>16.800840000000001</v>
      </c>
      <c r="P104" t="s">
        <v>1212</v>
      </c>
      <c r="Q104" t="s">
        <v>1222</v>
      </c>
      <c r="R104" t="s">
        <v>40</v>
      </c>
      <c r="S104" t="s">
        <v>1207</v>
      </c>
    </row>
    <row r="105" spans="1:19">
      <c r="A105">
        <v>2</v>
      </c>
      <c r="B105" t="s">
        <v>39</v>
      </c>
      <c r="C105" t="s">
        <v>35</v>
      </c>
      <c r="D105" t="s">
        <v>20</v>
      </c>
      <c r="G105">
        <v>1</v>
      </c>
      <c r="I105" t="s">
        <v>21</v>
      </c>
      <c r="J105" t="s">
        <v>22</v>
      </c>
      <c r="K105" t="s">
        <v>1214</v>
      </c>
      <c r="M105" t="s">
        <v>1221</v>
      </c>
      <c r="O105" s="1">
        <v>21.301064999999998</v>
      </c>
      <c r="P105" t="s">
        <v>1223</v>
      </c>
      <c r="Q105" t="s">
        <v>1222</v>
      </c>
      <c r="R105" t="s">
        <v>40</v>
      </c>
      <c r="S105" t="s">
        <v>1207</v>
      </c>
    </row>
    <row r="106" spans="1:19" ht="29">
      <c r="A106">
        <v>2</v>
      </c>
      <c r="B106" t="s">
        <v>39</v>
      </c>
      <c r="C106" t="s">
        <v>35</v>
      </c>
      <c r="D106" t="s">
        <v>20</v>
      </c>
      <c r="G106">
        <v>1</v>
      </c>
      <c r="I106" t="s">
        <v>21</v>
      </c>
      <c r="J106" t="s">
        <v>25</v>
      </c>
      <c r="K106" t="s">
        <v>30</v>
      </c>
      <c r="M106" t="s">
        <v>31</v>
      </c>
      <c r="O106" s="1">
        <v>-3.6826650000000001</v>
      </c>
      <c r="P106" s="319" t="s">
        <v>1225</v>
      </c>
      <c r="Q106" t="s">
        <v>1224</v>
      </c>
      <c r="R106" t="s">
        <v>40</v>
      </c>
      <c r="S106" t="s">
        <v>1207</v>
      </c>
    </row>
    <row r="107" spans="1:19">
      <c r="A107">
        <v>2</v>
      </c>
      <c r="B107" t="s">
        <v>39</v>
      </c>
      <c r="C107" t="s">
        <v>35</v>
      </c>
      <c r="D107" t="s">
        <v>20</v>
      </c>
      <c r="E107">
        <v>2</v>
      </c>
      <c r="G107">
        <v>1</v>
      </c>
      <c r="I107" t="s">
        <v>21</v>
      </c>
      <c r="J107" t="s">
        <v>22</v>
      </c>
      <c r="K107" t="s">
        <v>23</v>
      </c>
      <c r="M107" t="s">
        <v>1202</v>
      </c>
      <c r="O107" s="1">
        <v>-4.7</v>
      </c>
      <c r="P107" t="s">
        <v>1204</v>
      </c>
      <c r="Q107" t="s">
        <v>1203</v>
      </c>
      <c r="R107" t="s">
        <v>40</v>
      </c>
      <c r="S107" t="s">
        <v>1205</v>
      </c>
    </row>
    <row r="108" spans="1:19">
      <c r="A108">
        <v>2</v>
      </c>
      <c r="B108" t="s">
        <v>39</v>
      </c>
      <c r="C108" t="s">
        <v>35</v>
      </c>
      <c r="D108" t="s">
        <v>20</v>
      </c>
      <c r="E108">
        <v>2</v>
      </c>
      <c r="G108">
        <v>1</v>
      </c>
      <c r="I108" t="s">
        <v>21</v>
      </c>
      <c r="J108" t="s">
        <v>22</v>
      </c>
      <c r="K108" t="s">
        <v>23</v>
      </c>
      <c r="M108" t="s">
        <v>1206</v>
      </c>
      <c r="O108" s="1">
        <v>-3.5</v>
      </c>
      <c r="P108" t="s">
        <v>1204</v>
      </c>
      <c r="Q108" t="s">
        <v>1203</v>
      </c>
      <c r="R108" t="s">
        <v>40</v>
      </c>
      <c r="S108" t="s">
        <v>1207</v>
      </c>
    </row>
    <row r="109" spans="1:19" ht="29">
      <c r="A109">
        <v>2</v>
      </c>
      <c r="B109" t="s">
        <v>39</v>
      </c>
      <c r="C109" t="s">
        <v>35</v>
      </c>
      <c r="D109" t="s">
        <v>20</v>
      </c>
      <c r="E109">
        <v>2</v>
      </c>
      <c r="G109">
        <v>1</v>
      </c>
      <c r="I109" t="s">
        <v>21</v>
      </c>
      <c r="J109" t="s">
        <v>22</v>
      </c>
      <c r="K109" t="s">
        <v>23</v>
      </c>
      <c r="M109" t="s">
        <v>1208</v>
      </c>
      <c r="O109" s="1">
        <v>1.197594904</v>
      </c>
      <c r="P109" s="319" t="s">
        <v>1226</v>
      </c>
      <c r="Q109" t="s">
        <v>1203</v>
      </c>
      <c r="R109" t="s">
        <v>40</v>
      </c>
      <c r="S109" t="s">
        <v>1207</v>
      </c>
    </row>
    <row r="110" spans="1:19" ht="29">
      <c r="A110">
        <v>2</v>
      </c>
      <c r="B110" t="s">
        <v>39</v>
      </c>
      <c r="C110" t="s">
        <v>35</v>
      </c>
      <c r="D110" t="s">
        <v>20</v>
      </c>
      <c r="E110">
        <v>2</v>
      </c>
      <c r="G110">
        <v>1</v>
      </c>
      <c r="I110" t="s">
        <v>21</v>
      </c>
      <c r="J110" t="s">
        <v>22</v>
      </c>
      <c r="K110" t="s">
        <v>23</v>
      </c>
      <c r="M110" t="s">
        <v>1210</v>
      </c>
      <c r="O110" s="1">
        <v>1.2248129700000001</v>
      </c>
      <c r="P110" s="319" t="s">
        <v>1226</v>
      </c>
      <c r="Q110" t="s">
        <v>1203</v>
      </c>
      <c r="R110" t="s">
        <v>40</v>
      </c>
      <c r="S110" t="s">
        <v>1207</v>
      </c>
    </row>
    <row r="111" spans="1:19" ht="29">
      <c r="A111">
        <v>2</v>
      </c>
      <c r="B111" t="s">
        <v>39</v>
      </c>
      <c r="C111" t="s">
        <v>35</v>
      </c>
      <c r="D111" t="s">
        <v>20</v>
      </c>
      <c r="E111">
        <v>2</v>
      </c>
      <c r="G111">
        <v>1</v>
      </c>
      <c r="I111" t="s">
        <v>21</v>
      </c>
      <c r="J111" t="s">
        <v>22</v>
      </c>
      <c r="K111" t="s">
        <v>23</v>
      </c>
      <c r="M111" t="s">
        <v>1211</v>
      </c>
      <c r="O111" s="1">
        <v>1.386655996</v>
      </c>
      <c r="P111" s="319" t="s">
        <v>1227</v>
      </c>
      <c r="Q111" t="s">
        <v>1203</v>
      </c>
      <c r="R111" t="s">
        <v>40</v>
      </c>
      <c r="S111" t="s">
        <v>1207</v>
      </c>
    </row>
    <row r="112" spans="1:19" ht="29">
      <c r="A112">
        <v>2</v>
      </c>
      <c r="B112" t="s">
        <v>39</v>
      </c>
      <c r="C112" t="s">
        <v>35</v>
      </c>
      <c r="D112" t="s">
        <v>20</v>
      </c>
      <c r="E112">
        <v>2</v>
      </c>
      <c r="G112">
        <v>1</v>
      </c>
      <c r="I112" t="s">
        <v>21</v>
      </c>
      <c r="J112" t="s">
        <v>22</v>
      </c>
      <c r="K112" t="s">
        <v>23</v>
      </c>
      <c r="M112" t="s">
        <v>1213</v>
      </c>
      <c r="O112" s="1">
        <v>1.2605963599999999</v>
      </c>
      <c r="P112" s="319" t="s">
        <v>1227</v>
      </c>
      <c r="Q112" t="s">
        <v>1203</v>
      </c>
      <c r="R112" t="s">
        <v>40</v>
      </c>
      <c r="S112" t="s">
        <v>1207</v>
      </c>
    </row>
    <row r="113" spans="1:19" ht="43.5">
      <c r="A113">
        <v>2</v>
      </c>
      <c r="B113" t="s">
        <v>39</v>
      </c>
      <c r="C113" t="s">
        <v>35</v>
      </c>
      <c r="D113" t="s">
        <v>20</v>
      </c>
      <c r="E113">
        <v>2</v>
      </c>
      <c r="G113">
        <v>1</v>
      </c>
      <c r="I113" t="s">
        <v>21</v>
      </c>
      <c r="J113" t="s">
        <v>22</v>
      </c>
      <c r="K113" t="s">
        <v>1214</v>
      </c>
      <c r="M113" t="s">
        <v>1215</v>
      </c>
      <c r="O113" s="1">
        <v>10.696699937999998</v>
      </c>
      <c r="P113" s="319" t="s">
        <v>1228</v>
      </c>
      <c r="Q113" t="s">
        <v>1216</v>
      </c>
      <c r="R113" t="s">
        <v>40</v>
      </c>
      <c r="S113" t="s">
        <v>1207</v>
      </c>
    </row>
    <row r="114" spans="1:19" ht="43.5">
      <c r="A114">
        <v>2</v>
      </c>
      <c r="B114" t="s">
        <v>39</v>
      </c>
      <c r="C114" t="s">
        <v>35</v>
      </c>
      <c r="D114" t="s">
        <v>20</v>
      </c>
      <c r="E114">
        <v>2</v>
      </c>
      <c r="G114">
        <v>1</v>
      </c>
      <c r="I114" t="s">
        <v>21</v>
      </c>
      <c r="J114" t="s">
        <v>22</v>
      </c>
      <c r="K114" t="s">
        <v>1214</v>
      </c>
      <c r="M114" t="s">
        <v>1218</v>
      </c>
      <c r="O114" s="1">
        <v>-2.5072008000000001</v>
      </c>
      <c r="P114" s="319" t="s">
        <v>1229</v>
      </c>
      <c r="Q114" t="s">
        <v>1219</v>
      </c>
      <c r="R114" t="s">
        <v>40</v>
      </c>
      <c r="S114" t="s">
        <v>1207</v>
      </c>
    </row>
    <row r="115" spans="1:19" ht="29">
      <c r="A115">
        <v>2</v>
      </c>
      <c r="B115" t="s">
        <v>39</v>
      </c>
      <c r="C115" t="s">
        <v>35</v>
      </c>
      <c r="D115" t="s">
        <v>20</v>
      </c>
      <c r="E115">
        <v>2</v>
      </c>
      <c r="G115">
        <v>1</v>
      </c>
      <c r="I115" t="s">
        <v>21</v>
      </c>
      <c r="J115" t="s">
        <v>22</v>
      </c>
      <c r="K115" t="s">
        <v>1214</v>
      </c>
      <c r="M115" t="s">
        <v>1221</v>
      </c>
      <c r="O115" s="1">
        <v>17.648349039999999</v>
      </c>
      <c r="P115" s="319" t="s">
        <v>1227</v>
      </c>
      <c r="Q115" t="s">
        <v>1222</v>
      </c>
      <c r="R115" t="s">
        <v>40</v>
      </c>
      <c r="S115" t="s">
        <v>1207</v>
      </c>
    </row>
    <row r="116" spans="1:19" ht="29">
      <c r="A116">
        <v>2</v>
      </c>
      <c r="B116" t="s">
        <v>39</v>
      </c>
      <c r="C116" t="s">
        <v>35</v>
      </c>
      <c r="D116" t="s">
        <v>20</v>
      </c>
      <c r="E116">
        <v>2</v>
      </c>
      <c r="G116">
        <v>1</v>
      </c>
      <c r="I116" t="s">
        <v>21</v>
      </c>
      <c r="J116" t="s">
        <v>22</v>
      </c>
      <c r="K116" t="s">
        <v>1214</v>
      </c>
      <c r="M116" t="s">
        <v>1221</v>
      </c>
      <c r="O116" s="1">
        <v>22.375585389999998</v>
      </c>
      <c r="P116" s="319" t="s">
        <v>1230</v>
      </c>
      <c r="Q116" t="s">
        <v>1222</v>
      </c>
      <c r="R116" t="s">
        <v>40</v>
      </c>
      <c r="S116" t="s">
        <v>1207</v>
      </c>
    </row>
    <row r="117" spans="1:19" ht="43.5">
      <c r="A117">
        <v>2</v>
      </c>
      <c r="B117" t="s">
        <v>39</v>
      </c>
      <c r="C117" t="s">
        <v>35</v>
      </c>
      <c r="D117" t="s">
        <v>20</v>
      </c>
      <c r="E117">
        <v>2</v>
      </c>
      <c r="G117">
        <v>1</v>
      </c>
      <c r="I117" t="s">
        <v>21</v>
      </c>
      <c r="J117" t="s">
        <v>25</v>
      </c>
      <c r="K117" t="s">
        <v>30</v>
      </c>
      <c r="M117" t="s">
        <v>31</v>
      </c>
      <c r="O117" s="1">
        <v>-3.8684349899999999</v>
      </c>
      <c r="P117" s="319" t="s">
        <v>1231</v>
      </c>
      <c r="Q117" t="s">
        <v>1224</v>
      </c>
      <c r="R117" t="s">
        <v>40</v>
      </c>
      <c r="S117" t="s">
        <v>1207</v>
      </c>
    </row>
    <row r="118" spans="1:19">
      <c r="A118">
        <v>2</v>
      </c>
      <c r="B118" t="s">
        <v>39</v>
      </c>
      <c r="C118" t="s">
        <v>35</v>
      </c>
      <c r="D118" t="s">
        <v>20</v>
      </c>
      <c r="E118">
        <v>3</v>
      </c>
      <c r="G118">
        <v>1</v>
      </c>
      <c r="I118" t="s">
        <v>21</v>
      </c>
      <c r="J118" t="s">
        <v>22</v>
      </c>
      <c r="K118" t="s">
        <v>23</v>
      </c>
      <c r="M118" t="s">
        <v>1202</v>
      </c>
      <c r="O118" s="1">
        <v>-4.7</v>
      </c>
      <c r="P118" t="s">
        <v>1204</v>
      </c>
      <c r="Q118" t="s">
        <v>1203</v>
      </c>
      <c r="R118" t="s">
        <v>40</v>
      </c>
      <c r="S118" t="s">
        <v>1205</v>
      </c>
    </row>
    <row r="119" spans="1:19">
      <c r="A119">
        <v>2</v>
      </c>
      <c r="B119" t="s">
        <v>39</v>
      </c>
      <c r="C119" t="s">
        <v>35</v>
      </c>
      <c r="D119" t="s">
        <v>20</v>
      </c>
      <c r="E119">
        <v>3</v>
      </c>
      <c r="G119">
        <v>1</v>
      </c>
      <c r="I119" t="s">
        <v>21</v>
      </c>
      <c r="J119" t="s">
        <v>22</v>
      </c>
      <c r="K119" t="s">
        <v>23</v>
      </c>
      <c r="M119" t="s">
        <v>1206</v>
      </c>
      <c r="O119" s="1">
        <v>-3.5</v>
      </c>
      <c r="P119" t="s">
        <v>1204</v>
      </c>
      <c r="Q119" t="s">
        <v>1203</v>
      </c>
      <c r="R119" t="s">
        <v>40</v>
      </c>
      <c r="S119" t="s">
        <v>1207</v>
      </c>
    </row>
    <row r="120" spans="1:19" ht="29">
      <c r="A120">
        <v>2</v>
      </c>
      <c r="B120" t="s">
        <v>39</v>
      </c>
      <c r="C120" t="s">
        <v>35</v>
      </c>
      <c r="D120" t="s">
        <v>20</v>
      </c>
      <c r="E120">
        <v>3</v>
      </c>
      <c r="G120">
        <v>1</v>
      </c>
      <c r="I120" t="s">
        <v>21</v>
      </c>
      <c r="J120" t="s">
        <v>22</v>
      </c>
      <c r="K120" t="s">
        <v>23</v>
      </c>
      <c r="M120" t="s">
        <v>1208</v>
      </c>
      <c r="O120" s="1">
        <v>1.1834071920000002</v>
      </c>
      <c r="P120" s="319" t="s">
        <v>1232</v>
      </c>
      <c r="Q120" t="s">
        <v>1203</v>
      </c>
      <c r="R120" t="s">
        <v>40</v>
      </c>
      <c r="S120" t="s">
        <v>1207</v>
      </c>
    </row>
    <row r="121" spans="1:19" ht="29">
      <c r="A121">
        <v>2</v>
      </c>
      <c r="B121" t="s">
        <v>39</v>
      </c>
      <c r="C121" t="s">
        <v>35</v>
      </c>
      <c r="D121" t="s">
        <v>20</v>
      </c>
      <c r="E121">
        <v>3</v>
      </c>
      <c r="G121">
        <v>1</v>
      </c>
      <c r="I121" t="s">
        <v>21</v>
      </c>
      <c r="J121" t="s">
        <v>22</v>
      </c>
      <c r="K121" t="s">
        <v>23</v>
      </c>
      <c r="M121" t="s">
        <v>1210</v>
      </c>
      <c r="O121" s="1">
        <v>1.21030281</v>
      </c>
      <c r="P121" s="319" t="s">
        <v>1232</v>
      </c>
      <c r="Q121" t="s">
        <v>1203</v>
      </c>
      <c r="R121" t="s">
        <v>40</v>
      </c>
      <c r="S121" t="s">
        <v>1207</v>
      </c>
    </row>
    <row r="122" spans="1:19" ht="29">
      <c r="A122">
        <v>2</v>
      </c>
      <c r="B122" t="s">
        <v>39</v>
      </c>
      <c r="C122" t="s">
        <v>35</v>
      </c>
      <c r="D122" t="s">
        <v>20</v>
      </c>
      <c r="E122">
        <v>3</v>
      </c>
      <c r="G122">
        <v>1</v>
      </c>
      <c r="I122" t="s">
        <v>21</v>
      </c>
      <c r="J122" t="s">
        <v>22</v>
      </c>
      <c r="K122" t="s">
        <v>23</v>
      </c>
      <c r="M122" t="s">
        <v>1211</v>
      </c>
      <c r="O122" s="1">
        <v>1.3702285080000001</v>
      </c>
      <c r="P122" s="319" t="s">
        <v>1233</v>
      </c>
      <c r="Q122" t="s">
        <v>1203</v>
      </c>
      <c r="R122" t="s">
        <v>40</v>
      </c>
      <c r="S122" t="s">
        <v>1207</v>
      </c>
    </row>
    <row r="123" spans="1:19" ht="29">
      <c r="A123">
        <v>2</v>
      </c>
      <c r="B123" t="s">
        <v>39</v>
      </c>
      <c r="C123" t="s">
        <v>35</v>
      </c>
      <c r="D123" t="s">
        <v>20</v>
      </c>
      <c r="E123">
        <v>3</v>
      </c>
      <c r="G123">
        <v>1</v>
      </c>
      <c r="I123" t="s">
        <v>21</v>
      </c>
      <c r="J123" t="s">
        <v>22</v>
      </c>
      <c r="K123" t="s">
        <v>23</v>
      </c>
      <c r="M123" t="s">
        <v>1213</v>
      </c>
      <c r="O123" s="1">
        <v>1.2456622799999999</v>
      </c>
      <c r="P123" s="319" t="s">
        <v>1233</v>
      </c>
      <c r="Q123" t="s">
        <v>1203</v>
      </c>
      <c r="R123" t="s">
        <v>40</v>
      </c>
      <c r="S123" t="s">
        <v>1207</v>
      </c>
    </row>
    <row r="124" spans="1:19" ht="43.5">
      <c r="A124">
        <v>2</v>
      </c>
      <c r="B124" t="s">
        <v>39</v>
      </c>
      <c r="C124" t="s">
        <v>35</v>
      </c>
      <c r="D124" t="s">
        <v>20</v>
      </c>
      <c r="E124">
        <v>3</v>
      </c>
      <c r="G124">
        <v>1</v>
      </c>
      <c r="I124" t="s">
        <v>21</v>
      </c>
      <c r="J124" t="s">
        <v>22</v>
      </c>
      <c r="K124" t="s">
        <v>1214</v>
      </c>
      <c r="M124" t="s">
        <v>1215</v>
      </c>
      <c r="O124" s="1">
        <v>10.569977873999999</v>
      </c>
      <c r="P124" s="319" t="s">
        <v>1234</v>
      </c>
      <c r="Q124" t="s">
        <v>1216</v>
      </c>
      <c r="R124" t="s">
        <v>40</v>
      </c>
      <c r="S124" t="s">
        <v>1207</v>
      </c>
    </row>
    <row r="125" spans="1:19" ht="43.5">
      <c r="A125">
        <v>2</v>
      </c>
      <c r="B125" t="s">
        <v>39</v>
      </c>
      <c r="C125" t="s">
        <v>35</v>
      </c>
      <c r="D125" t="s">
        <v>20</v>
      </c>
      <c r="E125">
        <v>3</v>
      </c>
      <c r="G125">
        <v>1</v>
      </c>
      <c r="I125" t="s">
        <v>21</v>
      </c>
      <c r="J125" t="s">
        <v>22</v>
      </c>
      <c r="K125" t="s">
        <v>1214</v>
      </c>
      <c r="M125" t="s">
        <v>1218</v>
      </c>
      <c r="O125" s="1">
        <v>-2.4774984</v>
      </c>
      <c r="P125" s="319" t="s">
        <v>1235</v>
      </c>
      <c r="Q125" t="s">
        <v>1219</v>
      </c>
      <c r="R125" t="s">
        <v>40</v>
      </c>
      <c r="S125" t="s">
        <v>1207</v>
      </c>
    </row>
    <row r="126" spans="1:19" ht="29">
      <c r="A126">
        <v>2</v>
      </c>
      <c r="B126" t="s">
        <v>39</v>
      </c>
      <c r="C126" t="s">
        <v>35</v>
      </c>
      <c r="D126" t="s">
        <v>20</v>
      </c>
      <c r="E126">
        <v>3</v>
      </c>
      <c r="G126">
        <v>1</v>
      </c>
      <c r="I126" t="s">
        <v>21</v>
      </c>
      <c r="J126" t="s">
        <v>22</v>
      </c>
      <c r="K126" t="s">
        <v>1214</v>
      </c>
      <c r="M126" t="s">
        <v>1221</v>
      </c>
      <c r="O126" s="1">
        <v>17.439271919999999</v>
      </c>
      <c r="P126" s="319" t="s">
        <v>1233</v>
      </c>
      <c r="Q126" t="s">
        <v>1222</v>
      </c>
      <c r="R126" t="s">
        <v>40</v>
      </c>
      <c r="S126" t="s">
        <v>1207</v>
      </c>
    </row>
    <row r="127" spans="1:19" ht="29">
      <c r="A127">
        <v>2</v>
      </c>
      <c r="B127" t="s">
        <v>39</v>
      </c>
      <c r="C127" t="s">
        <v>35</v>
      </c>
      <c r="D127" t="s">
        <v>20</v>
      </c>
      <c r="E127">
        <v>3</v>
      </c>
      <c r="G127">
        <v>1</v>
      </c>
      <c r="I127" t="s">
        <v>21</v>
      </c>
      <c r="J127" t="s">
        <v>22</v>
      </c>
      <c r="K127" t="s">
        <v>1214</v>
      </c>
      <c r="M127" t="s">
        <v>1221</v>
      </c>
      <c r="O127" s="1">
        <v>22.11050547</v>
      </c>
      <c r="P127" s="319" t="s">
        <v>1236</v>
      </c>
      <c r="Q127" t="s">
        <v>1222</v>
      </c>
      <c r="R127" t="s">
        <v>40</v>
      </c>
      <c r="S127" t="s">
        <v>1207</v>
      </c>
    </row>
    <row r="128" spans="1:19" ht="43.5">
      <c r="A128">
        <v>2</v>
      </c>
      <c r="B128" t="s">
        <v>39</v>
      </c>
      <c r="C128" t="s">
        <v>35</v>
      </c>
      <c r="D128" t="s">
        <v>20</v>
      </c>
      <c r="E128">
        <v>3</v>
      </c>
      <c r="G128">
        <v>1</v>
      </c>
      <c r="I128" t="s">
        <v>21</v>
      </c>
      <c r="J128" t="s">
        <v>25</v>
      </c>
      <c r="K128" t="s">
        <v>30</v>
      </c>
      <c r="M128" t="s">
        <v>31</v>
      </c>
      <c r="O128" s="1">
        <v>-3.8226062700000001</v>
      </c>
      <c r="P128" s="319" t="s">
        <v>1237</v>
      </c>
      <c r="Q128" t="s">
        <v>1224</v>
      </c>
      <c r="R128" t="s">
        <v>40</v>
      </c>
      <c r="S128" t="s">
        <v>1207</v>
      </c>
    </row>
    <row r="129" spans="1:19">
      <c r="A129">
        <v>2</v>
      </c>
      <c r="B129" t="s">
        <v>39</v>
      </c>
      <c r="C129" t="s">
        <v>35</v>
      </c>
      <c r="D129" t="s">
        <v>20</v>
      </c>
      <c r="E129">
        <v>4</v>
      </c>
      <c r="G129">
        <v>1</v>
      </c>
      <c r="I129" t="s">
        <v>21</v>
      </c>
      <c r="J129" t="s">
        <v>22</v>
      </c>
      <c r="K129" t="s">
        <v>23</v>
      </c>
      <c r="M129" t="s">
        <v>1202</v>
      </c>
      <c r="O129" s="1">
        <v>-4.7</v>
      </c>
      <c r="P129" t="s">
        <v>1204</v>
      </c>
      <c r="Q129" t="s">
        <v>1203</v>
      </c>
      <c r="R129" t="s">
        <v>40</v>
      </c>
      <c r="S129" t="s">
        <v>1205</v>
      </c>
    </row>
    <row r="130" spans="1:19">
      <c r="A130">
        <v>2</v>
      </c>
      <c r="B130" t="s">
        <v>39</v>
      </c>
      <c r="C130" t="s">
        <v>35</v>
      </c>
      <c r="D130" t="s">
        <v>20</v>
      </c>
      <c r="E130">
        <v>4</v>
      </c>
      <c r="G130">
        <v>1</v>
      </c>
      <c r="I130" t="s">
        <v>21</v>
      </c>
      <c r="J130" t="s">
        <v>22</v>
      </c>
      <c r="K130" t="s">
        <v>23</v>
      </c>
      <c r="M130" t="s">
        <v>1206</v>
      </c>
      <c r="O130" s="1">
        <v>-3.5</v>
      </c>
      <c r="P130" t="s">
        <v>1204</v>
      </c>
      <c r="Q130" t="s">
        <v>1203</v>
      </c>
      <c r="R130" t="s">
        <v>40</v>
      </c>
      <c r="S130" t="s">
        <v>1207</v>
      </c>
    </row>
    <row r="131" spans="1:19" ht="29">
      <c r="A131">
        <v>2</v>
      </c>
      <c r="B131" t="s">
        <v>39</v>
      </c>
      <c r="C131" t="s">
        <v>35</v>
      </c>
      <c r="D131" t="s">
        <v>20</v>
      </c>
      <c r="E131">
        <v>4</v>
      </c>
      <c r="G131">
        <v>1</v>
      </c>
      <c r="I131" t="s">
        <v>21</v>
      </c>
      <c r="J131" t="s">
        <v>22</v>
      </c>
      <c r="K131" t="s">
        <v>23</v>
      </c>
      <c r="M131" t="s">
        <v>1208</v>
      </c>
      <c r="O131" s="1">
        <v>1.1628856800000003</v>
      </c>
      <c r="P131" s="319" t="s">
        <v>1238</v>
      </c>
      <c r="Q131" t="s">
        <v>1203</v>
      </c>
      <c r="R131" t="s">
        <v>40</v>
      </c>
      <c r="S131" t="s">
        <v>1207</v>
      </c>
    </row>
    <row r="132" spans="1:19" ht="29">
      <c r="A132">
        <v>2</v>
      </c>
      <c r="B132" t="s">
        <v>39</v>
      </c>
      <c r="C132" t="s">
        <v>35</v>
      </c>
      <c r="D132" t="s">
        <v>20</v>
      </c>
      <c r="E132">
        <v>4</v>
      </c>
      <c r="G132">
        <v>1</v>
      </c>
      <c r="I132" t="s">
        <v>21</v>
      </c>
      <c r="J132" t="s">
        <v>22</v>
      </c>
      <c r="K132" t="s">
        <v>23</v>
      </c>
      <c r="M132" t="s">
        <v>1210</v>
      </c>
      <c r="O132" s="1">
        <v>1.1893149000000001</v>
      </c>
      <c r="P132" s="319" t="s">
        <v>1238</v>
      </c>
      <c r="Q132" t="s">
        <v>1203</v>
      </c>
      <c r="R132" t="s">
        <v>40</v>
      </c>
      <c r="S132" t="s">
        <v>1207</v>
      </c>
    </row>
    <row r="133" spans="1:19" ht="29">
      <c r="A133">
        <v>2</v>
      </c>
      <c r="B133" t="s">
        <v>39</v>
      </c>
      <c r="C133" t="s">
        <v>35</v>
      </c>
      <c r="D133" t="s">
        <v>20</v>
      </c>
      <c r="E133">
        <v>4</v>
      </c>
      <c r="G133">
        <v>1</v>
      </c>
      <c r="I133" t="s">
        <v>21</v>
      </c>
      <c r="J133" t="s">
        <v>22</v>
      </c>
      <c r="K133" t="s">
        <v>23</v>
      </c>
      <c r="M133" t="s">
        <v>1211</v>
      </c>
      <c r="O133" s="1">
        <v>1.3464673199999999</v>
      </c>
      <c r="P133" s="319" t="s">
        <v>1239</v>
      </c>
      <c r="Q133" t="s">
        <v>1203</v>
      </c>
      <c r="R133" t="s">
        <v>40</v>
      </c>
      <c r="S133" t="s">
        <v>1207</v>
      </c>
    </row>
    <row r="134" spans="1:19" ht="29">
      <c r="A134">
        <v>2</v>
      </c>
      <c r="B134" t="s">
        <v>39</v>
      </c>
      <c r="C134" t="s">
        <v>35</v>
      </c>
      <c r="D134" t="s">
        <v>20</v>
      </c>
      <c r="E134">
        <v>4</v>
      </c>
      <c r="G134">
        <v>1</v>
      </c>
      <c r="I134" t="s">
        <v>21</v>
      </c>
      <c r="J134" t="s">
        <v>22</v>
      </c>
      <c r="K134" t="s">
        <v>23</v>
      </c>
      <c r="M134" t="s">
        <v>1213</v>
      </c>
      <c r="O134" s="1">
        <v>1.2240612</v>
      </c>
      <c r="P134" s="319" t="s">
        <v>1239</v>
      </c>
      <c r="Q134" t="s">
        <v>1203</v>
      </c>
      <c r="R134" t="s">
        <v>40</v>
      </c>
      <c r="S134" t="s">
        <v>1207</v>
      </c>
    </row>
    <row r="135" spans="1:19" ht="43.5">
      <c r="A135">
        <v>2</v>
      </c>
      <c r="B135" t="s">
        <v>39</v>
      </c>
      <c r="C135" t="s">
        <v>35</v>
      </c>
      <c r="D135" t="s">
        <v>20</v>
      </c>
      <c r="E135">
        <v>4</v>
      </c>
      <c r="G135">
        <v>1</v>
      </c>
      <c r="I135" t="s">
        <v>21</v>
      </c>
      <c r="J135" t="s">
        <v>22</v>
      </c>
      <c r="K135" t="s">
        <v>1214</v>
      </c>
      <c r="M135" t="s">
        <v>1215</v>
      </c>
      <c r="O135" s="1">
        <v>10.386683459999999</v>
      </c>
      <c r="P135" s="319" t="s">
        <v>1240</v>
      </c>
      <c r="Q135" t="s">
        <v>1216</v>
      </c>
      <c r="R135" t="s">
        <v>40</v>
      </c>
      <c r="S135" t="s">
        <v>1207</v>
      </c>
    </row>
    <row r="136" spans="1:19" ht="43.5">
      <c r="A136">
        <v>2</v>
      </c>
      <c r="B136" t="s">
        <v>39</v>
      </c>
      <c r="C136" t="s">
        <v>35</v>
      </c>
      <c r="D136" t="s">
        <v>20</v>
      </c>
      <c r="E136">
        <v>4</v>
      </c>
      <c r="G136">
        <v>1</v>
      </c>
      <c r="I136" t="s">
        <v>21</v>
      </c>
      <c r="J136" t="s">
        <v>22</v>
      </c>
      <c r="K136" t="s">
        <v>1214</v>
      </c>
      <c r="M136" t="s">
        <v>1218</v>
      </c>
      <c r="O136" s="1">
        <v>-2.434536</v>
      </c>
      <c r="P136" s="319" t="s">
        <v>1241</v>
      </c>
      <c r="Q136" t="s">
        <v>1219</v>
      </c>
      <c r="R136" t="s">
        <v>40</v>
      </c>
      <c r="S136" t="s">
        <v>1207</v>
      </c>
    </row>
    <row r="137" spans="1:19" ht="29">
      <c r="A137">
        <v>2</v>
      </c>
      <c r="B137" t="s">
        <v>39</v>
      </c>
      <c r="C137" t="s">
        <v>35</v>
      </c>
      <c r="D137" t="s">
        <v>20</v>
      </c>
      <c r="E137">
        <v>4</v>
      </c>
      <c r="G137">
        <v>1</v>
      </c>
      <c r="I137" t="s">
        <v>21</v>
      </c>
      <c r="J137" t="s">
        <v>22</v>
      </c>
      <c r="K137" t="s">
        <v>1214</v>
      </c>
      <c r="M137" t="s">
        <v>1221</v>
      </c>
      <c r="O137" s="1">
        <v>17.1368568</v>
      </c>
      <c r="P137" s="319" t="s">
        <v>1239</v>
      </c>
      <c r="Q137" t="s">
        <v>1222</v>
      </c>
      <c r="R137" t="s">
        <v>40</v>
      </c>
      <c r="S137" t="s">
        <v>1207</v>
      </c>
    </row>
    <row r="138" spans="1:19" ht="29">
      <c r="A138">
        <v>2</v>
      </c>
      <c r="B138" t="s">
        <v>39</v>
      </c>
      <c r="C138" t="s">
        <v>35</v>
      </c>
      <c r="D138" t="s">
        <v>20</v>
      </c>
      <c r="E138">
        <v>4</v>
      </c>
      <c r="G138">
        <v>1</v>
      </c>
      <c r="I138" t="s">
        <v>21</v>
      </c>
      <c r="J138" t="s">
        <v>22</v>
      </c>
      <c r="K138" t="s">
        <v>1214</v>
      </c>
      <c r="M138" t="s">
        <v>1221</v>
      </c>
      <c r="O138" s="1">
        <v>21.7270863</v>
      </c>
      <c r="P138" s="319" t="s">
        <v>1242</v>
      </c>
      <c r="Q138" t="s">
        <v>1222</v>
      </c>
      <c r="R138" t="s">
        <v>40</v>
      </c>
      <c r="S138" t="s">
        <v>1207</v>
      </c>
    </row>
    <row r="139" spans="1:19" ht="43.5">
      <c r="A139">
        <v>2</v>
      </c>
      <c r="B139" t="s">
        <v>39</v>
      </c>
      <c r="C139" t="s">
        <v>35</v>
      </c>
      <c r="D139" t="s">
        <v>20</v>
      </c>
      <c r="E139">
        <v>4</v>
      </c>
      <c r="G139">
        <v>1</v>
      </c>
      <c r="I139" t="s">
        <v>21</v>
      </c>
      <c r="J139" t="s">
        <v>25</v>
      </c>
      <c r="K139" t="s">
        <v>30</v>
      </c>
      <c r="M139" t="s">
        <v>31</v>
      </c>
      <c r="O139" s="1">
        <v>-3.7563183000000002</v>
      </c>
      <c r="P139" s="319" t="s">
        <v>1243</v>
      </c>
      <c r="Q139" t="s">
        <v>1224</v>
      </c>
      <c r="R139" t="s">
        <v>40</v>
      </c>
      <c r="S139" t="s">
        <v>1207</v>
      </c>
    </row>
    <row r="140" spans="1:19">
      <c r="A140">
        <v>2</v>
      </c>
      <c r="B140" t="s">
        <v>39</v>
      </c>
      <c r="C140" t="s">
        <v>35</v>
      </c>
      <c r="D140" t="s">
        <v>20</v>
      </c>
      <c r="E140">
        <v>5</v>
      </c>
      <c r="G140">
        <v>1</v>
      </c>
      <c r="I140" t="s">
        <v>21</v>
      </c>
      <c r="J140" t="s">
        <v>22</v>
      </c>
      <c r="K140" t="s">
        <v>23</v>
      </c>
      <c r="M140" t="s">
        <v>1202</v>
      </c>
      <c r="O140" s="1">
        <v>-4.7</v>
      </c>
      <c r="P140" t="s">
        <v>1204</v>
      </c>
      <c r="Q140" t="s">
        <v>1203</v>
      </c>
      <c r="R140" t="s">
        <v>40</v>
      </c>
      <c r="S140" t="s">
        <v>1205</v>
      </c>
    </row>
    <row r="141" spans="1:19">
      <c r="A141">
        <v>2</v>
      </c>
      <c r="B141" t="s">
        <v>39</v>
      </c>
      <c r="C141" t="s">
        <v>35</v>
      </c>
      <c r="D141" t="s">
        <v>20</v>
      </c>
      <c r="E141">
        <v>5</v>
      </c>
      <c r="G141">
        <v>1</v>
      </c>
      <c r="I141" t="s">
        <v>21</v>
      </c>
      <c r="J141" t="s">
        <v>22</v>
      </c>
      <c r="K141" t="s">
        <v>23</v>
      </c>
      <c r="M141" t="s">
        <v>1206</v>
      </c>
      <c r="O141" s="1">
        <v>-3.5</v>
      </c>
      <c r="P141" t="s">
        <v>1204</v>
      </c>
      <c r="Q141" t="s">
        <v>1203</v>
      </c>
      <c r="R141" t="s">
        <v>40</v>
      </c>
      <c r="S141" t="s">
        <v>1207</v>
      </c>
    </row>
    <row r="142" spans="1:19" ht="29">
      <c r="A142">
        <v>2</v>
      </c>
      <c r="B142" t="s">
        <v>39</v>
      </c>
      <c r="C142" t="s">
        <v>35</v>
      </c>
      <c r="D142" t="s">
        <v>20</v>
      </c>
      <c r="E142">
        <v>5</v>
      </c>
      <c r="G142">
        <v>1</v>
      </c>
      <c r="I142" t="s">
        <v>21</v>
      </c>
      <c r="J142" t="s">
        <v>22</v>
      </c>
      <c r="K142" t="s">
        <v>23</v>
      </c>
      <c r="M142" t="s">
        <v>1208</v>
      </c>
      <c r="O142" s="1">
        <v>1.197594904</v>
      </c>
      <c r="P142" s="319" t="s">
        <v>1244</v>
      </c>
      <c r="Q142" t="s">
        <v>1203</v>
      </c>
      <c r="R142" t="s">
        <v>40</v>
      </c>
      <c r="S142" t="s">
        <v>1207</v>
      </c>
    </row>
    <row r="143" spans="1:19" ht="29">
      <c r="A143">
        <v>2</v>
      </c>
      <c r="B143" t="s">
        <v>39</v>
      </c>
      <c r="C143" t="s">
        <v>35</v>
      </c>
      <c r="D143" t="s">
        <v>20</v>
      </c>
      <c r="E143">
        <v>5</v>
      </c>
      <c r="G143">
        <v>1</v>
      </c>
      <c r="I143" t="s">
        <v>21</v>
      </c>
      <c r="J143" t="s">
        <v>22</v>
      </c>
      <c r="K143" t="s">
        <v>23</v>
      </c>
      <c r="M143" t="s">
        <v>1210</v>
      </c>
      <c r="O143" s="1">
        <v>1.2248129700000001</v>
      </c>
      <c r="P143" s="319" t="s">
        <v>1244</v>
      </c>
      <c r="Q143" t="s">
        <v>1203</v>
      </c>
      <c r="R143" t="s">
        <v>40</v>
      </c>
      <c r="S143" t="s">
        <v>1207</v>
      </c>
    </row>
    <row r="144" spans="1:19" ht="29">
      <c r="A144">
        <v>2</v>
      </c>
      <c r="B144" t="s">
        <v>39</v>
      </c>
      <c r="C144" t="s">
        <v>35</v>
      </c>
      <c r="D144" t="s">
        <v>20</v>
      </c>
      <c r="E144">
        <v>5</v>
      </c>
      <c r="G144">
        <v>1</v>
      </c>
      <c r="I144" t="s">
        <v>21</v>
      </c>
      <c r="J144" t="s">
        <v>22</v>
      </c>
      <c r="K144" t="s">
        <v>23</v>
      </c>
      <c r="M144" t="s">
        <v>1211</v>
      </c>
      <c r="O144" s="1">
        <v>1.386655996</v>
      </c>
      <c r="P144" s="319" t="s">
        <v>1245</v>
      </c>
      <c r="Q144" t="s">
        <v>1203</v>
      </c>
      <c r="R144" t="s">
        <v>40</v>
      </c>
      <c r="S144" t="s">
        <v>1207</v>
      </c>
    </row>
    <row r="145" spans="1:19" ht="29">
      <c r="A145">
        <v>2</v>
      </c>
      <c r="B145" t="s">
        <v>39</v>
      </c>
      <c r="C145" t="s">
        <v>35</v>
      </c>
      <c r="D145" t="s">
        <v>20</v>
      </c>
      <c r="E145">
        <v>5</v>
      </c>
      <c r="G145">
        <v>1</v>
      </c>
      <c r="I145" t="s">
        <v>21</v>
      </c>
      <c r="J145" t="s">
        <v>22</v>
      </c>
      <c r="K145" t="s">
        <v>23</v>
      </c>
      <c r="M145" t="s">
        <v>1213</v>
      </c>
      <c r="O145" s="1">
        <v>1.2605963599999999</v>
      </c>
      <c r="P145" s="319" t="s">
        <v>1245</v>
      </c>
      <c r="Q145" t="s">
        <v>1203</v>
      </c>
      <c r="R145" t="s">
        <v>40</v>
      </c>
      <c r="S145" t="s">
        <v>1207</v>
      </c>
    </row>
    <row r="146" spans="1:19" ht="43.5">
      <c r="A146">
        <v>2</v>
      </c>
      <c r="B146" t="s">
        <v>39</v>
      </c>
      <c r="C146" t="s">
        <v>35</v>
      </c>
      <c r="D146" t="s">
        <v>20</v>
      </c>
      <c r="E146">
        <v>5</v>
      </c>
      <c r="G146">
        <v>1</v>
      </c>
      <c r="I146" t="s">
        <v>21</v>
      </c>
      <c r="J146" t="s">
        <v>22</v>
      </c>
      <c r="K146" t="s">
        <v>1214</v>
      </c>
      <c r="M146" t="s">
        <v>1215</v>
      </c>
      <c r="O146" s="1">
        <v>10.696699937999998</v>
      </c>
      <c r="P146" s="319" t="s">
        <v>1246</v>
      </c>
      <c r="Q146" t="s">
        <v>1216</v>
      </c>
      <c r="R146" t="s">
        <v>40</v>
      </c>
      <c r="S146" t="s">
        <v>1207</v>
      </c>
    </row>
    <row r="147" spans="1:19" ht="43.5">
      <c r="A147">
        <v>2</v>
      </c>
      <c r="B147" t="s">
        <v>39</v>
      </c>
      <c r="C147" t="s">
        <v>35</v>
      </c>
      <c r="D147" t="s">
        <v>20</v>
      </c>
      <c r="E147">
        <v>5</v>
      </c>
      <c r="G147">
        <v>1</v>
      </c>
      <c r="I147" t="s">
        <v>21</v>
      </c>
      <c r="J147" t="s">
        <v>22</v>
      </c>
      <c r="K147" t="s">
        <v>1214</v>
      </c>
      <c r="M147" t="s">
        <v>1218</v>
      </c>
      <c r="O147" s="1">
        <v>-2.5072008000000001</v>
      </c>
      <c r="P147" s="319" t="s">
        <v>1247</v>
      </c>
      <c r="Q147" t="s">
        <v>1219</v>
      </c>
      <c r="R147" t="s">
        <v>40</v>
      </c>
      <c r="S147" t="s">
        <v>1207</v>
      </c>
    </row>
    <row r="148" spans="1:19" ht="29">
      <c r="A148">
        <v>2</v>
      </c>
      <c r="B148" t="s">
        <v>39</v>
      </c>
      <c r="C148" t="s">
        <v>35</v>
      </c>
      <c r="D148" t="s">
        <v>20</v>
      </c>
      <c r="E148">
        <v>5</v>
      </c>
      <c r="G148">
        <v>1</v>
      </c>
      <c r="I148" t="s">
        <v>21</v>
      </c>
      <c r="J148" t="s">
        <v>22</v>
      </c>
      <c r="K148" t="s">
        <v>1214</v>
      </c>
      <c r="M148" t="s">
        <v>1221</v>
      </c>
      <c r="O148" s="1">
        <v>17.648349039999999</v>
      </c>
      <c r="P148" s="319" t="s">
        <v>1245</v>
      </c>
      <c r="Q148" t="s">
        <v>1222</v>
      </c>
      <c r="R148" t="s">
        <v>40</v>
      </c>
      <c r="S148" t="s">
        <v>1207</v>
      </c>
    </row>
    <row r="149" spans="1:19" ht="29">
      <c r="A149">
        <v>2</v>
      </c>
      <c r="B149" t="s">
        <v>39</v>
      </c>
      <c r="C149" t="s">
        <v>35</v>
      </c>
      <c r="D149" t="s">
        <v>20</v>
      </c>
      <c r="E149">
        <v>5</v>
      </c>
      <c r="G149">
        <v>1</v>
      </c>
      <c r="I149" t="s">
        <v>21</v>
      </c>
      <c r="J149" t="s">
        <v>22</v>
      </c>
      <c r="K149" t="s">
        <v>1214</v>
      </c>
      <c r="M149" t="s">
        <v>1221</v>
      </c>
      <c r="O149" s="1">
        <v>22.375585389999998</v>
      </c>
      <c r="P149" s="319" t="s">
        <v>1248</v>
      </c>
      <c r="Q149" t="s">
        <v>1222</v>
      </c>
      <c r="R149" t="s">
        <v>40</v>
      </c>
      <c r="S149" t="s">
        <v>1207</v>
      </c>
    </row>
    <row r="150" spans="1:19" ht="43.5">
      <c r="A150">
        <v>2</v>
      </c>
      <c r="B150" t="s">
        <v>39</v>
      </c>
      <c r="C150" t="s">
        <v>35</v>
      </c>
      <c r="D150" t="s">
        <v>20</v>
      </c>
      <c r="E150">
        <v>5</v>
      </c>
      <c r="G150">
        <v>1</v>
      </c>
      <c r="I150" t="s">
        <v>21</v>
      </c>
      <c r="J150" t="s">
        <v>25</v>
      </c>
      <c r="K150" t="s">
        <v>30</v>
      </c>
      <c r="M150" t="s">
        <v>31</v>
      </c>
      <c r="O150" s="1">
        <v>-3.8684349899999999</v>
      </c>
      <c r="P150" s="319" t="s">
        <v>1249</v>
      </c>
      <c r="Q150" t="s">
        <v>1224</v>
      </c>
      <c r="R150" t="s">
        <v>40</v>
      </c>
      <c r="S150" t="s">
        <v>1207</v>
      </c>
    </row>
    <row r="151" spans="1:19">
      <c r="A151">
        <v>2</v>
      </c>
      <c r="B151" t="s">
        <v>39</v>
      </c>
      <c r="C151" t="s">
        <v>35</v>
      </c>
      <c r="D151" t="s">
        <v>1250</v>
      </c>
      <c r="F151" t="s">
        <v>1251</v>
      </c>
      <c r="G151">
        <v>1</v>
      </c>
      <c r="I151" t="s">
        <v>21</v>
      </c>
      <c r="J151" t="s">
        <v>22</v>
      </c>
      <c r="K151" t="s">
        <v>23</v>
      </c>
      <c r="M151" t="s">
        <v>1202</v>
      </c>
      <c r="O151" s="1">
        <v>-4.7</v>
      </c>
      <c r="P151" t="s">
        <v>1204</v>
      </c>
      <c r="Q151" t="s">
        <v>1203</v>
      </c>
      <c r="R151" t="s">
        <v>40</v>
      </c>
      <c r="S151" t="s">
        <v>1205</v>
      </c>
    </row>
    <row r="152" spans="1:19">
      <c r="A152">
        <v>2</v>
      </c>
      <c r="B152" t="s">
        <v>39</v>
      </c>
      <c r="C152" t="s">
        <v>35</v>
      </c>
      <c r="D152" t="s">
        <v>1250</v>
      </c>
      <c r="F152" t="s">
        <v>1251</v>
      </c>
      <c r="G152">
        <v>1</v>
      </c>
      <c r="I152" t="s">
        <v>21</v>
      </c>
      <c r="J152" t="s">
        <v>22</v>
      </c>
      <c r="K152" t="s">
        <v>23</v>
      </c>
      <c r="M152" t="s">
        <v>1206</v>
      </c>
      <c r="O152" s="1">
        <v>-3.5</v>
      </c>
      <c r="P152" t="s">
        <v>1204</v>
      </c>
      <c r="Q152" t="s">
        <v>1203</v>
      </c>
      <c r="R152" t="s">
        <v>40</v>
      </c>
      <c r="S152" t="s">
        <v>1207</v>
      </c>
    </row>
    <row r="153" spans="1:19" ht="29">
      <c r="A153">
        <v>2</v>
      </c>
      <c r="B153" t="s">
        <v>39</v>
      </c>
      <c r="C153" t="s">
        <v>35</v>
      </c>
      <c r="D153" t="s">
        <v>1250</v>
      </c>
      <c r="F153" t="s">
        <v>1251</v>
      </c>
      <c r="G153">
        <v>1</v>
      </c>
      <c r="I153" t="s">
        <v>21</v>
      </c>
      <c r="J153" t="s">
        <v>22</v>
      </c>
      <c r="K153" t="s">
        <v>23</v>
      </c>
      <c r="M153" t="s">
        <v>1208</v>
      </c>
      <c r="O153" s="1">
        <v>0.66504900000000011</v>
      </c>
      <c r="P153" s="319" t="s">
        <v>1252</v>
      </c>
      <c r="Q153" t="s">
        <v>1203</v>
      </c>
      <c r="R153" t="s">
        <v>40</v>
      </c>
      <c r="S153" t="s">
        <v>1207</v>
      </c>
    </row>
    <row r="154" spans="1:19" ht="29">
      <c r="A154">
        <v>2</v>
      </c>
      <c r="B154" t="s">
        <v>39</v>
      </c>
      <c r="C154" t="s">
        <v>35</v>
      </c>
      <c r="D154" t="s">
        <v>1250</v>
      </c>
      <c r="F154" t="s">
        <v>1251</v>
      </c>
      <c r="G154">
        <v>1</v>
      </c>
      <c r="I154" t="s">
        <v>21</v>
      </c>
      <c r="J154" t="s">
        <v>22</v>
      </c>
      <c r="K154" t="s">
        <v>23</v>
      </c>
      <c r="M154" t="s">
        <v>1210</v>
      </c>
      <c r="O154" s="1">
        <v>0.68016375000000007</v>
      </c>
      <c r="P154" s="319" t="s">
        <v>1252</v>
      </c>
      <c r="Q154" t="s">
        <v>1203</v>
      </c>
      <c r="R154" t="s">
        <v>40</v>
      </c>
      <c r="S154" t="s">
        <v>1207</v>
      </c>
    </row>
    <row r="155" spans="1:19" ht="29">
      <c r="A155">
        <v>2</v>
      </c>
      <c r="B155" t="s">
        <v>39</v>
      </c>
      <c r="C155" t="s">
        <v>35</v>
      </c>
      <c r="D155" t="s">
        <v>1250</v>
      </c>
      <c r="F155" t="s">
        <v>1251</v>
      </c>
      <c r="G155">
        <v>1</v>
      </c>
      <c r="I155" t="s">
        <v>21</v>
      </c>
      <c r="J155" t="s">
        <v>22</v>
      </c>
      <c r="K155" t="s">
        <v>23</v>
      </c>
      <c r="M155" t="s">
        <v>1211</v>
      </c>
      <c r="O155" s="1">
        <v>0.77003849999999996</v>
      </c>
      <c r="P155" s="319" t="s">
        <v>1253</v>
      </c>
      <c r="Q155" t="s">
        <v>1203</v>
      </c>
      <c r="R155" t="s">
        <v>40</v>
      </c>
      <c r="S155" t="s">
        <v>1207</v>
      </c>
    </row>
    <row r="156" spans="1:19" ht="29">
      <c r="A156">
        <v>2</v>
      </c>
      <c r="B156" t="s">
        <v>39</v>
      </c>
      <c r="C156" t="s">
        <v>35</v>
      </c>
      <c r="D156" t="s">
        <v>1250</v>
      </c>
      <c r="F156" t="s">
        <v>1251</v>
      </c>
      <c r="G156">
        <v>1</v>
      </c>
      <c r="I156" t="s">
        <v>21</v>
      </c>
      <c r="J156" t="s">
        <v>22</v>
      </c>
      <c r="K156" t="s">
        <v>23</v>
      </c>
      <c r="M156" t="s">
        <v>1213</v>
      </c>
      <c r="O156" s="1">
        <v>0.70003499999999996</v>
      </c>
      <c r="P156" s="319" t="s">
        <v>1253</v>
      </c>
      <c r="Q156" t="s">
        <v>1203</v>
      </c>
      <c r="R156" t="s">
        <v>40</v>
      </c>
      <c r="S156" t="s">
        <v>1207</v>
      </c>
    </row>
    <row r="157" spans="1:19" ht="43.5">
      <c r="A157">
        <v>2</v>
      </c>
      <c r="B157" t="s">
        <v>39</v>
      </c>
      <c r="C157" t="s">
        <v>35</v>
      </c>
      <c r="D157" t="s">
        <v>1250</v>
      </c>
      <c r="F157" t="s">
        <v>1251</v>
      </c>
      <c r="G157">
        <v>1</v>
      </c>
      <c r="I157" t="s">
        <v>21</v>
      </c>
      <c r="J157" t="s">
        <v>22</v>
      </c>
      <c r="K157" t="s">
        <v>1214</v>
      </c>
      <c r="M157" t="s">
        <v>1215</v>
      </c>
      <c r="O157" s="1">
        <v>5.9400967499999995</v>
      </c>
      <c r="P157" s="319" t="s">
        <v>1254</v>
      </c>
      <c r="Q157" t="s">
        <v>1216</v>
      </c>
      <c r="R157" t="s">
        <v>40</v>
      </c>
      <c r="S157" t="s">
        <v>1207</v>
      </c>
    </row>
    <row r="158" spans="1:19" ht="43.5">
      <c r="A158">
        <v>2</v>
      </c>
      <c r="B158" t="s">
        <v>39</v>
      </c>
      <c r="C158" t="s">
        <v>35</v>
      </c>
      <c r="D158" t="s">
        <v>1250</v>
      </c>
      <c r="F158" t="s">
        <v>1251</v>
      </c>
      <c r="G158">
        <v>1</v>
      </c>
      <c r="I158" t="s">
        <v>21</v>
      </c>
      <c r="J158" t="s">
        <v>22</v>
      </c>
      <c r="K158" t="s">
        <v>1214</v>
      </c>
      <c r="M158" t="s">
        <v>1218</v>
      </c>
      <c r="O158" s="1">
        <v>-1.3923000000000001</v>
      </c>
      <c r="P158" s="319" t="s">
        <v>1255</v>
      </c>
      <c r="Q158" t="s">
        <v>1219</v>
      </c>
      <c r="R158" t="s">
        <v>40</v>
      </c>
      <c r="S158" t="s">
        <v>1207</v>
      </c>
    </row>
    <row r="159" spans="1:19" ht="29">
      <c r="A159">
        <v>2</v>
      </c>
      <c r="B159" t="s">
        <v>39</v>
      </c>
      <c r="C159" t="s">
        <v>35</v>
      </c>
      <c r="D159" t="s">
        <v>1250</v>
      </c>
      <c r="F159" t="s">
        <v>1251</v>
      </c>
      <c r="G159">
        <v>1</v>
      </c>
      <c r="I159" t="s">
        <v>21</v>
      </c>
      <c r="J159" t="s">
        <v>22</v>
      </c>
      <c r="K159" t="s">
        <v>1214</v>
      </c>
      <c r="M159" t="s">
        <v>1221</v>
      </c>
      <c r="O159" s="1">
        <v>9.8004899999999999</v>
      </c>
      <c r="P159" s="319" t="s">
        <v>1253</v>
      </c>
      <c r="Q159" t="s">
        <v>1222</v>
      </c>
      <c r="R159" t="s">
        <v>40</v>
      </c>
      <c r="S159" t="s">
        <v>1207</v>
      </c>
    </row>
    <row r="160" spans="1:19" ht="29">
      <c r="A160">
        <v>2</v>
      </c>
      <c r="B160" t="s">
        <v>39</v>
      </c>
      <c r="C160" t="s">
        <v>35</v>
      </c>
      <c r="D160" t="s">
        <v>1250</v>
      </c>
      <c r="F160" t="s">
        <v>1251</v>
      </c>
      <c r="G160">
        <v>1</v>
      </c>
      <c r="I160" t="s">
        <v>21</v>
      </c>
      <c r="J160" t="s">
        <v>22</v>
      </c>
      <c r="K160" t="s">
        <v>1214</v>
      </c>
      <c r="M160" t="s">
        <v>1221</v>
      </c>
      <c r="O160" s="1">
        <v>12.425621249999999</v>
      </c>
      <c r="P160" s="319" t="s">
        <v>1256</v>
      </c>
      <c r="Q160" t="s">
        <v>1222</v>
      </c>
      <c r="R160" t="s">
        <v>40</v>
      </c>
      <c r="S160" t="s">
        <v>1207</v>
      </c>
    </row>
    <row r="161" spans="1:19" ht="43.5">
      <c r="A161">
        <v>2</v>
      </c>
      <c r="B161" t="s">
        <v>39</v>
      </c>
      <c r="C161" t="s">
        <v>35</v>
      </c>
      <c r="D161" t="s">
        <v>1250</v>
      </c>
      <c r="F161" t="s">
        <v>1251</v>
      </c>
      <c r="G161">
        <v>1</v>
      </c>
      <c r="I161" t="s">
        <v>21</v>
      </c>
      <c r="J161" t="s">
        <v>25</v>
      </c>
      <c r="K161" t="s">
        <v>30</v>
      </c>
      <c r="M161" t="s">
        <v>31</v>
      </c>
      <c r="O161" s="1">
        <v>-2.1482212500000002</v>
      </c>
      <c r="P161" s="319" t="s">
        <v>1257</v>
      </c>
      <c r="Q161" t="s">
        <v>1224</v>
      </c>
      <c r="R161" t="s">
        <v>40</v>
      </c>
      <c r="S161" t="s">
        <v>1207</v>
      </c>
    </row>
  </sheetData>
  <autoFilter ref="D1:R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zoomScale="80" zoomScaleNormal="80" workbookViewId="0">
      <selection activeCell="L19" sqref="L19"/>
    </sheetView>
  </sheetViews>
  <sheetFormatPr defaultRowHeight="14.5"/>
  <cols>
    <col min="1" max="1" width="6.1796875" bestFit="1" customWidth="1"/>
    <col min="2" max="2" width="19.1796875" bestFit="1" customWidth="1"/>
    <col min="3" max="4" width="19.81640625" bestFit="1" customWidth="1"/>
    <col min="5" max="5" width="20.26953125" bestFit="1" customWidth="1"/>
    <col min="6" max="6" width="16.453125" bestFit="1" customWidth="1"/>
    <col min="7" max="7" width="8" bestFit="1" customWidth="1"/>
    <col min="8" max="8" width="15.26953125" bestFit="1" customWidth="1"/>
    <col min="9" max="9" width="10.26953125" bestFit="1" customWidth="1"/>
    <col min="10" max="10" width="16.1796875" bestFit="1" customWidth="1"/>
    <col min="11" max="11" width="17" bestFit="1" customWidth="1"/>
    <col min="12" max="12" width="14.453125" bestFit="1" customWidth="1"/>
    <col min="13" max="13" width="65" bestFit="1" customWidth="1"/>
    <col min="14" max="14" width="16.26953125" bestFit="1" customWidth="1"/>
    <col min="15" max="15" width="10.1796875" bestFit="1" customWidth="1"/>
    <col min="16" max="16" width="48.1796875" bestFit="1" customWidth="1"/>
    <col min="17" max="17" width="25.7265625" bestFit="1" customWidth="1"/>
    <col min="18" max="18" width="66.26953125" bestFit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16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9</v>
      </c>
      <c r="N1" s="2" t="s">
        <v>17</v>
      </c>
      <c r="O1" s="2" t="s">
        <v>13</v>
      </c>
      <c r="P1" s="2" t="s">
        <v>14</v>
      </c>
      <c r="Q1" s="2" t="s">
        <v>10</v>
      </c>
      <c r="R1" s="2" t="s">
        <v>15</v>
      </c>
    </row>
    <row r="2" spans="1:18">
      <c r="A2">
        <v>2</v>
      </c>
      <c r="B2" t="s">
        <v>39</v>
      </c>
      <c r="C2" t="s">
        <v>19</v>
      </c>
      <c r="D2" t="s">
        <v>20</v>
      </c>
      <c r="G2">
        <v>1</v>
      </c>
      <c r="I2" t="s">
        <v>21</v>
      </c>
      <c r="J2" t="s">
        <v>22</v>
      </c>
      <c r="K2" t="s">
        <v>71</v>
      </c>
      <c r="L2" t="s">
        <v>33</v>
      </c>
      <c r="M2" t="s">
        <v>1258</v>
      </c>
      <c r="O2" s="240">
        <v>10</v>
      </c>
      <c r="P2" t="s">
        <v>1259</v>
      </c>
      <c r="Q2" t="s">
        <v>1261</v>
      </c>
      <c r="R2" t="s">
        <v>1260</v>
      </c>
    </row>
    <row r="3" spans="1:18">
      <c r="A3">
        <v>2</v>
      </c>
      <c r="B3" t="s">
        <v>39</v>
      </c>
      <c r="C3" t="s">
        <v>19</v>
      </c>
      <c r="D3" t="s">
        <v>20</v>
      </c>
      <c r="G3">
        <v>1</v>
      </c>
      <c r="I3" t="s">
        <v>21</v>
      </c>
      <c r="J3" t="s">
        <v>22</v>
      </c>
      <c r="K3" t="s">
        <v>1317</v>
      </c>
      <c r="L3" t="s">
        <v>33</v>
      </c>
      <c r="M3" t="s">
        <v>1262</v>
      </c>
      <c r="O3" s="240">
        <v>15</v>
      </c>
      <c r="Q3" t="s">
        <v>1261</v>
      </c>
      <c r="R3" t="s">
        <v>1260</v>
      </c>
    </row>
    <row r="4" spans="1:18">
      <c r="A4">
        <v>2</v>
      </c>
      <c r="B4" t="s">
        <v>39</v>
      </c>
      <c r="C4" t="s">
        <v>19</v>
      </c>
      <c r="D4" t="s">
        <v>20</v>
      </c>
      <c r="G4">
        <v>1</v>
      </c>
      <c r="I4" t="s">
        <v>21</v>
      </c>
      <c r="J4" t="s">
        <v>22</v>
      </c>
      <c r="K4" t="s">
        <v>30</v>
      </c>
      <c r="L4" t="s">
        <v>33</v>
      </c>
      <c r="M4" t="s">
        <v>1263</v>
      </c>
      <c r="O4" s="240">
        <v>1.44</v>
      </c>
      <c r="P4" t="s">
        <v>1264</v>
      </c>
      <c r="Q4" t="s">
        <v>1261</v>
      </c>
      <c r="R4" t="s">
        <v>1260</v>
      </c>
    </row>
    <row r="5" spans="1:18">
      <c r="A5">
        <v>2</v>
      </c>
      <c r="B5" t="s">
        <v>39</v>
      </c>
      <c r="C5" t="s">
        <v>19</v>
      </c>
      <c r="D5" t="s">
        <v>20</v>
      </c>
      <c r="G5">
        <v>1</v>
      </c>
      <c r="I5" t="s">
        <v>21</v>
      </c>
      <c r="J5" t="s">
        <v>22</v>
      </c>
      <c r="K5" t="s">
        <v>71</v>
      </c>
      <c r="L5" t="s">
        <v>33</v>
      </c>
      <c r="M5" t="s">
        <v>1265</v>
      </c>
      <c r="O5" s="240">
        <v>5</v>
      </c>
      <c r="Q5" t="s">
        <v>1261</v>
      </c>
      <c r="R5" t="s">
        <v>1260</v>
      </c>
    </row>
    <row r="6" spans="1:18">
      <c r="A6">
        <v>2</v>
      </c>
      <c r="B6" t="s">
        <v>39</v>
      </c>
      <c r="C6" t="s">
        <v>19</v>
      </c>
      <c r="D6" t="s">
        <v>20</v>
      </c>
      <c r="G6">
        <v>1</v>
      </c>
      <c r="I6" t="s">
        <v>21</v>
      </c>
      <c r="J6" t="s">
        <v>22</v>
      </c>
      <c r="K6" t="s">
        <v>408</v>
      </c>
      <c r="L6" t="s">
        <v>33</v>
      </c>
      <c r="M6" t="s">
        <v>1266</v>
      </c>
      <c r="O6" s="240">
        <v>7</v>
      </c>
      <c r="Q6" t="s">
        <v>1261</v>
      </c>
      <c r="R6" t="s">
        <v>1260</v>
      </c>
    </row>
    <row r="7" spans="1:18">
      <c r="A7">
        <v>2</v>
      </c>
      <c r="B7" t="s">
        <v>39</v>
      </c>
      <c r="C7" t="s">
        <v>19</v>
      </c>
      <c r="D7" t="s">
        <v>20</v>
      </c>
      <c r="G7">
        <v>1</v>
      </c>
      <c r="I7" t="s">
        <v>21</v>
      </c>
      <c r="J7" t="s">
        <v>22</v>
      </c>
      <c r="K7" t="s">
        <v>30</v>
      </c>
      <c r="L7" t="s">
        <v>33</v>
      </c>
      <c r="M7" t="s">
        <v>1267</v>
      </c>
      <c r="O7" s="240">
        <v>24</v>
      </c>
      <c r="P7" t="s">
        <v>1268</v>
      </c>
      <c r="Q7" t="s">
        <v>1261</v>
      </c>
      <c r="R7" t="s">
        <v>1260</v>
      </c>
    </row>
    <row r="8" spans="1:18">
      <c r="A8">
        <v>2</v>
      </c>
      <c r="B8" t="s">
        <v>39</v>
      </c>
      <c r="C8" t="s">
        <v>19</v>
      </c>
      <c r="D8" t="s">
        <v>20</v>
      </c>
      <c r="G8">
        <v>1</v>
      </c>
      <c r="I8" t="s">
        <v>21</v>
      </c>
      <c r="J8" t="s">
        <v>26</v>
      </c>
      <c r="K8" t="s">
        <v>26</v>
      </c>
      <c r="L8" t="s">
        <v>33</v>
      </c>
      <c r="M8" t="s">
        <v>1269</v>
      </c>
      <c r="O8" s="240">
        <v>5</v>
      </c>
      <c r="P8" t="s">
        <v>1270</v>
      </c>
      <c r="Q8" t="s">
        <v>1261</v>
      </c>
      <c r="R8" t="s">
        <v>1260</v>
      </c>
    </row>
    <row r="9" spans="1:18">
      <c r="A9">
        <v>2</v>
      </c>
      <c r="B9" t="s">
        <v>39</v>
      </c>
      <c r="C9" t="s">
        <v>35</v>
      </c>
      <c r="D9" t="s">
        <v>20</v>
      </c>
      <c r="G9">
        <v>1</v>
      </c>
      <c r="I9" t="s">
        <v>21</v>
      </c>
      <c r="J9" t="s">
        <v>22</v>
      </c>
      <c r="K9" t="s">
        <v>71</v>
      </c>
      <c r="L9" t="s">
        <v>33</v>
      </c>
      <c r="M9" t="s">
        <v>1258</v>
      </c>
      <c r="O9" s="240">
        <v>10</v>
      </c>
      <c r="P9" t="s">
        <v>1259</v>
      </c>
      <c r="Q9" t="s">
        <v>1261</v>
      </c>
      <c r="R9" t="s">
        <v>1260</v>
      </c>
    </row>
    <row r="10" spans="1:18">
      <c r="A10">
        <v>2</v>
      </c>
      <c r="B10" t="s">
        <v>39</v>
      </c>
      <c r="C10" t="s">
        <v>35</v>
      </c>
      <c r="D10" t="s">
        <v>20</v>
      </c>
      <c r="G10">
        <v>1</v>
      </c>
      <c r="I10" t="s">
        <v>21</v>
      </c>
      <c r="J10" t="s">
        <v>22</v>
      </c>
      <c r="K10" t="s">
        <v>981</v>
      </c>
      <c r="L10" t="s">
        <v>33</v>
      </c>
      <c r="M10" t="s">
        <v>1262</v>
      </c>
      <c r="O10" s="240">
        <v>15</v>
      </c>
      <c r="Q10" t="s">
        <v>1261</v>
      </c>
      <c r="R10" t="s">
        <v>1260</v>
      </c>
    </row>
    <row r="11" spans="1:18">
      <c r="A11">
        <v>2</v>
      </c>
      <c r="B11" t="s">
        <v>39</v>
      </c>
      <c r="C11" t="s">
        <v>35</v>
      </c>
      <c r="D11" t="s">
        <v>20</v>
      </c>
      <c r="G11">
        <v>1</v>
      </c>
      <c r="I11" t="s">
        <v>21</v>
      </c>
      <c r="J11" t="s">
        <v>22</v>
      </c>
      <c r="K11" t="s">
        <v>30</v>
      </c>
      <c r="L11" t="s">
        <v>33</v>
      </c>
      <c r="M11" t="s">
        <v>1263</v>
      </c>
      <c r="O11" s="240">
        <v>1.44</v>
      </c>
      <c r="P11" t="s">
        <v>1264</v>
      </c>
      <c r="Q11" t="s">
        <v>1261</v>
      </c>
      <c r="R11" t="s">
        <v>1260</v>
      </c>
    </row>
    <row r="12" spans="1:18">
      <c r="A12">
        <v>2</v>
      </c>
      <c r="B12" t="s">
        <v>39</v>
      </c>
      <c r="C12" t="s">
        <v>35</v>
      </c>
      <c r="D12" t="s">
        <v>20</v>
      </c>
      <c r="G12">
        <v>1</v>
      </c>
      <c r="I12" t="s">
        <v>21</v>
      </c>
      <c r="J12" t="s">
        <v>22</v>
      </c>
      <c r="K12" t="s">
        <v>71</v>
      </c>
      <c r="L12" t="s">
        <v>33</v>
      </c>
      <c r="M12" t="s">
        <v>1265</v>
      </c>
      <c r="O12" s="240">
        <v>5</v>
      </c>
      <c r="Q12" t="s">
        <v>1261</v>
      </c>
      <c r="R12" t="s">
        <v>1260</v>
      </c>
    </row>
    <row r="13" spans="1:18">
      <c r="A13">
        <v>2</v>
      </c>
      <c r="B13" t="s">
        <v>39</v>
      </c>
      <c r="C13" t="s">
        <v>35</v>
      </c>
      <c r="D13" t="s">
        <v>20</v>
      </c>
      <c r="G13">
        <v>1</v>
      </c>
      <c r="I13" t="s">
        <v>21</v>
      </c>
      <c r="J13" t="s">
        <v>22</v>
      </c>
      <c r="K13" t="s">
        <v>408</v>
      </c>
      <c r="L13" t="s">
        <v>33</v>
      </c>
      <c r="M13" t="s">
        <v>1266</v>
      </c>
      <c r="O13" s="240">
        <v>7</v>
      </c>
      <c r="Q13" t="s">
        <v>1261</v>
      </c>
      <c r="R13" t="s">
        <v>1260</v>
      </c>
    </row>
    <row r="14" spans="1:18">
      <c r="A14">
        <v>2</v>
      </c>
      <c r="B14" t="s">
        <v>39</v>
      </c>
      <c r="C14" t="s">
        <v>35</v>
      </c>
      <c r="D14" t="s">
        <v>20</v>
      </c>
      <c r="G14">
        <v>1</v>
      </c>
      <c r="I14" t="s">
        <v>21</v>
      </c>
      <c r="J14" t="s">
        <v>22</v>
      </c>
      <c r="K14" t="s">
        <v>30</v>
      </c>
      <c r="L14" t="s">
        <v>33</v>
      </c>
      <c r="M14" t="s">
        <v>1267</v>
      </c>
      <c r="O14" s="240">
        <v>24</v>
      </c>
      <c r="P14" t="s">
        <v>1268</v>
      </c>
      <c r="Q14" t="s">
        <v>1261</v>
      </c>
      <c r="R14" t="s">
        <v>1260</v>
      </c>
    </row>
    <row r="15" spans="1:18">
      <c r="A15">
        <v>2</v>
      </c>
      <c r="B15" t="s">
        <v>39</v>
      </c>
      <c r="C15" t="s">
        <v>35</v>
      </c>
      <c r="D15" t="s">
        <v>20</v>
      </c>
      <c r="G15">
        <v>1</v>
      </c>
      <c r="I15" t="s">
        <v>21</v>
      </c>
      <c r="J15" t="s">
        <v>26</v>
      </c>
      <c r="K15" t="s">
        <v>26</v>
      </c>
      <c r="L15" t="s">
        <v>32</v>
      </c>
      <c r="M15" t="s">
        <v>1269</v>
      </c>
      <c r="O15" s="240">
        <v>5</v>
      </c>
      <c r="P15" t="s">
        <v>1270</v>
      </c>
      <c r="Q15" t="s">
        <v>1261</v>
      </c>
      <c r="R15" t="s">
        <v>1260</v>
      </c>
    </row>
  </sheetData>
  <autoFilter ref="A1: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To-Do-Tracker</vt:lpstr>
      <vt:lpstr>Conventional Corn-CC</vt:lpstr>
      <vt:lpstr>Conventional Corn-CS</vt:lpstr>
      <vt:lpstr>Conservation Corn-CC</vt:lpstr>
      <vt:lpstr>Conservation Corn-CS</vt:lpstr>
      <vt:lpstr>Conventional Soybeans</vt:lpstr>
      <vt:lpstr>Conservation Soybeans</vt:lpstr>
      <vt:lpstr>No-Till</vt:lpstr>
      <vt:lpstr>Cover Crops</vt:lpstr>
      <vt:lpstr>Grassed Waterways</vt:lpstr>
      <vt:lpstr>Contours</vt:lpstr>
      <vt:lpstr>Buffers</vt:lpstr>
      <vt:lpstr>Alfalfa</vt:lpstr>
      <vt:lpstr>Permanent Pasture</vt:lpstr>
      <vt:lpstr>Rotational Grazing</vt:lpstr>
      <vt:lpstr>Grass Hay</vt:lpstr>
      <vt:lpstr>Prairie</vt:lpstr>
      <vt:lpstr>Conservation Forest</vt:lpstr>
      <vt:lpstr>Conventional Forest</vt:lpstr>
      <vt:lpstr>Switchgrass</vt:lpstr>
      <vt:lpstr>Short-rotation Woody Bioenergy</vt:lpstr>
      <vt:lpstr>Wetland</vt:lpstr>
      <vt:lpstr>Mixed F&amp;V - Green Beans</vt:lpstr>
      <vt:lpstr>Mixed F&amp;V- Strawberries</vt:lpstr>
      <vt:lpstr>Mixed F&amp;V - Winter Squash</vt:lpstr>
      <vt:lpstr>Mixed F&amp;V - Grapes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Hosting, Bryce A</dc:creator>
  <cp:lastModifiedBy>Lee, Jian K</cp:lastModifiedBy>
  <dcterms:created xsi:type="dcterms:W3CDTF">2019-05-21T17:45:17Z</dcterms:created>
  <dcterms:modified xsi:type="dcterms:W3CDTF">2019-07-16T16:39:05Z</dcterms:modified>
</cp:coreProperties>
</file>