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lore\Desktop\Projectes\OBRADOR\"/>
    </mc:Choice>
  </mc:AlternateContent>
  <xr:revisionPtr revIDLastSave="0" documentId="13_ncr:1_{7310A8FF-D9CF-4F29-8C85-BF011690DE08}" xr6:coauthVersionLast="45" xr6:coauthVersionMax="45" xr10:uidLastSave="{00000000-0000-0000-0000-000000000000}"/>
  <bookViews>
    <workbookView xWindow="32025" yWindow="0" windowWidth="15390" windowHeight="13605" activeTab="1" xr2:uid="{00000000-000D-0000-FFFF-FFFF00000000}"/>
  </bookViews>
  <sheets>
    <sheet name="Hoja1" sheetId="1" r:id="rId1"/>
    <sheet name="Línies" sheetId="2" r:id="rId2"/>
    <sheet name="Hoja2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E93" i="2" l="1"/>
  <c r="E92" i="2"/>
  <c r="M99" i="2" l="1"/>
  <c r="M97" i="2"/>
  <c r="J97" i="2"/>
  <c r="E99" i="2"/>
  <c r="M104" i="2"/>
  <c r="J104" i="2"/>
  <c r="J93" i="2"/>
  <c r="J94" i="2"/>
  <c r="J95" i="2"/>
  <c r="E94" i="2"/>
  <c r="E95" i="2"/>
  <c r="C26" i="1" l="1"/>
  <c r="B26" i="1"/>
  <c r="B28" i="1" s="1"/>
  <c r="G20" i="1"/>
  <c r="E20" i="1"/>
  <c r="I20" i="1" s="1"/>
  <c r="D114" i="2" l="1"/>
  <c r="D111" i="2"/>
  <c r="D110" i="2"/>
  <c r="D109" i="2"/>
  <c r="D108" i="2"/>
  <c r="I105" i="2"/>
  <c r="H109" i="2"/>
  <c r="I109" i="2" s="1"/>
  <c r="H110" i="2"/>
  <c r="I110" i="2" s="1"/>
  <c r="H108" i="2"/>
  <c r="G99" i="2"/>
  <c r="J99" i="2" s="1"/>
  <c r="G97" i="2"/>
  <c r="P97" i="2"/>
  <c r="G94" i="2"/>
  <c r="G93" i="2"/>
  <c r="G95" i="2"/>
  <c r="G92" i="2"/>
  <c r="J92" i="2" s="1"/>
  <c r="E104" i="2"/>
  <c r="E97" i="2"/>
  <c r="I108" i="2" l="1"/>
  <c r="I111" i="2" s="1"/>
  <c r="G108" i="2"/>
  <c r="G96" i="2"/>
  <c r="P99" i="2"/>
  <c r="G104" i="2"/>
  <c r="E121" i="2"/>
  <c r="E84" i="2"/>
  <c r="E76" i="2"/>
  <c r="E73" i="2"/>
  <c r="E69" i="2"/>
  <c r="E62" i="2"/>
  <c r="E83" i="2"/>
  <c r="E82" i="2"/>
  <c r="E77" i="2"/>
  <c r="E61" i="2"/>
  <c r="I114" i="2" l="1"/>
  <c r="I115" i="2" s="1"/>
  <c r="I113" i="2"/>
  <c r="E122" i="2"/>
  <c r="E124" i="2"/>
  <c r="G124" i="2" s="1"/>
  <c r="D115" i="2"/>
  <c r="D116" i="2" s="1"/>
  <c r="D117" i="2" s="1"/>
  <c r="G105" i="2"/>
  <c r="P104" i="2"/>
  <c r="E7" i="1"/>
  <c r="E86" i="2"/>
  <c r="E75" i="2"/>
  <c r="P79" i="2"/>
  <c r="P77" i="2"/>
  <c r="E72" i="2"/>
  <c r="E71" i="2"/>
  <c r="G71" i="2" s="1"/>
  <c r="E65" i="2"/>
  <c r="E64" i="2"/>
  <c r="N83" i="2"/>
  <c r="L83" i="2"/>
  <c r="G83" i="2"/>
  <c r="N82" i="2"/>
  <c r="L82" i="2"/>
  <c r="G82" i="2"/>
  <c r="N81" i="2"/>
  <c r="L81" i="2"/>
  <c r="E81" i="2"/>
  <c r="G81" i="2" s="1"/>
  <c r="N79" i="2"/>
  <c r="L79" i="2"/>
  <c r="E79" i="2"/>
  <c r="G79" i="2" s="1"/>
  <c r="G77" i="2"/>
  <c r="N75" i="2"/>
  <c r="L75" i="2"/>
  <c r="G75" i="2"/>
  <c r="P75" i="2" s="1"/>
  <c r="N74" i="2"/>
  <c r="L74" i="2"/>
  <c r="E74" i="2"/>
  <c r="G74" i="2" s="1"/>
  <c r="N72" i="2"/>
  <c r="L72" i="2"/>
  <c r="G72" i="2"/>
  <c r="N70" i="2"/>
  <c r="L70" i="2"/>
  <c r="E70" i="2"/>
  <c r="G70" i="2" s="1"/>
  <c r="N68" i="2"/>
  <c r="L68" i="2"/>
  <c r="E68" i="2"/>
  <c r="G68" i="2" s="1"/>
  <c r="N67" i="2"/>
  <c r="L67" i="2"/>
  <c r="E67" i="2"/>
  <c r="G67" i="2" s="1"/>
  <c r="N66" i="2"/>
  <c r="L66" i="2"/>
  <c r="E66" i="2"/>
  <c r="G66" i="2" s="1"/>
  <c r="G65" i="2"/>
  <c r="G64" i="2"/>
  <c r="P68" i="2" s="1"/>
  <c r="N63" i="2"/>
  <c r="L63" i="2"/>
  <c r="E63" i="2"/>
  <c r="G63" i="2" s="1"/>
  <c r="N62" i="2"/>
  <c r="L62" i="2"/>
  <c r="G62" i="2"/>
  <c r="N61" i="2"/>
  <c r="L61" i="2"/>
  <c r="G61" i="2"/>
  <c r="N60" i="2"/>
  <c r="L60" i="2"/>
  <c r="E60" i="2"/>
  <c r="G60" i="2" s="1"/>
  <c r="N5" i="2"/>
  <c r="N8" i="2"/>
  <c r="N9" i="2"/>
  <c r="N10" i="2"/>
  <c r="N11" i="2"/>
  <c r="N13" i="2"/>
  <c r="N14" i="2"/>
  <c r="N16" i="2"/>
  <c r="N17" i="2"/>
  <c r="N18" i="2"/>
  <c r="N19" i="2"/>
  <c r="N20" i="2"/>
  <c r="N21" i="2"/>
  <c r="N22" i="2"/>
  <c r="N4" i="2"/>
  <c r="M5" i="2"/>
  <c r="M6" i="2"/>
  <c r="M7" i="2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21" i="2"/>
  <c r="M22" i="2"/>
  <c r="M4" i="2"/>
  <c r="L5" i="2"/>
  <c r="L8" i="2"/>
  <c r="L9" i="2"/>
  <c r="L10" i="2"/>
  <c r="L11" i="2"/>
  <c r="L13" i="2"/>
  <c r="L14" i="2"/>
  <c r="L16" i="2"/>
  <c r="L17" i="2"/>
  <c r="L18" i="2"/>
  <c r="L19" i="2"/>
  <c r="L20" i="2"/>
  <c r="L21" i="2"/>
  <c r="L22" i="2"/>
  <c r="L4" i="2"/>
  <c r="E20" i="2"/>
  <c r="E19" i="2"/>
  <c r="E18" i="2"/>
  <c r="E16" i="2"/>
  <c r="E14" i="2"/>
  <c r="E12" i="2"/>
  <c r="E15" i="2"/>
  <c r="I22" i="2"/>
  <c r="I5" i="2"/>
  <c r="I6" i="2"/>
  <c r="I7" i="2"/>
  <c r="I8" i="2"/>
  <c r="I9" i="2"/>
  <c r="I10" i="2"/>
  <c r="I11" i="2"/>
  <c r="I12" i="2"/>
  <c r="I13" i="2"/>
  <c r="I14" i="2"/>
  <c r="I15" i="2"/>
  <c r="I17" i="2"/>
  <c r="I21" i="2"/>
  <c r="I4" i="2"/>
  <c r="G19" i="2"/>
  <c r="I19" i="2" s="1"/>
  <c r="G18" i="2"/>
  <c r="I18" i="2" s="1"/>
  <c r="G17" i="2"/>
  <c r="G16" i="2"/>
  <c r="I16" i="2" s="1"/>
  <c r="G15" i="2"/>
  <c r="G5" i="2"/>
  <c r="G6" i="2"/>
  <c r="G7" i="2"/>
  <c r="G8" i="2"/>
  <c r="G9" i="2"/>
  <c r="G10" i="2"/>
  <c r="G11" i="2"/>
  <c r="G12" i="2"/>
  <c r="G13" i="2"/>
  <c r="G14" i="2"/>
  <c r="G20" i="2"/>
  <c r="I20" i="2" s="1"/>
  <c r="G21" i="2"/>
  <c r="G22" i="2"/>
  <c r="G4" i="2"/>
  <c r="E21" i="2"/>
  <c r="E22" i="2"/>
  <c r="E17" i="2"/>
  <c r="E9" i="2"/>
  <c r="E13" i="2"/>
  <c r="E10" i="2"/>
  <c r="E11" i="2"/>
  <c r="E8" i="2"/>
  <c r="E5" i="2"/>
  <c r="E7" i="2"/>
  <c r="E6" i="2"/>
  <c r="E4" i="2"/>
  <c r="G5" i="1"/>
  <c r="G8" i="1"/>
  <c r="G9" i="1"/>
  <c r="G10" i="1"/>
  <c r="G12" i="1"/>
  <c r="G13" i="1"/>
  <c r="G17" i="1"/>
  <c r="G18" i="1"/>
  <c r="G3" i="1"/>
  <c r="I5" i="1"/>
  <c r="I8" i="1"/>
  <c r="I9" i="1"/>
  <c r="I10" i="1"/>
  <c r="I12" i="1"/>
  <c r="I13" i="1"/>
  <c r="I3" i="1"/>
  <c r="E15" i="1"/>
  <c r="G15" i="1" s="1"/>
  <c r="E16" i="1"/>
  <c r="G16" i="1" s="1"/>
  <c r="E17" i="1"/>
  <c r="I17" i="1" s="1"/>
  <c r="E18" i="1"/>
  <c r="I18" i="1" s="1"/>
  <c r="E19" i="1"/>
  <c r="I19" i="1" s="1"/>
  <c r="E4" i="1"/>
  <c r="G4" i="1" s="1"/>
  <c r="G24" i="1" s="1"/>
  <c r="E5" i="1"/>
  <c r="E6" i="1"/>
  <c r="I6" i="1" s="1"/>
  <c r="E8" i="1"/>
  <c r="E9" i="1"/>
  <c r="E10" i="1"/>
  <c r="E11" i="1"/>
  <c r="I11" i="1" s="1"/>
  <c r="E12" i="1"/>
  <c r="E13" i="1"/>
  <c r="E3" i="1"/>
  <c r="M124" i="2" l="1"/>
  <c r="J124" i="2"/>
  <c r="G119" i="2"/>
  <c r="G102" i="2"/>
  <c r="G19" i="1"/>
  <c r="I16" i="1"/>
  <c r="I15" i="1"/>
  <c r="G11" i="1"/>
  <c r="P83" i="2"/>
  <c r="P85" i="2" s="1"/>
  <c r="G6" i="1"/>
  <c r="I7" i="1"/>
  <c r="G7" i="1"/>
  <c r="I4" i="1"/>
  <c r="I24" i="1" s="1"/>
  <c r="P72" i="2"/>
  <c r="M83" i="2"/>
  <c r="I83" i="2"/>
  <c r="I82" i="2"/>
  <c r="M82" i="2"/>
  <c r="I81" i="2"/>
  <c r="M81" i="2"/>
  <c r="M79" i="2"/>
  <c r="I79" i="2"/>
  <c r="M77" i="2"/>
  <c r="I77" i="2"/>
  <c r="M75" i="2"/>
  <c r="I75" i="2"/>
  <c r="I74" i="2"/>
  <c r="M74" i="2"/>
  <c r="M72" i="2"/>
  <c r="I72" i="2"/>
  <c r="M71" i="2"/>
  <c r="I71" i="2"/>
  <c r="M70" i="2"/>
  <c r="I70" i="2"/>
  <c r="M68" i="2"/>
  <c r="I68" i="2"/>
  <c r="I67" i="2"/>
  <c r="M67" i="2"/>
  <c r="M66" i="2"/>
  <c r="I66" i="2"/>
  <c r="M65" i="2"/>
  <c r="I65" i="2"/>
  <c r="M64" i="2"/>
  <c r="I64" i="2"/>
  <c r="M63" i="2"/>
  <c r="I63" i="2"/>
  <c r="M62" i="2"/>
  <c r="I62" i="2"/>
  <c r="M60" i="2"/>
  <c r="I60" i="2"/>
  <c r="M61" i="2"/>
  <c r="I61" i="2"/>
  <c r="G27" i="1" l="1"/>
  <c r="G30" i="1" s="1"/>
  <c r="P106" i="2"/>
</calcChain>
</file>

<file path=xl/sharedStrings.xml><?xml version="1.0" encoding="utf-8"?>
<sst xmlns="http://schemas.openxmlformats.org/spreadsheetml/2006/main" count="200" uniqueCount="101">
  <si>
    <t>MÀQUINA</t>
  </si>
  <si>
    <t>POTÈNCIA U</t>
  </si>
  <si>
    <t>N</t>
  </si>
  <si>
    <t xml:space="preserve">POTÈNCIA </t>
  </si>
  <si>
    <t>Rentaplats</t>
  </si>
  <si>
    <t>Màquina buit</t>
  </si>
  <si>
    <t>Forn</t>
  </si>
  <si>
    <t>Congeladors</t>
  </si>
  <si>
    <t>Neveres</t>
  </si>
  <si>
    <t>abatidor</t>
  </si>
  <si>
    <t>Caldera</t>
  </si>
  <si>
    <t>Fluorescents led</t>
  </si>
  <si>
    <t>fregidora</t>
  </si>
  <si>
    <t>Màquines de fred - congelador</t>
  </si>
  <si>
    <t>Màquines de fred - Neveres</t>
  </si>
  <si>
    <t>FACTOR</t>
  </si>
  <si>
    <t>POTÈNCIA</t>
  </si>
  <si>
    <t>Extractor</t>
  </si>
  <si>
    <t>Bombetes led</t>
  </si>
  <si>
    <t>Llums emergència led</t>
  </si>
  <si>
    <t>factor</t>
  </si>
  <si>
    <t>contractar</t>
  </si>
  <si>
    <t>instal·lada</t>
  </si>
  <si>
    <t>prevista</t>
  </si>
  <si>
    <t>Extractor lavabos</t>
  </si>
  <si>
    <t>ELÈCTRICA</t>
  </si>
  <si>
    <t>ELÈCTRICA_1</t>
  </si>
  <si>
    <t>ELÈCTRICA_2</t>
  </si>
  <si>
    <t>ELÈCTRICA_3</t>
  </si>
  <si>
    <t>ELÈCTRICA_4</t>
  </si>
  <si>
    <t>ELÈCTRICA_5</t>
  </si>
  <si>
    <t>ELÈCTRICA_6</t>
  </si>
  <si>
    <t>ELÈCTRICA_7</t>
  </si>
  <si>
    <t>ELÈCTRICA_8</t>
  </si>
  <si>
    <t>ELÈCTRICA_9</t>
  </si>
  <si>
    <t>ELÈCTRICA_10</t>
  </si>
  <si>
    <t>ELÈCTRICA_11</t>
  </si>
  <si>
    <t>ELÈCTRICA_12</t>
  </si>
  <si>
    <t>ELÈCTRICA_13</t>
  </si>
  <si>
    <t>ELÈCTRICA_14</t>
  </si>
  <si>
    <t>ELÈCTRICA_15</t>
  </si>
  <si>
    <t>ELÈCTRICA_16</t>
  </si>
  <si>
    <t>EMERGÈNCIA</t>
  </si>
  <si>
    <t>LÍNIA</t>
  </si>
  <si>
    <t>DESCRIPCIÓ</t>
  </si>
  <si>
    <t>Enllumenat recepció</t>
  </si>
  <si>
    <t>Enllumenat oficina</t>
  </si>
  <si>
    <t>Endolls oficina</t>
  </si>
  <si>
    <t>Enllumenat menjador i vestidors, extractors</t>
  </si>
  <si>
    <t>Enllumenat cambres de sortida</t>
  </si>
  <si>
    <t>Enllumenat cuina, sala de preparació, neteja i residus</t>
  </si>
  <si>
    <t>Rentaplats cuina</t>
  </si>
  <si>
    <t>Endolls sala de preparació i cuina</t>
  </si>
  <si>
    <t>Enllumenat sala venta al públic</t>
  </si>
  <si>
    <t>Endoll i neveres sala venta al públic</t>
  </si>
  <si>
    <t>Enllumenat cambres entrada i arxiu</t>
  </si>
  <si>
    <t>Fred cambres de sortida</t>
  </si>
  <si>
    <t>Abatidor sala de preparació</t>
  </si>
  <si>
    <t>Fred cambres d'entrada</t>
  </si>
  <si>
    <t>Llums d'emergència</t>
  </si>
  <si>
    <t>Extractors</t>
  </si>
  <si>
    <t>ELÈCTRICA_17</t>
  </si>
  <si>
    <t>Fred cuina</t>
  </si>
  <si>
    <t>tenim en compte els factors</t>
  </si>
  <si>
    <t>2*l/(A*k)*P/V/V*100</t>
  </si>
  <si>
    <t>DISTÀNCIA MÀXIMA (unifilar</t>
  </si>
  <si>
    <t>INTENSITAT</t>
  </si>
  <si>
    <t>% CAIGUDA</t>
  </si>
  <si>
    <t>SECCIÓ</t>
  </si>
  <si>
    <t>Endolls menjador, vestidors i caldera</t>
  </si>
  <si>
    <t>Enllumenat passadís, sala de sortida i caldera</t>
  </si>
  <si>
    <t>REBT</t>
  </si>
  <si>
    <t>B. XLPE</t>
  </si>
  <si>
    <t>canvis</t>
  </si>
  <si>
    <t>nova caiguda</t>
  </si>
  <si>
    <t>rebt</t>
  </si>
  <si>
    <t>I_BRANCA</t>
  </si>
  <si>
    <t>Endolls sala de preparació, buit i cuina</t>
  </si>
  <si>
    <t>Enllumenat habitacions i cambres</t>
  </si>
  <si>
    <t>Enllumenat cuina</t>
  </si>
  <si>
    <t>Endolls cuina</t>
  </si>
  <si>
    <t>fdp</t>
  </si>
  <si>
    <t>Endolls generals, nevera, buit</t>
  </si>
  <si>
    <t>i</t>
  </si>
  <si>
    <t>fdp total</t>
  </si>
  <si>
    <t>angle total</t>
  </si>
  <si>
    <t>L5</t>
  </si>
  <si>
    <t>alfa</t>
  </si>
  <si>
    <t>i_0</t>
  </si>
  <si>
    <t>i_90</t>
  </si>
  <si>
    <t>modul</t>
  </si>
  <si>
    <t>L6</t>
  </si>
  <si>
    <t>L7</t>
  </si>
  <si>
    <t>Ordinadors</t>
  </si>
  <si>
    <t>Microones</t>
  </si>
  <si>
    <t>A fase</t>
  </si>
  <si>
    <t>P total</t>
  </si>
  <si>
    <t>DI</t>
  </si>
  <si>
    <t>v</t>
  </si>
  <si>
    <t>k</t>
  </si>
  <si>
    <t>Extractors + fred cambres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</si>
</sst>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0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I50"/>
  <sheetViews>
    <sheetView workbookViewId="0">
      <selection activeCell="F21" sqref="F21"/>
    </sheetView>
  </sheetViews>
  <sheetFormatPr baseColWidth="10" defaultRowHeight="15" x14ac:dyDescent="0.25"/>
  <cols>
    <col min="2" max="2" width="28.42578125" bestFit="1" customWidth="1"/>
    <col min="3" max="3" width="14.7109375" customWidth="1"/>
  </cols>
  <sheetData>
    <row r="2" spans="2:9" x14ac:dyDescent="0.25">
      <c r="B2" t="s">
        <v>0</v>
      </c>
      <c r="C2" t="s">
        <v>1</v>
      </c>
      <c r="D2" t="s">
        <v>2</v>
      </c>
      <c r="E2" t="s">
        <v>3</v>
      </c>
      <c r="H2" s="11" t="s">
        <v>15</v>
      </c>
      <c r="I2" s="11" t="s">
        <v>16</v>
      </c>
    </row>
    <row r="3" spans="2:9" x14ac:dyDescent="0.25">
      <c r="B3" t="s">
        <v>4</v>
      </c>
      <c r="C3">
        <v>12000</v>
      </c>
      <c r="D3">
        <v>3</v>
      </c>
      <c r="E3">
        <f>C3*D3</f>
        <v>36000</v>
      </c>
      <c r="F3">
        <v>1</v>
      </c>
      <c r="G3">
        <f>E3*F3</f>
        <v>36000</v>
      </c>
      <c r="H3" s="11">
        <v>1</v>
      </c>
      <c r="I3" s="11">
        <f t="shared" ref="I3:I20" si="0">E3*H3</f>
        <v>36000</v>
      </c>
    </row>
    <row r="4" spans="2:9" x14ac:dyDescent="0.25">
      <c r="B4" t="s">
        <v>5</v>
      </c>
      <c r="C4">
        <v>1100</v>
      </c>
      <c r="D4">
        <v>3</v>
      </c>
      <c r="E4">
        <f t="shared" ref="E4:E20" si="1">C4*D4</f>
        <v>3300</v>
      </c>
      <c r="F4">
        <v>1</v>
      </c>
      <c r="G4">
        <f t="shared" ref="G4:G19" si="2">E4*F4</f>
        <v>3300</v>
      </c>
      <c r="H4" s="11">
        <v>1.25</v>
      </c>
      <c r="I4" s="11">
        <f t="shared" si="0"/>
        <v>4125</v>
      </c>
    </row>
    <row r="5" spans="2:9" x14ac:dyDescent="0.25">
      <c r="B5" t="s">
        <v>6</v>
      </c>
      <c r="C5">
        <v>2400</v>
      </c>
      <c r="D5">
        <v>4</v>
      </c>
      <c r="E5">
        <f t="shared" si="1"/>
        <v>9600</v>
      </c>
      <c r="F5">
        <v>1</v>
      </c>
      <c r="G5">
        <f t="shared" si="2"/>
        <v>9600</v>
      </c>
      <c r="H5" s="11">
        <v>1</v>
      </c>
      <c r="I5" s="11">
        <f t="shared" si="0"/>
        <v>9600</v>
      </c>
    </row>
    <row r="6" spans="2:9" x14ac:dyDescent="0.25">
      <c r="B6" t="s">
        <v>7</v>
      </c>
      <c r="C6">
        <v>1262</v>
      </c>
      <c r="D6">
        <v>2</v>
      </c>
      <c r="E6">
        <f t="shared" si="1"/>
        <v>2524</v>
      </c>
      <c r="F6">
        <v>1</v>
      </c>
      <c r="G6">
        <f t="shared" si="2"/>
        <v>2524</v>
      </c>
      <c r="H6" s="11">
        <v>1</v>
      </c>
      <c r="I6" s="11">
        <f t="shared" si="0"/>
        <v>2524</v>
      </c>
    </row>
    <row r="7" spans="2:9" x14ac:dyDescent="0.25">
      <c r="B7" t="s">
        <v>8</v>
      </c>
      <c r="C7">
        <v>1000</v>
      </c>
      <c r="D7">
        <v>3</v>
      </c>
      <c r="E7">
        <f t="shared" si="1"/>
        <v>3000</v>
      </c>
      <c r="F7">
        <v>1</v>
      </c>
      <c r="G7">
        <f t="shared" si="2"/>
        <v>3000</v>
      </c>
      <c r="H7" s="11">
        <v>1.25</v>
      </c>
      <c r="I7" s="11">
        <f t="shared" si="0"/>
        <v>3750</v>
      </c>
    </row>
    <row r="8" spans="2:9" x14ac:dyDescent="0.25">
      <c r="B8" t="s">
        <v>12</v>
      </c>
      <c r="C8">
        <v>200</v>
      </c>
      <c r="D8">
        <v>4</v>
      </c>
      <c r="E8">
        <f t="shared" si="1"/>
        <v>800</v>
      </c>
      <c r="F8">
        <v>1</v>
      </c>
      <c r="G8">
        <f t="shared" si="2"/>
        <v>800</v>
      </c>
      <c r="H8" s="11">
        <v>1.25</v>
      </c>
      <c r="I8" s="11">
        <f t="shared" si="0"/>
        <v>1000</v>
      </c>
    </row>
    <row r="9" spans="2:9" x14ac:dyDescent="0.25">
      <c r="B9" t="s">
        <v>9</v>
      </c>
      <c r="C9">
        <v>13580</v>
      </c>
      <c r="D9">
        <v>1</v>
      </c>
      <c r="E9">
        <f t="shared" si="1"/>
        <v>13580</v>
      </c>
      <c r="F9">
        <v>1</v>
      </c>
      <c r="G9">
        <f t="shared" si="2"/>
        <v>13580</v>
      </c>
      <c r="H9" s="11">
        <v>1.25</v>
      </c>
      <c r="I9" s="11">
        <f t="shared" si="0"/>
        <v>16975</v>
      </c>
    </row>
    <row r="10" spans="2:9" x14ac:dyDescent="0.25">
      <c r="B10" t="s">
        <v>10</v>
      </c>
      <c r="C10">
        <v>100</v>
      </c>
      <c r="D10">
        <v>1</v>
      </c>
      <c r="E10">
        <f t="shared" si="1"/>
        <v>100</v>
      </c>
      <c r="F10">
        <v>1</v>
      </c>
      <c r="G10">
        <f t="shared" si="2"/>
        <v>100</v>
      </c>
      <c r="H10" s="11">
        <v>1</v>
      </c>
      <c r="I10" s="11">
        <f t="shared" si="0"/>
        <v>100</v>
      </c>
    </row>
    <row r="11" spans="2:9" x14ac:dyDescent="0.25">
      <c r="B11" s="3" t="s">
        <v>11</v>
      </c>
      <c r="C11">
        <v>18</v>
      </c>
      <c r="D11">
        <v>51</v>
      </c>
      <c r="E11">
        <f t="shared" si="1"/>
        <v>918</v>
      </c>
      <c r="F11">
        <v>1</v>
      </c>
      <c r="G11">
        <f t="shared" si="2"/>
        <v>918</v>
      </c>
      <c r="H11" s="11">
        <v>1</v>
      </c>
      <c r="I11" s="11">
        <f t="shared" si="0"/>
        <v>918</v>
      </c>
    </row>
    <row r="12" spans="2:9" x14ac:dyDescent="0.25">
      <c r="B12" s="3" t="s">
        <v>18</v>
      </c>
      <c r="C12">
        <v>5.5</v>
      </c>
      <c r="D12">
        <v>9</v>
      </c>
      <c r="E12">
        <f t="shared" si="1"/>
        <v>49.5</v>
      </c>
      <c r="F12">
        <v>1</v>
      </c>
      <c r="G12">
        <f t="shared" si="2"/>
        <v>49.5</v>
      </c>
      <c r="H12" s="11">
        <v>1</v>
      </c>
      <c r="I12" s="11">
        <f t="shared" si="0"/>
        <v>49.5</v>
      </c>
    </row>
    <row r="13" spans="2:9" x14ac:dyDescent="0.25">
      <c r="B13" s="3" t="s">
        <v>19</v>
      </c>
      <c r="C13">
        <v>3</v>
      </c>
      <c r="D13">
        <v>23</v>
      </c>
      <c r="E13">
        <f t="shared" si="1"/>
        <v>69</v>
      </c>
      <c r="F13">
        <v>1</v>
      </c>
      <c r="G13">
        <f t="shared" si="2"/>
        <v>69</v>
      </c>
      <c r="H13" s="11">
        <v>1</v>
      </c>
      <c r="I13" s="11">
        <f t="shared" si="0"/>
        <v>69</v>
      </c>
    </row>
    <row r="14" spans="2:9" x14ac:dyDescent="0.25">
      <c r="H14" s="11"/>
      <c r="I14" s="11"/>
    </row>
    <row r="15" spans="2:9" x14ac:dyDescent="0.25">
      <c r="B15" t="s">
        <v>13</v>
      </c>
      <c r="C15">
        <v>3200</v>
      </c>
      <c r="D15">
        <v>2</v>
      </c>
      <c r="E15">
        <f t="shared" si="1"/>
        <v>6400</v>
      </c>
      <c r="F15">
        <v>1</v>
      </c>
      <c r="G15">
        <f t="shared" si="2"/>
        <v>6400</v>
      </c>
      <c r="H15" s="11">
        <v>1.25</v>
      </c>
      <c r="I15" s="11">
        <f t="shared" si="0"/>
        <v>8000</v>
      </c>
    </row>
    <row r="16" spans="2:9" x14ac:dyDescent="0.25">
      <c r="B16" t="s">
        <v>14</v>
      </c>
      <c r="C16">
        <v>1800</v>
      </c>
      <c r="D16">
        <v>2</v>
      </c>
      <c r="E16">
        <f t="shared" si="1"/>
        <v>3600</v>
      </c>
      <c r="F16">
        <v>1</v>
      </c>
      <c r="G16">
        <f t="shared" si="2"/>
        <v>3600</v>
      </c>
      <c r="H16" s="11">
        <v>1.25</v>
      </c>
      <c r="I16" s="11">
        <f t="shared" si="0"/>
        <v>4500</v>
      </c>
    </row>
    <row r="17" spans="2:9" x14ac:dyDescent="0.25">
      <c r="B17" t="s">
        <v>17</v>
      </c>
      <c r="C17">
        <v>4000</v>
      </c>
      <c r="D17">
        <v>2</v>
      </c>
      <c r="E17">
        <f t="shared" si="1"/>
        <v>8000</v>
      </c>
      <c r="F17">
        <v>1</v>
      </c>
      <c r="G17">
        <f t="shared" si="2"/>
        <v>8000</v>
      </c>
      <c r="H17" s="11">
        <v>1.25</v>
      </c>
      <c r="I17" s="11">
        <f t="shared" si="0"/>
        <v>10000</v>
      </c>
    </row>
    <row r="18" spans="2:9" x14ac:dyDescent="0.25">
      <c r="B18" s="3" t="s">
        <v>24</v>
      </c>
      <c r="C18">
        <v>20</v>
      </c>
      <c r="D18">
        <v>4</v>
      </c>
      <c r="E18">
        <f t="shared" si="1"/>
        <v>80</v>
      </c>
      <c r="F18">
        <v>1</v>
      </c>
      <c r="G18">
        <f t="shared" si="2"/>
        <v>80</v>
      </c>
      <c r="H18" s="11">
        <v>1.25</v>
      </c>
      <c r="I18" s="11">
        <f t="shared" si="0"/>
        <v>100</v>
      </c>
    </row>
    <row r="19" spans="2:9" x14ac:dyDescent="0.25">
      <c r="B19" t="s">
        <v>93</v>
      </c>
      <c r="C19">
        <v>500</v>
      </c>
      <c r="D19">
        <v>3</v>
      </c>
      <c r="E19">
        <f t="shared" si="1"/>
        <v>1500</v>
      </c>
      <c r="F19">
        <v>1</v>
      </c>
      <c r="G19">
        <f t="shared" si="2"/>
        <v>1500</v>
      </c>
      <c r="H19" s="11">
        <v>1.25</v>
      </c>
      <c r="I19" s="11">
        <f t="shared" si="0"/>
        <v>1875</v>
      </c>
    </row>
    <row r="20" spans="2:9" x14ac:dyDescent="0.25">
      <c r="B20" t="s">
        <v>94</v>
      </c>
      <c r="C20">
        <v>800</v>
      </c>
      <c r="D20">
        <v>5</v>
      </c>
      <c r="E20">
        <f t="shared" si="1"/>
        <v>4000</v>
      </c>
      <c r="F20">
        <v>1</v>
      </c>
      <c r="G20">
        <f t="shared" ref="G20" si="3">E20*F20</f>
        <v>4000</v>
      </c>
      <c r="H20" s="11">
        <v>1.25</v>
      </c>
      <c r="I20" s="11">
        <f t="shared" si="0"/>
        <v>5000</v>
      </c>
    </row>
    <row r="21" spans="2:9" x14ac:dyDescent="0.25">
      <c r="H21" s="11"/>
      <c r="I21" s="11"/>
    </row>
    <row r="23" spans="2:9" x14ac:dyDescent="0.25">
      <c r="G23" t="s">
        <v>22</v>
      </c>
      <c r="H23" s="11"/>
      <c r="I23" s="11" t="s">
        <v>23</v>
      </c>
    </row>
    <row r="24" spans="2:9" x14ac:dyDescent="0.25">
      <c r="G24">
        <f>SUM(G3:G22)</f>
        <v>93520.5</v>
      </c>
      <c r="H24" s="11"/>
      <c r="I24" s="11">
        <f>SUM(I3:I19)</f>
        <v>99585.5</v>
      </c>
    </row>
    <row r="25" spans="2:9" x14ac:dyDescent="0.25">
      <c r="H25" s="11"/>
      <c r="I25" s="11"/>
    </row>
    <row r="26" spans="2:9" x14ac:dyDescent="0.25">
      <c r="B26">
        <f>SUM(G14:G17)+SUM(G3:G10)+SUM(G19:G20)</f>
        <v>92404</v>
      </c>
      <c r="C26">
        <f>2663.5</f>
        <v>2663.5</v>
      </c>
      <c r="F26" t="s">
        <v>20</v>
      </c>
      <c r="G26">
        <v>0.85</v>
      </c>
      <c r="H26" s="11"/>
      <c r="I26" s="11"/>
    </row>
    <row r="27" spans="2:9" x14ac:dyDescent="0.25">
      <c r="B27">
        <v>0.85</v>
      </c>
      <c r="G27" s="2">
        <f>G24*G26</f>
        <v>79492.425000000003</v>
      </c>
      <c r="H27" s="11"/>
      <c r="I27" s="11"/>
    </row>
    <row r="28" spans="2:9" x14ac:dyDescent="0.25">
      <c r="B28">
        <f>(B26+C26)*B27</f>
        <v>80807.375</v>
      </c>
      <c r="H28" s="11"/>
      <c r="I28" s="11"/>
    </row>
    <row r="30" spans="2:9" x14ac:dyDescent="0.25">
      <c r="F30" t="s">
        <v>21</v>
      </c>
      <c r="G30">
        <f>G27</f>
        <v>79492.425000000003</v>
      </c>
    </row>
    <row r="33" spans="3:7" x14ac:dyDescent="0.25">
      <c r="C33" t="s">
        <v>25</v>
      </c>
    </row>
    <row r="34" spans="3:7" x14ac:dyDescent="0.25">
      <c r="C34" t="s">
        <v>26</v>
      </c>
    </row>
    <row r="35" spans="3:7" x14ac:dyDescent="0.25">
      <c r="C35" t="s">
        <v>27</v>
      </c>
    </row>
    <row r="36" spans="3:7" x14ac:dyDescent="0.25">
      <c r="C36" t="s">
        <v>28</v>
      </c>
    </row>
    <row r="37" spans="3:7" x14ac:dyDescent="0.25">
      <c r="C37" t="s">
        <v>29</v>
      </c>
    </row>
    <row r="38" spans="3:7" x14ac:dyDescent="0.25">
      <c r="C38" t="s">
        <v>30</v>
      </c>
    </row>
    <row r="39" spans="3:7" x14ac:dyDescent="0.25">
      <c r="C39" t="s">
        <v>31</v>
      </c>
      <c r="G39" s="1"/>
    </row>
    <row r="40" spans="3:7" x14ac:dyDescent="0.25">
      <c r="C40" t="s">
        <v>32</v>
      </c>
    </row>
    <row r="41" spans="3:7" x14ac:dyDescent="0.25">
      <c r="C41" t="s">
        <v>33</v>
      </c>
    </row>
    <row r="42" spans="3:7" x14ac:dyDescent="0.25">
      <c r="C42" t="s">
        <v>34</v>
      </c>
    </row>
    <row r="43" spans="3:7" x14ac:dyDescent="0.25">
      <c r="C43" t="s">
        <v>35</v>
      </c>
    </row>
    <row r="44" spans="3:7" x14ac:dyDescent="0.25">
      <c r="C44" t="s">
        <v>36</v>
      </c>
    </row>
    <row r="45" spans="3:7" x14ac:dyDescent="0.25">
      <c r="C45" t="s">
        <v>37</v>
      </c>
    </row>
    <row r="46" spans="3:7" x14ac:dyDescent="0.25">
      <c r="C46" t="s">
        <v>38</v>
      </c>
    </row>
    <row r="47" spans="3:7" x14ac:dyDescent="0.25">
      <c r="C47" t="s">
        <v>39</v>
      </c>
    </row>
    <row r="48" spans="3:7" x14ac:dyDescent="0.25">
      <c r="C48" t="s">
        <v>40</v>
      </c>
    </row>
    <row r="49" spans="3:3" x14ac:dyDescent="0.25">
      <c r="C49" t="s">
        <v>41</v>
      </c>
    </row>
    <row r="50" spans="3:3" x14ac:dyDescent="0.25">
      <c r="C50" t="s">
        <v>42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P124"/>
  <sheetViews>
    <sheetView tabSelected="1" topLeftCell="D89" zoomScale="85" zoomScaleNormal="85" workbookViewId="0">
      <selection activeCell="F112" sqref="F112"/>
    </sheetView>
  </sheetViews>
  <sheetFormatPr baseColWidth="10" defaultRowHeight="15" x14ac:dyDescent="0.25"/>
  <cols>
    <col min="3" max="3" width="15.140625" customWidth="1"/>
    <col min="4" max="4" width="32.28515625" customWidth="1"/>
    <col min="5" max="5" width="14.7109375" customWidth="1"/>
    <col min="6" max="6" width="19.28515625" customWidth="1"/>
    <col min="9" max="9" width="11.85546875" bestFit="1" customWidth="1"/>
  </cols>
  <sheetData>
    <row r="1" spans="3:14" x14ac:dyDescent="0.25">
      <c r="C1" t="s">
        <v>43</v>
      </c>
      <c r="D1" t="s">
        <v>44</v>
      </c>
      <c r="E1" t="s">
        <v>16</v>
      </c>
      <c r="F1" t="s">
        <v>65</v>
      </c>
      <c r="G1" t="s">
        <v>66</v>
      </c>
      <c r="H1" t="s">
        <v>68</v>
      </c>
      <c r="I1" t="s">
        <v>67</v>
      </c>
      <c r="K1" t="s">
        <v>71</v>
      </c>
      <c r="L1" t="s">
        <v>73</v>
      </c>
      <c r="M1" t="s">
        <v>74</v>
      </c>
      <c r="N1" t="s">
        <v>75</v>
      </c>
    </row>
    <row r="2" spans="3:14" x14ac:dyDescent="0.25">
      <c r="G2">
        <v>230</v>
      </c>
      <c r="H2">
        <v>56</v>
      </c>
      <c r="K2" t="s">
        <v>72</v>
      </c>
    </row>
    <row r="4" spans="3:14" x14ac:dyDescent="0.25">
      <c r="C4" t="s">
        <v>26</v>
      </c>
      <c r="D4" s="3" t="s">
        <v>46</v>
      </c>
      <c r="E4">
        <f>2*18</f>
        <v>36</v>
      </c>
      <c r="F4">
        <v>4</v>
      </c>
      <c r="G4" s="9">
        <f>E4/$G$2</f>
        <v>0.15652173913043479</v>
      </c>
      <c r="H4">
        <v>1.5</v>
      </c>
      <c r="I4">
        <f>2*F4*G4*100/($G$2*H4*$H$2)</f>
        <v>6.4812314339724557E-3</v>
      </c>
      <c r="K4">
        <v>18</v>
      </c>
      <c r="L4">
        <f>H4</f>
        <v>1.5</v>
      </c>
      <c r="M4">
        <f>2*F4*G4*100/($G$2*L4*$H$2)</f>
        <v>6.4812314339724557E-3</v>
      </c>
      <c r="N4">
        <f>K4</f>
        <v>18</v>
      </c>
    </row>
    <row r="5" spans="3:14" x14ac:dyDescent="0.25">
      <c r="C5" t="s">
        <v>27</v>
      </c>
      <c r="D5" s="3" t="s">
        <v>48</v>
      </c>
      <c r="E5">
        <f>18*4+4*5.5+4*20</f>
        <v>174</v>
      </c>
      <c r="F5">
        <v>27</v>
      </c>
      <c r="G5" s="9">
        <f t="shared" ref="G5:G22" si="0">E5/$G$2</f>
        <v>0.75652173913043474</v>
      </c>
      <c r="H5">
        <v>1.5</v>
      </c>
      <c r="I5">
        <f t="shared" ref="I5:I21" si="1">2*F5*G5*100/($G$2*H5*$H$2)</f>
        <v>0.21145017553335135</v>
      </c>
      <c r="K5">
        <v>18</v>
      </c>
      <c r="L5">
        <f t="shared" ref="L5:L22" si="2">H5</f>
        <v>1.5</v>
      </c>
      <c r="M5">
        <f t="shared" ref="M5:M22" si="3">2*F5*G5*100/($G$2*L5*$H$2)</f>
        <v>0.21145017553335135</v>
      </c>
      <c r="N5">
        <f t="shared" ref="N5:N22" si="4">K5</f>
        <v>18</v>
      </c>
    </row>
    <row r="6" spans="3:14" x14ac:dyDescent="0.25">
      <c r="C6" t="s">
        <v>28</v>
      </c>
      <c r="D6" s="3" t="s">
        <v>47</v>
      </c>
      <c r="E6">
        <f>3*3680*0.5</f>
        <v>5520</v>
      </c>
      <c r="F6">
        <v>8</v>
      </c>
      <c r="G6">
        <f t="shared" si="0"/>
        <v>24</v>
      </c>
      <c r="H6">
        <v>1.5</v>
      </c>
      <c r="I6">
        <f t="shared" si="1"/>
        <v>1.9875776397515528</v>
      </c>
      <c r="K6" s="10">
        <v>18</v>
      </c>
      <c r="L6">
        <v>2.5</v>
      </c>
      <c r="M6">
        <f t="shared" si="3"/>
        <v>1.1925465838509317</v>
      </c>
      <c r="N6">
        <v>25</v>
      </c>
    </row>
    <row r="7" spans="3:14" x14ac:dyDescent="0.25">
      <c r="C7" t="s">
        <v>29</v>
      </c>
      <c r="D7" s="3" t="s">
        <v>69</v>
      </c>
      <c r="E7">
        <f>6*3680*0.5</f>
        <v>11040</v>
      </c>
      <c r="F7">
        <v>31</v>
      </c>
      <c r="G7">
        <f t="shared" si="0"/>
        <v>48</v>
      </c>
      <c r="H7">
        <v>6</v>
      </c>
      <c r="I7">
        <f t="shared" si="1"/>
        <v>3.8509316770186337</v>
      </c>
      <c r="K7" s="10">
        <v>44</v>
      </c>
      <c r="L7">
        <v>10</v>
      </c>
      <c r="M7">
        <f t="shared" si="3"/>
        <v>2.31055900621118</v>
      </c>
      <c r="N7">
        <v>60</v>
      </c>
    </row>
    <row r="8" spans="3:14" x14ac:dyDescent="0.25">
      <c r="C8" t="s">
        <v>30</v>
      </c>
      <c r="D8" s="3" t="s">
        <v>70</v>
      </c>
      <c r="E8">
        <f>6*18</f>
        <v>108</v>
      </c>
      <c r="F8">
        <v>43</v>
      </c>
      <c r="G8" s="9">
        <f t="shared" si="0"/>
        <v>0.46956521739130436</v>
      </c>
      <c r="H8">
        <v>1.5</v>
      </c>
      <c r="I8">
        <f t="shared" si="1"/>
        <v>0.20901971374561168</v>
      </c>
      <c r="K8">
        <v>18</v>
      </c>
      <c r="L8">
        <f t="shared" si="2"/>
        <v>1.5</v>
      </c>
      <c r="M8">
        <f t="shared" si="3"/>
        <v>0.20901971374561168</v>
      </c>
      <c r="N8">
        <f t="shared" si="4"/>
        <v>18</v>
      </c>
    </row>
    <row r="9" spans="3:14" x14ac:dyDescent="0.25">
      <c r="C9" t="s">
        <v>31</v>
      </c>
      <c r="D9" s="4" t="s">
        <v>55</v>
      </c>
      <c r="E9">
        <f>5*18</f>
        <v>90</v>
      </c>
      <c r="F9">
        <v>17</v>
      </c>
      <c r="G9" s="9">
        <f t="shared" si="0"/>
        <v>0.39130434782608697</v>
      </c>
      <c r="H9">
        <v>1.5</v>
      </c>
      <c r="I9">
        <f t="shared" si="1"/>
        <v>6.8863083985957335E-2</v>
      </c>
      <c r="K9">
        <v>18</v>
      </c>
      <c r="L9">
        <f t="shared" si="2"/>
        <v>1.5</v>
      </c>
      <c r="M9">
        <f t="shared" si="3"/>
        <v>6.8863083985957335E-2</v>
      </c>
      <c r="N9">
        <f t="shared" si="4"/>
        <v>18</v>
      </c>
    </row>
    <row r="10" spans="3:14" x14ac:dyDescent="0.25">
      <c r="C10" t="s">
        <v>32</v>
      </c>
      <c r="D10" s="5" t="s">
        <v>50</v>
      </c>
      <c r="E10">
        <f>18*29</f>
        <v>522</v>
      </c>
      <c r="F10">
        <v>55</v>
      </c>
      <c r="G10" s="9">
        <f t="shared" si="0"/>
        <v>2.2695652173913046</v>
      </c>
      <c r="H10">
        <v>1.5</v>
      </c>
      <c r="I10">
        <f t="shared" si="1"/>
        <v>1.2921955171482584</v>
      </c>
      <c r="K10">
        <v>18</v>
      </c>
      <c r="L10">
        <f t="shared" si="2"/>
        <v>1.5</v>
      </c>
      <c r="M10">
        <f t="shared" si="3"/>
        <v>1.2921955171482584</v>
      </c>
      <c r="N10">
        <f t="shared" si="4"/>
        <v>18</v>
      </c>
    </row>
    <row r="11" spans="3:14" x14ac:dyDescent="0.25">
      <c r="C11" t="s">
        <v>33</v>
      </c>
      <c r="D11" s="4" t="s">
        <v>49</v>
      </c>
      <c r="E11">
        <f>2*18</f>
        <v>36</v>
      </c>
      <c r="F11">
        <v>40</v>
      </c>
      <c r="G11" s="9">
        <f t="shared" si="0"/>
        <v>0.15652173913043479</v>
      </c>
      <c r="H11">
        <v>1.5</v>
      </c>
      <c r="I11">
        <f t="shared" si="1"/>
        <v>6.481231433972455E-2</v>
      </c>
      <c r="K11">
        <v>18</v>
      </c>
      <c r="L11">
        <f t="shared" si="2"/>
        <v>1.5</v>
      </c>
      <c r="M11">
        <f t="shared" si="3"/>
        <v>6.481231433972455E-2</v>
      </c>
      <c r="N11">
        <f t="shared" si="4"/>
        <v>18</v>
      </c>
    </row>
    <row r="12" spans="3:14" x14ac:dyDescent="0.25">
      <c r="C12" t="s">
        <v>34</v>
      </c>
      <c r="D12" s="5" t="s">
        <v>52</v>
      </c>
      <c r="E12">
        <f>(4*2200+2200*1.25)*0.5+5*0.5*3680</f>
        <v>14975</v>
      </c>
      <c r="F12">
        <v>45</v>
      </c>
      <c r="G12">
        <f t="shared" si="0"/>
        <v>65.108695652173907</v>
      </c>
      <c r="H12">
        <v>10</v>
      </c>
      <c r="I12">
        <f t="shared" si="1"/>
        <v>4.5495206589251955</v>
      </c>
      <c r="K12" s="10">
        <v>60</v>
      </c>
      <c r="L12">
        <v>16</v>
      </c>
      <c r="M12">
        <f t="shared" si="3"/>
        <v>2.8434504118282473</v>
      </c>
      <c r="N12">
        <v>80</v>
      </c>
    </row>
    <row r="13" spans="3:14" x14ac:dyDescent="0.25">
      <c r="C13" t="s">
        <v>35</v>
      </c>
      <c r="D13" t="s">
        <v>53</v>
      </c>
      <c r="E13">
        <f>3*18</f>
        <v>54</v>
      </c>
      <c r="F13">
        <v>46</v>
      </c>
      <c r="G13" s="9">
        <f t="shared" si="0"/>
        <v>0.23478260869565218</v>
      </c>
      <c r="H13">
        <v>1.5</v>
      </c>
      <c r="I13">
        <f t="shared" si="1"/>
        <v>0.11180124223602485</v>
      </c>
      <c r="K13">
        <v>18</v>
      </c>
      <c r="L13">
        <f t="shared" si="2"/>
        <v>1.5</v>
      </c>
      <c r="M13">
        <f t="shared" si="3"/>
        <v>0.11180124223602485</v>
      </c>
      <c r="N13">
        <f t="shared" si="4"/>
        <v>18</v>
      </c>
    </row>
    <row r="14" spans="3:14" x14ac:dyDescent="0.25">
      <c r="C14" t="s">
        <v>36</v>
      </c>
      <c r="D14" t="s">
        <v>54</v>
      </c>
      <c r="E14">
        <f>1*1000+1*1000*1.25+0.5*3680</f>
        <v>4090</v>
      </c>
      <c r="F14">
        <v>51</v>
      </c>
      <c r="G14">
        <f t="shared" si="0"/>
        <v>17.782608695652176</v>
      </c>
      <c r="H14">
        <v>4</v>
      </c>
      <c r="I14">
        <f t="shared" si="1"/>
        <v>3.5206251687820691</v>
      </c>
      <c r="K14">
        <v>34</v>
      </c>
      <c r="L14">
        <f t="shared" si="2"/>
        <v>4</v>
      </c>
      <c r="M14">
        <f t="shared" si="3"/>
        <v>3.5206251687820691</v>
      </c>
      <c r="N14">
        <f t="shared" si="4"/>
        <v>34</v>
      </c>
    </row>
    <row r="15" spans="3:14" x14ac:dyDescent="0.25">
      <c r="C15" t="s">
        <v>37</v>
      </c>
      <c r="D15" s="6" t="s">
        <v>51</v>
      </c>
      <c r="E15" s="8">
        <f>3*12000</f>
        <v>36000</v>
      </c>
      <c r="F15">
        <v>54</v>
      </c>
      <c r="G15">
        <f>E15/(3*$G$2)</f>
        <v>52.173913043478258</v>
      </c>
      <c r="H15">
        <v>10</v>
      </c>
      <c r="I15">
        <f t="shared" si="1"/>
        <v>4.3748312179314066</v>
      </c>
      <c r="K15" s="10">
        <v>52</v>
      </c>
      <c r="L15">
        <v>16</v>
      </c>
      <c r="M15">
        <f t="shared" si="3"/>
        <v>2.7342695112071294</v>
      </c>
      <c r="N15">
        <v>70</v>
      </c>
    </row>
    <row r="16" spans="3:14" x14ac:dyDescent="0.25">
      <c r="C16" t="s">
        <v>38</v>
      </c>
      <c r="D16" s="4" t="s">
        <v>56</v>
      </c>
      <c r="E16" s="8">
        <f>(3105*1.25+1767)</f>
        <v>5648.25</v>
      </c>
      <c r="F16">
        <v>43</v>
      </c>
      <c r="G16">
        <f>E16/(3*$G$2)</f>
        <v>8.1858695652173914</v>
      </c>
      <c r="H16">
        <v>1.5</v>
      </c>
      <c r="I16">
        <f t="shared" si="1"/>
        <v>3.6438135745791702</v>
      </c>
      <c r="K16" s="7">
        <v>16</v>
      </c>
      <c r="L16">
        <f t="shared" si="2"/>
        <v>1.5</v>
      </c>
      <c r="M16">
        <f t="shared" si="3"/>
        <v>3.6438135745791702</v>
      </c>
      <c r="N16">
        <f t="shared" si="4"/>
        <v>16</v>
      </c>
    </row>
    <row r="17" spans="2:15" x14ac:dyDescent="0.25">
      <c r="C17" t="s">
        <v>39</v>
      </c>
      <c r="D17" s="6" t="s">
        <v>57</v>
      </c>
      <c r="E17" s="8">
        <f>13580*1.25</f>
        <v>16975</v>
      </c>
      <c r="F17">
        <v>44</v>
      </c>
      <c r="G17">
        <f>E17/(3*$G$2)</f>
        <v>24.60144927536232</v>
      </c>
      <c r="H17">
        <v>4</v>
      </c>
      <c r="I17">
        <f t="shared" si="1"/>
        <v>4.2021109010712037</v>
      </c>
      <c r="K17" s="7">
        <v>30</v>
      </c>
      <c r="L17">
        <f t="shared" si="2"/>
        <v>4</v>
      </c>
      <c r="M17">
        <f t="shared" si="3"/>
        <v>4.2021109010712037</v>
      </c>
      <c r="N17">
        <f t="shared" si="4"/>
        <v>30</v>
      </c>
    </row>
    <row r="18" spans="2:15" x14ac:dyDescent="0.25">
      <c r="C18" t="s">
        <v>40</v>
      </c>
      <c r="D18" s="4" t="s">
        <v>58</v>
      </c>
      <c r="E18" s="8">
        <f>(3105*1.25+1767)</f>
        <v>5648.25</v>
      </c>
      <c r="F18">
        <v>21</v>
      </c>
      <c r="G18">
        <f>E18/(3*$G$2)</f>
        <v>8.1858695652173914</v>
      </c>
      <c r="H18">
        <v>1.5</v>
      </c>
      <c r="I18">
        <f t="shared" si="1"/>
        <v>1.779536862003781</v>
      </c>
      <c r="K18">
        <v>16</v>
      </c>
      <c r="L18">
        <f t="shared" si="2"/>
        <v>1.5</v>
      </c>
      <c r="M18">
        <f t="shared" si="3"/>
        <v>1.779536862003781</v>
      </c>
      <c r="N18">
        <f t="shared" si="4"/>
        <v>16</v>
      </c>
    </row>
    <row r="19" spans="2:15" x14ac:dyDescent="0.25">
      <c r="C19" t="s">
        <v>41</v>
      </c>
      <c r="D19" s="6" t="s">
        <v>60</v>
      </c>
      <c r="E19" s="8">
        <f>(1+1.25)*4000</f>
        <v>9000</v>
      </c>
      <c r="F19">
        <v>36</v>
      </c>
      <c r="G19">
        <f>E19/(3*$G$2)</f>
        <v>13.043478260869565</v>
      </c>
      <c r="H19">
        <v>2.5</v>
      </c>
      <c r="I19">
        <f t="shared" si="1"/>
        <v>2.9165541452876047</v>
      </c>
      <c r="K19" s="7">
        <v>22</v>
      </c>
      <c r="L19">
        <f t="shared" si="2"/>
        <v>2.5</v>
      </c>
      <c r="M19">
        <f t="shared" si="3"/>
        <v>2.9165541452876047</v>
      </c>
      <c r="N19">
        <f t="shared" si="4"/>
        <v>22</v>
      </c>
    </row>
    <row r="20" spans="2:15" x14ac:dyDescent="0.25">
      <c r="C20" t="s">
        <v>61</v>
      </c>
      <c r="D20" s="6" t="s">
        <v>62</v>
      </c>
      <c r="E20">
        <f>(4+1.25)*1260+(6)*1000</f>
        <v>12615</v>
      </c>
      <c r="F20">
        <v>34</v>
      </c>
      <c r="G20">
        <f t="shared" si="0"/>
        <v>54.847826086956523</v>
      </c>
      <c r="H20">
        <v>10</v>
      </c>
      <c r="I20">
        <f t="shared" si="1"/>
        <v>2.8956926816095057</v>
      </c>
      <c r="K20">
        <v>60</v>
      </c>
      <c r="L20">
        <f t="shared" si="2"/>
        <v>10</v>
      </c>
      <c r="M20">
        <f t="shared" si="3"/>
        <v>2.8956926816095057</v>
      </c>
      <c r="N20">
        <f t="shared" si="4"/>
        <v>60</v>
      </c>
    </row>
    <row r="21" spans="2:15" x14ac:dyDescent="0.25">
      <c r="C21" t="s">
        <v>25</v>
      </c>
      <c r="D21" s="3" t="s">
        <v>45</v>
      </c>
      <c r="E21">
        <f>5.5*4</f>
        <v>22</v>
      </c>
      <c r="F21">
        <v>7</v>
      </c>
      <c r="G21" s="9">
        <f t="shared" si="0"/>
        <v>9.5652173913043481E-2</v>
      </c>
      <c r="H21">
        <v>1.5</v>
      </c>
      <c r="I21">
        <f t="shared" si="1"/>
        <v>6.9313169502205419E-3</v>
      </c>
      <c r="K21">
        <v>18</v>
      </c>
      <c r="L21">
        <f t="shared" si="2"/>
        <v>1.5</v>
      </c>
      <c r="M21">
        <f t="shared" si="3"/>
        <v>6.9313169502205419E-3</v>
      </c>
      <c r="N21">
        <f t="shared" si="4"/>
        <v>18</v>
      </c>
    </row>
    <row r="22" spans="2:15" x14ac:dyDescent="0.25">
      <c r="C22" t="s">
        <v>42</v>
      </c>
      <c r="D22" s="3" t="s">
        <v>59</v>
      </c>
      <c r="E22">
        <f>3*23</f>
        <v>69</v>
      </c>
      <c r="F22">
        <v>55</v>
      </c>
      <c r="G22" s="9">
        <f t="shared" si="0"/>
        <v>0.3</v>
      </c>
      <c r="H22">
        <v>1.5</v>
      </c>
      <c r="I22">
        <f>2*F22*G22*100/($G$2*H22*$H$2)</f>
        <v>0.17080745341614906</v>
      </c>
      <c r="K22">
        <v>18</v>
      </c>
      <c r="L22">
        <f t="shared" si="2"/>
        <v>1.5</v>
      </c>
      <c r="M22">
        <f t="shared" si="3"/>
        <v>0.17080745341614906</v>
      </c>
      <c r="N22">
        <f t="shared" si="4"/>
        <v>18</v>
      </c>
    </row>
    <row r="26" spans="2:15" x14ac:dyDescent="0.25">
      <c r="D26" t="s">
        <v>63</v>
      </c>
      <c r="E26" t="s">
        <v>64</v>
      </c>
    </row>
    <row r="31" spans="2:15" x14ac:dyDescent="0.25"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</row>
    <row r="32" spans="2:15" x14ac:dyDescent="0.25"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</row>
    <row r="33" spans="2:15" x14ac:dyDescent="0.25"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</row>
    <row r="34" spans="2:15" x14ac:dyDescent="0.25"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</row>
    <row r="35" spans="2:15" x14ac:dyDescent="0.25"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</row>
    <row r="36" spans="2:15" x14ac:dyDescent="0.25"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</row>
    <row r="37" spans="2:15" x14ac:dyDescent="0.25"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</row>
    <row r="38" spans="2:15" x14ac:dyDescent="0.25"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</row>
    <row r="39" spans="2:15" x14ac:dyDescent="0.25"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</row>
    <row r="40" spans="2:15" x14ac:dyDescent="0.25"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</row>
    <row r="41" spans="2:15" x14ac:dyDescent="0.25"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</row>
    <row r="42" spans="2:15" x14ac:dyDescent="0.25"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</row>
    <row r="43" spans="2:15" x14ac:dyDescent="0.25"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</row>
    <row r="44" spans="2:15" x14ac:dyDescent="0.25"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</row>
    <row r="45" spans="2:15" x14ac:dyDescent="0.25"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</row>
    <row r="46" spans="2:15" x14ac:dyDescent="0.25"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</row>
    <row r="47" spans="2:15" x14ac:dyDescent="0.25"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</row>
    <row r="48" spans="2:15" x14ac:dyDescent="0.25"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</row>
    <row r="49" spans="2:16" x14ac:dyDescent="0.25"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</row>
    <row r="50" spans="2:16" x14ac:dyDescent="0.25"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</row>
    <row r="51" spans="2:16" x14ac:dyDescent="0.25"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</row>
    <row r="52" spans="2:16" x14ac:dyDescent="0.25"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</row>
    <row r="53" spans="2:16" x14ac:dyDescent="0.25"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</row>
    <row r="54" spans="2:16" x14ac:dyDescent="0.25"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</row>
    <row r="58" spans="2:16" x14ac:dyDescent="0.25">
      <c r="D58" t="s">
        <v>63</v>
      </c>
      <c r="E58" t="s">
        <v>64</v>
      </c>
    </row>
    <row r="59" spans="2:16" x14ac:dyDescent="0.25">
      <c r="C59" t="s">
        <v>43</v>
      </c>
      <c r="D59" t="s">
        <v>44</v>
      </c>
      <c r="E59" t="s">
        <v>16</v>
      </c>
      <c r="F59" t="s">
        <v>65</v>
      </c>
      <c r="G59" t="s">
        <v>66</v>
      </c>
      <c r="H59" t="s">
        <v>68</v>
      </c>
      <c r="I59" t="s">
        <v>67</v>
      </c>
      <c r="K59" t="s">
        <v>71</v>
      </c>
      <c r="L59" t="s">
        <v>73</v>
      </c>
      <c r="M59" t="s">
        <v>74</v>
      </c>
      <c r="N59" t="s">
        <v>75</v>
      </c>
      <c r="P59" t="s">
        <v>76</v>
      </c>
    </row>
    <row r="60" spans="2:16" x14ac:dyDescent="0.25">
      <c r="C60" t="s">
        <v>26</v>
      </c>
      <c r="D60" s="3" t="s">
        <v>46</v>
      </c>
      <c r="E60">
        <f>2*18</f>
        <v>36</v>
      </c>
      <c r="F60">
        <v>4</v>
      </c>
      <c r="G60" s="9">
        <f>E60/$G$2</f>
        <v>0.15652173913043479</v>
      </c>
      <c r="H60">
        <v>1.5</v>
      </c>
      <c r="I60">
        <f>2*F60*G60*100/($G$2*H60*$H$2)</f>
        <v>6.4812314339724557E-3</v>
      </c>
      <c r="K60">
        <v>18</v>
      </c>
      <c r="L60">
        <f>H60</f>
        <v>1.5</v>
      </c>
      <c r="M60">
        <f>2*F60*G60*100/($G$2*L60*$H$2)</f>
        <v>6.4812314339724557E-3</v>
      </c>
      <c r="N60">
        <f>K60</f>
        <v>18</v>
      </c>
    </row>
    <row r="61" spans="2:16" x14ac:dyDescent="0.25">
      <c r="C61" t="s">
        <v>27</v>
      </c>
      <c r="D61" s="3" t="s">
        <v>48</v>
      </c>
      <c r="E61">
        <f>18*4+4*5.5+4*20</f>
        <v>174</v>
      </c>
      <c r="F61">
        <v>27</v>
      </c>
      <c r="G61" s="9">
        <f t="shared" ref="G61:G68" si="5">E61/$G$2</f>
        <v>0.75652173913043474</v>
      </c>
      <c r="H61">
        <v>1.5</v>
      </c>
      <c r="I61">
        <f t="shared" ref="I61:I65" si="6">2*F61*G61*100/($G$2*H61*$H$2)</f>
        <v>0.21145017553335135</v>
      </c>
      <c r="K61">
        <v>18</v>
      </c>
      <c r="L61">
        <f t="shared" ref="L61:L63" si="7">H61</f>
        <v>1.5</v>
      </c>
      <c r="M61">
        <f t="shared" ref="M61:M68" si="8">2*F61*G61*100/($G$2*L61*$H$2)</f>
        <v>0.21145017553335135</v>
      </c>
      <c r="N61">
        <f t="shared" ref="N61:N63" si="9">K61</f>
        <v>18</v>
      </c>
    </row>
    <row r="62" spans="2:16" x14ac:dyDescent="0.25">
      <c r="C62" t="s">
        <v>30</v>
      </c>
      <c r="D62" s="3" t="s">
        <v>70</v>
      </c>
      <c r="E62">
        <f>6*18 + 5.5</f>
        <v>113.5</v>
      </c>
      <c r="F62">
        <v>43</v>
      </c>
      <c r="G62" s="9">
        <f t="shared" si="5"/>
        <v>0.4934782608695652</v>
      </c>
      <c r="H62">
        <v>1.5</v>
      </c>
      <c r="I62">
        <f t="shared" si="6"/>
        <v>0.21966423620487888</v>
      </c>
      <c r="K62">
        <v>18</v>
      </c>
      <c r="L62">
        <f t="shared" si="7"/>
        <v>1.5</v>
      </c>
      <c r="M62">
        <f t="shared" si="8"/>
        <v>0.21966423620487888</v>
      </c>
      <c r="N62">
        <f t="shared" si="9"/>
        <v>18</v>
      </c>
    </row>
    <row r="63" spans="2:16" x14ac:dyDescent="0.25">
      <c r="C63" t="s">
        <v>25</v>
      </c>
      <c r="D63" s="3" t="s">
        <v>45</v>
      </c>
      <c r="E63">
        <f>5.5*4</f>
        <v>22</v>
      </c>
      <c r="F63">
        <v>7</v>
      </c>
      <c r="G63" s="9">
        <f t="shared" si="5"/>
        <v>9.5652173913043481E-2</v>
      </c>
      <c r="H63">
        <v>1.5</v>
      </c>
      <c r="I63">
        <f t="shared" si="6"/>
        <v>6.9313169502205419E-3</v>
      </c>
      <c r="K63">
        <v>18</v>
      </c>
      <c r="L63">
        <f t="shared" si="7"/>
        <v>1.5</v>
      </c>
      <c r="M63">
        <f t="shared" si="8"/>
        <v>6.9313169502205419E-3</v>
      </c>
      <c r="N63">
        <f t="shared" si="9"/>
        <v>18</v>
      </c>
    </row>
    <row r="64" spans="2:16" x14ac:dyDescent="0.25">
      <c r="C64" t="s">
        <v>28</v>
      </c>
      <c r="D64" s="3" t="s">
        <v>47</v>
      </c>
      <c r="E64">
        <f>3*3680*0.25</f>
        <v>2760</v>
      </c>
      <c r="F64">
        <v>8</v>
      </c>
      <c r="G64">
        <f t="shared" si="5"/>
        <v>12</v>
      </c>
      <c r="H64">
        <v>1.5</v>
      </c>
      <c r="I64">
        <f t="shared" si="6"/>
        <v>0.99378881987577639</v>
      </c>
      <c r="K64" s="7">
        <v>18</v>
      </c>
      <c r="L64">
        <v>1.5</v>
      </c>
      <c r="M64">
        <f t="shared" si="8"/>
        <v>0.99378881987577639</v>
      </c>
      <c r="N64">
        <v>25</v>
      </c>
    </row>
    <row r="65" spans="3:16" x14ac:dyDescent="0.25">
      <c r="C65" t="s">
        <v>29</v>
      </c>
      <c r="D65" s="3" t="s">
        <v>69</v>
      </c>
      <c r="E65">
        <f>6*3680*0.25</f>
        <v>5520</v>
      </c>
      <c r="F65">
        <v>31</v>
      </c>
      <c r="G65">
        <f t="shared" si="5"/>
        <v>24</v>
      </c>
      <c r="H65">
        <v>2.5</v>
      </c>
      <c r="I65">
        <f t="shared" si="6"/>
        <v>4.6211180124223601</v>
      </c>
      <c r="K65" s="7">
        <v>34</v>
      </c>
      <c r="L65">
        <v>2.5</v>
      </c>
      <c r="M65">
        <f t="shared" si="8"/>
        <v>4.6211180124223601</v>
      </c>
      <c r="N65">
        <v>60</v>
      </c>
    </row>
    <row r="66" spans="3:16" x14ac:dyDescent="0.25">
      <c r="C66" t="s">
        <v>42</v>
      </c>
      <c r="D66" s="3" t="s">
        <v>59</v>
      </c>
      <c r="E66">
        <f>3*23</f>
        <v>69</v>
      </c>
      <c r="F66">
        <v>55</v>
      </c>
      <c r="G66" s="9">
        <f t="shared" si="5"/>
        <v>0.3</v>
      </c>
      <c r="H66">
        <v>1.5</v>
      </c>
      <c r="I66">
        <f>2*F66*G66*100/($G$2*H66*$H$2)</f>
        <v>0.17080745341614906</v>
      </c>
      <c r="K66">
        <v>18</v>
      </c>
      <c r="L66">
        <f t="shared" ref="L66:L68" si="10">H66</f>
        <v>1.5</v>
      </c>
      <c r="M66">
        <f t="shared" si="8"/>
        <v>0.17080745341614906</v>
      </c>
      <c r="N66">
        <f t="shared" ref="N66:N68" si="11">K66</f>
        <v>18</v>
      </c>
    </row>
    <row r="67" spans="3:16" x14ac:dyDescent="0.25">
      <c r="C67" t="s">
        <v>31</v>
      </c>
      <c r="D67" s="4" t="s">
        <v>55</v>
      </c>
      <c r="E67">
        <f>5*18</f>
        <v>90</v>
      </c>
      <c r="F67">
        <v>17</v>
      </c>
      <c r="G67" s="9">
        <f t="shared" si="5"/>
        <v>0.39130434782608697</v>
      </c>
      <c r="H67">
        <v>1.5</v>
      </c>
      <c r="I67">
        <f t="shared" ref="I67:I68" si="12">2*F67*G67*100/($G$2*H67*$H$2)</f>
        <v>6.8863083985957335E-2</v>
      </c>
      <c r="K67">
        <v>18</v>
      </c>
      <c r="L67">
        <f t="shared" si="10"/>
        <v>1.5</v>
      </c>
      <c r="M67">
        <f t="shared" si="8"/>
        <v>6.8863083985957335E-2</v>
      </c>
      <c r="N67">
        <f t="shared" si="11"/>
        <v>18</v>
      </c>
    </row>
    <row r="68" spans="3:16" x14ac:dyDescent="0.25">
      <c r="C68" t="s">
        <v>33</v>
      </c>
      <c r="D68" s="4" t="s">
        <v>49</v>
      </c>
      <c r="E68">
        <f>2*18</f>
        <v>36</v>
      </c>
      <c r="F68">
        <v>40</v>
      </c>
      <c r="G68" s="9">
        <f t="shared" si="5"/>
        <v>0.15652173913043479</v>
      </c>
      <c r="H68">
        <v>1.5</v>
      </c>
      <c r="I68">
        <f t="shared" si="12"/>
        <v>6.481231433972455E-2</v>
      </c>
      <c r="K68">
        <v>18</v>
      </c>
      <c r="L68">
        <f t="shared" si="10"/>
        <v>1.5</v>
      </c>
      <c r="M68">
        <f t="shared" si="8"/>
        <v>6.481231433972455E-2</v>
      </c>
      <c r="N68">
        <f t="shared" si="11"/>
        <v>18</v>
      </c>
      <c r="P68">
        <f>SUM(G60:G68)</f>
        <v>38.349999999999994</v>
      </c>
    </row>
    <row r="69" spans="3:16" x14ac:dyDescent="0.25">
      <c r="E69" s="12">
        <f>SUM(E60:E68)</f>
        <v>8820.5</v>
      </c>
    </row>
    <row r="70" spans="3:16" x14ac:dyDescent="0.25">
      <c r="C70" t="s">
        <v>32</v>
      </c>
      <c r="D70" s="5" t="s">
        <v>50</v>
      </c>
      <c r="E70">
        <f>18*29</f>
        <v>522</v>
      </c>
      <c r="F70">
        <v>55</v>
      </c>
      <c r="G70" s="9">
        <f t="shared" ref="G70:G72" si="13">E70/$G$2</f>
        <v>2.2695652173913046</v>
      </c>
      <c r="H70">
        <v>1.5</v>
      </c>
      <c r="I70">
        <f t="shared" ref="I70:I72" si="14">2*F70*G70*100/($G$2*H70*$H$2)</f>
        <v>1.2921955171482584</v>
      </c>
      <c r="K70">
        <v>18</v>
      </c>
      <c r="L70">
        <f t="shared" ref="L70" si="15">H70</f>
        <v>1.5</v>
      </c>
      <c r="M70">
        <f t="shared" ref="M70:M72" si="16">2*F70*G70*100/($G$2*L70*$H$2)</f>
        <v>1.2921955171482584</v>
      </c>
      <c r="N70">
        <f t="shared" ref="N70" si="17">K70</f>
        <v>18</v>
      </c>
    </row>
    <row r="71" spans="3:16" x14ac:dyDescent="0.25">
      <c r="C71" t="s">
        <v>34</v>
      </c>
      <c r="D71" s="5" t="s">
        <v>77</v>
      </c>
      <c r="E71">
        <f>(2*2200+2200*1.25)*0.25+5*0.25*3680</f>
        <v>6387.5</v>
      </c>
      <c r="F71">
        <v>45</v>
      </c>
      <c r="G71">
        <f t="shared" si="13"/>
        <v>27.771739130434781</v>
      </c>
      <c r="H71">
        <v>4</v>
      </c>
      <c r="I71">
        <f t="shared" si="14"/>
        <v>4.8514295841209831</v>
      </c>
      <c r="K71" s="7">
        <v>44</v>
      </c>
      <c r="L71">
        <v>4</v>
      </c>
      <c r="M71">
        <f t="shared" si="16"/>
        <v>4.8514295841209831</v>
      </c>
      <c r="N71">
        <v>60</v>
      </c>
    </row>
    <row r="72" spans="3:16" x14ac:dyDescent="0.25">
      <c r="C72" t="s">
        <v>61</v>
      </c>
      <c r="D72" s="6" t="s">
        <v>62</v>
      </c>
      <c r="E72">
        <f>(1+1.25)*1260+(2)*1000</f>
        <v>4835</v>
      </c>
      <c r="F72">
        <v>34</v>
      </c>
      <c r="G72">
        <f t="shared" si="13"/>
        <v>21.021739130434781</v>
      </c>
      <c r="H72">
        <v>2.5</v>
      </c>
      <c r="I72">
        <f t="shared" si="14"/>
        <v>4.4393734809613825</v>
      </c>
      <c r="K72">
        <v>34</v>
      </c>
      <c r="L72">
        <f t="shared" ref="L72" si="18">H72</f>
        <v>2.5</v>
      </c>
      <c r="M72">
        <f t="shared" si="16"/>
        <v>4.4393734809613825</v>
      </c>
      <c r="N72">
        <f t="shared" ref="N72" si="19">K72</f>
        <v>34</v>
      </c>
      <c r="P72">
        <f>SUM(G70:G72)</f>
        <v>51.063043478260866</v>
      </c>
    </row>
    <row r="73" spans="3:16" x14ac:dyDescent="0.25">
      <c r="E73" s="12">
        <f>SUM(E70:E72)</f>
        <v>11744.5</v>
      </c>
    </row>
    <row r="74" spans="3:16" x14ac:dyDescent="0.25">
      <c r="C74" t="s">
        <v>35</v>
      </c>
      <c r="D74" t="s">
        <v>53</v>
      </c>
      <c r="E74">
        <f>3*18</f>
        <v>54</v>
      </c>
      <c r="F74">
        <v>46</v>
      </c>
      <c r="G74" s="9">
        <f t="shared" ref="G74:G75" si="20">E74/$G$2</f>
        <v>0.23478260869565218</v>
      </c>
      <c r="H74">
        <v>1.5</v>
      </c>
      <c r="I74">
        <f t="shared" ref="I74:I75" si="21">2*F74*G74*100/($G$2*H74*$H$2)</f>
        <v>0.11180124223602485</v>
      </c>
      <c r="K74">
        <v>18</v>
      </c>
      <c r="L74">
        <f t="shared" ref="L74:L75" si="22">H74</f>
        <v>1.5</v>
      </c>
      <c r="M74">
        <f t="shared" ref="M74:M75" si="23">2*F74*G74*100/($G$2*L74*$H$2)</f>
        <v>0.11180124223602485</v>
      </c>
      <c r="N74">
        <f t="shared" ref="N74:N75" si="24">K74</f>
        <v>18</v>
      </c>
    </row>
    <row r="75" spans="3:16" x14ac:dyDescent="0.25">
      <c r="C75" t="s">
        <v>36</v>
      </c>
      <c r="D75" t="s">
        <v>54</v>
      </c>
      <c r="E75">
        <f>1*1000+1*1000*1.25+0.25*3680</f>
        <v>3170</v>
      </c>
      <c r="F75">
        <v>51</v>
      </c>
      <c r="G75">
        <f t="shared" si="20"/>
        <v>13.782608695652174</v>
      </c>
      <c r="H75">
        <v>2.5</v>
      </c>
      <c r="I75">
        <f t="shared" si="21"/>
        <v>4.3659195247096942</v>
      </c>
      <c r="K75">
        <v>34</v>
      </c>
      <c r="L75">
        <f t="shared" si="22"/>
        <v>2.5</v>
      </c>
      <c r="M75">
        <f t="shared" si="23"/>
        <v>4.3659195247096942</v>
      </c>
      <c r="N75">
        <f t="shared" si="24"/>
        <v>34</v>
      </c>
      <c r="P75">
        <f>SUM(G74:G75)</f>
        <v>14.017391304347827</v>
      </c>
    </row>
    <row r="76" spans="3:16" x14ac:dyDescent="0.25">
      <c r="E76" s="12">
        <f>SUM(E74:E75)</f>
        <v>3224</v>
      </c>
    </row>
    <row r="77" spans="3:16" x14ac:dyDescent="0.25">
      <c r="C77" t="s">
        <v>37</v>
      </c>
      <c r="D77" s="6" t="s">
        <v>51</v>
      </c>
      <c r="E77" s="8">
        <f>3*12000</f>
        <v>36000</v>
      </c>
      <c r="F77">
        <v>54</v>
      </c>
      <c r="G77">
        <f>E77/(3*$G$2)</f>
        <v>52.173913043478258</v>
      </c>
      <c r="H77">
        <v>10</v>
      </c>
      <c r="I77">
        <f t="shared" ref="I77" si="25">2*F77*G77*100/($G$2*H77*$H$2)</f>
        <v>4.3748312179314066</v>
      </c>
      <c r="K77" s="10">
        <v>52</v>
      </c>
      <c r="L77">
        <v>16</v>
      </c>
      <c r="M77">
        <f t="shared" ref="M77" si="26">2*F77*G77*100/($G$2*L77*$H$2)</f>
        <v>2.7342695112071294</v>
      </c>
      <c r="N77">
        <v>70</v>
      </c>
      <c r="P77">
        <f>G77</f>
        <v>52.173913043478258</v>
      </c>
    </row>
    <row r="79" spans="3:16" x14ac:dyDescent="0.25">
      <c r="C79" t="s">
        <v>41</v>
      </c>
      <c r="D79" s="6" t="s">
        <v>60</v>
      </c>
      <c r="E79" s="8">
        <f>(1+1.25)*4000</f>
        <v>9000</v>
      </c>
      <c r="F79">
        <v>36</v>
      </c>
      <c r="G79">
        <f>E79/(3*$G$2)</f>
        <v>13.043478260869565</v>
      </c>
      <c r="H79">
        <v>2.5</v>
      </c>
      <c r="I79">
        <f>2*F79*G79*100/($G$2*H79*$H$2)</f>
        <v>2.9165541452876047</v>
      </c>
      <c r="K79" s="7">
        <v>22</v>
      </c>
      <c r="L79">
        <f t="shared" ref="L79" si="27">H79</f>
        <v>2.5</v>
      </c>
      <c r="M79">
        <f>2*F79*G79*100/($G$2*L79*$H$2)</f>
        <v>2.9165541452876047</v>
      </c>
      <c r="N79">
        <f t="shared" ref="N79" si="28">K79</f>
        <v>22</v>
      </c>
      <c r="P79">
        <f>G79</f>
        <v>13.043478260869565</v>
      </c>
    </row>
    <row r="81" spans="3:16" x14ac:dyDescent="0.25">
      <c r="C81" t="s">
        <v>39</v>
      </c>
      <c r="D81" s="6" t="s">
        <v>57</v>
      </c>
      <c r="E81" s="8">
        <f>13580*1.25</f>
        <v>16975</v>
      </c>
      <c r="F81">
        <v>44</v>
      </c>
      <c r="G81">
        <f>E81/(3*$G$2)</f>
        <v>24.60144927536232</v>
      </c>
      <c r="H81">
        <v>4</v>
      </c>
      <c r="I81">
        <f t="shared" ref="I81:I83" si="29">2*F81*G81*100/($G$2*H81*$H$2)</f>
        <v>4.2021109010712037</v>
      </c>
      <c r="K81" s="7">
        <v>30</v>
      </c>
      <c r="L81">
        <f t="shared" ref="L81:L83" si="30">H81</f>
        <v>4</v>
      </c>
      <c r="M81">
        <f t="shared" ref="M81:M83" si="31">2*F81*G81*100/($G$2*L81*$H$2)</f>
        <v>4.2021109010712037</v>
      </c>
      <c r="N81">
        <f t="shared" ref="N81:N83" si="32">K81</f>
        <v>30</v>
      </c>
    </row>
    <row r="82" spans="3:16" x14ac:dyDescent="0.25">
      <c r="C82" t="s">
        <v>38</v>
      </c>
      <c r="D82" s="4" t="s">
        <v>56</v>
      </c>
      <c r="E82" s="8">
        <f>(3200*1.25+1800)</f>
        <v>5800</v>
      </c>
      <c r="F82">
        <v>43</v>
      </c>
      <c r="G82">
        <f>E82/(3*$G$2)</f>
        <v>8.4057971014492754</v>
      </c>
      <c r="H82">
        <v>1.5</v>
      </c>
      <c r="I82">
        <f t="shared" si="29"/>
        <v>3.7417109250757639</v>
      </c>
      <c r="K82" s="7">
        <v>16</v>
      </c>
      <c r="L82">
        <f t="shared" si="30"/>
        <v>1.5</v>
      </c>
      <c r="M82">
        <f t="shared" si="31"/>
        <v>3.7417109250757639</v>
      </c>
      <c r="N82">
        <f t="shared" si="32"/>
        <v>16</v>
      </c>
    </row>
    <row r="83" spans="3:16" x14ac:dyDescent="0.25">
      <c r="C83" t="s">
        <v>40</v>
      </c>
      <c r="D83" s="4" t="s">
        <v>58</v>
      </c>
      <c r="E83" s="8">
        <f>(3200*1.25+1800)</f>
        <v>5800</v>
      </c>
      <c r="F83">
        <v>21</v>
      </c>
      <c r="G83">
        <f>E83/(3*$G$2)</f>
        <v>8.4057971014492754</v>
      </c>
      <c r="H83">
        <v>1.5</v>
      </c>
      <c r="I83">
        <f t="shared" si="29"/>
        <v>1.8273471959672338</v>
      </c>
      <c r="K83">
        <v>16</v>
      </c>
      <c r="L83">
        <f t="shared" si="30"/>
        <v>1.5</v>
      </c>
      <c r="M83">
        <f t="shared" si="31"/>
        <v>1.8273471959672338</v>
      </c>
      <c r="N83">
        <f t="shared" si="32"/>
        <v>16</v>
      </c>
      <c r="P83">
        <f>SUM(G81:G83)</f>
        <v>41.413043478260867</v>
      </c>
    </row>
    <row r="84" spans="3:16" x14ac:dyDescent="0.25">
      <c r="E84" s="12">
        <f>SUM(E81:E83)</f>
        <v>28575</v>
      </c>
    </row>
    <row r="85" spans="3:16" x14ac:dyDescent="0.25">
      <c r="P85">
        <f>SUM(P68:P83)</f>
        <v>210.06086956521739</v>
      </c>
    </row>
    <row r="86" spans="3:16" x14ac:dyDescent="0.25">
      <c r="E86">
        <f>SUM(E60:E83)</f>
        <v>121153</v>
      </c>
    </row>
    <row r="87" spans="3:16" x14ac:dyDescent="0.25">
      <c r="D87" s="2"/>
    </row>
    <row r="88" spans="3:16" x14ac:dyDescent="0.25">
      <c r="G88" t="s">
        <v>98</v>
      </c>
      <c r="H88" t="s">
        <v>99</v>
      </c>
    </row>
    <row r="89" spans="3:16" x14ac:dyDescent="0.25">
      <c r="G89">
        <v>230</v>
      </c>
      <c r="H89">
        <v>56</v>
      </c>
    </row>
    <row r="90" spans="3:16" x14ac:dyDescent="0.25">
      <c r="D90" t="s">
        <v>63</v>
      </c>
      <c r="E90" t="s">
        <v>64</v>
      </c>
    </row>
    <row r="91" spans="3:16" x14ac:dyDescent="0.25">
      <c r="C91" t="s">
        <v>43</v>
      </c>
      <c r="D91" t="s">
        <v>44</v>
      </c>
      <c r="E91" t="s">
        <v>16</v>
      </c>
      <c r="F91" t="s">
        <v>65</v>
      </c>
      <c r="G91" t="s">
        <v>66</v>
      </c>
      <c r="H91" t="s">
        <v>68</v>
      </c>
      <c r="I91" t="s">
        <v>81</v>
      </c>
      <c r="J91" t="s">
        <v>67</v>
      </c>
      <c r="K91" t="s">
        <v>71</v>
      </c>
      <c r="L91" t="s">
        <v>73</v>
      </c>
      <c r="M91" t="s">
        <v>74</v>
      </c>
      <c r="N91" t="s">
        <v>75</v>
      </c>
      <c r="P91" t="s">
        <v>76</v>
      </c>
    </row>
    <row r="92" spans="3:16" x14ac:dyDescent="0.25">
      <c r="C92" t="s">
        <v>26</v>
      </c>
      <c r="D92" s="3" t="s">
        <v>78</v>
      </c>
      <c r="E92">
        <f>66*18+5*5.5+25*3+80</f>
        <v>1370.5</v>
      </c>
      <c r="F92">
        <v>55</v>
      </c>
      <c r="G92" s="9">
        <f>E92/230</f>
        <v>5.9586956521739127</v>
      </c>
      <c r="H92">
        <v>2.5</v>
      </c>
      <c r="I92">
        <v>1</v>
      </c>
      <c r="J92">
        <f>2*F92*G92*100/($G$89*H92*$H$89)</f>
        <v>2.0355792600594111</v>
      </c>
      <c r="K92">
        <v>25</v>
      </c>
    </row>
    <row r="93" spans="3:16" x14ac:dyDescent="0.25">
      <c r="C93" t="s">
        <v>27</v>
      </c>
      <c r="D93" s="3" t="s">
        <v>79</v>
      </c>
      <c r="E93">
        <f>82*18</f>
        <v>1476</v>
      </c>
      <c r="F93">
        <v>47</v>
      </c>
      <c r="G93" s="9">
        <f t="shared" ref="G93:G95" si="33">E93/230</f>
        <v>6.4173913043478263</v>
      </c>
      <c r="H93">
        <v>2.5</v>
      </c>
      <c r="I93">
        <v>1</v>
      </c>
      <c r="J93">
        <f t="shared" ref="J93:J95" si="34">2*F93*G93*100/($G$89*H93*$H$89)</f>
        <v>1.8733999459897381</v>
      </c>
      <c r="K93">
        <v>25</v>
      </c>
    </row>
    <row r="94" spans="3:16" x14ac:dyDescent="0.25">
      <c r="C94" t="s">
        <v>28</v>
      </c>
      <c r="D94" s="3" t="s">
        <v>82</v>
      </c>
      <c r="E94">
        <f>1000*1+3.25*1100+3*500+2*800+100</f>
        <v>7775</v>
      </c>
      <c r="F94">
        <v>51</v>
      </c>
      <c r="G94" s="9">
        <f t="shared" si="33"/>
        <v>33.804347826086953</v>
      </c>
      <c r="H94">
        <v>10</v>
      </c>
      <c r="I94">
        <v>1</v>
      </c>
      <c r="J94">
        <f t="shared" si="34"/>
        <v>2.677052389954091</v>
      </c>
      <c r="K94">
        <v>60</v>
      </c>
    </row>
    <row r="95" spans="3:16" x14ac:dyDescent="0.25">
      <c r="C95" t="s">
        <v>29</v>
      </c>
      <c r="D95" s="3" t="s">
        <v>80</v>
      </c>
      <c r="E95">
        <f>3*800+2*1000+2.25*1260</f>
        <v>7235</v>
      </c>
      <c r="F95">
        <v>33</v>
      </c>
      <c r="G95" s="9">
        <f t="shared" si="33"/>
        <v>31.456521739130434</v>
      </c>
      <c r="H95">
        <v>6</v>
      </c>
      <c r="I95">
        <v>1</v>
      </c>
      <c r="J95">
        <f t="shared" si="34"/>
        <v>2.6865041857953011</v>
      </c>
      <c r="K95">
        <v>44</v>
      </c>
    </row>
    <row r="96" spans="3:16" x14ac:dyDescent="0.25">
      <c r="D96" s="7"/>
      <c r="G96" s="9">
        <f>SUM(G92:G95)</f>
        <v>77.636956521739123</v>
      </c>
      <c r="K96" s="7"/>
    </row>
    <row r="97" spans="3:16" x14ac:dyDescent="0.25">
      <c r="C97" t="s">
        <v>30</v>
      </c>
      <c r="D97" s="6" t="s">
        <v>51</v>
      </c>
      <c r="E97" s="8">
        <f>3*12000</f>
        <v>36000</v>
      </c>
      <c r="F97">
        <v>54</v>
      </c>
      <c r="G97">
        <f>E97/(3*$G$2)</f>
        <v>52.173913043478258</v>
      </c>
      <c r="H97">
        <v>6</v>
      </c>
      <c r="I97">
        <v>0.95</v>
      </c>
      <c r="J97">
        <f>F97*G97*100/($G$89*H97*$H$89)</f>
        <v>3.6456926816095057</v>
      </c>
      <c r="K97" s="10">
        <v>37</v>
      </c>
      <c r="L97">
        <v>16</v>
      </c>
      <c r="M97">
        <f>F97*D111*100/($G$2*L97*$H$2)</f>
        <v>1.4390892164248048</v>
      </c>
      <c r="N97">
        <v>70</v>
      </c>
      <c r="P97" t="e">
        <f>M92:M96</f>
        <v>#VALUE!</v>
      </c>
    </row>
    <row r="99" spans="3:16" x14ac:dyDescent="0.25">
      <c r="C99" t="s">
        <v>31</v>
      </c>
      <c r="D99" s="6" t="s">
        <v>100</v>
      </c>
      <c r="E99" s="8">
        <f>(1+1.25)*4000+(3200*1+1800)*2</f>
        <v>19000</v>
      </c>
      <c r="F99">
        <v>36</v>
      </c>
      <c r="G99">
        <f>E99/(3*$G$2)</f>
        <v>27.536231884057973</v>
      </c>
      <c r="H99">
        <v>2.5</v>
      </c>
      <c r="I99">
        <v>0.9</v>
      </c>
      <c r="J99">
        <f t="shared" ref="J99:J104" si="35">F99*G99*100/($G$89*H99*$H$89)</f>
        <v>3.0785849311369162</v>
      </c>
      <c r="K99" s="10">
        <v>22</v>
      </c>
      <c r="L99">
        <v>10</v>
      </c>
      <c r="M99">
        <f>F99*I113*100/($G$2*L99*$H$2)</f>
        <v>0.8551624808713657</v>
      </c>
      <c r="N99">
        <v>52</v>
      </c>
      <c r="P99">
        <f>G99</f>
        <v>27.536231884057973</v>
      </c>
    </row>
    <row r="100" spans="3:16" x14ac:dyDescent="0.25">
      <c r="D100" s="4"/>
      <c r="E100" s="8"/>
      <c r="K100" s="7"/>
    </row>
    <row r="101" spans="3:16" x14ac:dyDescent="0.25">
      <c r="D101" s="4"/>
      <c r="E101" s="8"/>
    </row>
    <row r="102" spans="3:16" x14ac:dyDescent="0.25">
      <c r="F102">
        <v>43</v>
      </c>
      <c r="G102">
        <f>I113</f>
        <v>30.595813204508858</v>
      </c>
    </row>
    <row r="104" spans="3:16" x14ac:dyDescent="0.25">
      <c r="C104" t="s">
        <v>32</v>
      </c>
      <c r="D104" s="6" t="s">
        <v>57</v>
      </c>
      <c r="E104" s="8">
        <f>13580*1.25</f>
        <v>16975</v>
      </c>
      <c r="F104">
        <v>44</v>
      </c>
      <c r="G104">
        <f>E104/(3*$G$2)</f>
        <v>24.60144927536232</v>
      </c>
      <c r="H104">
        <v>2.5</v>
      </c>
      <c r="I104">
        <v>0.95</v>
      </c>
      <c r="J104">
        <f t="shared" si="35"/>
        <v>3.361688720856963</v>
      </c>
      <c r="K104" s="10">
        <v>22</v>
      </c>
      <c r="L104">
        <v>10</v>
      </c>
      <c r="M104">
        <f t="shared" ref="M104" si="36">F104*G104*100/($G$2*L104*$H$2)</f>
        <v>0.84042218021424075</v>
      </c>
      <c r="N104">
        <v>52</v>
      </c>
      <c r="P104">
        <f>SUM(G104:G106)</f>
        <v>49.223214168404112</v>
      </c>
    </row>
    <row r="105" spans="3:16" x14ac:dyDescent="0.25">
      <c r="D105" s="4"/>
      <c r="E105" s="8"/>
      <c r="G105">
        <f>SQRT(G104^2+1)</f>
        <v>24.621764893041792</v>
      </c>
      <c r="I105">
        <f>ACOS(I104)</f>
        <v>0.31756042929152151</v>
      </c>
      <c r="K105" s="7"/>
    </row>
    <row r="106" spans="3:16" x14ac:dyDescent="0.25">
      <c r="D106" s="4"/>
      <c r="E106" s="8"/>
      <c r="P106" t="e">
        <f>SUM(P97:P108)</f>
        <v>#VALUE!</v>
      </c>
    </row>
    <row r="107" spans="3:16" x14ac:dyDescent="0.25">
      <c r="C107" t="s">
        <v>86</v>
      </c>
    </row>
    <row r="108" spans="3:16" x14ac:dyDescent="0.25">
      <c r="C108" t="s">
        <v>87</v>
      </c>
      <c r="D108">
        <f>ACOS(I97)</f>
        <v>0.31756042929152151</v>
      </c>
      <c r="E108" s="12"/>
      <c r="F108" t="s">
        <v>91</v>
      </c>
      <c r="G108">
        <f>SUM(G99:G101)</f>
        <v>27.536231884057973</v>
      </c>
      <c r="H108">
        <f>ACOS(I99)</f>
        <v>0.45102681179626236</v>
      </c>
      <c r="I108">
        <f>G99*TAN(H108)</f>
        <v>13.336405785390143</v>
      </c>
    </row>
    <row r="109" spans="3:16" x14ac:dyDescent="0.25">
      <c r="C109" s="2" t="s">
        <v>88</v>
      </c>
      <c r="D109">
        <f>G97</f>
        <v>52.173913043478258</v>
      </c>
      <c r="H109">
        <f>ACOS(I100)</f>
        <v>1.5707963267948966</v>
      </c>
      <c r="I109">
        <f t="shared" ref="I109:I110" si="37">G100*TAN(H109)</f>
        <v>0</v>
      </c>
    </row>
    <row r="110" spans="3:16" x14ac:dyDescent="0.25">
      <c r="C110" s="2" t="s">
        <v>89</v>
      </c>
      <c r="D110">
        <f>D109*TAN(D108)</f>
        <v>17.148735922375472</v>
      </c>
      <c r="H110">
        <f>ACOS(I101)</f>
        <v>1.5707963267948966</v>
      </c>
      <c r="I110">
        <f t="shared" si="37"/>
        <v>0</v>
      </c>
    </row>
    <row r="111" spans="3:16" x14ac:dyDescent="0.25">
      <c r="C111" s="2" t="s">
        <v>90</v>
      </c>
      <c r="D111">
        <f>SQRT(D109^2+D110^2)</f>
        <v>54.919908466819223</v>
      </c>
      <c r="I111">
        <f>SUM(I108:I110)</f>
        <v>13.336405785390143</v>
      </c>
    </row>
    <row r="113" spans="3:14" x14ac:dyDescent="0.25">
      <c r="C113" t="s">
        <v>92</v>
      </c>
      <c r="H113" t="s">
        <v>83</v>
      </c>
      <c r="I113">
        <f>SQRT(G108^2+I111^2)</f>
        <v>30.595813204508858</v>
      </c>
    </row>
    <row r="114" spans="3:14" x14ac:dyDescent="0.25">
      <c r="C114" t="s">
        <v>87</v>
      </c>
      <c r="D114">
        <f>ACOS(I104)</f>
        <v>0.31756042929152151</v>
      </c>
      <c r="H114" t="s">
        <v>85</v>
      </c>
      <c r="I114">
        <f>TAN(I111/G108)</f>
        <v>0.52611681699307256</v>
      </c>
    </row>
    <row r="115" spans="3:14" x14ac:dyDescent="0.25">
      <c r="C115" s="2" t="s">
        <v>88</v>
      </c>
      <c r="D115">
        <f>G104</f>
        <v>24.60144927536232</v>
      </c>
      <c r="H115" t="s">
        <v>84</v>
      </c>
      <c r="I115">
        <f>COS(I114)</f>
        <v>0.86476363888788454</v>
      </c>
    </row>
    <row r="116" spans="3:14" x14ac:dyDescent="0.25">
      <c r="C116" s="2" t="s">
        <v>89</v>
      </c>
      <c r="D116">
        <f>D115*TAN(D114)</f>
        <v>8.0861053411756565</v>
      </c>
      <c r="L116" s="2"/>
    </row>
    <row r="117" spans="3:14" x14ac:dyDescent="0.25">
      <c r="C117" s="2" t="s">
        <v>90</v>
      </c>
      <c r="D117">
        <f>SQRT(D115^2+D116^2)</f>
        <v>25.896262395118232</v>
      </c>
    </row>
    <row r="119" spans="3:14" x14ac:dyDescent="0.25">
      <c r="G119">
        <f>G96+D111+D117+I113</f>
        <v>189.04894058818545</v>
      </c>
    </row>
    <row r="121" spans="3:14" x14ac:dyDescent="0.25">
      <c r="D121" t="s">
        <v>96</v>
      </c>
      <c r="E121">
        <f>SUM(E92:E106)</f>
        <v>89831.5</v>
      </c>
    </row>
    <row r="122" spans="3:14" x14ac:dyDescent="0.25">
      <c r="D122" t="s">
        <v>95</v>
      </c>
      <c r="E122">
        <f>E121/(3*230)</f>
        <v>130.19057971014493</v>
      </c>
    </row>
    <row r="123" spans="3:14" x14ac:dyDescent="0.25">
      <c r="K123" t="s">
        <v>75</v>
      </c>
      <c r="L123" t="s">
        <v>73</v>
      </c>
      <c r="N123" t="s">
        <v>75</v>
      </c>
    </row>
    <row r="124" spans="3:14" x14ac:dyDescent="0.25">
      <c r="C124" t="s">
        <v>97</v>
      </c>
      <c r="D124" s="3"/>
      <c r="E124">
        <f>E121</f>
        <v>89831.5</v>
      </c>
      <c r="F124">
        <v>8</v>
      </c>
      <c r="G124" s="9">
        <f>E124/(3*230)</f>
        <v>130.19057971014493</v>
      </c>
      <c r="H124">
        <v>6</v>
      </c>
      <c r="I124">
        <v>1</v>
      </c>
      <c r="J124">
        <f>F124*G124*100/($G$89*H124*$H$89)</f>
        <v>1.3477285684280014</v>
      </c>
      <c r="K124">
        <v>37</v>
      </c>
      <c r="L124">
        <v>35</v>
      </c>
      <c r="M124">
        <f>F124*G124*100/($G$2*L124*$H$2)</f>
        <v>0.23103918315908595</v>
      </c>
      <c r="N124">
        <v>133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4C3425-AAFC-4ED7-90ED-8F6BE5F7AB3D}">
  <dimension ref="A1"/>
  <sheetViews>
    <sheetView workbookViewId="0">
      <selection sqref="A1:N30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Línies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llore</dc:creator>
  <cp:lastModifiedBy>llore</cp:lastModifiedBy>
  <dcterms:created xsi:type="dcterms:W3CDTF">2019-10-05T11:51:54Z</dcterms:created>
  <dcterms:modified xsi:type="dcterms:W3CDTF">2019-10-12T21:13:55Z</dcterms:modified>
</cp:coreProperties>
</file>