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flessati\surfdrive - Luca Flessati@surfdrive.surf.nl\MonA\TunnelFace\"/>
    </mc:Choice>
  </mc:AlternateContent>
  <xr:revisionPtr revIDLastSave="0" documentId="13_ncr:1_{93F87FD1-FBA8-47AF-B878-8553A589AD4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trusion, spoil, vol. loss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B32" i="1"/>
  <c r="B27" i="1"/>
  <c r="B35" i="1"/>
  <c r="B34" i="1"/>
  <c r="B37" i="1" s="1"/>
  <c r="B36" i="1"/>
  <c r="B25" i="1"/>
  <c r="B21" i="1"/>
  <c r="B30" i="1"/>
  <c r="B31" i="1" s="1"/>
  <c r="B40" i="1" l="1"/>
  <c r="B39" i="1"/>
  <c r="B20" i="1"/>
  <c r="B22" i="1" l="1"/>
  <c r="B44" i="1"/>
  <c r="B23" i="1" l="1"/>
  <c r="B24" i="1" s="1"/>
  <c r="B26" i="1" s="1"/>
  <c r="B28" i="1" s="1"/>
  <c r="B45" i="1" s="1"/>
  <c r="B41" i="1" l="1"/>
  <c r="B47" i="1" s="1"/>
  <c r="K4" i="1" s="1"/>
  <c r="K6" i="1" s="1"/>
</calcChain>
</file>

<file path=xl/sharedStrings.xml><?xml version="1.0" encoding="utf-8"?>
<sst xmlns="http://schemas.openxmlformats.org/spreadsheetml/2006/main" count="102" uniqueCount="86">
  <si>
    <t>Input</t>
  </si>
  <si>
    <t>D</t>
  </si>
  <si>
    <t>Tunnel diameter</t>
  </si>
  <si>
    <t>H</t>
  </si>
  <si>
    <t>(m)</t>
  </si>
  <si>
    <t>Tunnel axis depth</t>
  </si>
  <si>
    <t>(kN/m3)</t>
  </si>
  <si>
    <t>Saturated soil unit weight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</si>
  <si>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sat</t>
    </r>
  </si>
  <si>
    <t>Eu</t>
  </si>
  <si>
    <t>(kPa)</t>
  </si>
  <si>
    <t>k0</t>
  </si>
  <si>
    <t>At rest lateral earth pressure coefficient</t>
  </si>
  <si>
    <t>afu</t>
  </si>
  <si>
    <t>k*</t>
  </si>
  <si>
    <t>ufrel</t>
  </si>
  <si>
    <t>sf0</t>
  </si>
  <si>
    <t>kPa</t>
  </si>
  <si>
    <t>Qf</t>
  </si>
  <si>
    <t>qf</t>
  </si>
  <si>
    <t>uf</t>
  </si>
  <si>
    <t>Face displacement</t>
  </si>
  <si>
    <t>Elastic residual displacement</t>
  </si>
  <si>
    <t>Geostatic total stress anisotropy</t>
  </si>
  <si>
    <t>Output</t>
  </si>
  <si>
    <t>Average geostatic total horizontal stress at the tunnel face</t>
  </si>
  <si>
    <t>Calculations</t>
  </si>
  <si>
    <t xml:space="preserve">sf </t>
  </si>
  <si>
    <t>Final stress on the face (TBM face pressure)</t>
  </si>
  <si>
    <t>Average pore water pressure at the tunnel face</t>
  </si>
  <si>
    <r>
      <t>g</t>
    </r>
    <r>
      <rPr>
        <sz val="11"/>
        <color theme="1"/>
        <rFont val="Calibri"/>
        <family val="2"/>
        <scheme val="minor"/>
      </rPr>
      <t>w</t>
    </r>
  </si>
  <si>
    <t>Water unit weight</t>
  </si>
  <si>
    <t>E</t>
  </si>
  <si>
    <t>Drained elastic Young modulus</t>
  </si>
  <si>
    <t>n</t>
  </si>
  <si>
    <t>(-)</t>
  </si>
  <si>
    <t>Poisson's ratio</t>
  </si>
  <si>
    <r>
      <rPr>
        <sz val="11"/>
        <color theme="1"/>
        <rFont val="Symbol"/>
        <family val="1"/>
        <charset val="2"/>
      </rPr>
      <t>f</t>
    </r>
    <r>
      <rPr>
        <sz val="11"/>
        <color theme="1"/>
        <rFont val="Calibri"/>
        <family val="2"/>
        <scheme val="minor"/>
      </rPr>
      <t>'</t>
    </r>
  </si>
  <si>
    <t>(degree)</t>
  </si>
  <si>
    <t>Soil internal friction angle</t>
  </si>
  <si>
    <t>Hw</t>
  </si>
  <si>
    <t>Position of water table w.r.t. tunnel axis</t>
  </si>
  <si>
    <t>u</t>
  </si>
  <si>
    <t>sf'0</t>
  </si>
  <si>
    <t>Average geostatic effective horizontal stress at the tunnel face</t>
  </si>
  <si>
    <t>s'v0</t>
  </si>
  <si>
    <t>Average geostatic effective vertical stress at the tunnel face</t>
  </si>
  <si>
    <t>p*</t>
  </si>
  <si>
    <t>Average effective pressure at the tunnel face</t>
  </si>
  <si>
    <t>Me</t>
  </si>
  <si>
    <t>Sue</t>
  </si>
  <si>
    <t>KPa</t>
  </si>
  <si>
    <t>Extension CSL</t>
  </si>
  <si>
    <t>Extension undrained strenght</t>
  </si>
  <si>
    <t>a</t>
  </si>
  <si>
    <t>Su*</t>
  </si>
  <si>
    <t>Equivalent Undrained strength</t>
  </si>
  <si>
    <t>vex</t>
  </si>
  <si>
    <t>(m/day)</t>
  </si>
  <si>
    <t>k</t>
  </si>
  <si>
    <t>Advancement rate</t>
  </si>
  <si>
    <t>Permeability</t>
  </si>
  <si>
    <t>tu</t>
  </si>
  <si>
    <t>(days)</t>
  </si>
  <si>
    <t>U</t>
  </si>
  <si>
    <t>K</t>
  </si>
  <si>
    <t>Soil elastic bulk modulus</t>
  </si>
  <si>
    <t>Non dimensional excavation rate</t>
  </si>
  <si>
    <t>Soil elastic undrained modulus</t>
  </si>
  <si>
    <t xml:space="preserve">     </t>
  </si>
  <si>
    <t>R</t>
  </si>
  <si>
    <t>af</t>
  </si>
  <si>
    <t>Initial slope</t>
  </si>
  <si>
    <t>Transition linear to nonlinear</t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</si>
  <si>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'L</t>
    </r>
  </si>
  <si>
    <t>Limit effective stress</t>
  </si>
  <si>
    <t>QL</t>
  </si>
  <si>
    <t>Limit load</t>
  </si>
  <si>
    <t>Volume loss at the face</t>
  </si>
  <si>
    <t>VL,f</t>
  </si>
  <si>
    <t>(%)</t>
  </si>
  <si>
    <t>Lr</t>
  </si>
  <si>
    <t>Length of segmental lining ring (only for spoil assessment)</t>
  </si>
  <si>
    <t>Ws</t>
  </si>
  <si>
    <t>Spoil weight</t>
  </si>
  <si>
    <t>(kN)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</si>
</sst>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164" fontId="0" fillId="3" borderId="0" xfId="0" applyNumberFormat="1" applyFill="1"/>
    <xf numFmtId="0" fontId="1" fillId="0" borderId="0" xfId="0" applyFont="1"/>
    <xf numFmtId="11" fontId="0" fillId="0" borderId="0" xfId="0" applyNumberFormat="1"/>
    <xf numFmtId="11" fontId="0" fillId="2" borderId="0" xfId="0" applyNumberFormat="1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'Extrusion, spoil, vol. loss '!$B$50:$B$54</c:f>
              <c:numCache>
                <c:formatCode>General</c:formatCode>
                <c:ptCount val="5"/>
                <c:pt idx="0">
                  <c:v>20</c:v>
                </c:pt>
                <c:pt idx="1">
                  <c:v>22.5</c:v>
                </c:pt>
                <c:pt idx="2">
                  <c:v>25</c:v>
                </c:pt>
                <c:pt idx="3">
                  <c:v>27.5</c:v>
                </c:pt>
                <c:pt idx="4">
                  <c:v>30</c:v>
                </c:pt>
              </c:numCache>
            </c:numRef>
          </c:xVal>
          <c:yVal>
            <c:numRef>
              <c:f>'Extrusion, spoil, vol. loss '!$C$50:$C$54</c:f>
              <c:numCache>
                <c:formatCode>General</c:formatCode>
                <c:ptCount val="5"/>
                <c:pt idx="0">
                  <c:v>1.02847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C-499B-AF85-3CDF760B3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867488"/>
        <c:axId val="2024579856"/>
      </c:scatterChart>
      <c:valAx>
        <c:axId val="190586748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Symbol" panose="05050102010706020507" pitchFamily="18" charset="2"/>
                  </a:rPr>
                  <a:t>f</a:t>
                </a:r>
                <a:r>
                  <a:rPr lang="en-GB"/>
                  <a:t>'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579856"/>
        <c:crosses val="autoZero"/>
        <c:crossBetween val="midCat"/>
      </c:valAx>
      <c:valAx>
        <c:axId val="2024579856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Symbol" panose="05050102010706020507" pitchFamily="18" charset="2"/>
                  </a:rPr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6748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57728</xdr:colOff>
      <xdr:row>54</xdr:row>
      <xdr:rowOff>158750</xdr:rowOff>
    </xdr:from>
    <xdr:to>
      <xdr:col>7</xdr:col>
      <xdr:colOff>108239</xdr:colOff>
      <xdr:row>72</xdr:row>
      <xdr:rowOff>60325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11CB95-4C71-41F4-8A21-11FD4A404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66"/>
  <sheetViews>
    <sheetView tabSelected="1" topLeftCell="A42" zoomScale="88" workbookViewId="0">
      <selection activeCell="I52" sqref="I52"/>
    </sheetView>
  </sheetViews>
  <sheetFormatPr defaultRowHeight="14.5"/>
  <cols>
    <col min="2" max="2" width="9.81640625" bestFit="1" customWidth="1"/>
    <col min="7" max="8" width="9.1796875" customWidth="1"/>
  </cols>
  <sheetData>
    <row r="2" spans="1:13">
      <c r="B2" s="2" t="s">
        <v>0</v>
      </c>
      <c r="K2" s="3" t="s">
        <v>24</v>
      </c>
    </row>
    <row r="4" spans="1:13">
      <c r="A4" t="s">
        <v>1</v>
      </c>
      <c r="B4" s="2">
        <v>10</v>
      </c>
      <c r="C4" t="s">
        <v>4</v>
      </c>
      <c r="D4" t="s">
        <v>2</v>
      </c>
      <c r="J4" t="s">
        <v>20</v>
      </c>
      <c r="K4" s="3">
        <f>+B47*B44*B28/B20</f>
        <v>0.50435478752053409</v>
      </c>
      <c r="L4" t="s">
        <v>4</v>
      </c>
      <c r="M4" t="s">
        <v>21</v>
      </c>
    </row>
    <row r="5" spans="1:13">
      <c r="A5" t="s">
        <v>3</v>
      </c>
      <c r="B5" s="2">
        <v>78</v>
      </c>
      <c r="C5" t="s">
        <v>4</v>
      </c>
      <c r="D5" t="s">
        <v>5</v>
      </c>
      <c r="J5" t="s">
        <v>83</v>
      </c>
      <c r="K5" s="8">
        <f>PI()*B4^2/4*(B16+K4)*B7</f>
        <v>2363.0349744335722</v>
      </c>
      <c r="L5" t="s">
        <v>85</v>
      </c>
      <c r="M5" t="s">
        <v>84</v>
      </c>
    </row>
    <row r="6" spans="1:13">
      <c r="A6" t="s">
        <v>40</v>
      </c>
      <c r="B6" s="2">
        <v>78</v>
      </c>
      <c r="C6" t="s">
        <v>4</v>
      </c>
      <c r="D6" t="s">
        <v>41</v>
      </c>
      <c r="J6" t="s">
        <v>79</v>
      </c>
      <c r="K6" s="8">
        <f>K4/(1.5*B4)*100</f>
        <v>3.3623652501368935</v>
      </c>
      <c r="L6" t="s">
        <v>80</v>
      </c>
      <c r="M6" t="s">
        <v>78</v>
      </c>
    </row>
    <row r="7" spans="1:13">
      <c r="A7" s="1" t="s">
        <v>8</v>
      </c>
      <c r="B7" s="2">
        <v>20</v>
      </c>
      <c r="C7" t="s">
        <v>6</v>
      </c>
      <c r="D7" t="s">
        <v>7</v>
      </c>
    </row>
    <row r="8" spans="1:13">
      <c r="A8" s="4" t="s">
        <v>30</v>
      </c>
      <c r="B8" s="2">
        <v>10</v>
      </c>
      <c r="C8" t="s">
        <v>6</v>
      </c>
      <c r="D8" t="s">
        <v>31</v>
      </c>
    </row>
    <row r="9" spans="1:13">
      <c r="A9" t="s">
        <v>32</v>
      </c>
      <c r="B9" s="2">
        <v>25000</v>
      </c>
      <c r="C9" t="s">
        <v>10</v>
      </c>
      <c r="D9" t="s">
        <v>33</v>
      </c>
    </row>
    <row r="10" spans="1:13">
      <c r="A10" s="4" t="s">
        <v>34</v>
      </c>
      <c r="B10" s="2">
        <v>0.3</v>
      </c>
      <c r="C10" t="s">
        <v>35</v>
      </c>
      <c r="D10" t="s">
        <v>36</v>
      </c>
    </row>
    <row r="11" spans="1:13">
      <c r="A11" s="1" t="s">
        <v>37</v>
      </c>
      <c r="B11" s="2">
        <v>25</v>
      </c>
      <c r="C11" t="s">
        <v>38</v>
      </c>
      <c r="D11" t="s">
        <v>39</v>
      </c>
    </row>
    <row r="12" spans="1:13">
      <c r="A12" t="s">
        <v>11</v>
      </c>
      <c r="B12" s="2">
        <v>1</v>
      </c>
      <c r="D12" t="s">
        <v>12</v>
      </c>
    </row>
    <row r="13" spans="1:13">
      <c r="A13" t="s">
        <v>27</v>
      </c>
      <c r="B13" s="2">
        <v>0</v>
      </c>
      <c r="C13" t="s">
        <v>10</v>
      </c>
      <c r="D13" t="s">
        <v>28</v>
      </c>
    </row>
    <row r="14" spans="1:13">
      <c r="A14" t="s">
        <v>57</v>
      </c>
      <c r="B14" s="2">
        <v>10</v>
      </c>
      <c r="C14" t="s">
        <v>58</v>
      </c>
      <c r="D14" t="s">
        <v>60</v>
      </c>
    </row>
    <row r="15" spans="1:13">
      <c r="A15" t="s">
        <v>59</v>
      </c>
      <c r="B15" s="6">
        <v>1E-4</v>
      </c>
      <c r="C15" t="s">
        <v>58</v>
      </c>
      <c r="D15" t="s">
        <v>61</v>
      </c>
    </row>
    <row r="16" spans="1:13">
      <c r="A16" t="s">
        <v>81</v>
      </c>
      <c r="B16" s="7">
        <v>1</v>
      </c>
      <c r="C16" t="s">
        <v>4</v>
      </c>
      <c r="D16" t="s">
        <v>82</v>
      </c>
    </row>
    <row r="18" spans="1:4">
      <c r="B18" t="s">
        <v>26</v>
      </c>
    </row>
    <row r="20" spans="1:4">
      <c r="A20" t="s">
        <v>16</v>
      </c>
      <c r="B20">
        <f>+B30*B7*(B5)</f>
        <v>1560</v>
      </c>
      <c r="C20" t="s">
        <v>17</v>
      </c>
      <c r="D20" t="s">
        <v>25</v>
      </c>
    </row>
    <row r="21" spans="1:4">
      <c r="A21" t="s">
        <v>42</v>
      </c>
      <c r="B21">
        <f>B6*B8</f>
        <v>780</v>
      </c>
      <c r="C21" t="s">
        <v>17</v>
      </c>
      <c r="D21" t="s">
        <v>29</v>
      </c>
    </row>
    <row r="22" spans="1:4">
      <c r="A22" t="s">
        <v>43</v>
      </c>
      <c r="B22">
        <f>B20-B21</f>
        <v>780</v>
      </c>
      <c r="C22" t="s">
        <v>17</v>
      </c>
      <c r="D22" t="s">
        <v>44</v>
      </c>
    </row>
    <row r="23" spans="1:4">
      <c r="A23" t="s">
        <v>45</v>
      </c>
      <c r="B23">
        <f>B22/B12</f>
        <v>780</v>
      </c>
      <c r="C23" t="s">
        <v>17</v>
      </c>
      <c r="D23" t="s">
        <v>46</v>
      </c>
    </row>
    <row r="24" spans="1:4">
      <c r="A24" t="s">
        <v>47</v>
      </c>
      <c r="B24">
        <f>(B23+2*B22)/3</f>
        <v>780</v>
      </c>
      <c r="C24" t="s">
        <v>17</v>
      </c>
      <c r="D24" t="s">
        <v>48</v>
      </c>
    </row>
    <row r="25" spans="1:4">
      <c r="A25" t="s">
        <v>49</v>
      </c>
      <c r="B25">
        <f>6*SIN(RADIANS(B11))/(3+SIN(RADIANS(B11)))</f>
        <v>0.74086835765159731</v>
      </c>
      <c r="D25" t="s">
        <v>52</v>
      </c>
    </row>
    <row r="26" spans="1:4">
      <c r="A26" t="s">
        <v>50</v>
      </c>
      <c r="B26">
        <f>B25/2*B24</f>
        <v>288.93865948412292</v>
      </c>
      <c r="C26" t="s">
        <v>51</v>
      </c>
      <c r="D26" t="s">
        <v>53</v>
      </c>
    </row>
    <row r="27" spans="1:4">
      <c r="A27" s="4" t="s">
        <v>54</v>
      </c>
      <c r="B27">
        <f>0.0006*B11^2-0.01*B11+1</f>
        <v>1.125</v>
      </c>
    </row>
    <row r="28" spans="1:4">
      <c r="A28" t="s">
        <v>55</v>
      </c>
      <c r="B28" s="2">
        <f>B26*B27</f>
        <v>325.0559919196383</v>
      </c>
      <c r="C28" t="s">
        <v>10</v>
      </c>
      <c r="D28" t="s">
        <v>56</v>
      </c>
    </row>
    <row r="30" spans="1:4">
      <c r="A30" t="s">
        <v>14</v>
      </c>
      <c r="B30">
        <f>+(B12*(B7-9.81)+9.81)/B7</f>
        <v>1</v>
      </c>
      <c r="D30" t="s">
        <v>23</v>
      </c>
    </row>
    <row r="31" spans="1:4">
      <c r="A31" t="s">
        <v>13</v>
      </c>
      <c r="B31">
        <f>+IF(B30&lt;1,0.022+1.54*B30,0.24*B30+1.324)</f>
        <v>1.5640000000000001</v>
      </c>
    </row>
    <row r="32" spans="1:4">
      <c r="A32" s="1" t="s">
        <v>74</v>
      </c>
      <c r="B32">
        <f>(B7-B8)*B4*(1/(9*TAN(RADIANS(B11)))-0.05)</f>
        <v>18.827854672328424</v>
      </c>
      <c r="C32" t="s">
        <v>10</v>
      </c>
      <c r="D32" t="s">
        <v>75</v>
      </c>
    </row>
    <row r="34" spans="1:4">
      <c r="A34" t="s">
        <v>65</v>
      </c>
      <c r="B34">
        <f>+B9/(3*(1-2*B10))</f>
        <v>20833.333333333328</v>
      </c>
      <c r="C34" t="s">
        <v>10</v>
      </c>
      <c r="D34" t="s">
        <v>66</v>
      </c>
    </row>
    <row r="35" spans="1:4">
      <c r="A35" t="s">
        <v>9</v>
      </c>
      <c r="B35">
        <f>1.5*B9/(1+0.3)</f>
        <v>28846.153846153844</v>
      </c>
      <c r="C35" t="s">
        <v>10</v>
      </c>
      <c r="D35" t="s">
        <v>68</v>
      </c>
    </row>
    <row r="36" spans="1:4">
      <c r="A36" t="s">
        <v>62</v>
      </c>
      <c r="B36">
        <f>1.5*B4/B14</f>
        <v>1.5</v>
      </c>
      <c r="C36" t="s">
        <v>63</v>
      </c>
    </row>
    <row r="37" spans="1:4">
      <c r="A37" s="4" t="s">
        <v>64</v>
      </c>
      <c r="B37" s="5">
        <f>B8*B4^2/(B15*B34*B36)</f>
        <v>320.00000000000006</v>
      </c>
      <c r="D37" t="s">
        <v>67</v>
      </c>
    </row>
    <row r="39" spans="1:4">
      <c r="A39" t="s">
        <v>70</v>
      </c>
      <c r="B39" s="5">
        <f>0.725+(1-0.725)*(0.065*B37^0.635)/(0.065*B37^0.635+1)</f>
        <v>0.92216868770563898</v>
      </c>
      <c r="D39" t="s">
        <v>72</v>
      </c>
    </row>
    <row r="40" spans="1:4">
      <c r="A40" t="s">
        <v>71</v>
      </c>
      <c r="B40" s="5">
        <f>0.686+(B31-0.686)*(0.2*B37^0.635)/(0.2*B37^0.635+1)</f>
        <v>1.4641673146201444</v>
      </c>
      <c r="D40" t="s">
        <v>73</v>
      </c>
    </row>
    <row r="41" spans="1:4">
      <c r="A41" t="s">
        <v>76</v>
      </c>
      <c r="B41" s="5">
        <f>(B22-B32)/B28+1.6*B37</f>
        <v>514.34166471084734</v>
      </c>
      <c r="D41" t="s">
        <v>77</v>
      </c>
    </row>
    <row r="44" spans="1:4">
      <c r="A44" t="s">
        <v>15</v>
      </c>
      <c r="B44">
        <f>1/3*B20*B4/B35</f>
        <v>0.18026666666666669</v>
      </c>
      <c r="C44" t="s">
        <v>4</v>
      </c>
      <c r="D44" t="s">
        <v>22</v>
      </c>
    </row>
    <row r="45" spans="1:4">
      <c r="A45" t="s">
        <v>18</v>
      </c>
      <c r="B45">
        <f>+(B20-B13)/B28</f>
        <v>4.7991731848637009</v>
      </c>
    </row>
    <row r="47" spans="1:4">
      <c r="A47" t="s">
        <v>19</v>
      </c>
      <c r="B47">
        <f>+IF(B45&lt;B40,B45/B39,B31/B39*EXP(B45/B31-1)+(B45-B40)/(B41-B45))</f>
        <v>13.427252063199944</v>
      </c>
    </row>
    <row r="50" spans="2:3">
      <c r="B50">
        <v>20</v>
      </c>
      <c r="C50">
        <v>1.02847</v>
      </c>
    </row>
    <row r="51" spans="2:3">
      <c r="B51">
        <v>22.5</v>
      </c>
      <c r="C51">
        <v>1.05</v>
      </c>
    </row>
    <row r="52" spans="2:3">
      <c r="B52">
        <v>25</v>
      </c>
      <c r="C52">
        <v>1.1000000000000001</v>
      </c>
    </row>
    <row r="53" spans="2:3">
      <c r="B53">
        <v>27.5</v>
      </c>
      <c r="C53">
        <v>1.1499999999999999</v>
      </c>
    </row>
    <row r="54" spans="2:3">
      <c r="B54">
        <v>30</v>
      </c>
      <c r="C54">
        <v>1.2</v>
      </c>
    </row>
    <row r="66" spans="11:11">
      <c r="K66" t="s">
        <v>69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Extrusion, spoil, vol. loss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Flessati</dc:creator>
  <cp:lastModifiedBy>Luca Flessati</cp:lastModifiedBy>
  <dcterms:created xsi:type="dcterms:W3CDTF">2015-06-05T18:17:20Z</dcterms:created>
  <dcterms:modified xsi:type="dcterms:W3CDTF">2024-03-11T06:51:08Z</dcterms:modified>
</cp:coreProperties>
</file>