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lflessati\surfdrive\MonA\TunnelFace\"/>
    </mc:Choice>
  </mc:AlternateContent>
  <xr:revisionPtr revIDLastSave="0" documentId="13_ncr:1_{FB4E1B4F-3F41-4180-84F1-1051C15E7ED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Unreinforced" sheetId="1" r:id="rId1"/>
    <sheet name="Reinforc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B20" i="1"/>
  <c r="B16" i="1"/>
  <c r="B28" i="2"/>
  <c r="B29" i="2" s="1"/>
  <c r="B30" i="2"/>
  <c r="B27" i="2"/>
  <c r="B26" i="2"/>
  <c r="B24" i="2"/>
  <c r="B14" i="2"/>
  <c r="B21" i="2"/>
  <c r="B22" i="2" s="1"/>
  <c r="B17" i="1"/>
  <c r="B15" i="1" l="1"/>
  <c r="B23" i="2"/>
  <c r="B20" i="2"/>
  <c r="B23" i="1" l="1"/>
  <c r="B34" i="2"/>
  <c r="B36" i="2" s="1"/>
  <c r="B33" i="2"/>
  <c r="K4" i="1" l="1"/>
  <c r="K4" i="2"/>
</calcChain>
</file>

<file path=xl/sharedStrings.xml><?xml version="1.0" encoding="utf-8"?>
<sst xmlns="http://schemas.openxmlformats.org/spreadsheetml/2006/main" count="89" uniqueCount="48">
  <si>
    <t>Input</t>
  </si>
  <si>
    <t>D</t>
  </si>
  <si>
    <t>Tunnel diameter</t>
  </si>
  <si>
    <t>H</t>
  </si>
  <si>
    <t>(m)</t>
  </si>
  <si>
    <t>Tunnel axis depth</t>
  </si>
  <si>
    <t>(kN/m3)</t>
  </si>
  <si>
    <t>Saturated soil unit weight</t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</si>
  <si>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sat</t>
    </r>
  </si>
  <si>
    <t>Eu</t>
  </si>
  <si>
    <t>(kPa)</t>
  </si>
  <si>
    <t>Undrained elastic Young modulus</t>
  </si>
  <si>
    <t>Su</t>
  </si>
  <si>
    <t>Undrained strength</t>
  </si>
  <si>
    <t>k0</t>
  </si>
  <si>
    <t>At rest lateral earth pressure coefficient</t>
  </si>
  <si>
    <t>afu</t>
  </si>
  <si>
    <t>k*</t>
  </si>
  <si>
    <t>ufrel</t>
  </si>
  <si>
    <t>sf0</t>
  </si>
  <si>
    <t>kPa</t>
  </si>
  <si>
    <t>Qf</t>
  </si>
  <si>
    <t>qf</t>
  </si>
  <si>
    <t>uf</t>
  </si>
  <si>
    <t>Face displacement</t>
  </si>
  <si>
    <t>Elastic residual displacement</t>
  </si>
  <si>
    <t>Geostatic total stress anisotropy</t>
  </si>
  <si>
    <t>Output</t>
  </si>
  <si>
    <t>L</t>
  </si>
  <si>
    <t>Reinforcement length</t>
  </si>
  <si>
    <t>Reinforcement diameter</t>
  </si>
  <si>
    <t>d</t>
  </si>
  <si>
    <t>n</t>
  </si>
  <si>
    <t>Reinforcement number</t>
  </si>
  <si>
    <t>Er</t>
  </si>
  <si>
    <t>DQf</t>
  </si>
  <si>
    <t>R1</t>
  </si>
  <si>
    <t>R2</t>
  </si>
  <si>
    <t>R3</t>
  </si>
  <si>
    <t>E*</t>
  </si>
  <si>
    <t>Reinforcement equivalent stiffness</t>
  </si>
  <si>
    <t>DR</t>
  </si>
  <si>
    <t>afr</t>
  </si>
  <si>
    <t>Average face displacement</t>
  </si>
  <si>
    <t>Average geostatic total horizontal stress at the tunnel face</t>
  </si>
  <si>
    <t>Calculations</t>
  </si>
  <si>
    <t xml:space="preserve">sf </t>
  </si>
  <si>
    <t>Final stress on the face (TBM face pressure)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</si>
</sst>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3"/>
  <sheetViews>
    <sheetView workbookViewId="0">
      <selection activeCell="D37" sqref="D37"/>
    </sheetView>
  </sheetViews>
  <sheetFormatPr defaultRowHeight="15"/>
  <cols>
    <col min="7" max="8" width="9.140625" customWidth="1"/>
  </cols>
  <sheetData>
    <row r="2" spans="1:13">
      <c r="B2" s="2" t="s">
        <v>0</v>
      </c>
      <c r="K2" s="4" t="s">
        <v>27</v>
      </c>
    </row>
    <row r="4" spans="1:13">
      <c r="A4" t="s">
        <v>1</v>
      </c>
      <c r="B4" s="2">
        <v>10</v>
      </c>
      <c r="C4" t="s">
        <v>4</v>
      </c>
      <c r="D4" t="s">
        <v>2</v>
      </c>
      <c r="J4" t="s">
        <v>23</v>
      </c>
      <c r="K4" s="4">
        <f>+B23*B20*B8/B15</f>
        <v>1.0364683131651709</v>
      </c>
      <c r="L4" t="s">
        <v>4</v>
      </c>
      <c r="M4" t="s">
        <v>24</v>
      </c>
    </row>
    <row r="5" spans="1:13">
      <c r="A5" t="s">
        <v>3</v>
      </c>
      <c r="B5" s="2">
        <v>78</v>
      </c>
      <c r="C5" t="s">
        <v>4</v>
      </c>
      <c r="D5" t="s">
        <v>5</v>
      </c>
    </row>
    <row r="6" spans="1:13">
      <c r="A6" s="1" t="s">
        <v>8</v>
      </c>
      <c r="B6" s="2">
        <v>20</v>
      </c>
      <c r="C6" t="s">
        <v>6</v>
      </c>
      <c r="D6" t="s">
        <v>7</v>
      </c>
    </row>
    <row r="7" spans="1:13">
      <c r="A7" t="s">
        <v>9</v>
      </c>
      <c r="B7" s="2">
        <v>25000</v>
      </c>
      <c r="C7" t="s">
        <v>10</v>
      </c>
      <c r="D7" t="s">
        <v>11</v>
      </c>
    </row>
    <row r="8" spans="1:13">
      <c r="A8" t="s">
        <v>12</v>
      </c>
      <c r="B8" s="2">
        <v>250</v>
      </c>
      <c r="C8" t="s">
        <v>10</v>
      </c>
      <c r="D8" t="s">
        <v>13</v>
      </c>
    </row>
    <row r="9" spans="1:13">
      <c r="A9" t="s">
        <v>14</v>
      </c>
      <c r="B9" s="2">
        <v>1</v>
      </c>
      <c r="D9" t="s">
        <v>15</v>
      </c>
    </row>
    <row r="10" spans="1:13">
      <c r="A10" t="s">
        <v>46</v>
      </c>
      <c r="B10" s="2">
        <v>0</v>
      </c>
      <c r="C10" t="s">
        <v>10</v>
      </c>
      <c r="D10" t="s">
        <v>47</v>
      </c>
    </row>
    <row r="13" spans="1:13">
      <c r="B13" t="s">
        <v>45</v>
      </c>
    </row>
    <row r="15" spans="1:13">
      <c r="A15" t="s">
        <v>19</v>
      </c>
      <c r="B15">
        <f>+B16*B6*(B5)</f>
        <v>1560</v>
      </c>
      <c r="C15" t="s">
        <v>20</v>
      </c>
      <c r="D15" t="s">
        <v>44</v>
      </c>
    </row>
    <row r="16" spans="1:13">
      <c r="A16" t="s">
        <v>17</v>
      </c>
      <c r="B16">
        <f>+(B9*(B6-9.81)+9.81)/B6</f>
        <v>1</v>
      </c>
      <c r="D16" t="s">
        <v>26</v>
      </c>
    </row>
    <row r="17" spans="1:4">
      <c r="A17" t="s">
        <v>16</v>
      </c>
      <c r="B17">
        <f>+IF(B16&lt;1,0.022+1.54*B16,0.24*B16+1.324)</f>
        <v>1.5640000000000001</v>
      </c>
    </row>
    <row r="20" spans="1:4">
      <c r="A20" t="s">
        <v>18</v>
      </c>
      <c r="B20">
        <f>1/3*B15*B4/B7</f>
        <v>0.20799999999999999</v>
      </c>
      <c r="C20" t="s">
        <v>4</v>
      </c>
      <c r="D20" t="s">
        <v>25</v>
      </c>
    </row>
    <row r="21" spans="1:4">
      <c r="A21" t="s">
        <v>21</v>
      </c>
      <c r="B21">
        <f>+(B15-B10)/B8</f>
        <v>6.24</v>
      </c>
    </row>
    <row r="23" spans="1:4">
      <c r="A23" t="s">
        <v>22</v>
      </c>
      <c r="B23">
        <f>+IF(B21&lt;B17,B21,B17*EXP(B21/B17-1))</f>
        <v>31.094049394955125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4D07D-BC3A-4162-90D0-B174CFB9D0F9}">
  <dimension ref="A2:M36"/>
  <sheetViews>
    <sheetView tabSelected="1" workbookViewId="0">
      <selection activeCell="C22" sqref="C22"/>
    </sheetView>
  </sheetViews>
  <sheetFormatPr defaultRowHeight="15"/>
  <sheetData>
    <row r="2" spans="1:13">
      <c r="B2" s="2" t="s">
        <v>0</v>
      </c>
      <c r="K2" s="3" t="s">
        <v>27</v>
      </c>
    </row>
    <row r="4" spans="1:13">
      <c r="A4" t="s">
        <v>1</v>
      </c>
      <c r="B4" s="2">
        <v>12</v>
      </c>
      <c r="C4" t="s">
        <v>4</v>
      </c>
      <c r="D4" t="s">
        <v>2</v>
      </c>
      <c r="J4" t="s">
        <v>23</v>
      </c>
      <c r="K4" s="4">
        <f>+B36*B33*B8/B20</f>
        <v>0.69555723245250878</v>
      </c>
      <c r="L4" t="s">
        <v>4</v>
      </c>
      <c r="M4" t="s">
        <v>43</v>
      </c>
    </row>
    <row r="5" spans="1:13">
      <c r="A5" t="s">
        <v>3</v>
      </c>
      <c r="B5" s="2">
        <v>78</v>
      </c>
      <c r="C5" t="s">
        <v>4</v>
      </c>
      <c r="D5" t="s">
        <v>5</v>
      </c>
    </row>
    <row r="6" spans="1:13">
      <c r="A6" s="1" t="s">
        <v>8</v>
      </c>
      <c r="B6" s="2">
        <v>20</v>
      </c>
      <c r="C6" t="s">
        <v>6</v>
      </c>
      <c r="D6" t="s">
        <v>7</v>
      </c>
    </row>
    <row r="7" spans="1:13">
      <c r="A7" t="s">
        <v>9</v>
      </c>
      <c r="B7" s="2">
        <v>25000</v>
      </c>
      <c r="C7" t="s">
        <v>10</v>
      </c>
      <c r="D7" t="s">
        <v>11</v>
      </c>
    </row>
    <row r="8" spans="1:13">
      <c r="A8" t="s">
        <v>12</v>
      </c>
      <c r="B8" s="2">
        <v>225</v>
      </c>
      <c r="C8" t="s">
        <v>10</v>
      </c>
      <c r="D8" t="s">
        <v>13</v>
      </c>
    </row>
    <row r="9" spans="1:13">
      <c r="A9" t="s">
        <v>14</v>
      </c>
      <c r="B9" s="2">
        <v>1</v>
      </c>
      <c r="D9" t="s">
        <v>15</v>
      </c>
    </row>
    <row r="11" spans="1:13">
      <c r="A11" t="s">
        <v>28</v>
      </c>
      <c r="B11" s="2">
        <v>18</v>
      </c>
      <c r="C11" t="s">
        <v>4</v>
      </c>
      <c r="D11" t="s">
        <v>29</v>
      </c>
    </row>
    <row r="12" spans="1:13">
      <c r="A12" t="s">
        <v>31</v>
      </c>
      <c r="B12" s="2">
        <v>0.12</v>
      </c>
      <c r="C12" t="s">
        <v>4</v>
      </c>
      <c r="D12" t="s">
        <v>30</v>
      </c>
    </row>
    <row r="13" spans="1:13">
      <c r="A13" t="s">
        <v>32</v>
      </c>
      <c r="B13" s="2">
        <v>100</v>
      </c>
      <c r="D13" t="s">
        <v>33</v>
      </c>
    </row>
    <row r="14" spans="1:13">
      <c r="A14" t="s">
        <v>34</v>
      </c>
      <c r="B14" s="2">
        <f>30*1000*1000</f>
        <v>30000000</v>
      </c>
      <c r="C14" t="s">
        <v>10</v>
      </c>
      <c r="D14" t="s">
        <v>40</v>
      </c>
    </row>
    <row r="18" spans="1:4">
      <c r="B18" t="s">
        <v>45</v>
      </c>
    </row>
    <row r="20" spans="1:4">
      <c r="A20" t="s">
        <v>19</v>
      </c>
      <c r="B20">
        <f>+B21*B6*(B5)</f>
        <v>1560</v>
      </c>
      <c r="C20" t="s">
        <v>20</v>
      </c>
      <c r="D20" t="s">
        <v>44</v>
      </c>
    </row>
    <row r="21" spans="1:4">
      <c r="A21" t="s">
        <v>17</v>
      </c>
      <c r="B21">
        <f>+(B9*(B6-9.81)+9.81)/B6</f>
        <v>1</v>
      </c>
      <c r="D21" t="s">
        <v>26</v>
      </c>
    </row>
    <row r="22" spans="1:4">
      <c r="A22" t="s">
        <v>16</v>
      </c>
      <c r="B22">
        <f>+IF(B21&lt;1,0.022+1.54*B21,0.24*B21+1.324)</f>
        <v>1.5640000000000001</v>
      </c>
    </row>
    <row r="23" spans="1:4">
      <c r="A23" t="s">
        <v>42</v>
      </c>
      <c r="B23">
        <f>+(B22+B24)/(1+B29)</f>
        <v>1.850260196651802</v>
      </c>
    </row>
    <row r="24" spans="1:4">
      <c r="A24" t="s">
        <v>35</v>
      </c>
      <c r="B24">
        <f>0.8*B11/B4*B12/B4*B13</f>
        <v>1.2</v>
      </c>
    </row>
    <row r="26" spans="1:4">
      <c r="A26" t="s">
        <v>36</v>
      </c>
      <c r="B26">
        <f>0.47*B11/B4</f>
        <v>0.70499999999999996</v>
      </c>
    </row>
    <row r="27" spans="1:4">
      <c r="A27" t="s">
        <v>37</v>
      </c>
      <c r="B27">
        <f>+(1-EXP(-2*B13*B12/B4))</f>
        <v>0.8646647167633873</v>
      </c>
    </row>
    <row r="28" spans="1:4">
      <c r="A28" t="s">
        <v>38</v>
      </c>
      <c r="B28">
        <f>1/2+1/2*(80*B30-1)/(80*B30+1)</f>
        <v>0.810126582278481</v>
      </c>
    </row>
    <row r="29" spans="1:4">
      <c r="A29" t="s">
        <v>41</v>
      </c>
      <c r="B29">
        <f>+B26*B27*B28</f>
        <v>0.49384394962486117</v>
      </c>
    </row>
    <row r="30" spans="1:4">
      <c r="A30" t="s">
        <v>39</v>
      </c>
      <c r="B30">
        <f>+B14*B12^2/(B7*B11^2)</f>
        <v>5.3333333333333337E-2</v>
      </c>
    </row>
    <row r="33" spans="1:4">
      <c r="A33" t="s">
        <v>18</v>
      </c>
      <c r="B33">
        <f>1/3*B20*B4/B7</f>
        <v>0.24959999999999999</v>
      </c>
      <c r="C33" t="s">
        <v>4</v>
      </c>
      <c r="D33" t="s">
        <v>25</v>
      </c>
    </row>
    <row r="34" spans="1:4">
      <c r="A34" t="s">
        <v>21</v>
      </c>
      <c r="B34">
        <f>+B20/B8</f>
        <v>6.9333333333333336</v>
      </c>
    </row>
    <row r="36" spans="1:4">
      <c r="A36" t="s">
        <v>22</v>
      </c>
      <c r="B36">
        <f>+IF(B34&lt;B23,B34/(1+B29),B23/(1+B29)*EXP(B34/B23-1))</f>
        <v>19.32103423479191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Unreinforced</vt:lpstr>
      <vt:lpstr>Reinforced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Flessati</dc:creator>
  <cp:lastModifiedBy>Luca Flessati</cp:lastModifiedBy>
  <dcterms:created xsi:type="dcterms:W3CDTF">2015-06-05T18:17:20Z</dcterms:created>
  <dcterms:modified xsi:type="dcterms:W3CDTF">2023-10-20T08:22:16Z</dcterms:modified>
</cp:coreProperties>
</file>