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FAA63DC4-C1D0-4013-8A6B-CE431FF8B4AF}" xr6:coauthVersionLast="36" xr6:coauthVersionMax="36" xr10:uidLastSave="{00000000-0000-0000-0000-000000000000}"/>
  <bookViews>
    <workbookView xWindow="0" yWindow="0" windowWidth="22260" windowHeight="12645" tabRatio="839" xr2:uid="{00000000-000D-0000-FFFF-FFFF00000000}"/>
  </bookViews>
  <sheets>
    <sheet name="罗毅扬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7" i="3" l="1"/>
  <c r="S56" i="3"/>
  <c r="M56" i="3"/>
  <c r="L56" i="3"/>
  <c r="K56" i="3"/>
  <c r="M55" i="3"/>
  <c r="L55" i="3"/>
  <c r="K55" i="3"/>
  <c r="M54" i="3"/>
  <c r="L54" i="3"/>
  <c r="K54" i="3"/>
  <c r="M53" i="3"/>
  <c r="L53" i="3"/>
  <c r="K53" i="3"/>
  <c r="K60" i="3" s="1" a="1"/>
  <c r="U46" i="3"/>
  <c r="Q52" i="3" s="1"/>
  <c r="Q46" i="3"/>
  <c r="M46" i="3"/>
  <c r="T45" i="3"/>
  <c r="P45" i="3"/>
  <c r="L45" i="3"/>
  <c r="S44" i="3"/>
  <c r="O44" i="3"/>
  <c r="O48" i="3" s="1"/>
  <c r="K44" i="3"/>
  <c r="K48" i="3" s="1"/>
  <c r="C29" i="3"/>
  <c r="B29" i="3"/>
  <c r="J28" i="3"/>
  <c r="I28" i="3"/>
  <c r="H28" i="3"/>
  <c r="C28" i="3"/>
  <c r="B28" i="3"/>
  <c r="D9" i="3" s="1"/>
  <c r="J27" i="3"/>
  <c r="I27" i="3"/>
  <c r="C27" i="3"/>
  <c r="B27" i="3"/>
  <c r="D16" i="3" s="1"/>
  <c r="L13" i="3"/>
  <c r="K13" i="3"/>
  <c r="I13" i="3"/>
  <c r="H13" i="3"/>
  <c r="L12" i="3"/>
  <c r="K12" i="3"/>
  <c r="K15" i="3" s="1"/>
  <c r="I12" i="3"/>
  <c r="H12" i="3"/>
  <c r="P2" i="3"/>
  <c r="N20" i="3" s="1"/>
  <c r="O2" i="3"/>
  <c r="N2" i="3" l="1"/>
  <c r="H25" i="3"/>
  <c r="D20" i="3"/>
  <c r="E19" i="3"/>
  <c r="O53" i="3"/>
  <c r="N21" i="3"/>
  <c r="D7" i="3"/>
  <c r="D15" i="3"/>
  <c r="D21" i="3"/>
  <c r="D24" i="3"/>
  <c r="D26" i="3"/>
  <c r="D4" i="3"/>
  <c r="D11" i="3"/>
  <c r="D18" i="3"/>
  <c r="D22" i="3"/>
  <c r="D25" i="3"/>
  <c r="S48" i="3"/>
  <c r="K24" i="3"/>
  <c r="D23" i="3"/>
  <c r="D2" i="3"/>
  <c r="D5" i="3"/>
  <c r="H15" i="3"/>
  <c r="D13" i="3"/>
  <c r="E23" i="3"/>
  <c r="K25" i="3"/>
  <c r="H24" i="3"/>
  <c r="M20" i="3"/>
  <c r="P53" i="3"/>
  <c r="Q53" i="3" s="1"/>
  <c r="M62" i="3"/>
  <c r="L61" i="3"/>
  <c r="K60" i="3"/>
  <c r="L62" i="3"/>
  <c r="K61" i="3"/>
  <c r="K62" i="3"/>
  <c r="M60" i="3"/>
  <c r="L60" i="3"/>
  <c r="M61" i="3"/>
  <c r="E5" i="3"/>
  <c r="E9" i="3"/>
  <c r="E13" i="3"/>
  <c r="E7" i="3"/>
  <c r="E11" i="3"/>
  <c r="E15" i="3"/>
  <c r="E16" i="3"/>
  <c r="E18" i="3"/>
  <c r="E20" i="3"/>
  <c r="E2" i="3"/>
  <c r="D3" i="3"/>
  <c r="E4" i="3"/>
  <c r="D6" i="3"/>
  <c r="D8" i="3"/>
  <c r="D10" i="3"/>
  <c r="D12" i="3"/>
  <c r="D14" i="3"/>
  <c r="D17" i="3"/>
  <c r="D19" i="3"/>
  <c r="E21" i="3"/>
  <c r="E22" i="3"/>
  <c r="E24" i="3"/>
  <c r="E25" i="3"/>
  <c r="E26" i="3"/>
  <c r="E3" i="3"/>
  <c r="E6" i="3"/>
  <c r="E8" i="3"/>
  <c r="E10" i="3"/>
  <c r="E12" i="3"/>
  <c r="E14" i="3"/>
  <c r="E17" i="3"/>
  <c r="M21" i="3"/>
  <c r="D29" i="3" l="1"/>
  <c r="D27" i="3"/>
  <c r="P20" i="3" a="1"/>
  <c r="K3" i="3"/>
  <c r="E29" i="3"/>
  <c r="L4" i="3"/>
  <c r="E27" i="3"/>
  <c r="E28" i="3"/>
  <c r="D28" i="3"/>
  <c r="P21" i="3" l="1"/>
  <c r="Q20" i="3"/>
  <c r="P20" i="3"/>
  <c r="Q21" i="3"/>
</calcChain>
</file>

<file path=xl/sharedStrings.xml><?xml version="1.0" encoding="utf-8"?>
<sst xmlns="http://schemas.openxmlformats.org/spreadsheetml/2006/main" count="63" uniqueCount="53">
  <si>
    <t>样本编号</t>
  </si>
  <si>
    <t>长度x1</t>
  </si>
  <si>
    <t>宽度x2</t>
  </si>
  <si>
    <t>x1标准化x1*</t>
  </si>
  <si>
    <t>x2标准化x2*</t>
  </si>
  <si>
    <t>相关系数</t>
  </si>
  <si>
    <t>协方差A</t>
  </si>
  <si>
    <t>e11</t>
  </si>
  <si>
    <t>e12</t>
  </si>
  <si>
    <t>e21</t>
  </si>
  <si>
    <t>e22</t>
  </si>
  <si>
    <t>列 1</t>
  </si>
  <si>
    <t>列 2</t>
  </si>
  <si>
    <t>求特征根方法：</t>
  </si>
  <si>
    <t>求解1误差：</t>
  </si>
  <si>
    <t>求解2误差：</t>
  </si>
  <si>
    <r>
      <t>特征值</t>
    </r>
    <r>
      <rPr>
        <sz val="11"/>
        <color theme="1"/>
        <rFont val="Microsoft YaHei"/>
        <charset val="134"/>
      </rPr>
      <t>λ</t>
    </r>
    <r>
      <rPr>
        <sz val="11"/>
        <color theme="1"/>
        <rFont val="等线"/>
        <family val="3"/>
        <charset val="134"/>
        <scheme val="minor"/>
      </rPr>
      <t>1</t>
    </r>
  </si>
  <si>
    <r>
      <t>特征值</t>
    </r>
    <r>
      <rPr>
        <sz val="11"/>
        <color theme="1"/>
        <rFont val="Microsoft YaHei"/>
        <charset val="134"/>
      </rPr>
      <t>λ</t>
    </r>
    <r>
      <rPr>
        <sz val="11"/>
        <color theme="1"/>
        <rFont val="等线"/>
        <family val="3"/>
        <charset val="134"/>
        <scheme val="minor"/>
      </rPr>
      <t>2</t>
    </r>
  </si>
  <si>
    <t>P正交矩阵</t>
  </si>
  <si>
    <t>D对角矩阵</t>
  </si>
  <si>
    <t>单位特征向量e1</t>
  </si>
  <si>
    <t>单位特征向量e2</t>
  </si>
  <si>
    <r>
      <t>特征值</t>
    </r>
    <r>
      <rPr>
        <sz val="11"/>
        <color theme="1"/>
        <rFont val="Microsoft YaHei"/>
        <charset val="134"/>
      </rPr>
      <t>λ</t>
    </r>
  </si>
  <si>
    <t>累计值</t>
  </si>
  <si>
    <t>贡献率</t>
  </si>
  <si>
    <t>累计贡献率</t>
  </si>
  <si>
    <t>均值</t>
  </si>
  <si>
    <t>方差</t>
  </si>
  <si>
    <t>标准差</t>
  </si>
  <si>
    <t>标准化公式</t>
  </si>
  <si>
    <t>X协方差矩阵</t>
  </si>
  <si>
    <t>求解过程：</t>
  </si>
  <si>
    <t>求解一：</t>
  </si>
  <si>
    <t>求解二：</t>
  </si>
  <si>
    <t>求解三：</t>
  </si>
  <si>
    <t>特征值λ1</t>
  </si>
  <si>
    <t>特征值λ2</t>
  </si>
  <si>
    <t>特征值λ3</t>
  </si>
  <si>
    <t>特征向量计算草稿区</t>
  </si>
  <si>
    <t>x1</t>
  </si>
  <si>
    <t>x2</t>
  </si>
  <si>
    <t>x3</t>
  </si>
  <si>
    <t>特征向量x1</t>
  </si>
  <si>
    <t>单位特征向量e3</t>
  </si>
  <si>
    <t>特征向量x2</t>
  </si>
  <si>
    <t>ps在计算特征向量x2时，发现两次算到的值不同那么可知x21与x22均为0，从而可得x23可为任意非零数</t>
  </si>
  <si>
    <t>特征向量x3</t>
  </si>
  <si>
    <t>贡献率：</t>
  </si>
  <si>
    <t>可知</t>
  </si>
  <si>
    <t>第一主成分的贡献率为</t>
  </si>
  <si>
    <t>前两大主成分的累计贡献率为</t>
  </si>
  <si>
    <t>由此</t>
  </si>
  <si>
    <t>若使用前两个主成分代替原来三个变量，其信息损失仅为2%左右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</si>
</sst>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Microsoft YaHei"/>
      <charset val="134"/>
    </font>
    <font>
      <sz val="12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3" fillId="0" borderId="0" xfId="1" applyNumberFormat="1" applyFont="1" applyFill="1" applyBorder="1" applyAlignment="1" applyProtection="1">
      <alignment vertical="center"/>
    </xf>
    <xf numFmtId="0" fontId="2" fillId="0" borderId="0" xfId="1">
      <alignment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0" xfId="1" applyFill="1" applyBorder="1" applyAlignment="1">
      <alignment vertical="center"/>
    </xf>
    <xf numFmtId="0" fontId="2" fillId="0" borderId="2" xfId="1" applyFill="1" applyBorder="1" applyAlignment="1">
      <alignment vertical="center"/>
    </xf>
    <xf numFmtId="0" fontId="2" fillId="0" borderId="0" xfId="1" applyFont="1">
      <alignment vertical="center"/>
    </xf>
    <xf numFmtId="0" fontId="2" fillId="0" borderId="0" xfId="1" applyFont="1" applyFill="1" applyAlignment="1">
      <alignment vertical="center"/>
    </xf>
    <xf numFmtId="10" fontId="2" fillId="0" borderId="0" xfId="1" applyNumberFormat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28</xdr:row>
          <xdr:rowOff>171450</xdr:rowOff>
        </xdr:from>
        <xdr:to>
          <xdr:col>5</xdr:col>
          <xdr:colOff>123825</xdr:colOff>
          <xdr:row>32</xdr:row>
          <xdr:rowOff>161925</xdr:rowOff>
        </xdr:to>
        <xdr:sp macro="" textlink="">
          <xdr:nvSpPr>
            <xdr:cNvPr id="3073" name="对象 -2147482468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6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3810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12</xdr:col>
      <xdr:colOff>257175</xdr:colOff>
      <xdr:row>15</xdr:row>
      <xdr:rowOff>0</xdr:rowOff>
    </xdr:from>
    <xdr:to>
      <xdr:col>13</xdr:col>
      <xdr:colOff>646642</xdr:colOff>
      <xdr:row>17</xdr:row>
      <xdr:rowOff>114300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62608" y="2730500"/>
          <a:ext cx="1358900" cy="491067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419100</xdr:colOff>
      <xdr:row>15</xdr:row>
      <xdr:rowOff>57150</xdr:rowOff>
    </xdr:from>
    <xdr:to>
      <xdr:col>16</xdr:col>
      <xdr:colOff>533400</xdr:colOff>
      <xdr:row>17</xdr:row>
      <xdr:rowOff>95250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88900" y="2787650"/>
          <a:ext cx="1104900" cy="414867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67310</xdr:colOff>
      <xdr:row>33</xdr:row>
      <xdr:rowOff>9525</xdr:rowOff>
    </xdr:from>
    <xdr:to>
      <xdr:col>8</xdr:col>
      <xdr:colOff>133985</xdr:colOff>
      <xdr:row>43</xdr:row>
      <xdr:rowOff>133350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310" y="6025092"/>
          <a:ext cx="5768975" cy="1927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628650</xdr:colOff>
      <xdr:row>28</xdr:row>
      <xdr:rowOff>73660</xdr:rowOff>
    </xdr:from>
    <xdr:to>
      <xdr:col>9</xdr:col>
      <xdr:colOff>591185</xdr:colOff>
      <xdr:row>31</xdr:row>
      <xdr:rowOff>152400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14850" y="5195993"/>
          <a:ext cx="2688802" cy="616374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154305</xdr:colOff>
      <xdr:row>4</xdr:row>
      <xdr:rowOff>97155</xdr:rowOff>
    </xdr:from>
    <xdr:to>
      <xdr:col>10</xdr:col>
      <xdr:colOff>158750</xdr:colOff>
      <xdr:row>10</xdr:row>
      <xdr:rowOff>108585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66005" y="825288"/>
          <a:ext cx="2823845" cy="1103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28575</xdr:colOff>
      <xdr:row>18</xdr:row>
      <xdr:rowOff>83820</xdr:rowOff>
    </xdr:from>
    <xdr:to>
      <xdr:col>9</xdr:col>
      <xdr:colOff>835660</xdr:colOff>
      <xdr:row>21</xdr:row>
      <xdr:rowOff>95250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30875" y="3373120"/>
          <a:ext cx="1717252" cy="5575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62"/>
  <sheetViews>
    <sheetView tabSelected="1" topLeftCell="A7" workbookViewId="0">
      <selection activeCell="Q21" sqref="Q21"/>
    </sheetView>
  </sheetViews>
  <sheetFormatPr defaultColWidth="9" defaultRowHeight="14.25"/>
  <cols>
    <col min="1" max="9" width="9" style="2"/>
    <col min="10" max="10" width="12.75" style="2" customWidth="1"/>
    <col min="11" max="11" width="14.375" style="2" customWidth="1"/>
    <col min="12" max="12" width="14.5" style="2" customWidth="1"/>
    <col min="13" max="13" width="12" style="2" customWidth="1"/>
    <col min="14" max="16384" width="9" style="2"/>
  </cols>
  <sheetData>
    <row r="1" spans="1:17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J1" s="2" t="s">
        <v>6</v>
      </c>
      <c r="N1" s="2" t="s">
        <v>7</v>
      </c>
      <c r="O1" s="2" t="s">
        <v>8</v>
      </c>
      <c r="P1" s="2" t="s">
        <v>9</v>
      </c>
      <c r="Q1" s="2" t="s">
        <v>10</v>
      </c>
    </row>
    <row r="2" spans="1:17">
      <c r="A2" s="1">
        <v>1</v>
      </c>
      <c r="B2" s="1">
        <v>3</v>
      </c>
      <c r="C2" s="1">
        <v>2</v>
      </c>
      <c r="D2" s="1">
        <f t="shared" ref="D2:E26" si="0">(B2-B$27)/SQRT(B$28)</f>
        <v>-1.7860446842132052</v>
      </c>
      <c r="E2" s="1">
        <f t="shared" si="0"/>
        <v>-1.8060771461374359</v>
      </c>
      <c r="G2" s="3"/>
      <c r="H2" s="3" t="s">
        <v>11</v>
      </c>
      <c r="I2" s="3" t="s">
        <v>12</v>
      </c>
      <c r="K2" s="2" t="s">
        <v>11</v>
      </c>
      <c r="L2" s="2" t="s">
        <v>12</v>
      </c>
      <c r="N2" s="2">
        <f>-I12/H12</f>
        <v>-0.99999999999155476</v>
      </c>
      <c r="O2" s="2">
        <f>1</f>
        <v>1</v>
      </c>
      <c r="P2" s="2">
        <f>-L12/K12</f>
        <v>0.9999999999999829</v>
      </c>
      <c r="Q2" s="2">
        <v>1</v>
      </c>
    </row>
    <row r="3" spans="1:17" ht="15" thickBot="1">
      <c r="A3" s="1">
        <v>2</v>
      </c>
      <c r="B3" s="1">
        <v>4</v>
      </c>
      <c r="C3" s="1">
        <v>10</v>
      </c>
      <c r="D3" s="1">
        <f t="shared" si="0"/>
        <v>-1.5593892674348795</v>
      </c>
      <c r="E3" s="1">
        <f t="shared" si="0"/>
        <v>-0.14148991467436128</v>
      </c>
      <c r="G3" s="4" t="s">
        <v>11</v>
      </c>
      <c r="H3" s="4">
        <v>1</v>
      </c>
      <c r="I3" s="5">
        <v>0.70560348031237796</v>
      </c>
      <c r="J3" s="2" t="s">
        <v>11</v>
      </c>
      <c r="K3" s="2">
        <f>VARP(罗毅扬!$D$2:$D$26)</f>
        <v>1</v>
      </c>
      <c r="L3" s="2">
        <v>0.70560348031237796</v>
      </c>
    </row>
    <row r="4" spans="1:17" ht="15" thickBot="1">
      <c r="A4" s="1">
        <v>3</v>
      </c>
      <c r="B4" s="1">
        <v>6</v>
      </c>
      <c r="C4" s="1">
        <v>5</v>
      </c>
      <c r="D4" s="1">
        <f t="shared" si="0"/>
        <v>-1.1060784338782286</v>
      </c>
      <c r="E4" s="1">
        <f t="shared" si="0"/>
        <v>-1.1818569343387828</v>
      </c>
      <c r="G4" s="5" t="s">
        <v>12</v>
      </c>
      <c r="H4" s="5">
        <v>0.70560348031237796</v>
      </c>
      <c r="I4" s="5">
        <v>1</v>
      </c>
      <c r="J4" s="2" t="s">
        <v>12</v>
      </c>
      <c r="K4" s="2">
        <v>0.70560348031237796</v>
      </c>
      <c r="L4" s="2">
        <f>VARP(罗毅扬!$E$2:$E$26)</f>
        <v>1</v>
      </c>
    </row>
    <row r="5" spans="1:17">
      <c r="A5" s="1">
        <v>4</v>
      </c>
      <c r="B5" s="1">
        <v>6</v>
      </c>
      <c r="C5" s="1">
        <v>8</v>
      </c>
      <c r="D5" s="1">
        <f t="shared" si="0"/>
        <v>-1.1060784338782286</v>
      </c>
      <c r="E5" s="1">
        <f t="shared" si="0"/>
        <v>-0.55763672254012986</v>
      </c>
    </row>
    <row r="6" spans="1:17">
      <c r="A6" s="1">
        <v>5</v>
      </c>
      <c r="B6" s="1">
        <v>6</v>
      </c>
      <c r="C6" s="1">
        <v>10</v>
      </c>
      <c r="D6" s="1">
        <f t="shared" si="0"/>
        <v>-1.1060784338782286</v>
      </c>
      <c r="E6" s="1">
        <f t="shared" si="0"/>
        <v>-0.14148991467436128</v>
      </c>
    </row>
    <row r="7" spans="1:17">
      <c r="A7" s="1">
        <v>6</v>
      </c>
      <c r="B7" s="1">
        <v>7</v>
      </c>
      <c r="C7" s="1">
        <v>2</v>
      </c>
      <c r="D7" s="1">
        <f t="shared" si="0"/>
        <v>-0.87942301709990311</v>
      </c>
      <c r="E7" s="1">
        <f t="shared" si="0"/>
        <v>-1.8060771461374359</v>
      </c>
    </row>
    <row r="8" spans="1:17">
      <c r="A8" s="1">
        <v>7</v>
      </c>
      <c r="B8" s="1">
        <v>7</v>
      </c>
      <c r="C8" s="1">
        <v>13</v>
      </c>
      <c r="D8" s="1">
        <f t="shared" si="0"/>
        <v>-0.87942301709990311</v>
      </c>
      <c r="E8" s="1">
        <f t="shared" si="0"/>
        <v>0.48273029712429166</v>
      </c>
      <c r="G8" s="2" t="s">
        <v>13</v>
      </c>
    </row>
    <row r="9" spans="1:17">
      <c r="A9" s="1">
        <v>8</v>
      </c>
      <c r="B9" s="1">
        <v>8</v>
      </c>
      <c r="C9" s="1">
        <v>9</v>
      </c>
      <c r="D9" s="1">
        <f t="shared" si="0"/>
        <v>-0.65276760032157766</v>
      </c>
      <c r="E9" s="1">
        <f t="shared" si="0"/>
        <v>-0.3495633186072456</v>
      </c>
    </row>
    <row r="10" spans="1:17">
      <c r="A10" s="1">
        <v>9</v>
      </c>
      <c r="B10" s="1">
        <v>9</v>
      </c>
      <c r="C10" s="1">
        <v>5</v>
      </c>
      <c r="D10" s="1">
        <f t="shared" si="0"/>
        <v>-0.42611218354325209</v>
      </c>
      <c r="E10" s="1">
        <f t="shared" si="0"/>
        <v>-1.1818569343387828</v>
      </c>
    </row>
    <row r="11" spans="1:17">
      <c r="A11" s="1">
        <v>10</v>
      </c>
      <c r="B11" s="1">
        <v>9</v>
      </c>
      <c r="C11" s="1">
        <v>8</v>
      </c>
      <c r="D11" s="1">
        <f t="shared" si="0"/>
        <v>-0.42611218354325209</v>
      </c>
      <c r="E11" s="1">
        <f t="shared" si="0"/>
        <v>-0.55763672254012986</v>
      </c>
    </row>
    <row r="12" spans="1:17">
      <c r="A12" s="1">
        <v>11</v>
      </c>
      <c r="B12" s="1">
        <v>9</v>
      </c>
      <c r="C12" s="1">
        <v>14</v>
      </c>
      <c r="D12" s="1">
        <f t="shared" si="0"/>
        <v>-0.42611218354325209</v>
      </c>
      <c r="E12" s="1">
        <f t="shared" si="0"/>
        <v>0.69080370105717603</v>
      </c>
      <c r="H12" s="2">
        <f>H18-H3</f>
        <v>-0.70560348031833697</v>
      </c>
      <c r="I12" s="2">
        <f>-I3</f>
        <v>-0.70560348031237796</v>
      </c>
      <c r="K12" s="2">
        <f>K18-H3</f>
        <v>0.70560348031239006</v>
      </c>
      <c r="L12" s="2">
        <f>-I3</f>
        <v>-0.70560348031237796</v>
      </c>
      <c r="N12" s="2">
        <v>0</v>
      </c>
    </row>
    <row r="13" spans="1:17">
      <c r="A13" s="1">
        <v>12</v>
      </c>
      <c r="B13" s="1">
        <v>10</v>
      </c>
      <c r="C13" s="1">
        <v>7</v>
      </c>
      <c r="D13" s="1">
        <f t="shared" si="0"/>
        <v>-0.1994567667649266</v>
      </c>
      <c r="E13" s="1">
        <f t="shared" si="0"/>
        <v>-0.76571012647301417</v>
      </c>
      <c r="H13" s="2">
        <f>-H4</f>
        <v>-0.70560348031237796</v>
      </c>
      <c r="I13" s="2">
        <f>H18-I4</f>
        <v>-0.70560348031833697</v>
      </c>
      <c r="K13" s="2">
        <f>-H4</f>
        <v>-0.70560348031237796</v>
      </c>
      <c r="L13" s="2">
        <f>K18-I4</f>
        <v>0.70560348031239006</v>
      </c>
      <c r="N13" s="2">
        <v>0</v>
      </c>
    </row>
    <row r="14" spans="1:17">
      <c r="A14" s="1">
        <v>13</v>
      </c>
      <c r="B14" s="1">
        <v>11</v>
      </c>
      <c r="C14" s="1">
        <v>12</v>
      </c>
      <c r="D14" s="1">
        <f t="shared" si="0"/>
        <v>2.7198650013398884E-2</v>
      </c>
      <c r="E14" s="1">
        <f t="shared" si="0"/>
        <v>0.27465689319140735</v>
      </c>
    </row>
    <row r="15" spans="1:17">
      <c r="A15" s="1">
        <v>14</v>
      </c>
      <c r="B15" s="1">
        <v>12</v>
      </c>
      <c r="C15" s="1">
        <v>10</v>
      </c>
      <c r="D15" s="1">
        <f t="shared" si="0"/>
        <v>0.2538540667917244</v>
      </c>
      <c r="E15" s="1">
        <f t="shared" si="0"/>
        <v>-0.14148991467436128</v>
      </c>
      <c r="G15" s="2" t="s">
        <v>14</v>
      </c>
      <c r="H15" s="2">
        <f>MDETERM(H12:I13)</f>
        <v>8.4093978897318109E-12</v>
      </c>
      <c r="J15" s="2" t="s">
        <v>15</v>
      </c>
      <c r="K15" s="2">
        <f>MDETERM(K12:L13)</f>
        <v>1.7077623616146402E-14</v>
      </c>
    </row>
    <row r="16" spans="1:17">
      <c r="A16" s="1">
        <v>15</v>
      </c>
      <c r="B16" s="1">
        <v>12</v>
      </c>
      <c r="C16" s="1">
        <v>11</v>
      </c>
      <c r="D16" s="1">
        <f t="shared" si="0"/>
        <v>0.2538540667917244</v>
      </c>
      <c r="E16" s="1">
        <f t="shared" si="0"/>
        <v>6.6583489258523046E-2</v>
      </c>
    </row>
    <row r="17" spans="1:17" ht="16.5">
      <c r="A17" s="1">
        <v>16</v>
      </c>
      <c r="B17" s="1">
        <v>13</v>
      </c>
      <c r="C17" s="1">
        <v>6</v>
      </c>
      <c r="D17" s="1">
        <f t="shared" si="0"/>
        <v>0.48050948357004986</v>
      </c>
      <c r="E17" s="1">
        <f t="shared" si="0"/>
        <v>-0.97378353040589849</v>
      </c>
      <c r="H17" s="6" t="s">
        <v>16</v>
      </c>
      <c r="K17" s="6" t="s">
        <v>17</v>
      </c>
    </row>
    <row r="18" spans="1:17">
      <c r="A18" s="1">
        <v>17</v>
      </c>
      <c r="B18" s="1">
        <v>13</v>
      </c>
      <c r="C18" s="1">
        <v>14</v>
      </c>
      <c r="D18" s="1">
        <f t="shared" si="0"/>
        <v>0.48050948357004986</v>
      </c>
      <c r="E18" s="1">
        <f t="shared" si="0"/>
        <v>0.69080370105717603</v>
      </c>
      <c r="H18" s="2">
        <v>0.29439651968166303</v>
      </c>
      <c r="K18" s="2">
        <v>1.7056034803123901</v>
      </c>
    </row>
    <row r="19" spans="1:17">
      <c r="A19" s="1">
        <v>18</v>
      </c>
      <c r="B19" s="1">
        <v>13</v>
      </c>
      <c r="C19" s="1">
        <v>15</v>
      </c>
      <c r="D19" s="1">
        <f t="shared" si="0"/>
        <v>0.48050948357004986</v>
      </c>
      <c r="E19" s="1">
        <f t="shared" si="0"/>
        <v>0.89887710499006024</v>
      </c>
      <c r="M19" s="2" t="s">
        <v>18</v>
      </c>
      <c r="P19" s="2" t="s">
        <v>19</v>
      </c>
    </row>
    <row r="20" spans="1:17">
      <c r="A20" s="1">
        <v>19</v>
      </c>
      <c r="B20" s="1">
        <v>13</v>
      </c>
      <c r="C20" s="1">
        <v>17</v>
      </c>
      <c r="D20" s="1">
        <f t="shared" si="0"/>
        <v>0.48050948357004986</v>
      </c>
      <c r="E20" s="1">
        <f t="shared" si="0"/>
        <v>1.315023912855829</v>
      </c>
      <c r="M20" s="7">
        <f>$N2/SQRT($N2^2+$O2^2)</f>
        <v>-0.70710678118356174</v>
      </c>
      <c r="N20" s="7">
        <f>$P2/SQRT($P2^2+$Q2^2)</f>
        <v>0.70710678118654147</v>
      </c>
      <c r="P20" s="2">
        <f t="array" ref="P20:Q21">MMULT(MMULT(TRANSPOSE(M20:N21),H3:I4),M20:N21)</f>
        <v>0.29439651968762215</v>
      </c>
      <c r="Q20" s="2">
        <v>7.2046257848512596E-12</v>
      </c>
    </row>
    <row r="21" spans="1:17">
      <c r="A21" s="1">
        <v>20</v>
      </c>
      <c r="B21" s="1">
        <v>14</v>
      </c>
      <c r="C21" s="1">
        <v>7</v>
      </c>
      <c r="D21" s="1">
        <f t="shared" si="0"/>
        <v>0.70716490034837531</v>
      </c>
      <c r="E21" s="1">
        <f t="shared" si="0"/>
        <v>-0.76571012647301417</v>
      </c>
      <c r="M21" s="7">
        <f>$O2/SQRT($N2^2+$O2^2)</f>
        <v>0.70710678118953341</v>
      </c>
      <c r="N21" s="2">
        <f>$Q2/SQRT($P2^2+$Q2^2)</f>
        <v>0.70710678118655357</v>
      </c>
      <c r="P21" s="2">
        <v>7.2045702737000283E-12</v>
      </c>
      <c r="Q21" s="2">
        <v>1.7056034803123781</v>
      </c>
    </row>
    <row r="22" spans="1:17">
      <c r="A22" s="1">
        <v>21</v>
      </c>
      <c r="B22" s="1">
        <v>15</v>
      </c>
      <c r="C22" s="1">
        <v>13</v>
      </c>
      <c r="D22" s="1">
        <f t="shared" si="0"/>
        <v>0.93382031712670088</v>
      </c>
      <c r="E22" s="1">
        <f t="shared" si="0"/>
        <v>0.48273029712429166</v>
      </c>
    </row>
    <row r="23" spans="1:17">
      <c r="A23" s="1">
        <v>22</v>
      </c>
      <c r="B23" s="1">
        <v>17</v>
      </c>
      <c r="C23" s="1">
        <v>13</v>
      </c>
      <c r="D23" s="1">
        <f t="shared" si="0"/>
        <v>1.3871311506833519</v>
      </c>
      <c r="E23" s="1">
        <f t="shared" si="0"/>
        <v>0.48273029712429166</v>
      </c>
      <c r="H23" s="2" t="s">
        <v>20</v>
      </c>
      <c r="K23" s="2" t="s">
        <v>21</v>
      </c>
    </row>
    <row r="24" spans="1:17">
      <c r="A24" s="1">
        <v>23</v>
      </c>
      <c r="B24" s="1">
        <v>17</v>
      </c>
      <c r="C24" s="1">
        <v>17</v>
      </c>
      <c r="D24" s="1">
        <f t="shared" si="0"/>
        <v>1.3871311506833519</v>
      </c>
      <c r="E24" s="1">
        <f t="shared" si="0"/>
        <v>1.315023912855829</v>
      </c>
      <c r="H24" s="7">
        <f>$N2/SQRT($N2^2+$O2^2)</f>
        <v>-0.70710678118356174</v>
      </c>
      <c r="K24" s="7">
        <f>$P2/SQRT($P2^2+$Q2^2)</f>
        <v>0.70710678118654147</v>
      </c>
    </row>
    <row r="25" spans="1:17">
      <c r="A25" s="1">
        <v>24</v>
      </c>
      <c r="B25" s="1">
        <v>18</v>
      </c>
      <c r="C25" s="1">
        <v>19</v>
      </c>
      <c r="D25" s="1">
        <f t="shared" si="0"/>
        <v>1.6137865674616774</v>
      </c>
      <c r="E25" s="1">
        <f t="shared" si="0"/>
        <v>1.7311707207215976</v>
      </c>
      <c r="H25" s="7">
        <f>$O2/SQRT($N2^2+$O2^2)</f>
        <v>0.70710678118953341</v>
      </c>
      <c r="K25" s="2">
        <f>$Q2/SQRT($P2^2+$Q2^2)</f>
        <v>0.70710678118655357</v>
      </c>
    </row>
    <row r="26" spans="1:17" ht="16.5">
      <c r="A26" s="1">
        <v>25</v>
      </c>
      <c r="B26" s="1">
        <v>20</v>
      </c>
      <c r="C26" s="1">
        <v>20</v>
      </c>
      <c r="D26" s="1">
        <f t="shared" si="0"/>
        <v>2.0670974010183283</v>
      </c>
      <c r="E26" s="1">
        <f t="shared" si="0"/>
        <v>1.9392441246544818</v>
      </c>
      <c r="G26" s="6" t="s">
        <v>22</v>
      </c>
      <c r="H26" s="2" t="s">
        <v>23</v>
      </c>
      <c r="I26" s="2" t="s">
        <v>24</v>
      </c>
      <c r="J26" s="2" t="s">
        <v>25</v>
      </c>
    </row>
    <row r="27" spans="1:17">
      <c r="A27" s="1" t="s">
        <v>26</v>
      </c>
      <c r="B27" s="1">
        <f>SUM(B2:B26)/25</f>
        <v>10.88</v>
      </c>
      <c r="C27" s="1">
        <f>SUM(C2:C26)/25</f>
        <v>10.68</v>
      </c>
      <c r="D27" s="1">
        <f>SUM(D2:D26)/25</f>
        <v>-2.3092638912203257E-16</v>
      </c>
      <c r="E27" s="1">
        <f>SUM(E2:E26)/25</f>
        <v>0</v>
      </c>
      <c r="G27" s="7">
        <v>0.29439651968166303</v>
      </c>
      <c r="H27" s="7">
        <v>0.29439651968166303</v>
      </c>
      <c r="I27" s="8">
        <f>G27/(G27+G28)</f>
        <v>0.14719825984126919</v>
      </c>
      <c r="J27" s="8">
        <f>G27/(G27+G28)</f>
        <v>0.14719825984126919</v>
      </c>
    </row>
    <row r="28" spans="1:17">
      <c r="A28" s="1" t="s">
        <v>27</v>
      </c>
      <c r="B28" s="1">
        <f>_xlfn.VAR.P(B2:B26)</f>
        <v>19.465599999999998</v>
      </c>
      <c r="C28" s="1">
        <f>_xlfn.VAR.P(C2:C26)</f>
        <v>23.0976</v>
      </c>
      <c r="D28" s="1">
        <f>_xlfn.VAR.P(D2:D26)</f>
        <v>1</v>
      </c>
      <c r="E28" s="1">
        <f>_xlfn.VAR.P(E2:E26)</f>
        <v>1</v>
      </c>
      <c r="G28" s="2">
        <v>1.7056034803123901</v>
      </c>
      <c r="H28" s="2">
        <f>G27+G28</f>
        <v>1.9999999999940532</v>
      </c>
      <c r="I28" s="8">
        <f>G28/(G27+G28)</f>
        <v>0.85280174015873078</v>
      </c>
      <c r="J28" s="8">
        <f>(G27+G28)/(G27+G28)</f>
        <v>1</v>
      </c>
    </row>
    <row r="29" spans="1:17">
      <c r="A29" s="1" t="s">
        <v>28</v>
      </c>
      <c r="B29" s="1">
        <f>STDEVP(B2:B26)</f>
        <v>4.4119836808401729</v>
      </c>
      <c r="C29" s="1">
        <f>STDEVP(C2:C26)</f>
        <v>4.8059962546801884</v>
      </c>
      <c r="D29" s="1">
        <f>STDEVP(D2:D26)</f>
        <v>1</v>
      </c>
      <c r="E29" s="1">
        <f>STDEVP(E2:E26)</f>
        <v>1</v>
      </c>
    </row>
    <row r="31" spans="1:17">
      <c r="B31" s="2" t="s">
        <v>29</v>
      </c>
    </row>
    <row r="38" spans="10:23">
      <c r="K38" s="2" t="s">
        <v>30</v>
      </c>
    </row>
    <row r="39" spans="10:23">
      <c r="K39" s="2">
        <v>1</v>
      </c>
      <c r="L39" s="2">
        <v>-2</v>
      </c>
      <c r="M39" s="2">
        <v>0</v>
      </c>
    </row>
    <row r="40" spans="10:23">
      <c r="K40" s="2">
        <v>-2</v>
      </c>
      <c r="L40" s="2">
        <v>5</v>
      </c>
      <c r="M40" s="2">
        <v>0</v>
      </c>
    </row>
    <row r="41" spans="10:23" ht="17.25">
      <c r="K41" s="2">
        <v>0</v>
      </c>
      <c r="L41" s="9">
        <v>0</v>
      </c>
      <c r="M41" s="2">
        <v>2</v>
      </c>
    </row>
    <row r="43" spans="10:23">
      <c r="J43" s="2" t="s">
        <v>31</v>
      </c>
    </row>
    <row r="44" spans="10:23">
      <c r="K44" s="2">
        <f>K51-1</f>
        <v>-0.82842712474619096</v>
      </c>
      <c r="L44" s="2">
        <v>2</v>
      </c>
      <c r="M44" s="2">
        <v>0</v>
      </c>
      <c r="O44" s="2">
        <f>L51-1</f>
        <v>1.00000000001168</v>
      </c>
      <c r="P44" s="2">
        <v>2</v>
      </c>
      <c r="Q44" s="2">
        <v>0</v>
      </c>
      <c r="S44" s="2">
        <f>M51-1</f>
        <v>4.8284271247461898</v>
      </c>
      <c r="T44" s="2">
        <v>2</v>
      </c>
      <c r="U44" s="2">
        <v>0</v>
      </c>
      <c r="W44" s="2">
        <v>0</v>
      </c>
    </row>
    <row r="45" spans="10:23">
      <c r="K45" s="2">
        <v>2</v>
      </c>
      <c r="L45" s="2">
        <f>K51-5</f>
        <v>-4.8284271247461907</v>
      </c>
      <c r="M45" s="2">
        <v>0</v>
      </c>
      <c r="O45" s="2">
        <v>2</v>
      </c>
      <c r="P45" s="2">
        <f>L51-5</f>
        <v>-2.99999999998832</v>
      </c>
      <c r="Q45" s="2">
        <v>0</v>
      </c>
      <c r="S45" s="2">
        <v>2</v>
      </c>
      <c r="T45" s="2">
        <f>M51-5</f>
        <v>0.82842712474618985</v>
      </c>
      <c r="U45" s="2">
        <v>0</v>
      </c>
      <c r="W45" s="2">
        <v>0</v>
      </c>
    </row>
    <row r="46" spans="10:23">
      <c r="K46" s="2">
        <v>0</v>
      </c>
      <c r="L46" s="2">
        <v>0</v>
      </c>
      <c r="M46" s="2">
        <f>K51-2</f>
        <v>-1.828427124746191</v>
      </c>
      <c r="O46" s="2">
        <v>0</v>
      </c>
      <c r="P46" s="2">
        <v>0</v>
      </c>
      <c r="Q46" s="2">
        <f>L51-2</f>
        <v>1.1679990308266497E-11</v>
      </c>
      <c r="S46" s="2">
        <v>0</v>
      </c>
      <c r="T46" s="2">
        <v>0</v>
      </c>
      <c r="U46" s="2">
        <f>M51-2</f>
        <v>3.8284271247461898</v>
      </c>
      <c r="W46" s="2">
        <v>0</v>
      </c>
    </row>
    <row r="48" spans="10:23">
      <c r="J48" s="2" t="s">
        <v>32</v>
      </c>
      <c r="K48" s="2">
        <f>MDETERM(K44:M46)</f>
        <v>-8.1198475709695779E-15</v>
      </c>
      <c r="N48" s="2" t="s">
        <v>33</v>
      </c>
      <c r="O48" s="2">
        <f>MDETERM(O44:Q46)</f>
        <v>-8.1759932158138318E-11</v>
      </c>
      <c r="R48" s="2" t="s">
        <v>34</v>
      </c>
      <c r="S48" s="2">
        <f>MDETERM(S44:U46)</f>
        <v>-6.1568354995062639E-15</v>
      </c>
    </row>
    <row r="50" spans="10:23">
      <c r="K50" s="2" t="s">
        <v>35</v>
      </c>
      <c r="L50" s="2" t="s">
        <v>36</v>
      </c>
      <c r="M50" s="2" t="s">
        <v>37</v>
      </c>
      <c r="O50" s="2" t="s">
        <v>38</v>
      </c>
    </row>
    <row r="51" spans="10:23">
      <c r="K51" s="2">
        <v>0.17157287525380899</v>
      </c>
      <c r="L51" s="2">
        <v>2.00000000001168</v>
      </c>
      <c r="M51" s="2">
        <v>5.8284271247461898</v>
      </c>
      <c r="O51" s="2" t="s">
        <v>39</v>
      </c>
      <c r="P51" s="2" t="s">
        <v>40</v>
      </c>
      <c r="Q51" s="2" t="s">
        <v>41</v>
      </c>
      <c r="S51" s="2" t="s">
        <v>42</v>
      </c>
      <c r="T51" s="2">
        <v>2.41421356237309</v>
      </c>
      <c r="U51" s="2">
        <v>1</v>
      </c>
      <c r="V51" s="2">
        <v>0</v>
      </c>
    </row>
    <row r="52" spans="10:23">
      <c r="K52" s="2" t="s">
        <v>20</v>
      </c>
      <c r="L52" s="2" t="s">
        <v>21</v>
      </c>
      <c r="M52" s="2" t="s">
        <v>43</v>
      </c>
      <c r="O52" s="2">
        <v>-0.41421356237309498</v>
      </c>
      <c r="P52" s="2">
        <v>1</v>
      </c>
      <c r="Q52" s="2">
        <f>(S46*O52+T46*P52)/(-1*U46)</f>
        <v>0</v>
      </c>
      <c r="S52" s="2" t="s">
        <v>44</v>
      </c>
      <c r="T52" s="2">
        <v>0</v>
      </c>
      <c r="U52" s="2">
        <v>0</v>
      </c>
      <c r="V52" s="2">
        <v>1</v>
      </c>
      <c r="W52" s="2" t="s">
        <v>45</v>
      </c>
    </row>
    <row r="53" spans="10:23">
      <c r="J53" s="2" t="s">
        <v>18</v>
      </c>
      <c r="K53" s="2">
        <f>T51/SQRT(T51^2+U51^2+V51^2)</f>
        <v>0.92387953251128652</v>
      </c>
      <c r="L53" s="2">
        <f>T52/SQRT(T52^2+U52^2+V52^2)</f>
        <v>0</v>
      </c>
      <c r="M53" s="2">
        <f>T53/SQRT(T53^2+U53^2+V53^2)</f>
        <v>-0.38268343236508967</v>
      </c>
      <c r="O53" s="2">
        <f>S44*O52+T44*P52+U44*Q52</f>
        <v>4.4408920985006262E-16</v>
      </c>
      <c r="P53" s="2">
        <f>S45*O52+T45*P52+U45*Q52</f>
        <v>-1.1102230246251565E-16</v>
      </c>
      <c r="Q53" s="2">
        <f>O53-0*P53</f>
        <v>4.4408920985006262E-16</v>
      </c>
      <c r="S53" s="2" t="s">
        <v>46</v>
      </c>
      <c r="T53" s="2">
        <v>-0.41421356237309498</v>
      </c>
      <c r="U53" s="2">
        <v>1</v>
      </c>
      <c r="V53" s="2">
        <v>0</v>
      </c>
    </row>
    <row r="54" spans="10:23">
      <c r="K54" s="2">
        <f>U51/SQRT(T51^2+U51^2+V51^2)</f>
        <v>0.38268343236509045</v>
      </c>
      <c r="L54" s="2">
        <f>U52/SQRT(T52^2+U52^2+V52^2)</f>
        <v>0</v>
      </c>
      <c r="M54" s="2">
        <f>U53/SQRT(T53^2+U53^2+V53^2)</f>
        <v>0.92387953251128674</v>
      </c>
    </row>
    <row r="55" spans="10:23">
      <c r="K55" s="2">
        <f>V51/SQRT(T51^2+U51^2+V51^2)</f>
        <v>0</v>
      </c>
      <c r="L55" s="2">
        <f>V52/SQRT(T52^2+U52^2+V52^2)</f>
        <v>1</v>
      </c>
      <c r="M55" s="2">
        <f>V53/SQRT(T53^2+U53^2+V53^2)</f>
        <v>0</v>
      </c>
    </row>
    <row r="56" spans="10:23">
      <c r="J56" s="2" t="s">
        <v>47</v>
      </c>
      <c r="K56" s="2">
        <f>K51/($K$51+$L$51+$M$51)</f>
        <v>2.1446609406694819E-2</v>
      </c>
      <c r="L56" s="2">
        <f>L51/($K$51+$L$51+$M$51)</f>
        <v>0.25000000000109507</v>
      </c>
      <c r="M56" s="2">
        <f>M51/($K$51+$L$51+$M$51)</f>
        <v>0.72855339059221025</v>
      </c>
      <c r="O56" s="2" t="s">
        <v>48</v>
      </c>
      <c r="P56" s="2" t="s">
        <v>49</v>
      </c>
      <c r="S56" s="2">
        <f>M51/($K$51+$L$51+$M$51)</f>
        <v>0.72855339059221025</v>
      </c>
    </row>
    <row r="57" spans="10:23">
      <c r="P57" s="2" t="s">
        <v>50</v>
      </c>
      <c r="S57" s="2">
        <f>M51/($K$51+$L$51+$M$51)+L51/($K$51+$L$51+$M$51)</f>
        <v>0.97855339059330526</v>
      </c>
    </row>
    <row r="58" spans="10:23">
      <c r="O58" s="2" t="s">
        <v>51</v>
      </c>
      <c r="P58" s="2" t="s">
        <v>52</v>
      </c>
    </row>
    <row r="60" spans="10:23">
      <c r="J60" s="2" t="s">
        <v>19</v>
      </c>
      <c r="K60" s="2">
        <f t="array" ref="K60:M62">MMULT(MMULT(TRANSPOSE(K53:M55),K39:M41),K53:M55)</f>
        <v>0.17157287525380996</v>
      </c>
      <c r="L60" s="2">
        <v>0</v>
      </c>
      <c r="M60" s="2">
        <v>4.2466030691912238E-15</v>
      </c>
    </row>
    <row r="61" spans="10:23">
      <c r="K61" s="2">
        <v>0</v>
      </c>
      <c r="L61" s="2">
        <v>2</v>
      </c>
      <c r="M61" s="2">
        <v>0</v>
      </c>
    </row>
    <row r="62" spans="10:23">
      <c r="K62" s="2">
        <v>4.4408920985006262E-15</v>
      </c>
      <c r="L62" s="2">
        <v>0</v>
      </c>
      <c r="M62" s="2">
        <v>5.8284271247461898</v>
      </c>
    </row>
  </sheetData>
  <phoneticPr fontId="1" type="noConversion"/>
  <dataValidations count="3">
    <dataValidation type="decimal" operator="greaterThan" allowBlank="1" showInputMessage="1" showErrorMessage="1" sqref="G28" xr:uid="{00000000-0002-0000-0600-000000000000}">
      <formula1>D19+0.00001</formula1>
    </dataValidation>
    <dataValidation type="decimal" operator="greaterThan" allowBlank="1" showInputMessage="1" showErrorMessage="1" sqref="L51:M51" xr:uid="{00000000-0002-0000-0600-000001000000}">
      <formula1>K51+0.0001</formula1>
    </dataValidation>
    <dataValidation type="decimal" operator="greaterThan" allowBlank="1" showInputMessage="1" showErrorMessage="1" sqref="K18" xr:uid="{00000000-0002-0000-0600-000002000000}">
      <formula1>H18+0.00001</formula1>
    </dataValidation>
  </dataValidation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3073" r:id="rId3">
          <objectPr defaultSize="0" autoPict="0" altText="" r:id="rId4">
            <anchor moveWithCells="1">
              <from>
                <xdr:col>2</xdr:col>
                <xdr:colOff>180975</xdr:colOff>
                <xdr:row>28</xdr:row>
                <xdr:rowOff>171450</xdr:rowOff>
              </from>
              <to>
                <xdr:col>5</xdr:col>
                <xdr:colOff>123825</xdr:colOff>
                <xdr:row>32</xdr:row>
                <xdr:rowOff>161925</xdr:rowOff>
              </to>
            </anchor>
          </objectPr>
        </oleObject>
      </mc:Choice>
      <mc:Fallback>
        <oleObject progId="Equation.DSMT4" shapeId="3073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罗毅扬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2024-11-14T14:01:12Z</dcterms:modified>
</cp:coreProperties>
</file>